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EstaPasta_de_trabalho"/>
  <mc:AlternateContent xmlns:mc="http://schemas.openxmlformats.org/markup-compatibility/2006">
    <mc:Choice Requires="x15">
      <x15ac:absPath xmlns:x15ac="http://schemas.microsoft.com/office/spreadsheetml/2010/11/ac" url="A:\ENGENHARIA\Ano 2024\Recuperação de complexo esportivo distrito de sertãozinho\PDF ESCANEADOS para licitação - COMPLEXO ESP. SERTAOZINHO\ORÇAMENTO\"/>
    </mc:Choice>
  </mc:AlternateContent>
  <workbookProtection workbookAlgorithmName="SHA-512" workbookHashValue="Qo77Tjjt5+VTHsUWXBsccclYhsUyWv+eu4whubsB6rBEG5a0rTRN4ApdksLvG2VBrVThJOlGy7PXormrPZ9dww==" workbookSaltValue="8kY/KMNeca5OnE2BOKKAqg==" workbookSpinCount="100000" lockStructure="1"/>
  <bookViews>
    <workbookView xWindow="0" yWindow="0" windowWidth="28800" windowHeight="12315" activeTab="3"/>
  </bookViews>
  <sheets>
    <sheet name="DADOS" sheetId="16" r:id="rId1"/>
    <sheet name="BDI (1)" sheetId="17" r:id="rId2"/>
    <sheet name="BDI (2)" sheetId="18" r:id="rId3"/>
    <sheet name="PO" sheetId="12" r:id="rId4"/>
    <sheet name="PLQ" sheetId="13" state="hidden" r:id="rId5"/>
    <sheet name="CFF" sheetId="11" r:id="rId6"/>
  </sheets>
  <definedNames>
    <definedName name="_xlnm._FilterDatabase" localSheetId="5">CFF!#REF!</definedName>
    <definedName name="_xlnm._FilterDatabase" localSheetId="0">DADOS!#REF!</definedName>
    <definedName name="_xlnm._FilterDatabase" localSheetId="4">PLQ!$A$10:$O$13</definedName>
    <definedName name="_xlnm._FilterDatabase" localSheetId="3">PO!$C$10:$T$13</definedName>
    <definedName name="_xlnm.Print_Area" localSheetId="1">'BDI (1)'!$I$1:$R$50</definedName>
    <definedName name="_xlnm.Print_Area" localSheetId="2">'BDI (2)'!$I$1:$R$50</definedName>
    <definedName name="_xlnm.Print_Area" localSheetId="5">CFF!$L$1:$X$72</definedName>
    <definedName name="_xlnm.Print_Area" localSheetId="0">DADOS!$A$1:$X$87</definedName>
    <definedName name="_xlnm.Print_Area" localSheetId="4">PLQ!$B$1:$P$145</definedName>
    <definedName name="_xlnm.Print_Area" localSheetId="3">PO!$K$1:$T$154</definedName>
    <definedName name="_xlnm.Database">TEXT(Import.DataBase,"mm-aaaa")</definedName>
    <definedName name="CFF.ColunaPadrão">CFF!$AC:$AC</definedName>
    <definedName name="CFF.Colunas">CFF!$P$10:$X$10</definedName>
    <definedName name="CFF.Dados">OFFSET(CFF!$L$17,1,0):OFFSET(CFF!$X$66,-1,-1)</definedName>
    <definedName name="CFF.IncluirLinha">MAX(PO!$V$12:$V$139)*CFF.NumLinha-ROW(CFF!$F$66)+ROW(CFF!$F$17)+1</definedName>
    <definedName name="CFF.Item">OFFSET(CFF!$L$17,1,0):OFFSET(CFF!$X$66,-1,-1)</definedName>
    <definedName name="CFF.LinhaPadrão">CFF!$A$11:$W$11</definedName>
    <definedName name="CFF.NumLinha">ROW(CFF!$D$14)-ROW(CFF!$D$10)-1</definedName>
    <definedName name="Código" localSheetId="3">PO!$M1</definedName>
    <definedName name="Composições.LinhaPadrão" localSheetId="2">#REF!</definedName>
    <definedName name="Composições.LinhaPadrão">#REF!</definedName>
    <definedName name="Cotações.LinhaPadrão" localSheetId="2">#REF!</definedName>
    <definedName name="Cotações.LinhaPadrão">#REF!</definedName>
    <definedName name="Dados.Assinatura1">DADOS!$B$54:$E$57</definedName>
    <definedName name="Dados.Assinatura2">DADOS!$H$54:$K$57</definedName>
    <definedName name="Dados.Lista.Acompanhamento">DADOS!$P$122:$P$123</definedName>
    <definedName name="Dados.Lista.BDI">DADOS!$T$37:$X$37</definedName>
    <definedName name="Dados.Lista.Localidade">DADOS!$L$107:$L$134</definedName>
    <definedName name="Dados.Lista.RegimeExecução">DADOS!$P$115:$P$120</definedName>
    <definedName name="EXCELVERSAO">IF(MID(INFO("SOLTAR"),1,2)*1&lt;=11,"Excel 2003","Superior")</definedName>
    <definedName name="Fonte" localSheetId="3">PO!$L1</definedName>
    <definedName name="Import.Ação">DADOS!$J$29</definedName>
    <definedName name="Import.Apelido">DADOS!$Q$32</definedName>
    <definedName name="Import.CNPJ">DADOS!$B$57</definedName>
    <definedName name="Import.Código">OFFSET(PO!$M$12,1,0):OFFSET(PO!$M$139,-1,0)</definedName>
    <definedName name="Import.CR">DADOS!$A$29</definedName>
    <definedName name="Import.CTEF">DADOS!$A$43</definedName>
    <definedName name="Import.CustoUnitário">OFFSET(PO!$Q$12,1,0):OFFSET(PO!$Q$139,-1,0)</definedName>
    <definedName name="Import.DadosBDI">DADOS!$S$108:$S$112</definedName>
    <definedName name="Import.DataAssinaturaCTEF">DADOS!$U$43</definedName>
    <definedName name="Import.DataBase">DADOS!$A$38</definedName>
    <definedName name="Import.DataBaseLicit">DADOS!$H$43</definedName>
    <definedName name="Import.DataCot" localSheetId="2">OFFSET(#REF!,1,0):OFFSET(#REF!,-1,0)</definedName>
    <definedName name="Import.DataCot">OFFSET(#REF!,1,0):OFFSET(#REF!,-1,0)</definedName>
    <definedName name="Import.DataCotIndice" localSheetId="2">OFFSET(#REF!,1,0):OFFSET(#REF!,-1,0)</definedName>
    <definedName name="Import.DataCotIndice">OFFSET(#REF!,1,0):OFFSET(#REF!,-1,0)</definedName>
    <definedName name="Import.DataInícioObra">DADOS!$A$48</definedName>
    <definedName name="Import.DescComp" localSheetId="2">OFFSET(#REF!,1,0):OFFSET(#REF!,-1,0)</definedName>
    <definedName name="Import.DescComp">OFFSET(#REF!,1,0):OFFSET(#REF!,-1,0)</definedName>
    <definedName name="Import.DescCot" localSheetId="2">OFFSET(#REF!,1,0):OFFSET(#REF!,-1,0)</definedName>
    <definedName name="Import.DescCot">OFFSET(#REF!,1,0):OFFSET(#REF!,-1,0)</definedName>
    <definedName name="Import.DescLote">DADOS!$G$38</definedName>
    <definedName name="Import.Descrição">OFFSET(PO!$N$12,1,0):OFFSET(PO!$N$139,-1,0)</definedName>
    <definedName name="Import.Desoneracao">DADOS!$C$38</definedName>
    <definedName name="Import.DesoneracaoLicit">DADOS!$J$43</definedName>
    <definedName name="Import.Empresa">DADOS!$C$43</definedName>
    <definedName name="Import.FontComp" localSheetId="2">OFFSET(#REF!,1,0):OFFSET(#REF!,-1,0)</definedName>
    <definedName name="Import.FontComp">OFFSET(#REF!,1,0):OFFSET(#REF!,-1,0)</definedName>
    <definedName name="Import.Fonte">OFFSET(PO!$L$12,1,0):OFFSET(PO!$L$139,-1,0)</definedName>
    <definedName name="Import.FrenteDeObra">PLQ!$F$9:OFFSET(PLQ!$P$9,0,-1)</definedName>
    <definedName name="Import.Gestor">DADOS!$C$29</definedName>
    <definedName name="Import.IndiceAtual" localSheetId="2">OFFSET(#REF!,1,0):OFFSET(#REF!,-1,0)</definedName>
    <definedName name="Import.IndiceAtual">OFFSET(#REF!,1,0):OFFSET(#REF!,-1,0)</definedName>
    <definedName name="Import.IndiceCot" localSheetId="2">OFFSET(#REF!,1,0):OFFSET(#REF!,-1,0)</definedName>
    <definedName name="Import.IndiceCot">OFFSET(#REF!,1,0):OFFSET(#REF!,-1,0)</definedName>
    <definedName name="Import.Item">OFFSET(PO!$K$12,1,0):OFFSET(PO!$K$139,-1,0)</definedName>
    <definedName name="Import.Localidade">DADOS!$K$32</definedName>
    <definedName name="Import.LocalSINAPI">DADOS!$D$38</definedName>
    <definedName name="Import.Município">DADOS!$G$32</definedName>
    <definedName name="Import.Nível">OFFSET(PO!$J$12,1,0):OFFSET(PO!$J$139,-1,0)</definedName>
    <definedName name="Import.NomeEmpresaForn" localSheetId="2">OFFSET(#REF!,1,0):OFFSET(#REF!,-1,0)</definedName>
    <definedName name="Import.NomeEmpresaForn">OFFSET(#REF!,1,0):OFFSET(#REF!,-1,0)</definedName>
    <definedName name="Import.ObjetoCR">DADOS!$P$29</definedName>
    <definedName name="Import.ObjetoCTEF">DADOS!$O$43</definedName>
    <definedName name="Import.ObsComp" localSheetId="2">OFFSET(#REF!,1,0):OFFSET(#REF!,-1,0)</definedName>
    <definedName name="Import.ObsComp">OFFSET(#REF!,1,0):OFFSET(#REF!,-1,0)</definedName>
    <definedName name="Import.ObsCot" localSheetId="2">OFFSET(#REF!,1,0):OFFSET(#REF!,-1,0)</definedName>
    <definedName name="Import.ObsCot">OFFSET(#REF!,1,0):OFFSET(#REF!,-1,0)</definedName>
    <definedName name="Import.ObsForn" localSheetId="2">OFFSET(#REF!,1,0):OFFSET(#REF!,-1,0)</definedName>
    <definedName name="Import.ObsForn">OFFSET(#REF!,1,0):OFFSET(#REF!,-1,0)</definedName>
    <definedName name="Import.ObsIndice" localSheetId="2">OFFSET(#REF!,1,0):OFFSET(#REF!,-1,0)</definedName>
    <definedName name="Import.ObsIndice">OFFSET(#REF!,1,0):OFFSET(#REF!,-1,0)</definedName>
    <definedName name="Import.PLQ">OFFSET(PLQ!$F$12,1,0):OFFSET(PLQ!$P$139,-1,-1)</definedName>
    <definedName name="Import.POArred">PO!$X$3:$X$7</definedName>
    <definedName name="Import.PreçoTotal">OFFSET(PO!$T$12,1,0):OFFSET(PO!$T$139,-1,0)</definedName>
    <definedName name="Import.PreçoUnitário">OFFSET(PO!$S$12,1,0):OFFSET(PO!$S$139,-1,0)</definedName>
    <definedName name="Import.Programa">DADOS!$F$29</definedName>
    <definedName name="Import.Proponente">DADOS!$A$32</definedName>
    <definedName name="Import.Quantidade">OFFSET(PO!$P$12,1,0):OFFSET(PO!$P$139,-1,0)</definedName>
    <definedName name="Import.RegimeExecução">DADOS!$K$43</definedName>
    <definedName name="Import.TelefoneForn" localSheetId="2">OFFSET(#REF!,1,0):OFFSET(#REF!,-1,0)</definedName>
    <definedName name="Import.TelefoneForn">OFFSET(#REF!,1,0):OFFSET(#REF!,-1,0)</definedName>
    <definedName name="Import.TipoComp" localSheetId="2">OFFSET(#REF!,1,0):OFFSET(#REF!,-1,0)</definedName>
    <definedName name="Import.TipoComp">OFFSET(#REF!,1,0):OFFSET(#REF!,-1,0)</definedName>
    <definedName name="Import.TipoCot" localSheetId="2">OFFSET(#REF!,1,0):OFFSET(#REF!,-1,0)</definedName>
    <definedName name="Import.TipoCot">OFFSET(#REF!,1,0):OFFSET(#REF!,-1,0)</definedName>
    <definedName name="Import.Unidade">OFFSET(PO!$O$12,1,0):OFFSET(PO!$O$139,-1,0)</definedName>
    <definedName name="Import.UnidadeComp" localSheetId="2">OFFSET(#REF!,1,0):OFFSET(#REF!,-1,0)</definedName>
    <definedName name="Import.UnidadeComp">OFFSET(#REF!,1,0):OFFSET(#REF!,-1,0)</definedName>
    <definedName name="Import.UnidCot" localSheetId="2">OFFSET(#REF!,1,0):OFFSET(#REF!,-1,0)</definedName>
    <definedName name="Import.UnidCot">OFFSET(#REF!,1,0):OFFSET(#REF!,-1,0)</definedName>
    <definedName name="Import.Valor1Indice" localSheetId="2">OFFSET(#REF!,1,0):OFFSET(#REF!,-1,0)</definedName>
    <definedName name="Import.Valor1Indice">OFFSET(#REF!,1,0):OFFSET(#REF!,-1,0)</definedName>
    <definedName name="Import.Valor2Indice" localSheetId="2">OFFSET(#REF!,1,0):OFFSET(#REF!,-1,0)</definedName>
    <definedName name="Import.Valor2Indice">OFFSET(#REF!,1,0):OFFSET(#REF!,-1,0)</definedName>
    <definedName name="Import.ValorBDI">OFFSET(PO!$Z$12,1,0):OFFSET(PO!$Z$139,-1,0)</definedName>
    <definedName name="Import.ValorCot" localSheetId="2">OFFSET(#REF!,1,0):OFFSET(#REF!,-1,0)</definedName>
    <definedName name="Import.ValorCot">OFFSET(#REF!,1,0):OFFSET(#REF!,-1,0)</definedName>
    <definedName name="Import.Vigência">DADOS!$W$43</definedName>
    <definedName name="Índices.LinhaPadrão" localSheetId="2">#REF!</definedName>
    <definedName name="Índices.LinhaPadrão">#REF!</definedName>
    <definedName name="Linhacabeçalhodados">DADOS!$A$220:$X$220</definedName>
    <definedName name="LinhaEncargosSociais">PO!$K$140</definedName>
    <definedName name="linhaSINAPIxls" localSheetId="3">PO!$X1</definedName>
    <definedName name="ListaFornecedor" localSheetId="2">OFFSET(#REF!,0,0,MAX(#REF!)+1)</definedName>
    <definedName name="ListaFornecedor">OFFSET(#REF!,0,0,MAX(#REF!)+1)</definedName>
    <definedName name="ListaIndice" localSheetId="2">OFFSET(#REF!,1,0,MAX(#REF!))</definedName>
    <definedName name="ListaIndice">OFFSET(#REF!,1,0,MAX(#REF!))</definedName>
    <definedName name="NMaxCrono">CFF!$A$9</definedName>
    <definedName name="Objeto">DADOS!$A$1</definedName>
    <definedName name="ORÇAMENTO.OpcaoCusto">PO!$Q$10</definedName>
    <definedName name="PLQ.ColunaPadrão">PLQ!$U:$U</definedName>
    <definedName name="PLQ.Colunas">PLQ!$F$10:$P$10</definedName>
    <definedName name="PLQ.FormulaQuant">PLQ!$E$7</definedName>
    <definedName name="PLQ.Item">PLQ!$B$9:OFFSET(PLQ!$B$139,-1,0)</definedName>
    <definedName name="PLQ.LinhaPadrão">PLQ!$A$11:$P$11</definedName>
    <definedName name="PLQ.qtde.frentes">COUNTA(PLQ!$F$9:$P$9)</definedName>
    <definedName name="PO.BDI">OFFSET(PO!$R$12,1,0):OFFSET(PO!$R$139,-1,0)</definedName>
    <definedName name="PO.CustoRef">OFFSET(PO!$Y$12,1,0):OFFSET(PO!$Y$139,-1,0)</definedName>
    <definedName name="PO.CustoUnitario">ROUND(PO!$Q1,15-13*PO!$X$4)</definedName>
    <definedName name="PO.Dados">PO!$C$12:OFFSET(PO!$Z$139,-1,0)</definedName>
    <definedName name="PO.FormulaQuant">PO!$P$9</definedName>
    <definedName name="PO.LinhaPadrão">PO!$C$11:$Z$11</definedName>
    <definedName name="PO.PrecoUnitario">ROUND(PO!$S1,15-13*PO!$X$6)</definedName>
    <definedName name="PO.Quantidade">ROUND(PO!$P1,15-13*PO!$X$3)</definedName>
    <definedName name="Referencia.Descricao" localSheetId="2">#N/A</definedName>
    <definedName name="Referencia.Descricao">IF(ISNUMBER(PO!linhaSINAPIxls),INDEX(INDIRECT("'[Referência "&amp;_xlnm.Database&amp;".xls]Banco'!$b:$g"),PO!linhaSINAPIxls,3),"")</definedName>
    <definedName name="Referencia.Desonerado" localSheetId="2">#N/A</definedName>
    <definedName name="Referencia.Desonerado">IF(ISNUMBER(PO!linhaSINAPIxls),VALUE(INDEX(INDIRECT("'[Referência "&amp;_xlnm.Database&amp;".xls]Banco'!$b:$g"),PO!linhaSINAPIxls,5)),0)</definedName>
    <definedName name="Referencia.NaoDesonerado" localSheetId="2">#N/A</definedName>
    <definedName name="Referencia.NaoDesonerado">IF(ISNUMBER(PO!linhaSINAPIxls),VALUE(INDEX(INDIRECT("'[Referência "&amp;_xlnm.Database&amp;".xls]Banco'!$b:$g"),PO!linhaSINAPIxls,6)),0)</definedName>
    <definedName name="Referencia.Unidade" localSheetId="2">#N/A</definedName>
    <definedName name="Referencia.Unidade">IF(ISNUMBER(PO!linhaSINAPIxls),INDEX(INDIRECT("'[Referência "&amp;_xlnm.Database&amp;".xls]Banco'!$b:$g"),PO!linhaSINAPIxls,4),"")</definedName>
    <definedName name="SaldoPerc">1-IF(ISNUMBER(CFF!XFD2),CFF!XFD2,0)</definedName>
    <definedName name="SENHAGT" hidden="1">"quantidades"</definedName>
    <definedName name="SomaAgrup">SUMIF(OFFSET(PO!$A1,1,0,PO!$B1),"S",OFFSET(PO!A1,1,0,PO!$B1))</definedName>
    <definedName name="TipoOrçamento">"BASE"</definedName>
    <definedName name="_xlnm.Print_Titles" localSheetId="5">CFF!$L:$O,CFF!$10:$10</definedName>
    <definedName name="_xlnm.Print_Titles" localSheetId="4">PLQ!$B:$E,PLQ!$9:$10</definedName>
    <definedName name="_xlnm.Print_Titles" localSheetId="3">PO!$10:$10</definedName>
    <definedName name="Versao">DADOS!$A$2</definedName>
    <definedName name="VTOTAL1">ROUND(PO.Quantidade*PO.PrecoUnitario,15-13*PO!$X$7)</definedName>
  </definedNames>
  <calcPr calcId="152511"/>
</workbook>
</file>

<file path=xl/calcChain.xml><?xml version="1.0" encoding="utf-8"?>
<calcChain xmlns="http://schemas.openxmlformats.org/spreadsheetml/2006/main">
  <c r="F34" i="13" l="1"/>
  <c r="A34" i="13"/>
  <c r="W34" i="12"/>
  <c r="A34" i="12"/>
  <c r="V34" i="12" s="1"/>
  <c r="B34" i="12" l="1"/>
  <c r="H34" i="12"/>
  <c r="I34" i="12"/>
  <c r="E34" i="13"/>
  <c r="F33" i="13"/>
  <c r="A33" i="13"/>
  <c r="W33" i="12"/>
  <c r="A33" i="12"/>
  <c r="V33" i="12" s="1"/>
  <c r="E33" i="13" l="1"/>
  <c r="B33" i="12"/>
  <c r="H33" i="12"/>
  <c r="I33" i="12"/>
  <c r="J50" i="18"/>
  <c r="J49" i="18"/>
  <c r="J48" i="18"/>
  <c r="J47" i="18"/>
  <c r="A46" i="18"/>
  <c r="A47" i="18" s="1"/>
  <c r="C45" i="18"/>
  <c r="A45" i="18"/>
  <c r="C44" i="18"/>
  <c r="C40" i="18"/>
  <c r="A40" i="18"/>
  <c r="A41" i="18" s="1"/>
  <c r="C39" i="18"/>
  <c r="A39" i="18"/>
  <c r="C38" i="18"/>
  <c r="I37" i="18"/>
  <c r="I35" i="18"/>
  <c r="M33" i="18"/>
  <c r="M32" i="18"/>
  <c r="I29" i="18"/>
  <c r="A28" i="18"/>
  <c r="A29" i="18" s="1"/>
  <c r="O27" i="18"/>
  <c r="C27" i="18"/>
  <c r="N25" i="18"/>
  <c r="O25" i="18" s="1"/>
  <c r="N24" i="18"/>
  <c r="N27" i="18" s="1"/>
  <c r="C23" i="18"/>
  <c r="A23" i="18"/>
  <c r="A24" i="18" s="1"/>
  <c r="M22" i="18"/>
  <c r="I22" i="18"/>
  <c r="A22" i="18"/>
  <c r="C22" i="18" s="1"/>
  <c r="M21" i="18"/>
  <c r="I21" i="18"/>
  <c r="C21" i="18"/>
  <c r="M20" i="18"/>
  <c r="I20" i="18"/>
  <c r="M19" i="18"/>
  <c r="I19" i="18"/>
  <c r="M18" i="18"/>
  <c r="P18" i="18" s="1"/>
  <c r="I18" i="18"/>
  <c r="A17" i="18"/>
  <c r="A18" i="18" s="1"/>
  <c r="A15" i="18"/>
  <c r="C15" i="18" s="1"/>
  <c r="C14" i="18"/>
  <c r="C13" i="18"/>
  <c r="C12" i="18"/>
  <c r="Q11" i="18"/>
  <c r="L32" i="18" s="1"/>
  <c r="C11" i="18"/>
  <c r="C10" i="18"/>
  <c r="C9" i="18"/>
  <c r="I8" i="18"/>
  <c r="C8" i="18"/>
  <c r="K5" i="18"/>
  <c r="I5" i="18"/>
  <c r="A3" i="18"/>
  <c r="A4" i="18" s="1"/>
  <c r="C2" i="18"/>
  <c r="N1" i="18"/>
  <c r="A25" i="18" l="1"/>
  <c r="C24" i="18"/>
  <c r="A42" i="18"/>
  <c r="C41" i="18"/>
  <c r="C18" i="18"/>
  <c r="A19" i="18"/>
  <c r="A48" i="18"/>
  <c r="C47" i="18"/>
  <c r="A5" i="18"/>
  <c r="C4" i="18"/>
  <c r="A32" i="18"/>
  <c r="C29" i="18"/>
  <c r="C3" i="18"/>
  <c r="C28" i="18"/>
  <c r="C46" i="18"/>
  <c r="R18" i="18"/>
  <c r="P19" i="18"/>
  <c r="N26" i="18"/>
  <c r="Q18" i="18"/>
  <c r="C17" i="18"/>
  <c r="P20" i="18"/>
  <c r="Q19" i="18" l="1"/>
  <c r="R20" i="18"/>
  <c r="R19" i="18"/>
  <c r="A33" i="18"/>
  <c r="C32" i="18"/>
  <c r="A6" i="18"/>
  <c r="C5" i="18"/>
  <c r="A49" i="18"/>
  <c r="C49" i="18" s="1"/>
  <c r="C48" i="18"/>
  <c r="Q20" i="18"/>
  <c r="A20" i="18"/>
  <c r="C20" i="18" s="1"/>
  <c r="C19" i="18"/>
  <c r="A43" i="18"/>
  <c r="C43" i="18" s="1"/>
  <c r="C42" i="18"/>
  <c r="A26" i="18"/>
  <c r="C26" i="18" s="1"/>
  <c r="C25" i="18"/>
  <c r="P22" i="18" l="1"/>
  <c r="P21" i="18"/>
  <c r="Q21" i="18"/>
  <c r="A7" i="18"/>
  <c r="C7" i="18" s="1"/>
  <c r="C6" i="18"/>
  <c r="R21" i="18"/>
  <c r="A34" i="18"/>
  <c r="C34" i="18" s="1"/>
  <c r="C33" i="18"/>
  <c r="A136" i="13"/>
  <c r="A135" i="13"/>
  <c r="F134" i="13"/>
  <c r="A134" i="13"/>
  <c r="E134" i="13" s="1"/>
  <c r="W136" i="12"/>
  <c r="A136" i="12"/>
  <c r="W135" i="12"/>
  <c r="A135" i="12"/>
  <c r="V135" i="12" s="1"/>
  <c r="X134" i="12"/>
  <c r="W134" i="12"/>
  <c r="A134" i="12"/>
  <c r="R22" i="18" l="1"/>
  <c r="Q22" i="18"/>
  <c r="R26" i="18"/>
  <c r="Q26" i="18"/>
  <c r="P26" i="18"/>
  <c r="B135" i="12"/>
  <c r="I135" i="12"/>
  <c r="H135" i="12"/>
  <c r="Y134" i="12"/>
  <c r="O134" i="12"/>
  <c r="D134" i="13" s="1"/>
  <c r="C134" i="13"/>
  <c r="H136" i="12"/>
  <c r="I136" i="12"/>
  <c r="B136" i="12"/>
  <c r="V136" i="12"/>
  <c r="O26" i="18" l="1"/>
  <c r="V27" i="18" s="1"/>
  <c r="T16" i="18" s="1"/>
  <c r="F50" i="13"/>
  <c r="A50" i="13"/>
  <c r="F49" i="13"/>
  <c r="A49" i="13"/>
  <c r="W50" i="12"/>
  <c r="A50" i="12"/>
  <c r="H50" i="12" s="1"/>
  <c r="W49" i="12"/>
  <c r="A49" i="12"/>
  <c r="V49" i="12" s="1"/>
  <c r="B50" i="12" l="1"/>
  <c r="I50" i="12"/>
  <c r="V50" i="12"/>
  <c r="E49" i="13"/>
  <c r="B49" i="12"/>
  <c r="E50" i="13"/>
  <c r="H49" i="12"/>
  <c r="I49" i="12"/>
  <c r="F48" i="13"/>
  <c r="A48" i="13"/>
  <c r="W48" i="12"/>
  <c r="A48" i="12"/>
  <c r="V48" i="12" s="1"/>
  <c r="F102" i="13"/>
  <c r="A102" i="13"/>
  <c r="E102" i="13" s="1"/>
  <c r="X102" i="12"/>
  <c r="W102" i="12"/>
  <c r="A102" i="12"/>
  <c r="F133" i="13"/>
  <c r="A133" i="13"/>
  <c r="F132" i="13"/>
  <c r="A132" i="13"/>
  <c r="F131" i="13"/>
  <c r="A131" i="13"/>
  <c r="F130" i="13"/>
  <c r="A130" i="13"/>
  <c r="F129" i="13"/>
  <c r="A129" i="13"/>
  <c r="F128" i="13"/>
  <c r="A128" i="13"/>
  <c r="F127" i="13"/>
  <c r="A127" i="13"/>
  <c r="F126" i="13"/>
  <c r="A126" i="13"/>
  <c r="F125" i="13"/>
  <c r="A125" i="13"/>
  <c r="F124" i="13"/>
  <c r="A124" i="13"/>
  <c r="F123" i="13"/>
  <c r="A123" i="13"/>
  <c r="F122" i="13"/>
  <c r="A122" i="13"/>
  <c r="F121" i="13"/>
  <c r="A121" i="13"/>
  <c r="F120" i="13"/>
  <c r="A120" i="13"/>
  <c r="W133" i="12"/>
  <c r="A133" i="12"/>
  <c r="I133" i="12" s="1"/>
  <c r="W132" i="12"/>
  <c r="A132" i="12"/>
  <c r="V132" i="12" s="1"/>
  <c r="W131" i="12"/>
  <c r="A131" i="12"/>
  <c r="V131" i="12" s="1"/>
  <c r="W130" i="12"/>
  <c r="A130" i="12"/>
  <c r="I130" i="12" s="1"/>
  <c r="W129" i="12"/>
  <c r="A129" i="12"/>
  <c r="W128" i="12"/>
  <c r="A128" i="12"/>
  <c r="V128" i="12" s="1"/>
  <c r="W127" i="12"/>
  <c r="A127" i="12"/>
  <c r="H127" i="12" s="1"/>
  <c r="W126" i="12"/>
  <c r="A126" i="12"/>
  <c r="B126" i="12" s="1"/>
  <c r="W125" i="12"/>
  <c r="A125" i="12"/>
  <c r="V125" i="12" s="1"/>
  <c r="W124" i="12"/>
  <c r="A124" i="12"/>
  <c r="H124" i="12" s="1"/>
  <c r="W123" i="12"/>
  <c r="A123" i="12"/>
  <c r="V123" i="12" s="1"/>
  <c r="W122" i="12"/>
  <c r="A122" i="12"/>
  <c r="W121" i="12"/>
  <c r="A121" i="12"/>
  <c r="H121" i="12" s="1"/>
  <c r="W120" i="12"/>
  <c r="A120" i="12"/>
  <c r="B120" i="12" s="1"/>
  <c r="O102" i="12" l="1"/>
  <c r="D102" i="13" s="1"/>
  <c r="E48" i="13"/>
  <c r="H48" i="12"/>
  <c r="B48" i="12"/>
  <c r="I48" i="12"/>
  <c r="I120" i="12"/>
  <c r="V120" i="12"/>
  <c r="V124" i="12"/>
  <c r="H120" i="12"/>
  <c r="V127" i="12"/>
  <c r="I121" i="12"/>
  <c r="V133" i="12"/>
  <c r="H123" i="12"/>
  <c r="I123" i="12"/>
  <c r="B133" i="12"/>
  <c r="H133" i="12"/>
  <c r="H130" i="12"/>
  <c r="V130" i="12"/>
  <c r="B130" i="12"/>
  <c r="I127" i="12"/>
  <c r="V121" i="12"/>
  <c r="B127" i="12"/>
  <c r="B123" i="12"/>
  <c r="I124" i="12"/>
  <c r="E122" i="13"/>
  <c r="E129" i="13"/>
  <c r="Y102" i="12"/>
  <c r="V102" i="12"/>
  <c r="E123" i="13"/>
  <c r="E130" i="13"/>
  <c r="E126" i="13"/>
  <c r="E132" i="13"/>
  <c r="E121" i="13"/>
  <c r="E128" i="13"/>
  <c r="E124" i="13"/>
  <c r="E125" i="13"/>
  <c r="E131" i="13"/>
  <c r="V129" i="12"/>
  <c r="I129" i="12"/>
  <c r="H129" i="12"/>
  <c r="B129" i="12"/>
  <c r="V126" i="12"/>
  <c r="I126" i="12"/>
  <c r="H126" i="12"/>
  <c r="V122" i="12"/>
  <c r="H122" i="12"/>
  <c r="I122" i="12"/>
  <c r="B122" i="12"/>
  <c r="E120" i="13"/>
  <c r="E127" i="13"/>
  <c r="E133" i="13"/>
  <c r="B132" i="12"/>
  <c r="I125" i="12"/>
  <c r="I128" i="12"/>
  <c r="H125" i="12"/>
  <c r="H128" i="12"/>
  <c r="I132" i="12"/>
  <c r="H132" i="12"/>
  <c r="B121" i="12"/>
  <c r="B124" i="12"/>
  <c r="B125" i="12"/>
  <c r="B128" i="12"/>
  <c r="C102" i="13" l="1"/>
  <c r="C131" i="13"/>
  <c r="F119" i="13" l="1"/>
  <c r="A119" i="13"/>
  <c r="F118" i="13"/>
  <c r="A118" i="13"/>
  <c r="E118" i="13" s="1"/>
  <c r="F117" i="13"/>
  <c r="A117" i="13"/>
  <c r="F116" i="13"/>
  <c r="A116" i="13"/>
  <c r="F115" i="13"/>
  <c r="A115" i="13"/>
  <c r="F114" i="13"/>
  <c r="A114" i="13"/>
  <c r="F113" i="13"/>
  <c r="A113" i="13"/>
  <c r="F112" i="13"/>
  <c r="A112" i="13"/>
  <c r="F111" i="13"/>
  <c r="A111" i="13"/>
  <c r="F110" i="13"/>
  <c r="A110" i="13"/>
  <c r="E110" i="13" s="1"/>
  <c r="F109" i="13"/>
  <c r="A109" i="13"/>
  <c r="F108" i="13"/>
  <c r="A108" i="13"/>
  <c r="F107" i="13"/>
  <c r="A107" i="13"/>
  <c r="F106" i="13"/>
  <c r="A106" i="13"/>
  <c r="W119" i="12"/>
  <c r="A119" i="12"/>
  <c r="V119" i="12" s="1"/>
  <c r="X118" i="12"/>
  <c r="W118" i="12"/>
  <c r="A118" i="12"/>
  <c r="W117" i="12"/>
  <c r="A117" i="12"/>
  <c r="H117" i="12" s="1"/>
  <c r="W116" i="12"/>
  <c r="A116" i="12"/>
  <c r="I116" i="12" s="1"/>
  <c r="W115" i="12"/>
  <c r="A115" i="12"/>
  <c r="V115" i="12" s="1"/>
  <c r="W114" i="12"/>
  <c r="A114" i="12"/>
  <c r="B114" i="12" s="1"/>
  <c r="W113" i="12"/>
  <c r="A113" i="12"/>
  <c r="H113" i="12" s="1"/>
  <c r="W112" i="12"/>
  <c r="A112" i="12"/>
  <c r="V112" i="12" s="1"/>
  <c r="W111" i="12"/>
  <c r="A111" i="12"/>
  <c r="V111" i="12" s="1"/>
  <c r="X110" i="12"/>
  <c r="W110" i="12"/>
  <c r="A110" i="12"/>
  <c r="W109" i="12"/>
  <c r="A109" i="12"/>
  <c r="H109" i="12" s="1"/>
  <c r="W108" i="12"/>
  <c r="A108" i="12"/>
  <c r="V108" i="12" s="1"/>
  <c r="W107" i="12"/>
  <c r="A107" i="12"/>
  <c r="V107" i="12" s="1"/>
  <c r="W106" i="12"/>
  <c r="A106" i="12"/>
  <c r="H106" i="12" s="1"/>
  <c r="Y110" i="12" l="1"/>
  <c r="Y118" i="12"/>
  <c r="B119" i="12"/>
  <c r="I107" i="12"/>
  <c r="V116" i="12"/>
  <c r="H114" i="12"/>
  <c r="I114" i="12"/>
  <c r="V114" i="12"/>
  <c r="B115" i="12"/>
  <c r="B107" i="12"/>
  <c r="H107" i="12"/>
  <c r="B111" i="12"/>
  <c r="B108" i="12"/>
  <c r="E107" i="13"/>
  <c r="E106" i="13"/>
  <c r="E113" i="13"/>
  <c r="E109" i="13"/>
  <c r="E117" i="13"/>
  <c r="V118" i="12"/>
  <c r="V110" i="12"/>
  <c r="E114" i="13"/>
  <c r="E112" i="13"/>
  <c r="E111" i="13"/>
  <c r="E119" i="13"/>
  <c r="I106" i="12"/>
  <c r="I109" i="12"/>
  <c r="I113" i="12"/>
  <c r="I117" i="12"/>
  <c r="E108" i="13"/>
  <c r="E115" i="13"/>
  <c r="V106" i="12"/>
  <c r="H108" i="12"/>
  <c r="V109" i="12"/>
  <c r="O110" i="12"/>
  <c r="D110" i="13" s="1"/>
  <c r="H111" i="12"/>
  <c r="V113" i="12"/>
  <c r="H115" i="12"/>
  <c r="V117" i="12"/>
  <c r="O118" i="12"/>
  <c r="D118" i="13" s="1"/>
  <c r="H119" i="12"/>
  <c r="E116" i="13"/>
  <c r="I108" i="12"/>
  <c r="I111" i="12"/>
  <c r="B106" i="12"/>
  <c r="B109" i="12"/>
  <c r="B113" i="12"/>
  <c r="B117" i="12"/>
  <c r="B112" i="12"/>
  <c r="I115" i="12"/>
  <c r="I119" i="12"/>
  <c r="B116" i="12"/>
  <c r="H112" i="12"/>
  <c r="H116" i="12"/>
  <c r="I112" i="12"/>
  <c r="F67" i="13"/>
  <c r="A67" i="13"/>
  <c r="W67" i="12"/>
  <c r="A67" i="12"/>
  <c r="H67" i="12" s="1"/>
  <c r="F105" i="13"/>
  <c r="A105" i="13"/>
  <c r="W105" i="12"/>
  <c r="A105" i="12"/>
  <c r="B105" i="12" s="1"/>
  <c r="C110" i="13" l="1"/>
  <c r="C118" i="13"/>
  <c r="E67" i="13"/>
  <c r="V67" i="12"/>
  <c r="B67" i="12"/>
  <c r="I67" i="12"/>
  <c r="E105" i="13"/>
  <c r="H105" i="12"/>
  <c r="I105" i="12"/>
  <c r="V105" i="12"/>
  <c r="F59" i="13"/>
  <c r="A59" i="13"/>
  <c r="W59" i="12"/>
  <c r="A59" i="12"/>
  <c r="H59" i="12" s="1"/>
  <c r="F42" i="13"/>
  <c r="A42" i="13"/>
  <c r="W42" i="12"/>
  <c r="A42" i="12"/>
  <c r="I59" i="12" l="1"/>
  <c r="E59" i="13"/>
  <c r="V59" i="12"/>
  <c r="B59" i="12"/>
  <c r="E42" i="13"/>
  <c r="V42" i="12"/>
  <c r="B42" i="12"/>
  <c r="H42" i="12"/>
  <c r="I42" i="12"/>
  <c r="F53" i="13"/>
  <c r="A53" i="13"/>
  <c r="W53" i="12"/>
  <c r="A53" i="12"/>
  <c r="V53" i="12" s="1"/>
  <c r="F62" i="13"/>
  <c r="A62" i="13"/>
  <c r="W62" i="12"/>
  <c r="A62" i="12"/>
  <c r="H53" i="12" l="1"/>
  <c r="B53" i="12"/>
  <c r="I53" i="12"/>
  <c r="E53" i="13"/>
  <c r="E62" i="13"/>
  <c r="H62" i="12"/>
  <c r="I62" i="12"/>
  <c r="V62" i="12"/>
  <c r="B62" i="12"/>
  <c r="F99" i="13"/>
  <c r="A99" i="13"/>
  <c r="W99" i="12"/>
  <c r="A99" i="12"/>
  <c r="H99" i="12" s="1"/>
  <c r="I99" i="12" l="1"/>
  <c r="E99" i="13"/>
  <c r="V99" i="12"/>
  <c r="B99" i="12"/>
  <c r="F75" i="13" l="1"/>
  <c r="A75" i="13"/>
  <c r="F74" i="13"/>
  <c r="A74" i="13"/>
  <c r="W75" i="12"/>
  <c r="A75" i="12"/>
  <c r="V75" i="12" s="1"/>
  <c r="W74" i="12"/>
  <c r="A74" i="12"/>
  <c r="B74" i="12" s="1"/>
  <c r="F76" i="13"/>
  <c r="A76" i="13"/>
  <c r="F73" i="13"/>
  <c r="A73" i="13"/>
  <c r="F72" i="13"/>
  <c r="A72" i="13"/>
  <c r="E72" i="13" s="1"/>
  <c r="X76" i="12"/>
  <c r="W76" i="12"/>
  <c r="A76" i="12"/>
  <c r="W73" i="12"/>
  <c r="A73" i="12"/>
  <c r="B73" i="12" s="1"/>
  <c r="X72" i="12"/>
  <c r="W72" i="12"/>
  <c r="A72" i="12"/>
  <c r="F27" i="13"/>
  <c r="A27" i="13"/>
  <c r="W27" i="12"/>
  <c r="A27" i="12"/>
  <c r="F20" i="13"/>
  <c r="A20" i="13"/>
  <c r="W20" i="12"/>
  <c r="A20" i="12"/>
  <c r="Y76" i="12" l="1"/>
  <c r="O72" i="12"/>
  <c r="D72" i="13" s="1"/>
  <c r="I73" i="12"/>
  <c r="V73" i="12"/>
  <c r="E75" i="13"/>
  <c r="H73" i="12"/>
  <c r="E74" i="13"/>
  <c r="B75" i="12"/>
  <c r="H74" i="12"/>
  <c r="I74" i="12"/>
  <c r="H75" i="12"/>
  <c r="I75" i="12"/>
  <c r="V74" i="12"/>
  <c r="E76" i="13"/>
  <c r="E73" i="13"/>
  <c r="V72" i="12"/>
  <c r="Y72" i="12"/>
  <c r="O76" i="12"/>
  <c r="D76" i="13" s="1"/>
  <c r="V76" i="12"/>
  <c r="E27" i="13"/>
  <c r="V27" i="12"/>
  <c r="B27" i="12"/>
  <c r="H27" i="12"/>
  <c r="I27" i="12"/>
  <c r="E20" i="13"/>
  <c r="V20" i="12"/>
  <c r="H20" i="12"/>
  <c r="I20" i="12"/>
  <c r="B20" i="12"/>
  <c r="C76" i="13" l="1"/>
  <c r="C72" i="13"/>
  <c r="F15" i="13"/>
  <c r="A15" i="13"/>
  <c r="W15" i="12"/>
  <c r="A15" i="12"/>
  <c r="B15" i="12" s="1"/>
  <c r="E15" i="13" l="1"/>
  <c r="I15" i="12"/>
  <c r="V15" i="12"/>
  <c r="H15" i="12"/>
  <c r="F54" i="13" l="1"/>
  <c r="A54" i="13"/>
  <c r="W54" i="12"/>
  <c r="A54" i="12"/>
  <c r="E54" i="13" l="1"/>
  <c r="V54" i="12"/>
  <c r="B54" i="12"/>
  <c r="H54" i="12"/>
  <c r="I54" i="12"/>
  <c r="F138" i="13" l="1"/>
  <c r="A138" i="13"/>
  <c r="F137" i="13"/>
  <c r="A137" i="13"/>
  <c r="F104" i="13"/>
  <c r="A104" i="13"/>
  <c r="F103" i="13"/>
  <c r="A103" i="13"/>
  <c r="F101" i="13"/>
  <c r="A101" i="13"/>
  <c r="W138" i="12"/>
  <c r="A138" i="12"/>
  <c r="V138" i="12" s="1"/>
  <c r="X137" i="12"/>
  <c r="W137" i="12"/>
  <c r="A137" i="12"/>
  <c r="W104" i="12"/>
  <c r="A104" i="12"/>
  <c r="H104" i="12" s="1"/>
  <c r="W103" i="12"/>
  <c r="A103" i="12"/>
  <c r="V103" i="12" s="1"/>
  <c r="W101" i="12"/>
  <c r="A101" i="12"/>
  <c r="F100" i="13"/>
  <c r="A100" i="13"/>
  <c r="F98" i="13"/>
  <c r="A98" i="13"/>
  <c r="F97" i="13"/>
  <c r="A97" i="13"/>
  <c r="F96" i="13"/>
  <c r="A96" i="13"/>
  <c r="F95" i="13"/>
  <c r="A95" i="13"/>
  <c r="F94" i="13"/>
  <c r="A94" i="13"/>
  <c r="F93" i="13"/>
  <c r="A93" i="13"/>
  <c r="F92" i="13"/>
  <c r="A92" i="13"/>
  <c r="F91" i="13"/>
  <c r="A91" i="13"/>
  <c r="F90" i="13"/>
  <c r="A90" i="13"/>
  <c r="F89" i="13"/>
  <c r="A89" i="13"/>
  <c r="F88" i="13"/>
  <c r="A88" i="13"/>
  <c r="F87" i="13"/>
  <c r="A87" i="13"/>
  <c r="F86" i="13"/>
  <c r="A86" i="13"/>
  <c r="F85" i="13"/>
  <c r="A85" i="13"/>
  <c r="F84" i="13"/>
  <c r="A84" i="13"/>
  <c r="F83" i="13"/>
  <c r="A83" i="13"/>
  <c r="F82" i="13"/>
  <c r="A82" i="13"/>
  <c r="F81" i="13"/>
  <c r="A81" i="13"/>
  <c r="F80" i="13"/>
  <c r="A80" i="13"/>
  <c r="F79" i="13"/>
  <c r="A79" i="13"/>
  <c r="F78" i="13"/>
  <c r="A78" i="13"/>
  <c r="F77" i="13"/>
  <c r="A77" i="13"/>
  <c r="F71" i="13"/>
  <c r="A71" i="13"/>
  <c r="F70" i="13"/>
  <c r="A70" i="13"/>
  <c r="F69" i="13"/>
  <c r="A69" i="13"/>
  <c r="F68" i="13"/>
  <c r="A68" i="13"/>
  <c r="F66" i="13"/>
  <c r="A66" i="13"/>
  <c r="F65" i="13"/>
  <c r="A65" i="13"/>
  <c r="F64" i="13"/>
  <c r="A64" i="13"/>
  <c r="F63" i="13"/>
  <c r="A63" i="13"/>
  <c r="F61" i="13"/>
  <c r="A61" i="13"/>
  <c r="F60" i="13"/>
  <c r="A60" i="13"/>
  <c r="W100" i="12"/>
  <c r="A100" i="12"/>
  <c r="B100" i="12" s="1"/>
  <c r="W98" i="12"/>
  <c r="A98" i="12"/>
  <c r="V98" i="12" s="1"/>
  <c r="W97" i="12"/>
  <c r="A97" i="12"/>
  <c r="I97" i="12" s="1"/>
  <c r="W96" i="12"/>
  <c r="A96" i="12"/>
  <c r="H96" i="12" s="1"/>
  <c r="X95" i="12"/>
  <c r="W95" i="12"/>
  <c r="A95" i="12"/>
  <c r="W94" i="12"/>
  <c r="A94" i="12"/>
  <c r="V94" i="12" s="1"/>
  <c r="W93" i="12"/>
  <c r="A93" i="12"/>
  <c r="B93" i="12" s="1"/>
  <c r="W92" i="12"/>
  <c r="A92" i="12"/>
  <c r="I92" i="12" s="1"/>
  <c r="X91" i="12"/>
  <c r="W91" i="12"/>
  <c r="A91" i="12"/>
  <c r="W90" i="12"/>
  <c r="A90" i="12"/>
  <c r="H90" i="12" s="1"/>
  <c r="W89" i="12"/>
  <c r="A89" i="12"/>
  <c r="V89" i="12" s="1"/>
  <c r="W88" i="12"/>
  <c r="A88" i="12"/>
  <c r="V88" i="12" s="1"/>
  <c r="W87" i="12"/>
  <c r="A87" i="12"/>
  <c r="I87" i="12" s="1"/>
  <c r="W86" i="12"/>
  <c r="A86" i="12"/>
  <c r="B86" i="12" s="1"/>
  <c r="W85" i="12"/>
  <c r="A85" i="12"/>
  <c r="W84" i="12"/>
  <c r="A84" i="12"/>
  <c r="V84" i="12" s="1"/>
  <c r="X83" i="12"/>
  <c r="W83" i="12"/>
  <c r="A83" i="12"/>
  <c r="W82" i="12"/>
  <c r="A82" i="12"/>
  <c r="I82" i="12" s="1"/>
  <c r="W81" i="12"/>
  <c r="A81" i="12"/>
  <c r="V81" i="12" s="1"/>
  <c r="X80" i="12"/>
  <c r="W80" i="12"/>
  <c r="A80" i="12"/>
  <c r="X79" i="12"/>
  <c r="W79" i="12"/>
  <c r="A79" i="12"/>
  <c r="W78" i="12"/>
  <c r="A78" i="12"/>
  <c r="H78" i="12" s="1"/>
  <c r="W77" i="12"/>
  <c r="A77" i="12"/>
  <c r="I77" i="12" s="1"/>
  <c r="X71" i="12"/>
  <c r="W71" i="12"/>
  <c r="A71" i="12"/>
  <c r="W70" i="12"/>
  <c r="A70" i="12"/>
  <c r="B70" i="12" s="1"/>
  <c r="X69" i="12"/>
  <c r="W69" i="12"/>
  <c r="A69" i="12"/>
  <c r="X68" i="12"/>
  <c r="W68" i="12"/>
  <c r="A68" i="12"/>
  <c r="W66" i="12"/>
  <c r="A66" i="12"/>
  <c r="H66" i="12" s="1"/>
  <c r="W65" i="12"/>
  <c r="A65" i="12"/>
  <c r="W64" i="12"/>
  <c r="A64" i="12"/>
  <c r="B64" i="12" s="1"/>
  <c r="W63" i="12"/>
  <c r="A63" i="12"/>
  <c r="X61" i="12"/>
  <c r="W61" i="12"/>
  <c r="A61" i="12"/>
  <c r="X60" i="12"/>
  <c r="W60" i="12"/>
  <c r="A60" i="12"/>
  <c r="F14" i="13"/>
  <c r="A14" i="13"/>
  <c r="E14" i="13" s="1"/>
  <c r="X14" i="12"/>
  <c r="O14" i="12" s="1"/>
  <c r="D14" i="13" s="1"/>
  <c r="W14" i="12"/>
  <c r="A14" i="12"/>
  <c r="O69" i="12" l="1"/>
  <c r="D69" i="13" s="1"/>
  <c r="O61" i="12"/>
  <c r="D61" i="13" s="1"/>
  <c r="Y79" i="12"/>
  <c r="Y137" i="12"/>
  <c r="O71" i="12"/>
  <c r="D71" i="13" s="1"/>
  <c r="Y80" i="12"/>
  <c r="O60" i="12"/>
  <c r="D60" i="13" s="1"/>
  <c r="Y95" i="12"/>
  <c r="I78" i="12"/>
  <c r="V63" i="12"/>
  <c r="I90" i="12"/>
  <c r="B89" i="12"/>
  <c r="H89" i="12"/>
  <c r="I93" i="12"/>
  <c r="B78" i="12"/>
  <c r="H93" i="12"/>
  <c r="V78" i="12"/>
  <c r="H100" i="12"/>
  <c r="V64" i="12"/>
  <c r="B90" i="12"/>
  <c r="V77" i="12"/>
  <c r="B84" i="12"/>
  <c r="H77" i="12"/>
  <c r="V87" i="12"/>
  <c r="H97" i="12"/>
  <c r="E63" i="13"/>
  <c r="E138" i="13"/>
  <c r="E60" i="13"/>
  <c r="E84" i="13"/>
  <c r="E64" i="13"/>
  <c r="E101" i="13"/>
  <c r="Y69" i="12"/>
  <c r="E61" i="13"/>
  <c r="E103" i="13"/>
  <c r="E81" i="13"/>
  <c r="E137" i="13"/>
  <c r="O137" i="12"/>
  <c r="D137" i="13" s="1"/>
  <c r="C80" i="13"/>
  <c r="E88" i="13"/>
  <c r="E71" i="13"/>
  <c r="E96" i="13"/>
  <c r="E104" i="13"/>
  <c r="E97" i="13"/>
  <c r="E83" i="13"/>
  <c r="E93" i="13"/>
  <c r="V100" i="12"/>
  <c r="E70" i="13"/>
  <c r="E91" i="13"/>
  <c r="B103" i="12"/>
  <c r="B138" i="12"/>
  <c r="V104" i="12"/>
  <c r="H98" i="12"/>
  <c r="B98" i="12"/>
  <c r="I88" i="12"/>
  <c r="B81" i="12"/>
  <c r="V86" i="12"/>
  <c r="O95" i="12"/>
  <c r="D95" i="13" s="1"/>
  <c r="I98" i="12"/>
  <c r="E100" i="13"/>
  <c r="B104" i="12"/>
  <c r="E78" i="13"/>
  <c r="H82" i="12"/>
  <c r="I86" i="12"/>
  <c r="Y60" i="12"/>
  <c r="V91" i="12"/>
  <c r="H103" i="12"/>
  <c r="H138" i="12"/>
  <c r="O79" i="12"/>
  <c r="D79" i="13" s="1"/>
  <c r="I103" i="12"/>
  <c r="I138" i="12"/>
  <c r="E87" i="13"/>
  <c r="E94" i="13"/>
  <c r="V92" i="12"/>
  <c r="B94" i="12"/>
  <c r="I104" i="12"/>
  <c r="B87" i="12"/>
  <c r="H94" i="12"/>
  <c r="E89" i="13"/>
  <c r="V82" i="12"/>
  <c r="H87" i="12"/>
  <c r="I94" i="12"/>
  <c r="E90" i="13"/>
  <c r="C79" i="13"/>
  <c r="E95" i="13"/>
  <c r="Y71" i="12"/>
  <c r="O80" i="12"/>
  <c r="D80" i="13" s="1"/>
  <c r="Y61" i="12"/>
  <c r="E98" i="13"/>
  <c r="B66" i="12"/>
  <c r="I66" i="12"/>
  <c r="E79" i="13"/>
  <c r="H70" i="12"/>
  <c r="V70" i="12"/>
  <c r="I70" i="12"/>
  <c r="V83" i="12"/>
  <c r="V66" i="12"/>
  <c r="I64" i="12"/>
  <c r="H64" i="12"/>
  <c r="Y68" i="12"/>
  <c r="O68" i="12"/>
  <c r="D68" i="13" s="1"/>
  <c r="H85" i="12"/>
  <c r="B85" i="12"/>
  <c r="I85" i="12"/>
  <c r="V61" i="12"/>
  <c r="V85" i="12"/>
  <c r="V69" i="12"/>
  <c r="O83" i="12"/>
  <c r="D83" i="13" s="1"/>
  <c r="Y83" i="12"/>
  <c r="B77" i="12"/>
  <c r="H92" i="12"/>
  <c r="B92" i="12"/>
  <c r="E69" i="13"/>
  <c r="I96" i="12"/>
  <c r="V96" i="12"/>
  <c r="I81" i="12"/>
  <c r="H81" i="12"/>
  <c r="B96" i="12"/>
  <c r="E85" i="13"/>
  <c r="V80" i="12"/>
  <c r="I84" i="12"/>
  <c r="H84" i="12"/>
  <c r="V95" i="12"/>
  <c r="E82" i="13"/>
  <c r="E86" i="13"/>
  <c r="E65" i="13"/>
  <c r="E77" i="13"/>
  <c r="E80" i="13"/>
  <c r="E92" i="13"/>
  <c r="E66" i="13"/>
  <c r="B82" i="12"/>
  <c r="E68" i="13"/>
  <c r="H88" i="12"/>
  <c r="B88" i="12"/>
  <c r="O91" i="12"/>
  <c r="D91" i="13" s="1"/>
  <c r="V97" i="12"/>
  <c r="H86" i="12"/>
  <c r="I89" i="12"/>
  <c r="V90" i="12"/>
  <c r="Y91" i="12"/>
  <c r="V93" i="12"/>
  <c r="B97" i="12"/>
  <c r="I100" i="12"/>
  <c r="Y14" i="12"/>
  <c r="C95" i="13" l="1"/>
  <c r="C137" i="13"/>
  <c r="C61" i="13"/>
  <c r="C60" i="13"/>
  <c r="C68" i="13"/>
  <c r="C71" i="13"/>
  <c r="C91" i="13"/>
  <c r="C69" i="13"/>
  <c r="C83" i="13"/>
  <c r="C14" i="13"/>
  <c r="F58" i="13" l="1"/>
  <c r="A58" i="13"/>
  <c r="F57" i="13"/>
  <c r="A57" i="13"/>
  <c r="F56" i="13"/>
  <c r="A56" i="13"/>
  <c r="F55" i="13"/>
  <c r="A55" i="13"/>
  <c r="F52" i="13"/>
  <c r="A52" i="13"/>
  <c r="F51" i="13"/>
  <c r="A51" i="13"/>
  <c r="F47" i="13"/>
  <c r="A47" i="13"/>
  <c r="F46" i="13"/>
  <c r="A46" i="13"/>
  <c r="F45" i="13"/>
  <c r="A45" i="13"/>
  <c r="F44" i="13"/>
  <c r="A44" i="13"/>
  <c r="F43" i="13"/>
  <c r="A43" i="13"/>
  <c r="F41" i="13"/>
  <c r="A41" i="13"/>
  <c r="F40" i="13"/>
  <c r="A40" i="13"/>
  <c r="F39" i="13"/>
  <c r="A39" i="13"/>
  <c r="F38" i="13"/>
  <c r="A38" i="13"/>
  <c r="F37" i="13"/>
  <c r="A37" i="13"/>
  <c r="F36" i="13"/>
  <c r="A36" i="13"/>
  <c r="F35" i="13"/>
  <c r="A35" i="13"/>
  <c r="F32" i="13"/>
  <c r="A32" i="13"/>
  <c r="F31" i="13"/>
  <c r="A31" i="13"/>
  <c r="F30" i="13"/>
  <c r="A30" i="13"/>
  <c r="F29" i="13"/>
  <c r="A29" i="13"/>
  <c r="F28" i="13"/>
  <c r="A28" i="13"/>
  <c r="F26" i="13"/>
  <c r="A26" i="13"/>
  <c r="F25" i="13"/>
  <c r="A25" i="13"/>
  <c r="F24" i="13"/>
  <c r="A24" i="13"/>
  <c r="F23" i="13"/>
  <c r="A23" i="13"/>
  <c r="F22" i="13"/>
  <c r="A22" i="13"/>
  <c r="F21" i="13"/>
  <c r="A21" i="13"/>
  <c r="F19" i="13"/>
  <c r="A19" i="13"/>
  <c r="F18" i="13"/>
  <c r="A18" i="13"/>
  <c r="F17" i="13"/>
  <c r="A17" i="13"/>
  <c r="F16" i="13"/>
  <c r="A16" i="13"/>
  <c r="W58" i="12"/>
  <c r="A58" i="12"/>
  <c r="W57" i="12"/>
  <c r="A57" i="12"/>
  <c r="V57" i="12" s="1"/>
  <c r="X56" i="12"/>
  <c r="W56" i="12"/>
  <c r="A56" i="12"/>
  <c r="W55" i="12"/>
  <c r="A55" i="12"/>
  <c r="X52" i="12"/>
  <c r="W52" i="12"/>
  <c r="A52" i="12"/>
  <c r="V52" i="12" s="1"/>
  <c r="X51" i="12"/>
  <c r="W51" i="12"/>
  <c r="A51" i="12"/>
  <c r="W47" i="12"/>
  <c r="A47" i="12"/>
  <c r="W46" i="12"/>
  <c r="A46" i="12"/>
  <c r="H46" i="12" s="1"/>
  <c r="X45" i="12"/>
  <c r="W45" i="12"/>
  <c r="A45" i="12"/>
  <c r="W44" i="12"/>
  <c r="A44" i="12"/>
  <c r="V44" i="12" s="1"/>
  <c r="X43" i="12"/>
  <c r="W43" i="12"/>
  <c r="A43" i="12"/>
  <c r="W41" i="12"/>
  <c r="A41" i="12"/>
  <c r="I41" i="12" s="1"/>
  <c r="W40" i="12"/>
  <c r="A40" i="12"/>
  <c r="V40" i="12" s="1"/>
  <c r="X39" i="12"/>
  <c r="W39" i="12"/>
  <c r="A39" i="12"/>
  <c r="W38" i="12"/>
  <c r="A38" i="12"/>
  <c r="V38" i="12" s="1"/>
  <c r="W37" i="12"/>
  <c r="A37" i="12"/>
  <c r="V37" i="12" s="1"/>
  <c r="X36" i="12"/>
  <c r="W36" i="12"/>
  <c r="A36" i="12"/>
  <c r="X35" i="12"/>
  <c r="W35" i="12"/>
  <c r="A35" i="12"/>
  <c r="W32" i="12"/>
  <c r="A32" i="12"/>
  <c r="W31" i="12"/>
  <c r="A31" i="12"/>
  <c r="V31" i="12" s="1"/>
  <c r="X30" i="12"/>
  <c r="W30" i="12"/>
  <c r="A30" i="12"/>
  <c r="W29" i="12"/>
  <c r="A29" i="12"/>
  <c r="V29" i="12" s="1"/>
  <c r="W28" i="12"/>
  <c r="A28" i="12"/>
  <c r="V28" i="12" s="1"/>
  <c r="W26" i="12"/>
  <c r="A26" i="12"/>
  <c r="V26" i="12" s="1"/>
  <c r="W25" i="12"/>
  <c r="A25" i="12"/>
  <c r="I25" i="12" s="1"/>
  <c r="X24" i="12"/>
  <c r="W24" i="12"/>
  <c r="A24" i="12"/>
  <c r="X23" i="12"/>
  <c r="W23" i="12"/>
  <c r="A23" i="12"/>
  <c r="W22" i="12"/>
  <c r="A22" i="12"/>
  <c r="X21" i="12"/>
  <c r="W21" i="12"/>
  <c r="A21" i="12"/>
  <c r="W19" i="12"/>
  <c r="A19" i="12"/>
  <c r="I19" i="12" s="1"/>
  <c r="X18" i="12"/>
  <c r="W18" i="12"/>
  <c r="A18" i="12"/>
  <c r="X17" i="12"/>
  <c r="W17" i="12"/>
  <c r="A17" i="12"/>
  <c r="W16" i="12"/>
  <c r="A16" i="12"/>
  <c r="I16" i="12" s="1"/>
  <c r="O18" i="12" l="1"/>
  <c r="D18" i="13" s="1"/>
  <c r="Y24" i="12"/>
  <c r="O30" i="12"/>
  <c r="D30" i="13" s="1"/>
  <c r="O51" i="12"/>
  <c r="D51" i="13" s="1"/>
  <c r="Y21" i="12"/>
  <c r="O52" i="12"/>
  <c r="D52" i="13" s="1"/>
  <c r="Y35" i="12"/>
  <c r="O39" i="12"/>
  <c r="D39" i="13" s="1"/>
  <c r="Y23" i="12"/>
  <c r="Y43" i="12"/>
  <c r="Y36" i="12"/>
  <c r="Y17" i="12"/>
  <c r="O45" i="12"/>
  <c r="D45" i="13" s="1"/>
  <c r="Y56" i="12"/>
  <c r="I31" i="12"/>
  <c r="B16" i="12"/>
  <c r="B46" i="12"/>
  <c r="H16" i="12"/>
  <c r="H28" i="12"/>
  <c r="H37" i="12"/>
  <c r="V41" i="12"/>
  <c r="I37" i="12"/>
  <c r="I46" i="12"/>
  <c r="V46" i="12"/>
  <c r="H40" i="12"/>
  <c r="H25" i="12"/>
  <c r="H38" i="12"/>
  <c r="I40" i="12"/>
  <c r="I38" i="12"/>
  <c r="I26" i="12"/>
  <c r="B41" i="12"/>
  <c r="H19" i="12"/>
  <c r="E40" i="13"/>
  <c r="O36" i="12"/>
  <c r="D36" i="13" s="1"/>
  <c r="E30" i="13"/>
  <c r="E38" i="13"/>
  <c r="E43" i="13"/>
  <c r="Y51" i="12"/>
  <c r="E17" i="13"/>
  <c r="E39" i="13"/>
  <c r="Y30" i="12"/>
  <c r="Y39" i="12"/>
  <c r="E52" i="13"/>
  <c r="Y45" i="12"/>
  <c r="E24" i="13"/>
  <c r="C52" i="13"/>
  <c r="E18" i="13"/>
  <c r="O21" i="12"/>
  <c r="D21" i="13" s="1"/>
  <c r="E55" i="13"/>
  <c r="O23" i="12"/>
  <c r="D23" i="13" s="1"/>
  <c r="E45" i="13"/>
  <c r="E46" i="13"/>
  <c r="E29" i="13"/>
  <c r="E56" i="13"/>
  <c r="Y52" i="12"/>
  <c r="E44" i="13"/>
  <c r="E57" i="13"/>
  <c r="E16" i="13"/>
  <c r="E47" i="13"/>
  <c r="V36" i="12"/>
  <c r="V18" i="12"/>
  <c r="E31" i="13"/>
  <c r="E21" i="13"/>
  <c r="B47" i="12"/>
  <c r="I47" i="12"/>
  <c r="Y18" i="12"/>
  <c r="H44" i="12"/>
  <c r="H57" i="12"/>
  <c r="E36" i="13"/>
  <c r="V19" i="12"/>
  <c r="H22" i="12"/>
  <c r="V25" i="12"/>
  <c r="E32" i="13"/>
  <c r="E37" i="13"/>
  <c r="I22" i="12"/>
  <c r="H47" i="12"/>
  <c r="E22" i="13"/>
  <c r="E58" i="13"/>
  <c r="B19" i="12"/>
  <c r="B25" i="12"/>
  <c r="B32" i="12"/>
  <c r="B31" i="12"/>
  <c r="V16" i="12"/>
  <c r="O17" i="12"/>
  <c r="D17" i="13" s="1"/>
  <c r="V21" i="12"/>
  <c r="O24" i="12"/>
  <c r="D24" i="13" s="1"/>
  <c r="H41" i="12"/>
  <c r="B26" i="12"/>
  <c r="H32" i="12"/>
  <c r="V47" i="12"/>
  <c r="E41" i="13"/>
  <c r="B28" i="12"/>
  <c r="B29" i="12"/>
  <c r="I32" i="12"/>
  <c r="O35" i="12"/>
  <c r="D35" i="13" s="1"/>
  <c r="O43" i="12"/>
  <c r="D43" i="13" s="1"/>
  <c r="O56" i="12"/>
  <c r="D56" i="13" s="1"/>
  <c r="H31" i="12"/>
  <c r="V58" i="12"/>
  <c r="I58" i="12"/>
  <c r="H58" i="12"/>
  <c r="B58" i="12"/>
  <c r="E25" i="13"/>
  <c r="V22" i="12"/>
  <c r="V24" i="12"/>
  <c r="V39" i="12"/>
  <c r="V55" i="12"/>
  <c r="I55" i="12"/>
  <c r="H55" i="12"/>
  <c r="B55" i="12"/>
  <c r="E26" i="13"/>
  <c r="B22" i="12"/>
  <c r="H26" i="12"/>
  <c r="I28" i="12"/>
  <c r="H29" i="12"/>
  <c r="V32" i="12"/>
  <c r="B38" i="12"/>
  <c r="E19" i="13"/>
  <c r="E35" i="13"/>
  <c r="E51" i="13"/>
  <c r="I29" i="12"/>
  <c r="B37" i="12"/>
  <c r="B44" i="12"/>
  <c r="I44" i="12"/>
  <c r="B57" i="12"/>
  <c r="I57" i="12"/>
  <c r="E23" i="13"/>
  <c r="E28" i="13"/>
  <c r="B40" i="12"/>
  <c r="C51" i="13" l="1"/>
  <c r="C39" i="13"/>
  <c r="C45" i="13"/>
  <c r="C30" i="13"/>
  <c r="C35" i="13"/>
  <c r="C23" i="13"/>
  <c r="C24" i="13"/>
  <c r="C21" i="13"/>
  <c r="C56" i="13"/>
  <c r="C43" i="13"/>
  <c r="C36" i="13"/>
  <c r="C17" i="13"/>
  <c r="C18" i="13"/>
  <c r="F11" i="13" l="1"/>
  <c r="F13" i="13"/>
  <c r="E7" i="13" l="1"/>
  <c r="P9" i="12"/>
  <c r="F10" i="13"/>
  <c r="G10" i="13" s="1"/>
  <c r="H10" i="13" s="1"/>
  <c r="I10" i="13" s="1"/>
  <c r="J10" i="13" s="1"/>
  <c r="K10" i="13" s="1"/>
  <c r="L10" i="13" s="1"/>
  <c r="M10" i="13" s="1"/>
  <c r="N10" i="13" s="1"/>
  <c r="O10" i="13" s="1"/>
  <c r="U10" i="13"/>
  <c r="AC9" i="11"/>
  <c r="AC10" i="11" s="1"/>
  <c r="K147" i="12"/>
  <c r="X13" i="12"/>
  <c r="Y13" i="12" s="1"/>
  <c r="W13" i="12"/>
  <c r="N24" i="17"/>
  <c r="N26" i="17" s="1"/>
  <c r="Q224" i="16"/>
  <c r="Q223" i="16"/>
  <c r="P2" i="11"/>
  <c r="A20" i="11"/>
  <c r="A23" i="11" s="1"/>
  <c r="Q10" i="12"/>
  <c r="Q11" i="17"/>
  <c r="L32" i="17" s="1"/>
  <c r="N8" i="11"/>
  <c r="O9" i="11"/>
  <c r="P9" i="11" s="1"/>
  <c r="Q9" i="11" s="1"/>
  <c r="O10" i="11"/>
  <c r="A13" i="11"/>
  <c r="K13" i="11" s="1"/>
  <c r="N11" i="11" s="1"/>
  <c r="D17" i="11"/>
  <c r="L68" i="11"/>
  <c r="A11" i="13"/>
  <c r="E11" i="13" s="1"/>
  <c r="X11" i="12"/>
  <c r="O11" i="12" s="1"/>
  <c r="D11" i="13" s="1"/>
  <c r="J12" i="12"/>
  <c r="A12" i="13" s="1"/>
  <c r="N12" i="12"/>
  <c r="U12" i="12" s="1"/>
  <c r="A13" i="13"/>
  <c r="E13" i="13" s="1"/>
  <c r="K150" i="12"/>
  <c r="N2" i="12"/>
  <c r="Y10" i="12"/>
  <c r="Z10" i="12"/>
  <c r="A11" i="12"/>
  <c r="H11" i="12" s="1"/>
  <c r="W11" i="12"/>
  <c r="A13" i="12"/>
  <c r="E13" i="12" s="1"/>
  <c r="N1" i="17"/>
  <c r="C2" i="17"/>
  <c r="A3" i="17"/>
  <c r="C3" i="17" s="1"/>
  <c r="I5" i="17"/>
  <c r="K5" i="17"/>
  <c r="C8" i="17"/>
  <c r="I8" i="17"/>
  <c r="C9" i="17"/>
  <c r="C10" i="17"/>
  <c r="C11" i="17"/>
  <c r="C12" i="17"/>
  <c r="C13" i="17"/>
  <c r="C14" i="17"/>
  <c r="A15" i="17"/>
  <c r="C15" i="17" s="1"/>
  <c r="I18" i="17"/>
  <c r="M18" i="17"/>
  <c r="I19" i="17"/>
  <c r="M19" i="17"/>
  <c r="R19" i="17" s="1"/>
  <c r="I20" i="17"/>
  <c r="M20" i="17"/>
  <c r="C21" i="17"/>
  <c r="I21" i="17"/>
  <c r="M21" i="17"/>
  <c r="A22" i="17"/>
  <c r="C22" i="17"/>
  <c r="I22" i="17"/>
  <c r="M22" i="17"/>
  <c r="C27" i="17"/>
  <c r="A28" i="17"/>
  <c r="C28" i="17"/>
  <c r="A29" i="17"/>
  <c r="I29" i="17"/>
  <c r="M32" i="17"/>
  <c r="I35" i="17"/>
  <c r="C38" i="17"/>
  <c r="A39" i="17"/>
  <c r="A40" i="17" s="1"/>
  <c r="C39" i="17"/>
  <c r="C44" i="17"/>
  <c r="A45" i="17"/>
  <c r="A46" i="17" s="1"/>
  <c r="J47" i="17"/>
  <c r="J48" i="17"/>
  <c r="J49" i="17"/>
  <c r="J50" i="17"/>
  <c r="A55" i="16"/>
  <c r="G55" i="16" s="1"/>
  <c r="A56" i="16"/>
  <c r="G56" i="16"/>
  <c r="A57" i="16"/>
  <c r="I50" i="18" s="1"/>
  <c r="I50" i="17"/>
  <c r="A220" i="16"/>
  <c r="C220" i="16"/>
  <c r="F220" i="16"/>
  <c r="J220" i="16"/>
  <c r="A221" i="16"/>
  <c r="C221" i="16"/>
  <c r="F221" i="16"/>
  <c r="J221" i="16"/>
  <c r="L221" i="16"/>
  <c r="N221" i="16"/>
  <c r="A223" i="16"/>
  <c r="G223" i="16"/>
  <c r="K223" i="16"/>
  <c r="P220" i="16"/>
  <c r="A224" i="16"/>
  <c r="G224" i="16"/>
  <c r="H224" i="16"/>
  <c r="J224" i="16"/>
  <c r="K224" i="16"/>
  <c r="P221" i="16"/>
  <c r="A226" i="16"/>
  <c r="C226" i="16"/>
  <c r="D226" i="16"/>
  <c r="G226" i="16"/>
  <c r="T226" i="16"/>
  <c r="U226" i="16"/>
  <c r="V226" i="16"/>
  <c r="W226" i="16"/>
  <c r="X226" i="16"/>
  <c r="A227" i="16"/>
  <c r="C227" i="16"/>
  <c r="D227" i="16"/>
  <c r="E227" i="16"/>
  <c r="F227" i="16"/>
  <c r="G227" i="16"/>
  <c r="H227" i="16"/>
  <c r="I227" i="16"/>
  <c r="J227" i="16"/>
  <c r="K227" i="16"/>
  <c r="L227" i="16"/>
  <c r="M227" i="16"/>
  <c r="N227" i="16"/>
  <c r="O227" i="16"/>
  <c r="P227" i="16"/>
  <c r="Q227" i="16"/>
  <c r="R227" i="16"/>
  <c r="S227" i="16"/>
  <c r="A230" i="16"/>
  <c r="C230" i="16"/>
  <c r="E230" i="16"/>
  <c r="G230" i="16"/>
  <c r="H230" i="16"/>
  <c r="I230" i="16"/>
  <c r="J230" i="16"/>
  <c r="K230" i="16"/>
  <c r="M230" i="16"/>
  <c r="N230" i="16"/>
  <c r="O230" i="16"/>
  <c r="Q230" i="16"/>
  <c r="S230" i="16"/>
  <c r="U230" i="16"/>
  <c r="W230" i="16"/>
  <c r="G57" i="16"/>
  <c r="A23" i="17"/>
  <c r="C23" i="17" s="1"/>
  <c r="Q18" i="17"/>
  <c r="A24" i="17"/>
  <c r="C24" i="17" s="1"/>
  <c r="R18" i="17"/>
  <c r="P18" i="17"/>
  <c r="A32" i="17"/>
  <c r="A33" i="17" s="1"/>
  <c r="C29" i="17"/>
  <c r="D13" i="13"/>
  <c r="U38" i="16"/>
  <c r="X38" i="16"/>
  <c r="W38" i="16"/>
  <c r="V38" i="16"/>
  <c r="I49" i="17" l="1"/>
  <c r="I49" i="18"/>
  <c r="B141" i="13"/>
  <c r="I42" i="18"/>
  <c r="L71" i="11"/>
  <c r="O42" i="18"/>
  <c r="A26" i="11"/>
  <c r="G11" i="12"/>
  <c r="A34" i="17"/>
  <c r="C34" i="17" s="1"/>
  <c r="C33" i="17"/>
  <c r="C46" i="17"/>
  <c r="A47" i="17"/>
  <c r="C40" i="17"/>
  <c r="A41" i="17"/>
  <c r="Q19" i="17"/>
  <c r="P19" i="17"/>
  <c r="C45" i="17"/>
  <c r="A17" i="17"/>
  <c r="A4" i="17"/>
  <c r="C32" i="17"/>
  <c r="A25" i="17"/>
  <c r="V11" i="12"/>
  <c r="F11" i="12"/>
  <c r="I11" i="12"/>
  <c r="I42" i="17"/>
  <c r="V13" i="12"/>
  <c r="D13" i="12"/>
  <c r="E11" i="12"/>
  <c r="B11" i="12"/>
  <c r="A5" i="12"/>
  <c r="C11" i="12"/>
  <c r="C13" i="12"/>
  <c r="S13" i="12"/>
  <c r="F13" i="12"/>
  <c r="G13" i="12"/>
  <c r="D11" i="12"/>
  <c r="C13" i="13"/>
  <c r="N11" i="12"/>
  <c r="U11" i="12" s="1"/>
  <c r="Y11" i="12"/>
  <c r="I37" i="17"/>
  <c r="M33" i="17"/>
  <c r="C13" i="11"/>
  <c r="F13" i="11" s="1"/>
  <c r="M11" i="11"/>
  <c r="O42" i="17"/>
  <c r="B144" i="13"/>
  <c r="L11" i="11"/>
  <c r="P10" i="11"/>
  <c r="S110" i="16"/>
  <c r="V227" i="16"/>
  <c r="X227" i="16"/>
  <c r="S112" i="16"/>
  <c r="S111" i="16"/>
  <c r="W227" i="16"/>
  <c r="U227" i="16"/>
  <c r="S109" i="16"/>
  <c r="R9" i="11"/>
  <c r="S9" i="11" s="1"/>
  <c r="T9" i="11" s="1"/>
  <c r="U9" i="11" s="1"/>
  <c r="V9" i="11" s="1"/>
  <c r="W9" i="11" s="1"/>
  <c r="Q10" i="11"/>
  <c r="N25" i="17"/>
  <c r="C12" i="13"/>
  <c r="A29" i="11" l="1"/>
  <c r="C17" i="17"/>
  <c r="A18" i="17"/>
  <c r="C41" i="17"/>
  <c r="A42" i="17"/>
  <c r="A48" i="17"/>
  <c r="C47" i="17"/>
  <c r="A5" i="17"/>
  <c r="C4" i="17"/>
  <c r="A26" i="17"/>
  <c r="C26" i="17" s="1"/>
  <c r="C25" i="17"/>
  <c r="C20" i="11"/>
  <c r="G20" i="11" s="1"/>
  <c r="M18" i="11"/>
  <c r="K13" i="12"/>
  <c r="B13" i="13" s="1"/>
  <c r="K11" i="12"/>
  <c r="B11" i="13" s="1"/>
  <c r="I13" i="11"/>
  <c r="S10" i="11"/>
  <c r="U10" i="11" s="1"/>
  <c r="W10" i="11" s="1"/>
  <c r="C11" i="13"/>
  <c r="R10" i="11"/>
  <c r="T10" i="11" s="1"/>
  <c r="V10" i="11" s="1"/>
  <c r="B13" i="11"/>
  <c r="AC13" i="11" s="1"/>
  <c r="J13" i="11"/>
  <c r="H13" i="11"/>
  <c r="G13" i="11"/>
  <c r="E13" i="11"/>
  <c r="O25" i="17"/>
  <c r="N27" i="17"/>
  <c r="T38" i="16"/>
  <c r="Z34" i="12" l="1"/>
  <c r="S34" i="12" s="1"/>
  <c r="T34" i="12" s="1"/>
  <c r="Z33" i="12"/>
  <c r="Z135" i="12"/>
  <c r="Z134" i="12"/>
  <c r="S134" i="12" s="1"/>
  <c r="Z136" i="12"/>
  <c r="Z50" i="12"/>
  <c r="Z49" i="12"/>
  <c r="Z48" i="12"/>
  <c r="Z102" i="12"/>
  <c r="S102" i="12" s="1"/>
  <c r="Z131" i="12"/>
  <c r="S131" i="12" s="1"/>
  <c r="Z128" i="12"/>
  <c r="Z125" i="12"/>
  <c r="Z121" i="12"/>
  <c r="Z124" i="12"/>
  <c r="Z130" i="12"/>
  <c r="Z123" i="12"/>
  <c r="Z133" i="12"/>
  <c r="Z127" i="12"/>
  <c r="Z132" i="12"/>
  <c r="Z126" i="12"/>
  <c r="Z122" i="12"/>
  <c r="Z129" i="12"/>
  <c r="Z120" i="12"/>
  <c r="Z118" i="12"/>
  <c r="S118" i="12" s="1"/>
  <c r="Z114" i="12"/>
  <c r="Z110" i="12"/>
  <c r="S110" i="12" s="1"/>
  <c r="Z107" i="12"/>
  <c r="Z119" i="12"/>
  <c r="Z109" i="12"/>
  <c r="Z117" i="12"/>
  <c r="Z113" i="12"/>
  <c r="Z106" i="12"/>
  <c r="Z108" i="12"/>
  <c r="Z116" i="12"/>
  <c r="Z112" i="12"/>
  <c r="Z115" i="12"/>
  <c r="Z111" i="12"/>
  <c r="Z67" i="12"/>
  <c r="Z105" i="12"/>
  <c r="Z59" i="12"/>
  <c r="Z42" i="12"/>
  <c r="Z53" i="12"/>
  <c r="Z62" i="12"/>
  <c r="Z99" i="12"/>
  <c r="Z74" i="12"/>
  <c r="Z75" i="12"/>
  <c r="Z76" i="12"/>
  <c r="S76" i="12" s="1"/>
  <c r="Z73" i="12"/>
  <c r="Z72" i="12"/>
  <c r="S72" i="12" s="1"/>
  <c r="Z27" i="12"/>
  <c r="Z20" i="12"/>
  <c r="Z15" i="12"/>
  <c r="Z54" i="12"/>
  <c r="Z137" i="12"/>
  <c r="S137" i="12" s="1"/>
  <c r="Z101" i="12"/>
  <c r="Z104" i="12"/>
  <c r="Z138" i="12"/>
  <c r="Z103" i="12"/>
  <c r="Z100" i="12"/>
  <c r="Z96" i="12"/>
  <c r="Z89" i="12"/>
  <c r="Z95" i="12"/>
  <c r="S95" i="12" s="1"/>
  <c r="Z94" i="12"/>
  <c r="Z90" i="12"/>
  <c r="Z98" i="12"/>
  <c r="Z93" i="12"/>
  <c r="Z88" i="12"/>
  <c r="Z86" i="12"/>
  <c r="Z81" i="12"/>
  <c r="Z83" i="12"/>
  <c r="S83" i="12" s="1"/>
  <c r="Z78" i="12"/>
  <c r="Z97" i="12"/>
  <c r="Z92" i="12"/>
  <c r="Z84" i="12"/>
  <c r="Z80" i="12"/>
  <c r="S80" i="12" s="1"/>
  <c r="Z61" i="12"/>
  <c r="S61" i="12" s="1"/>
  <c r="Z85" i="12"/>
  <c r="Z66" i="12"/>
  <c r="Z71" i="12"/>
  <c r="S71" i="12" s="1"/>
  <c r="Z77" i="12"/>
  <c r="Z91" i="12"/>
  <c r="S91" i="12" s="1"/>
  <c r="Z87" i="12"/>
  <c r="Z68" i="12"/>
  <c r="S68" i="12" s="1"/>
  <c r="Z60" i="12"/>
  <c r="S60" i="12" s="1"/>
  <c r="Z70" i="12"/>
  <c r="Z64" i="12"/>
  <c r="Z63" i="12"/>
  <c r="Z65" i="12"/>
  <c r="Z79" i="12"/>
  <c r="S79" i="12" s="1"/>
  <c r="Z69" i="12"/>
  <c r="S69" i="12" s="1"/>
  <c r="Z82" i="12"/>
  <c r="Z14" i="12"/>
  <c r="S14" i="12" s="1"/>
  <c r="Z57" i="12"/>
  <c r="Z47" i="12"/>
  <c r="Z44" i="12"/>
  <c r="Z52" i="12"/>
  <c r="S52" i="12" s="1"/>
  <c r="Z35" i="12"/>
  <c r="S35" i="12" s="1"/>
  <c r="Z24" i="12"/>
  <c r="S24" i="12" s="1"/>
  <c r="Z22" i="12"/>
  <c r="Z17" i="12"/>
  <c r="S17" i="12" s="1"/>
  <c r="Z56" i="12"/>
  <c r="S56" i="12" s="1"/>
  <c r="Z43" i="12"/>
  <c r="S43" i="12" s="1"/>
  <c r="Z36" i="12"/>
  <c r="S36" i="12" s="1"/>
  <c r="Z37" i="12"/>
  <c r="Z38" i="12"/>
  <c r="Z23" i="12"/>
  <c r="S23" i="12" s="1"/>
  <c r="Z21" i="12"/>
  <c r="S21" i="12" s="1"/>
  <c r="Z16" i="12"/>
  <c r="Z29" i="12"/>
  <c r="Z28" i="12"/>
  <c r="Z26" i="12"/>
  <c r="Z39" i="12"/>
  <c r="S39" i="12" s="1"/>
  <c r="Z25" i="12"/>
  <c r="Z19" i="12"/>
  <c r="Z51" i="12"/>
  <c r="S51" i="12" s="1"/>
  <c r="Z40" i="12"/>
  <c r="Z55" i="12"/>
  <c r="Z58" i="12"/>
  <c r="Z30" i="12"/>
  <c r="S30" i="12" s="1"/>
  <c r="Z45" i="12"/>
  <c r="S45" i="12" s="1"/>
  <c r="Z41" i="12"/>
  <c r="Z31" i="12"/>
  <c r="Z18" i="12"/>
  <c r="S18" i="12" s="1"/>
  <c r="Z32" i="12"/>
  <c r="Z46" i="12"/>
  <c r="A32" i="11"/>
  <c r="P20" i="17"/>
  <c r="R20" i="17"/>
  <c r="Q20" i="17"/>
  <c r="A6" i="17"/>
  <c r="C5" i="17"/>
  <c r="A49" i="17"/>
  <c r="C49" i="17" s="1"/>
  <c r="C48" i="17"/>
  <c r="A43" i="17"/>
  <c r="C43" i="17" s="1"/>
  <c r="C42" i="17"/>
  <c r="C18" i="17"/>
  <c r="A19" i="17"/>
  <c r="H20" i="11"/>
  <c r="F20" i="11"/>
  <c r="E20" i="11"/>
  <c r="D13" i="11"/>
  <c r="L18" i="11"/>
  <c r="T12" i="11"/>
  <c r="U11" i="11"/>
  <c r="S11" i="11"/>
  <c r="T13" i="11"/>
  <c r="AC12" i="11"/>
  <c r="V13" i="11"/>
  <c r="W11" i="11"/>
  <c r="P12" i="11"/>
  <c r="Q12" i="11"/>
  <c r="AC11" i="11"/>
  <c r="V11" i="11"/>
  <c r="S12" i="11"/>
  <c r="Q11" i="11"/>
  <c r="U13" i="11"/>
  <c r="P13" i="11"/>
  <c r="P11" i="11"/>
  <c r="U12" i="11"/>
  <c r="R13" i="11"/>
  <c r="V12" i="11"/>
  <c r="Q13" i="11"/>
  <c r="W12" i="11"/>
  <c r="R11" i="11"/>
  <c r="T11" i="11"/>
  <c r="W13" i="11"/>
  <c r="S13" i="11"/>
  <c r="R12" i="11"/>
  <c r="T227" i="16"/>
  <c r="S108" i="16"/>
  <c r="Z11" i="12"/>
  <c r="S11" i="12" s="1"/>
  <c r="T11" i="12" s="1"/>
  <c r="Z13" i="12"/>
  <c r="A35" i="11" l="1"/>
  <c r="C6" i="17"/>
  <c r="A7" i="17"/>
  <c r="C7" i="17" s="1"/>
  <c r="Q26" i="17" s="1"/>
  <c r="R26" i="17"/>
  <c r="Q22" i="17"/>
  <c r="P22" i="17"/>
  <c r="Q21" i="17"/>
  <c r="R22" i="17"/>
  <c r="R21" i="17"/>
  <c r="A20" i="17"/>
  <c r="C20" i="17" s="1"/>
  <c r="C19" i="17"/>
  <c r="P26" i="17"/>
  <c r="O26" i="17" s="1"/>
  <c r="P21" i="17"/>
  <c r="A38" i="11" l="1"/>
  <c r="V27" i="17"/>
  <c r="T16" i="17" s="1"/>
  <c r="O27" i="17"/>
  <c r="A41" i="11" l="1"/>
  <c r="A44" i="11" l="1"/>
  <c r="A47" i="11" l="1"/>
  <c r="A50" i="11" l="1"/>
  <c r="A53" i="11" l="1"/>
  <c r="F14" i="12" l="1"/>
  <c r="G14" i="12"/>
  <c r="E14" i="12"/>
  <c r="A56" i="11"/>
  <c r="E15" i="12" l="1"/>
  <c r="E16" i="12" s="1"/>
  <c r="E17" i="12" s="1"/>
  <c r="E18" i="12" s="1"/>
  <c r="E19" i="12" s="1"/>
  <c r="E20" i="12" s="1"/>
  <c r="G15" i="12"/>
  <c r="G16" i="12" s="1"/>
  <c r="G17" i="12" s="1"/>
  <c r="G18" i="12" s="1"/>
  <c r="G19" i="12" s="1"/>
  <c r="F15" i="12"/>
  <c r="F16" i="12" s="1"/>
  <c r="F17" i="12" s="1"/>
  <c r="F18" i="12" s="1"/>
  <c r="F19" i="12" s="1"/>
  <c r="G39" i="12"/>
  <c r="G40" i="12" s="1"/>
  <c r="G41" i="12" s="1"/>
  <c r="F39" i="12"/>
  <c r="F40" i="12" s="1"/>
  <c r="F41" i="12" s="1"/>
  <c r="A59" i="11"/>
  <c r="F43" i="12" l="1"/>
  <c r="F44" i="12" s="1"/>
  <c r="F45" i="12" s="1"/>
  <c r="F46" i="12" s="1"/>
  <c r="F47" i="12" s="1"/>
  <c r="F42" i="12"/>
  <c r="G43" i="12"/>
  <c r="G44" i="12" s="1"/>
  <c r="G45" i="12" s="1"/>
  <c r="G46" i="12" s="1"/>
  <c r="G47" i="12" s="1"/>
  <c r="G42" i="12"/>
  <c r="F56" i="12"/>
  <c r="F57" i="12" s="1"/>
  <c r="F58" i="12" s="1"/>
  <c r="F59" i="12" s="1"/>
  <c r="G56" i="12"/>
  <c r="G57" i="12" s="1"/>
  <c r="G58" i="12" s="1"/>
  <c r="F21" i="12"/>
  <c r="F22" i="12" s="1"/>
  <c r="F23" i="12" s="1"/>
  <c r="F24" i="12" s="1"/>
  <c r="F25" i="12" s="1"/>
  <c r="F26" i="12" s="1"/>
  <c r="F20" i="12"/>
  <c r="G21" i="12"/>
  <c r="G22" i="12" s="1"/>
  <c r="G23" i="12" s="1"/>
  <c r="G24" i="12" s="1"/>
  <c r="G25" i="12" s="1"/>
  <c r="G26" i="12" s="1"/>
  <c r="G20" i="12"/>
  <c r="F60" i="12"/>
  <c r="F61" i="12" s="1"/>
  <c r="E21" i="12"/>
  <c r="A62" i="11"/>
  <c r="A65" i="11" s="1"/>
  <c r="G51" i="12" l="1"/>
  <c r="G52" i="12" s="1"/>
  <c r="G53" i="12" s="1"/>
  <c r="G54" i="12" s="1"/>
  <c r="G55" i="12" s="1"/>
  <c r="G48" i="12"/>
  <c r="G49" i="12" s="1"/>
  <c r="G50" i="12" s="1"/>
  <c r="F51" i="12"/>
  <c r="F52" i="12" s="1"/>
  <c r="F53" i="12" s="1"/>
  <c r="F54" i="12" s="1"/>
  <c r="F55" i="12" s="1"/>
  <c r="F48" i="12"/>
  <c r="F49" i="12" s="1"/>
  <c r="F50" i="12" s="1"/>
  <c r="G60" i="12"/>
  <c r="G61" i="12" s="1"/>
  <c r="G62" i="12" s="1"/>
  <c r="G59" i="12"/>
  <c r="G63" i="12"/>
  <c r="G64" i="12" s="1"/>
  <c r="G65" i="12" s="1"/>
  <c r="G66" i="12" s="1"/>
  <c r="F63" i="12"/>
  <c r="F64" i="12" s="1"/>
  <c r="F65" i="12" s="1"/>
  <c r="F66" i="12" s="1"/>
  <c r="F62" i="12"/>
  <c r="G27" i="12"/>
  <c r="G28" i="12" s="1"/>
  <c r="G29" i="12" s="1"/>
  <c r="G30" i="12" s="1"/>
  <c r="G31" i="12" s="1"/>
  <c r="G32" i="12" s="1"/>
  <c r="G33" i="12" s="1"/>
  <c r="F27" i="12"/>
  <c r="F28" i="12" s="1"/>
  <c r="F29" i="12" s="1"/>
  <c r="F30" i="12" s="1"/>
  <c r="F31" i="12" s="1"/>
  <c r="F32" i="12" s="1"/>
  <c r="F33" i="12" s="1"/>
  <c r="E22" i="12"/>
  <c r="G68" i="12" l="1"/>
  <c r="G69" i="12" s="1"/>
  <c r="G70" i="12" s="1"/>
  <c r="G67" i="12"/>
  <c r="F68" i="12"/>
  <c r="F69" i="12" s="1"/>
  <c r="F70" i="12" s="1"/>
  <c r="F67" i="12"/>
  <c r="V14" i="12"/>
  <c r="G35" i="12" l="1"/>
  <c r="G36" i="12" s="1"/>
  <c r="G37" i="12" s="1"/>
  <c r="G38" i="12" s="1"/>
  <c r="G34" i="12"/>
  <c r="F35" i="12"/>
  <c r="F36" i="12" s="1"/>
  <c r="F37" i="12" s="1"/>
  <c r="F38" i="12" s="1"/>
  <c r="F34" i="12"/>
  <c r="C23" i="11"/>
  <c r="G23" i="11" s="1"/>
  <c r="V17" i="12"/>
  <c r="V23" i="12" s="1"/>
  <c r="V30" i="12" s="1"/>
  <c r="V35" i="12" s="1"/>
  <c r="V43" i="12" s="1"/>
  <c r="V45" i="12" s="1"/>
  <c r="V51" i="12" s="1"/>
  <c r="V56" i="12" s="1"/>
  <c r="V60" i="12" s="1"/>
  <c r="V65" i="12" s="1"/>
  <c r="V68" i="12" s="1"/>
  <c r="V71" i="12" s="1"/>
  <c r="V79" i="12" s="1"/>
  <c r="F71" i="12"/>
  <c r="G71" i="12"/>
  <c r="E23" i="11" l="1"/>
  <c r="B20" i="11"/>
  <c r="H23" i="11"/>
  <c r="F23" i="11"/>
  <c r="V101" i="12"/>
  <c r="F72" i="12"/>
  <c r="F73" i="12" s="1"/>
  <c r="G72" i="12"/>
  <c r="G73" i="12" s="1"/>
  <c r="C29" i="11"/>
  <c r="G29" i="11" s="1"/>
  <c r="M27" i="11"/>
  <c r="C26" i="11"/>
  <c r="M24" i="11"/>
  <c r="C35" i="11"/>
  <c r="H35" i="11" s="1"/>
  <c r="M30" i="11"/>
  <c r="M33" i="11"/>
  <c r="C41" i="11"/>
  <c r="G41" i="11" s="1"/>
  <c r="C44" i="11"/>
  <c r="H44" i="11" s="1"/>
  <c r="M51" i="11"/>
  <c r="C53" i="11"/>
  <c r="C50" i="11"/>
  <c r="M45" i="11"/>
  <c r="C56" i="11"/>
  <c r="M39" i="11"/>
  <c r="M54" i="11"/>
  <c r="M36" i="11"/>
  <c r="M48" i="11"/>
  <c r="C47" i="11"/>
  <c r="M42" i="11"/>
  <c r="C32" i="11"/>
  <c r="C38" i="11"/>
  <c r="E23" i="12"/>
  <c r="V134" i="12" l="1"/>
  <c r="V137" i="12" s="1"/>
  <c r="M57" i="11"/>
  <c r="C59" i="11"/>
  <c r="B56" i="11" s="1"/>
  <c r="G76" i="12"/>
  <c r="G77" i="12" s="1"/>
  <c r="G78" i="12" s="1"/>
  <c r="G79" i="12" s="1"/>
  <c r="G80" i="12" s="1"/>
  <c r="G81" i="12" s="1"/>
  <c r="G82" i="12" s="1"/>
  <c r="G83" i="12" s="1"/>
  <c r="G84" i="12" s="1"/>
  <c r="G85" i="12" s="1"/>
  <c r="G86" i="12" s="1"/>
  <c r="G74" i="12"/>
  <c r="G75" i="12" s="1"/>
  <c r="F76" i="12"/>
  <c r="F77" i="12" s="1"/>
  <c r="F78" i="12" s="1"/>
  <c r="F79" i="12" s="1"/>
  <c r="F80" i="12" s="1"/>
  <c r="F81" i="12" s="1"/>
  <c r="F82" i="12" s="1"/>
  <c r="F83" i="12" s="1"/>
  <c r="F84" i="12" s="1"/>
  <c r="F85" i="12" s="1"/>
  <c r="F86" i="12" s="1"/>
  <c r="F74" i="12"/>
  <c r="F75" i="12" s="1"/>
  <c r="H29" i="11"/>
  <c r="F26" i="11"/>
  <c r="F29" i="11" s="1"/>
  <c r="F32" i="11" s="1"/>
  <c r="F35" i="11" s="1"/>
  <c r="F38" i="11" s="1"/>
  <c r="F41" i="11" s="1"/>
  <c r="E26" i="11"/>
  <c r="E29" i="11" s="1"/>
  <c r="E32" i="11" s="1"/>
  <c r="E35" i="11" s="1"/>
  <c r="E38" i="11" s="1"/>
  <c r="E41" i="11" s="1"/>
  <c r="E44" i="11" s="1"/>
  <c r="E47" i="11" s="1"/>
  <c r="E50" i="11" s="1"/>
  <c r="E53" i="11" s="1"/>
  <c r="E56" i="11" s="1"/>
  <c r="H26" i="11"/>
  <c r="G26" i="11"/>
  <c r="B23" i="11"/>
  <c r="B26" i="11"/>
  <c r="B32" i="11"/>
  <c r="G35" i="11"/>
  <c r="B41" i="11"/>
  <c r="H41" i="11"/>
  <c r="B44" i="11"/>
  <c r="G44" i="11"/>
  <c r="B29" i="11"/>
  <c r="B53" i="11"/>
  <c r="G53" i="11"/>
  <c r="H53" i="11"/>
  <c r="H38" i="11"/>
  <c r="G38" i="11"/>
  <c r="B38" i="11"/>
  <c r="G56" i="11"/>
  <c r="H56" i="11"/>
  <c r="B35" i="11"/>
  <c r="G32" i="11"/>
  <c r="H32" i="11"/>
  <c r="G47" i="11"/>
  <c r="H47" i="11"/>
  <c r="B47" i="11"/>
  <c r="G50" i="11"/>
  <c r="B50" i="11"/>
  <c r="H50" i="11"/>
  <c r="E24" i="12"/>
  <c r="C65" i="11" l="1"/>
  <c r="M63" i="11"/>
  <c r="C62" i="11"/>
  <c r="G62" i="11" s="1"/>
  <c r="E59" i="11"/>
  <c r="H59" i="11"/>
  <c r="G59" i="11"/>
  <c r="F87" i="12"/>
  <c r="F88" i="12" s="1"/>
  <c r="F89" i="12" s="1"/>
  <c r="F90" i="12" s="1"/>
  <c r="F91" i="12" s="1"/>
  <c r="F92" i="12" s="1"/>
  <c r="F93" i="12" s="1"/>
  <c r="F94" i="12" s="1"/>
  <c r="F95" i="12" s="1"/>
  <c r="F96" i="12" s="1"/>
  <c r="F97" i="12" s="1"/>
  <c r="F98" i="12" s="1"/>
  <c r="G87" i="12"/>
  <c r="G88" i="12" s="1"/>
  <c r="G89" i="12" s="1"/>
  <c r="G90" i="12" s="1"/>
  <c r="G91" i="12" s="1"/>
  <c r="G92" i="12" s="1"/>
  <c r="G93" i="12" s="1"/>
  <c r="G94" i="12" s="1"/>
  <c r="G95" i="12" s="1"/>
  <c r="G96" i="12" s="1"/>
  <c r="G97" i="12" s="1"/>
  <c r="G98" i="12" s="1"/>
  <c r="F101" i="12"/>
  <c r="G101" i="12"/>
  <c r="F44" i="11"/>
  <c r="F47" i="11" s="1"/>
  <c r="F50" i="11" s="1"/>
  <c r="F53" i="11" s="1"/>
  <c r="F56" i="11" s="1"/>
  <c r="F59" i="11" s="1"/>
  <c r="R51" i="11"/>
  <c r="W51" i="11"/>
  <c r="S51" i="11"/>
  <c r="V51" i="11"/>
  <c r="AC51" i="11"/>
  <c r="AC52" i="11" s="1"/>
  <c r="T51" i="11"/>
  <c r="Q51" i="11"/>
  <c r="P51" i="11"/>
  <c r="P52" i="11" s="1"/>
  <c r="B65" i="11" l="1"/>
  <c r="I65" i="11"/>
  <c r="H65" i="11"/>
  <c r="G65" i="11"/>
  <c r="F62" i="11"/>
  <c r="F65" i="11" s="1"/>
  <c r="J65" i="11" s="1"/>
  <c r="B59" i="11"/>
  <c r="B62" i="11"/>
  <c r="H62" i="11"/>
  <c r="E62" i="11"/>
  <c r="E65" i="11" s="1"/>
  <c r="G102" i="12"/>
  <c r="G103" i="12" s="1"/>
  <c r="G104" i="12" s="1"/>
  <c r="G105" i="12" s="1"/>
  <c r="F102" i="12"/>
  <c r="F103" i="12" s="1"/>
  <c r="F104" i="12" s="1"/>
  <c r="F105" i="12" s="1"/>
  <c r="F137" i="12"/>
  <c r="F138" i="12" s="1"/>
  <c r="G137" i="12"/>
  <c r="G138" i="12" s="1"/>
  <c r="G99" i="12"/>
  <c r="G100" i="12" s="1"/>
  <c r="F99" i="12"/>
  <c r="F100" i="12" s="1"/>
  <c r="Q52" i="11"/>
  <c r="R52" i="11" s="1"/>
  <c r="S52" i="11" s="1"/>
  <c r="T52" i="11" s="1"/>
  <c r="U52" i="11" s="1"/>
  <c r="V52" i="11" s="1"/>
  <c r="W52" i="11" s="1"/>
  <c r="J41" i="11"/>
  <c r="J44" i="11"/>
  <c r="E25" i="12"/>
  <c r="D65" i="11" l="1"/>
  <c r="V63" i="11"/>
  <c r="U63" i="11"/>
  <c r="S63" i="11"/>
  <c r="R63" i="11"/>
  <c r="Q63" i="11"/>
  <c r="P63" i="11"/>
  <c r="P64" i="11" s="1"/>
  <c r="Q64" i="11" s="1"/>
  <c r="AC63" i="11"/>
  <c r="AC64" i="11" s="1"/>
  <c r="W63" i="11"/>
  <c r="G106" i="12"/>
  <c r="G107" i="12" s="1"/>
  <c r="G108" i="12" s="1"/>
  <c r="G109" i="12" s="1"/>
  <c r="G110" i="12" s="1"/>
  <c r="G111" i="12" s="1"/>
  <c r="G112" i="12" s="1"/>
  <c r="G113" i="12" s="1"/>
  <c r="G114" i="12" s="1"/>
  <c r="G115" i="12" s="1"/>
  <c r="G116" i="12" s="1"/>
  <c r="G117" i="12" s="1"/>
  <c r="G118" i="12" s="1"/>
  <c r="G119" i="12" s="1"/>
  <c r="F106" i="12"/>
  <c r="F107" i="12" s="1"/>
  <c r="F108" i="12" s="1"/>
  <c r="F109" i="12" s="1"/>
  <c r="F110" i="12" s="1"/>
  <c r="F111" i="12" s="1"/>
  <c r="F112" i="12" s="1"/>
  <c r="F113" i="12" s="1"/>
  <c r="F114" i="12" s="1"/>
  <c r="F115" i="12" s="1"/>
  <c r="F116" i="12" s="1"/>
  <c r="F117" i="12" s="1"/>
  <c r="F118" i="12" s="1"/>
  <c r="F119" i="12" s="1"/>
  <c r="E26" i="12"/>
  <c r="E27" i="12" s="1"/>
  <c r="R64" i="11" l="1"/>
  <c r="S64" i="11" s="1"/>
  <c r="T64" i="11" s="1"/>
  <c r="F120" i="12"/>
  <c r="F121" i="12" s="1"/>
  <c r="F122" i="12" s="1"/>
  <c r="F123" i="12" s="1"/>
  <c r="F124" i="12" s="1"/>
  <c r="F125" i="12" s="1"/>
  <c r="F126" i="12" s="1"/>
  <c r="F127" i="12" s="1"/>
  <c r="F128" i="12" s="1"/>
  <c r="F129" i="12" s="1"/>
  <c r="F130" i="12" s="1"/>
  <c r="F131" i="12" s="1"/>
  <c r="F132" i="12" s="1"/>
  <c r="F133" i="12" s="1"/>
  <c r="F134" i="12" s="1"/>
  <c r="F135" i="12" s="1"/>
  <c r="F136" i="12" s="1"/>
  <c r="G120" i="12"/>
  <c r="G121" i="12" s="1"/>
  <c r="G122" i="12" s="1"/>
  <c r="G123" i="12" s="1"/>
  <c r="G124" i="12" s="1"/>
  <c r="G125" i="12" s="1"/>
  <c r="G126" i="12" s="1"/>
  <c r="G127" i="12" s="1"/>
  <c r="G128" i="12" s="1"/>
  <c r="G129" i="12" s="1"/>
  <c r="G130" i="12" s="1"/>
  <c r="G131" i="12" s="1"/>
  <c r="G132" i="12" s="1"/>
  <c r="G133" i="12" s="1"/>
  <c r="G134" i="12" s="1"/>
  <c r="G135" i="12" s="1"/>
  <c r="G136" i="12" s="1"/>
  <c r="E28" i="12"/>
  <c r="E29" i="12" s="1"/>
  <c r="H18" i="12"/>
  <c r="U64" i="11" l="1"/>
  <c r="I18" i="12"/>
  <c r="B18" i="12" s="1"/>
  <c r="H21" i="12"/>
  <c r="V64" i="11" l="1"/>
  <c r="E30" i="12"/>
  <c r="W64" i="11" l="1"/>
  <c r="E31" i="12"/>
  <c r="E32" i="12" l="1"/>
  <c r="E33" i="12" s="1"/>
  <c r="E34" i="12" l="1"/>
  <c r="J59" i="11"/>
  <c r="E35" i="12" l="1"/>
  <c r="E36" i="12" s="1"/>
  <c r="E37" i="12" s="1"/>
  <c r="J20" i="11"/>
  <c r="J35" i="11"/>
  <c r="J38" i="11"/>
  <c r="J53" i="11"/>
  <c r="J56" i="11"/>
  <c r="H24" i="12"/>
  <c r="I47" i="11"/>
  <c r="J23" i="11"/>
  <c r="I26" i="11"/>
  <c r="I32" i="11"/>
  <c r="I44" i="11"/>
  <c r="D44" i="11" s="1"/>
  <c r="J62" i="11"/>
  <c r="J29" i="11"/>
  <c r="J50" i="11"/>
  <c r="I29" i="11"/>
  <c r="I35" i="11"/>
  <c r="I20" i="11"/>
  <c r="I23" i="11"/>
  <c r="I41" i="11"/>
  <c r="D41" i="11" s="1"/>
  <c r="I38" i="11"/>
  <c r="I50" i="11"/>
  <c r="I56" i="11"/>
  <c r="I53" i="11"/>
  <c r="I59" i="11"/>
  <c r="D59" i="11" s="1"/>
  <c r="J26" i="11"/>
  <c r="J32" i="11"/>
  <c r="J47" i="11"/>
  <c r="I62" i="11"/>
  <c r="D20" i="11" l="1"/>
  <c r="D38" i="11"/>
  <c r="D35" i="11"/>
  <c r="D53" i="11"/>
  <c r="D56" i="11"/>
  <c r="D47" i="11"/>
  <c r="E38" i="12"/>
  <c r="D23" i="11"/>
  <c r="D32" i="11"/>
  <c r="D62" i="11"/>
  <c r="D26" i="11"/>
  <c r="D50" i="11"/>
  <c r="D29" i="11"/>
  <c r="E39" i="12" l="1"/>
  <c r="E40" i="12" l="1"/>
  <c r="E41" i="12" l="1"/>
  <c r="E42" i="12" s="1"/>
  <c r="I36" i="12" l="1"/>
  <c r="E43" i="12" l="1"/>
  <c r="E44" i="12" l="1"/>
  <c r="E45" i="12" l="1"/>
  <c r="E46" i="12" l="1"/>
  <c r="E47" i="12" l="1"/>
  <c r="E51" i="12" l="1"/>
  <c r="E52" i="12" s="1"/>
  <c r="E53" i="12" s="1"/>
  <c r="E48" i="12"/>
  <c r="E49" i="12" s="1"/>
  <c r="E50" i="12" s="1"/>
  <c r="H36" i="12"/>
  <c r="B36" i="12" s="1"/>
  <c r="H39" i="12"/>
  <c r="E54" i="12" l="1"/>
  <c r="E55" i="12" l="1"/>
  <c r="E56" i="12" l="1"/>
  <c r="E57" i="12" l="1"/>
  <c r="E58" i="12" l="1"/>
  <c r="E59" i="12" s="1"/>
  <c r="I52" i="12" l="1"/>
  <c r="E60" i="12" l="1"/>
  <c r="E61" i="12" l="1"/>
  <c r="E62" i="12" l="1"/>
  <c r="E63" i="12" l="1"/>
  <c r="E64" i="12" l="1"/>
  <c r="E65" i="12" l="1"/>
  <c r="E66" i="12" l="1"/>
  <c r="E67" i="12" s="1"/>
  <c r="H52" i="12" l="1"/>
  <c r="B52" i="12" s="1"/>
  <c r="D14" i="12" l="1"/>
  <c r="D15" i="12" s="1"/>
  <c r="D16" i="12" l="1"/>
  <c r="D17" i="12" s="1"/>
  <c r="D18" i="12" s="1"/>
  <c r="I14" i="12" l="1"/>
  <c r="D19" i="12"/>
  <c r="D20" i="12" s="1"/>
  <c r="D21" i="12" l="1"/>
  <c r="D22" i="12" l="1"/>
  <c r="E68" i="12" l="1"/>
  <c r="D23" i="12"/>
  <c r="E69" i="12" l="1"/>
  <c r="E70" i="12" s="1"/>
  <c r="H63" i="12"/>
  <c r="H61" i="12"/>
  <c r="I61" i="12"/>
  <c r="D24" i="12"/>
  <c r="B61" i="12" l="1"/>
  <c r="D25" i="12"/>
  <c r="D26" i="12" l="1"/>
  <c r="D27" i="12" l="1"/>
  <c r="D28" i="12" s="1"/>
  <c r="E71" i="12"/>
  <c r="E72" i="12" s="1"/>
  <c r="I17" i="12"/>
  <c r="E73" i="12" l="1"/>
  <c r="E74" i="12" s="1"/>
  <c r="E75" i="12" s="1"/>
  <c r="D29" i="12"/>
  <c r="D30" i="12" s="1"/>
  <c r="D31" i="12" s="1"/>
  <c r="D32" i="12" s="1"/>
  <c r="D33" i="12" s="1"/>
  <c r="E76" i="12" l="1"/>
  <c r="I23" i="12"/>
  <c r="D34" i="12" l="1"/>
  <c r="E77" i="12" l="1"/>
  <c r="D35" i="12"/>
  <c r="E78" i="12" l="1"/>
  <c r="D36" i="12"/>
  <c r="E79" i="12" l="1"/>
  <c r="E80" i="12" s="1"/>
  <c r="D37" i="12"/>
  <c r="H76" i="12" l="1"/>
  <c r="H69" i="12"/>
  <c r="D38" i="12"/>
  <c r="E81" i="12" l="1"/>
  <c r="E82" i="12" l="1"/>
  <c r="D39" i="12" l="1"/>
  <c r="D40" i="12" s="1"/>
  <c r="D41" i="12" s="1"/>
  <c r="D42" i="12" s="1"/>
  <c r="E83" i="12" l="1"/>
  <c r="I69" i="12" s="1"/>
  <c r="B69" i="12" s="1"/>
  <c r="I30" i="12"/>
  <c r="E84" i="12" l="1"/>
  <c r="E85" i="12" l="1"/>
  <c r="E86" i="12" l="1"/>
  <c r="E87" i="12" l="1"/>
  <c r="I80" i="12"/>
  <c r="D43" i="12"/>
  <c r="E88" i="12" l="1"/>
  <c r="E89" i="12" s="1"/>
  <c r="E90" i="12" s="1"/>
  <c r="E91" i="12" s="1"/>
  <c r="E92" i="12" s="1"/>
  <c r="D44" i="12"/>
  <c r="I83" i="12" l="1"/>
  <c r="E93" i="12"/>
  <c r="E94" i="12" l="1"/>
  <c r="D45" i="12"/>
  <c r="E95" i="12" l="1"/>
  <c r="D46" i="12"/>
  <c r="I35" i="12"/>
  <c r="E96" i="12" l="1"/>
  <c r="D47" i="12"/>
  <c r="D48" i="12" s="1"/>
  <c r="D49" i="12" s="1"/>
  <c r="D50" i="12" s="1"/>
  <c r="I43" i="12"/>
  <c r="D51" i="12" l="1"/>
  <c r="D52" i="12" s="1"/>
  <c r="D53" i="12" s="1"/>
  <c r="E97" i="12"/>
  <c r="E98" i="12" l="1"/>
  <c r="E99" i="12" s="1"/>
  <c r="D54" i="12" l="1"/>
  <c r="I45" i="12"/>
  <c r="E100" i="12" l="1"/>
  <c r="D55" i="12"/>
  <c r="I91" i="12" l="1"/>
  <c r="D56" i="12"/>
  <c r="D57" i="12" l="1"/>
  <c r="D58" i="12" l="1"/>
  <c r="D59" i="12" s="1"/>
  <c r="M21" i="11" l="1"/>
  <c r="I56" i="12" l="1"/>
  <c r="D60" i="12" l="1"/>
  <c r="D61" i="12" s="1"/>
  <c r="I51" i="12" l="1"/>
  <c r="D62" i="12"/>
  <c r="D63" i="12" l="1"/>
  <c r="D64" i="12" l="1"/>
  <c r="D65" i="12" l="1"/>
  <c r="D66" i="12" l="1"/>
  <c r="D67" i="12" s="1"/>
  <c r="I65" i="12" l="1"/>
  <c r="H56" i="12"/>
  <c r="B56" i="12" s="1"/>
  <c r="D68" i="12" l="1"/>
  <c r="I60" i="12" s="1"/>
  <c r="E101" i="12" l="1"/>
  <c r="E102" i="12" s="1"/>
  <c r="D69" i="12"/>
  <c r="E103" i="12" l="1"/>
  <c r="H95" i="12"/>
  <c r="H83" i="12"/>
  <c r="B83" i="12" s="1"/>
  <c r="H80" i="12"/>
  <c r="B80" i="12" s="1"/>
  <c r="H91" i="12"/>
  <c r="B91" i="12" s="1"/>
  <c r="H72" i="12"/>
  <c r="I72" i="12"/>
  <c r="I63" i="12"/>
  <c r="B63" i="12" s="1"/>
  <c r="I24" i="12"/>
  <c r="B24" i="12" s="1"/>
  <c r="I21" i="12"/>
  <c r="B21" i="12" s="1"/>
  <c r="D70" i="12"/>
  <c r="E104" i="12" l="1"/>
  <c r="E105" i="12" s="1"/>
  <c r="E137" i="12"/>
  <c r="E138" i="12" s="1"/>
  <c r="B72" i="12"/>
  <c r="D71" i="12"/>
  <c r="D72" i="12" s="1"/>
  <c r="D73" i="12" s="1"/>
  <c r="I76" i="12" l="1"/>
  <c r="B76" i="12" s="1"/>
  <c r="I39" i="12"/>
  <c r="B39" i="12" s="1"/>
  <c r="E106" i="12"/>
  <c r="E107" i="12" s="1"/>
  <c r="E108" i="12" s="1"/>
  <c r="E109" i="12" s="1"/>
  <c r="E110" i="12" s="1"/>
  <c r="D74" i="12"/>
  <c r="D75" i="12" s="1"/>
  <c r="D76" i="12" s="1"/>
  <c r="I68" i="12"/>
  <c r="E111" i="12" l="1"/>
  <c r="D77" i="12"/>
  <c r="Q21" i="11"/>
  <c r="S21" i="11"/>
  <c r="E112" i="12" l="1"/>
  <c r="R21" i="11"/>
  <c r="P22" i="11"/>
  <c r="T21" i="11"/>
  <c r="AC21" i="11"/>
  <c r="AC22" i="11" s="1"/>
  <c r="V21" i="11"/>
  <c r="U21" i="11"/>
  <c r="W21" i="11"/>
  <c r="E113" i="12" l="1"/>
  <c r="Q22" i="11"/>
  <c r="E114" i="12" l="1"/>
  <c r="D78" i="12"/>
  <c r="R22" i="11"/>
  <c r="E115" i="12" l="1"/>
  <c r="D79" i="12"/>
  <c r="S22" i="11"/>
  <c r="T22" i="11" s="1"/>
  <c r="E116" i="12" l="1"/>
  <c r="E117" i="12" s="1"/>
  <c r="E118" i="12" s="1"/>
  <c r="D80" i="12"/>
  <c r="U22" i="11"/>
  <c r="E119" i="12" l="1"/>
  <c r="I102" i="12"/>
  <c r="I110" i="12"/>
  <c r="I71" i="12"/>
  <c r="V22" i="11"/>
  <c r="E120" i="12" l="1"/>
  <c r="D81" i="12"/>
  <c r="W22" i="11"/>
  <c r="E121" i="12" l="1"/>
  <c r="E122" i="12" s="1"/>
  <c r="E123" i="12" s="1"/>
  <c r="E124" i="12" s="1"/>
  <c r="E125" i="12" s="1"/>
  <c r="E126" i="12" s="1"/>
  <c r="E127" i="12" s="1"/>
  <c r="E128" i="12" s="1"/>
  <c r="E129" i="12" s="1"/>
  <c r="E130" i="12" s="1"/>
  <c r="E131" i="12" s="1"/>
  <c r="D82" i="12"/>
  <c r="D83" i="12" s="1"/>
  <c r="D84" i="12" s="1"/>
  <c r="D85" i="12" s="1"/>
  <c r="D86" i="12" s="1"/>
  <c r="E132" i="12" l="1"/>
  <c r="I118" i="12"/>
  <c r="D87" i="12"/>
  <c r="E133" i="12" l="1"/>
  <c r="E134" i="12" s="1"/>
  <c r="E135" i="12" s="1"/>
  <c r="E136" i="12" s="1"/>
  <c r="D88" i="12"/>
  <c r="D89" i="12" s="1"/>
  <c r="D90" i="12" s="1"/>
  <c r="D91" i="12" s="1"/>
  <c r="D92" i="12" s="1"/>
  <c r="D93" i="12" s="1"/>
  <c r="D94" i="12" s="1"/>
  <c r="D95" i="12" s="1"/>
  <c r="D96" i="12" s="1"/>
  <c r="D97" i="12" s="1"/>
  <c r="D98" i="12" s="1"/>
  <c r="D99" i="12" l="1"/>
  <c r="D100" i="12" s="1"/>
  <c r="D101" i="12" l="1"/>
  <c r="I79" i="12" l="1"/>
  <c r="D102" i="12"/>
  <c r="D103" i="12" s="1"/>
  <c r="D104" i="12" l="1"/>
  <c r="D105" i="12" s="1"/>
  <c r="D106" i="12" l="1"/>
  <c r="D107" i="12" s="1"/>
  <c r="D108" i="12" s="1"/>
  <c r="D109" i="12" s="1"/>
  <c r="D110" i="12" s="1"/>
  <c r="D111" i="12" s="1"/>
  <c r="D112" i="12" s="1"/>
  <c r="D113" i="12" s="1"/>
  <c r="D114" i="12" s="1"/>
  <c r="D115" i="12" s="1"/>
  <c r="D116" i="12" s="1"/>
  <c r="D117" i="12" s="1"/>
  <c r="D118" i="12" s="1"/>
  <c r="D119" i="12" s="1"/>
  <c r="D120" i="12" l="1"/>
  <c r="D121" i="12" s="1"/>
  <c r="D122" i="12" s="1"/>
  <c r="D123" i="12" s="1"/>
  <c r="D124" i="12" s="1"/>
  <c r="D125" i="12" s="1"/>
  <c r="D126" i="12" s="1"/>
  <c r="D127" i="12" s="1"/>
  <c r="D128" i="12" s="1"/>
  <c r="D129" i="12" s="1"/>
  <c r="D130" i="12" s="1"/>
  <c r="D131" i="12" s="1"/>
  <c r="D132" i="12" s="1"/>
  <c r="D133" i="12" s="1"/>
  <c r="D134" i="12" l="1"/>
  <c r="I131" i="12"/>
  <c r="D135" i="12" l="1"/>
  <c r="I101" i="12"/>
  <c r="H118" i="12"/>
  <c r="B118" i="12" s="1"/>
  <c r="H110" i="12"/>
  <c r="B110" i="12" s="1"/>
  <c r="H102" i="12"/>
  <c r="B102" i="12" s="1"/>
  <c r="H131" i="12"/>
  <c r="B131" i="12" s="1"/>
  <c r="I95" i="12"/>
  <c r="B95" i="12" s="1"/>
  <c r="D136" i="12" l="1"/>
  <c r="D137" i="12" l="1"/>
  <c r="I134" i="12" s="1"/>
  <c r="H65" i="12"/>
  <c r="B65" i="12" s="1"/>
  <c r="D138" i="12" l="1"/>
  <c r="H134" i="12" s="1"/>
  <c r="B134" i="12" s="1"/>
  <c r="H17" i="12"/>
  <c r="B17" i="12" s="1"/>
  <c r="H14" i="12" l="1"/>
  <c r="B14" i="12" s="1"/>
  <c r="I137" i="12"/>
  <c r="H43" i="12"/>
  <c r="B43" i="12" s="1"/>
  <c r="H35" i="12"/>
  <c r="B35" i="12" s="1"/>
  <c r="H23" i="12"/>
  <c r="B23" i="12" s="1"/>
  <c r="H137" i="12"/>
  <c r="H101" i="12"/>
  <c r="B101" i="12" s="1"/>
  <c r="H51" i="12"/>
  <c r="B51" i="12" s="1"/>
  <c r="H71" i="12"/>
  <c r="B71" i="12" s="1"/>
  <c r="H45" i="12"/>
  <c r="B45" i="12" s="1"/>
  <c r="H68" i="12"/>
  <c r="B68" i="12" s="1"/>
  <c r="H60" i="12"/>
  <c r="B60" i="12" s="1"/>
  <c r="H30" i="12"/>
  <c r="B30" i="12" s="1"/>
  <c r="H79" i="12"/>
  <c r="B79" i="12" s="1"/>
  <c r="C14" i="12"/>
  <c r="B137" i="12" l="1"/>
  <c r="K14" i="12"/>
  <c r="C15" i="12"/>
  <c r="K15" i="12" s="1"/>
  <c r="B15" i="13" s="1"/>
  <c r="L21" i="11" l="1"/>
  <c r="B14" i="13"/>
  <c r="C16" i="12"/>
  <c r="K16" i="12" l="1"/>
  <c r="B16" i="13" s="1"/>
  <c r="C17" i="12"/>
  <c r="K17" i="12" l="1"/>
  <c r="L24" i="11" s="1"/>
  <c r="C18" i="12"/>
  <c r="B17" i="13" l="1"/>
  <c r="K18" i="12"/>
  <c r="B18" i="13" s="1"/>
  <c r="C19" i="12"/>
  <c r="C20" i="12" s="1"/>
  <c r="K20" i="12" s="1"/>
  <c r="B20" i="13" s="1"/>
  <c r="C21" i="12" l="1"/>
  <c r="K19" i="12"/>
  <c r="B19" i="13" s="1"/>
  <c r="K21" i="12" l="1"/>
  <c r="B21" i="13" s="1"/>
  <c r="C22" i="12"/>
  <c r="K22" i="12" l="1"/>
  <c r="B22" i="13" s="1"/>
  <c r="C23" i="12" l="1"/>
  <c r="K23" i="12" l="1"/>
  <c r="C24" i="12"/>
  <c r="L27" i="11" l="1"/>
  <c r="B23" i="13"/>
  <c r="K24" i="12"/>
  <c r="B24" i="13" s="1"/>
  <c r="C25" i="12" l="1"/>
  <c r="C26" i="12" l="1"/>
  <c r="C27" i="12" s="1"/>
  <c r="K27" i="12" s="1"/>
  <c r="B27" i="13" s="1"/>
  <c r="K25" i="12"/>
  <c r="B25" i="13" s="1"/>
  <c r="K26" i="12" l="1"/>
  <c r="B26" i="13" s="1"/>
  <c r="C28" i="12"/>
  <c r="C29" i="12" l="1"/>
  <c r="K28" i="12"/>
  <c r="B28" i="13" s="1"/>
  <c r="K29" i="12" l="1"/>
  <c r="B29" i="13" s="1"/>
  <c r="C30" i="12" l="1"/>
  <c r="C31" i="12" l="1"/>
  <c r="K30" i="12"/>
  <c r="L30" i="11" s="1"/>
  <c r="B30" i="13" l="1"/>
  <c r="K31" i="12"/>
  <c r="B31" i="13" s="1"/>
  <c r="C32" i="12"/>
  <c r="C33" i="12" l="1"/>
  <c r="K33" i="12" s="1"/>
  <c r="B33" i="13" s="1"/>
  <c r="K32" i="12"/>
  <c r="B32" i="13" s="1"/>
  <c r="C34" i="12" l="1"/>
  <c r="K34" i="12" s="1"/>
  <c r="B34" i="13" s="1"/>
  <c r="C35" i="12" l="1"/>
  <c r="C36" i="12" l="1"/>
  <c r="K35" i="12"/>
  <c r="L33" i="11" l="1"/>
  <c r="B35" i="13"/>
  <c r="C37" i="12"/>
  <c r="K36" i="12"/>
  <c r="B36" i="13" s="1"/>
  <c r="C38" i="12" l="1"/>
  <c r="K37" i="12"/>
  <c r="B37" i="13" s="1"/>
  <c r="K38" i="12" l="1"/>
  <c r="B38" i="13" s="1"/>
  <c r="C39" i="12" l="1"/>
  <c r="K39" i="12" l="1"/>
  <c r="B39" i="13" s="1"/>
  <c r="C40" i="12"/>
  <c r="C41" i="12" l="1"/>
  <c r="C42" i="12" s="1"/>
  <c r="K42" i="12" s="1"/>
  <c r="B42" i="13" s="1"/>
  <c r="K40" i="12"/>
  <c r="B40" i="13" s="1"/>
  <c r="K41" i="12" l="1"/>
  <c r="B41" i="13" s="1"/>
  <c r="C43" i="12" l="1"/>
  <c r="K43" i="12" l="1"/>
  <c r="L36" i="11" s="1"/>
  <c r="C44" i="12"/>
  <c r="B43" i="13" l="1"/>
  <c r="K44" i="12"/>
  <c r="B44" i="13" s="1"/>
  <c r="C45" i="12" l="1"/>
  <c r="C46" i="12" l="1"/>
  <c r="K45" i="12"/>
  <c r="L39" i="11" l="1"/>
  <c r="B45" i="13"/>
  <c r="C47" i="12"/>
  <c r="C48" i="12" s="1"/>
  <c r="K46" i="12"/>
  <c r="B46" i="13" s="1"/>
  <c r="K48" i="12" l="1"/>
  <c r="B48" i="13" s="1"/>
  <c r="C49" i="12"/>
  <c r="K47" i="12"/>
  <c r="B47" i="13" s="1"/>
  <c r="C50" i="12" l="1"/>
  <c r="K49" i="12"/>
  <c r="B49" i="13" s="1"/>
  <c r="K50" i="12" l="1"/>
  <c r="B50" i="13" s="1"/>
  <c r="C51" i="12"/>
  <c r="K51" i="12" l="1"/>
  <c r="C52" i="12"/>
  <c r="C53" i="12" l="1"/>
  <c r="K52" i="12"/>
  <c r="B52" i="13" s="1"/>
  <c r="L42" i="11"/>
  <c r="B51" i="13"/>
  <c r="K53" i="12" l="1"/>
  <c r="B53" i="13" s="1"/>
  <c r="C54" i="12"/>
  <c r="K54" i="12" l="1"/>
  <c r="B54" i="13" s="1"/>
  <c r="C55" i="12"/>
  <c r="K55" i="12" s="1"/>
  <c r="B55" i="13" s="1"/>
  <c r="C56" i="12" l="1"/>
  <c r="C57" i="12" s="1"/>
  <c r="K56" i="12" l="1"/>
  <c r="B56" i="13" s="1"/>
  <c r="C58" i="12"/>
  <c r="C59" i="12" s="1"/>
  <c r="K59" i="12" s="1"/>
  <c r="B59" i="13" s="1"/>
  <c r="K57" i="12"/>
  <c r="B57" i="13" s="1"/>
  <c r="K58" i="12" l="1"/>
  <c r="B58" i="13" s="1"/>
  <c r="C60" i="12" l="1"/>
  <c r="C61" i="12" l="1"/>
  <c r="K60" i="12"/>
  <c r="L45" i="11" s="1"/>
  <c r="B60" i="13" l="1"/>
  <c r="K61" i="12"/>
  <c r="B61" i="13" s="1"/>
  <c r="C62" i="12" l="1"/>
  <c r="K62" i="12" l="1"/>
  <c r="B62" i="13" s="1"/>
  <c r="C63" i="12" l="1"/>
  <c r="K63" i="12" s="1"/>
  <c r="B63" i="13" s="1"/>
  <c r="C64" i="12" l="1"/>
  <c r="C65" i="12" s="1"/>
  <c r="K64" i="12" l="1"/>
  <c r="B64" i="13" s="1"/>
  <c r="C66" i="12"/>
  <c r="K65" i="12"/>
  <c r="B65" i="13" s="1"/>
  <c r="S42" i="11"/>
  <c r="W42" i="11"/>
  <c r="V42" i="11"/>
  <c r="T42" i="11"/>
  <c r="U42" i="11"/>
  <c r="K66" i="12" l="1"/>
  <c r="B66" i="13" s="1"/>
  <c r="C67" i="12"/>
  <c r="K67" i="12" s="1"/>
  <c r="B67" i="13" s="1"/>
  <c r="P42" i="11"/>
  <c r="P43" i="11" s="1"/>
  <c r="AC42" i="11"/>
  <c r="AC43" i="11" s="1"/>
  <c r="Q43" i="11" l="1"/>
  <c r="R43" i="11" l="1"/>
  <c r="S43" i="11" s="1"/>
  <c r="T43" i="11" l="1"/>
  <c r="U43" i="11" l="1"/>
  <c r="C68" i="12" l="1"/>
  <c r="V43" i="11"/>
  <c r="K68" i="12" l="1"/>
  <c r="L48" i="11" s="1"/>
  <c r="C69" i="12"/>
  <c r="W43" i="11"/>
  <c r="B68" i="13" l="1"/>
  <c r="K69" i="12"/>
  <c r="B69" i="13" s="1"/>
  <c r="C70" i="12"/>
  <c r="K70" i="12" l="1"/>
  <c r="B70" i="13" s="1"/>
  <c r="C71" i="12" l="1"/>
  <c r="C72" i="12" s="1"/>
  <c r="C73" i="12" l="1"/>
  <c r="C74" i="12" s="1"/>
  <c r="K72" i="12"/>
  <c r="B72" i="13" s="1"/>
  <c r="K71" i="12"/>
  <c r="L51" i="11" s="1"/>
  <c r="C75" i="12" l="1"/>
  <c r="K75" i="12" s="1"/>
  <c r="B75" i="13" s="1"/>
  <c r="K74" i="12"/>
  <c r="B74" i="13" s="1"/>
  <c r="K73" i="12"/>
  <c r="B73" i="13" s="1"/>
  <c r="B71" i="13"/>
  <c r="C76" i="12" l="1"/>
  <c r="K76" i="12" s="1"/>
  <c r="B76" i="13" s="1"/>
  <c r="C77" i="12" l="1"/>
  <c r="K77" i="12" l="1"/>
  <c r="B77" i="13" s="1"/>
  <c r="C78" i="12"/>
  <c r="C79" i="12" l="1"/>
  <c r="K78" i="12"/>
  <c r="B78" i="13" s="1"/>
  <c r="K79" i="12" l="1"/>
  <c r="L54" i="11" s="1"/>
  <c r="C80" i="12"/>
  <c r="B79" i="13" l="1"/>
  <c r="K80" i="12"/>
  <c r="B80" i="13" s="1"/>
  <c r="C81" i="12" l="1"/>
  <c r="C82" i="12" l="1"/>
  <c r="K81" i="12"/>
  <c r="B81" i="13" s="1"/>
  <c r="K82" i="12" l="1"/>
  <c r="B82" i="13" s="1"/>
  <c r="C83" i="12" l="1"/>
  <c r="C84" i="12" l="1"/>
  <c r="K83" i="12"/>
  <c r="B83" i="13" s="1"/>
  <c r="K84" i="12" l="1"/>
  <c r="B84" i="13" s="1"/>
  <c r="C85" i="12"/>
  <c r="C86" i="12" l="1"/>
  <c r="K85" i="12"/>
  <c r="B85" i="13" s="1"/>
  <c r="K86" i="12" l="1"/>
  <c r="B86" i="13" s="1"/>
  <c r="C87" i="12" l="1"/>
  <c r="K87" i="12" l="1"/>
  <c r="B87" i="13" s="1"/>
  <c r="C88" i="12"/>
  <c r="K88" i="12" l="1"/>
  <c r="B88" i="13" s="1"/>
  <c r="C89" i="12"/>
  <c r="C90" i="12" l="1"/>
  <c r="K89" i="12"/>
  <c r="B89" i="13" s="1"/>
  <c r="C91" i="12" l="1"/>
  <c r="K90" i="12"/>
  <c r="B90" i="13" s="1"/>
  <c r="K91" i="12" l="1"/>
  <c r="B91" i="13" s="1"/>
  <c r="C92" i="12"/>
  <c r="K92" i="12" s="1"/>
  <c r="B92" i="13" s="1"/>
  <c r="C93" i="12" l="1"/>
  <c r="C94" i="12" s="1"/>
  <c r="K93" i="12" l="1"/>
  <c r="B93" i="13" s="1"/>
  <c r="K94" i="12"/>
  <c r="B94" i="13" s="1"/>
  <c r="C95" i="12"/>
  <c r="K95" i="12" l="1"/>
  <c r="B95" i="13" s="1"/>
  <c r="C96" i="12"/>
  <c r="C97" i="12" l="1"/>
  <c r="K96" i="12"/>
  <c r="B96" i="13" s="1"/>
  <c r="C98" i="12" l="1"/>
  <c r="C99" i="12" s="1"/>
  <c r="K97" i="12"/>
  <c r="B97" i="13" s="1"/>
  <c r="K99" i="12" l="1"/>
  <c r="B99" i="13" s="1"/>
  <c r="K98" i="12"/>
  <c r="B98" i="13" s="1"/>
  <c r="C100" i="12" l="1"/>
  <c r="K100" i="12" l="1"/>
  <c r="B100" i="13" s="1"/>
  <c r="C101" i="12" l="1"/>
  <c r="C102" i="12" s="1"/>
  <c r="K102" i="12" s="1"/>
  <c r="B102" i="13" s="1"/>
  <c r="C103" i="12" l="1"/>
  <c r="K101" i="12"/>
  <c r="L57" i="11" s="1"/>
  <c r="B101" i="13" l="1"/>
  <c r="K103" i="12"/>
  <c r="B103" i="13" s="1"/>
  <c r="C104" i="12"/>
  <c r="C105" i="12" s="1"/>
  <c r="C106" i="12" l="1"/>
  <c r="K105" i="12"/>
  <c r="B105" i="13" s="1"/>
  <c r="K104" i="12"/>
  <c r="B104" i="13" s="1"/>
  <c r="K106" i="12" l="1"/>
  <c r="B106" i="13" s="1"/>
  <c r="C107" i="12"/>
  <c r="K107" i="12" l="1"/>
  <c r="B107" i="13" s="1"/>
  <c r="C108" i="12"/>
  <c r="K108" i="12" l="1"/>
  <c r="B108" i="13" s="1"/>
  <c r="C109" i="12" l="1"/>
  <c r="K109" i="12" l="1"/>
  <c r="B109" i="13" s="1"/>
  <c r="C110" i="12"/>
  <c r="K110" i="12" l="1"/>
  <c r="B110" i="13" s="1"/>
  <c r="C111" i="12"/>
  <c r="K111" i="12" l="1"/>
  <c r="B111" i="13" s="1"/>
  <c r="C112" i="12"/>
  <c r="C113" i="12" l="1"/>
  <c r="K112" i="12"/>
  <c r="B112" i="13" s="1"/>
  <c r="W48" i="11"/>
  <c r="T36" i="11"/>
  <c r="W36" i="11"/>
  <c r="V48" i="11"/>
  <c r="S48" i="11"/>
  <c r="Q45" i="11"/>
  <c r="V33" i="11"/>
  <c r="U45" i="11"/>
  <c r="W33" i="11"/>
  <c r="R27" i="11"/>
  <c r="W27" i="11"/>
  <c r="T45" i="11"/>
  <c r="W45" i="11"/>
  <c r="R45" i="11"/>
  <c r="S33" i="11"/>
  <c r="V27" i="11"/>
  <c r="U27" i="11"/>
  <c r="T27" i="11"/>
  <c r="S27" i="11"/>
  <c r="Q27" i="11"/>
  <c r="P28" i="11"/>
  <c r="U33" i="11"/>
  <c r="T33" i="11"/>
  <c r="R33" i="11"/>
  <c r="P34" i="11"/>
  <c r="V45" i="11"/>
  <c r="P45" i="11"/>
  <c r="P46" i="11" s="1"/>
  <c r="AC27" i="11"/>
  <c r="AC28" i="11" s="1"/>
  <c r="AC33" i="11"/>
  <c r="AC34" i="11" s="1"/>
  <c r="AC45" i="11"/>
  <c r="AC46" i="11" s="1"/>
  <c r="C114" i="12" l="1"/>
  <c r="K113" i="12"/>
  <c r="B113" i="13" s="1"/>
  <c r="Q34" i="11"/>
  <c r="R34" i="11" s="1"/>
  <c r="V36" i="11"/>
  <c r="P48" i="11"/>
  <c r="P49" i="11" s="1"/>
  <c r="Q48" i="11" s="1"/>
  <c r="Q46" i="11"/>
  <c r="R46" i="11" s="1"/>
  <c r="Q28" i="11"/>
  <c r="Q36" i="11"/>
  <c r="K114" i="12" l="1"/>
  <c r="B114" i="13" s="1"/>
  <c r="C115" i="12"/>
  <c r="Q30" i="11"/>
  <c r="S34" i="11"/>
  <c r="R28" i="11"/>
  <c r="S46" i="11"/>
  <c r="K115" i="12" l="1"/>
  <c r="B115" i="13" s="1"/>
  <c r="C116" i="12"/>
  <c r="S28" i="11"/>
  <c r="T34" i="11"/>
  <c r="T46" i="11"/>
  <c r="K116" i="12" l="1"/>
  <c r="B116" i="13" s="1"/>
  <c r="C117" i="12"/>
  <c r="U34" i="11"/>
  <c r="T28" i="11"/>
  <c r="U46" i="11"/>
  <c r="K117" i="12" l="1"/>
  <c r="B117" i="13" s="1"/>
  <c r="C118" i="12"/>
  <c r="V34" i="11"/>
  <c r="U28" i="11"/>
  <c r="V46" i="11"/>
  <c r="K118" i="12" l="1"/>
  <c r="B118" i="13" s="1"/>
  <c r="C119" i="12"/>
  <c r="C120" i="12" s="1"/>
  <c r="V28" i="11"/>
  <c r="W34" i="11"/>
  <c r="W46" i="11"/>
  <c r="K120" i="12" l="1"/>
  <c r="B120" i="13" s="1"/>
  <c r="C121" i="12"/>
  <c r="K119" i="12"/>
  <c r="B119" i="13" s="1"/>
  <c r="W30" i="11"/>
  <c r="W28" i="11"/>
  <c r="K121" i="12" l="1"/>
  <c r="B121" i="13" s="1"/>
  <c r="V30" i="11"/>
  <c r="U30" i="11"/>
  <c r="T30" i="11"/>
  <c r="S30" i="11"/>
  <c r="P30" i="11"/>
  <c r="P31" i="11" s="1"/>
  <c r="U48" i="11"/>
  <c r="R48" i="11"/>
  <c r="Q49" i="11"/>
  <c r="AC30" i="11"/>
  <c r="AC31" i="11" s="1"/>
  <c r="AC48" i="11"/>
  <c r="AC49" i="11" s="1"/>
  <c r="C122" i="12" l="1"/>
  <c r="Q31" i="11"/>
  <c r="R49" i="11"/>
  <c r="C123" i="12" l="1"/>
  <c r="K122" i="12"/>
  <c r="B122" i="13" s="1"/>
  <c r="R31" i="11"/>
  <c r="S49" i="11"/>
  <c r="C124" i="12" l="1"/>
  <c r="K123" i="12"/>
  <c r="B123" i="13" s="1"/>
  <c r="S31" i="11"/>
  <c r="T49" i="11"/>
  <c r="K124" i="12" l="1"/>
  <c r="B124" i="13" s="1"/>
  <c r="C125" i="12"/>
  <c r="T31" i="11"/>
  <c r="U49" i="11"/>
  <c r="C126" i="12" l="1"/>
  <c r="K125" i="12"/>
  <c r="B125" i="13" s="1"/>
  <c r="U31" i="11"/>
  <c r="V49" i="11"/>
  <c r="C127" i="12" l="1"/>
  <c r="K126" i="12"/>
  <c r="B126" i="13" s="1"/>
  <c r="V31" i="11"/>
  <c r="W49" i="11"/>
  <c r="K127" i="12" l="1"/>
  <c r="B127" i="13" s="1"/>
  <c r="W31" i="11"/>
  <c r="U36" i="11"/>
  <c r="S36" i="11"/>
  <c r="P36" i="11"/>
  <c r="P37" i="11" s="1"/>
  <c r="AC36" i="11"/>
  <c r="AC37" i="11" s="1"/>
  <c r="C128" i="12" l="1"/>
  <c r="P39" i="11"/>
  <c r="P40" i="11" s="1"/>
  <c r="Q37" i="11"/>
  <c r="K128" i="12" l="1"/>
  <c r="B128" i="13" s="1"/>
  <c r="C129" i="12"/>
  <c r="R37" i="11"/>
  <c r="S37" i="11" s="1"/>
  <c r="Q39" i="11"/>
  <c r="Q40" i="11" s="1"/>
  <c r="C130" i="12" l="1"/>
  <c r="K129" i="12"/>
  <c r="B129" i="13" s="1"/>
  <c r="R40" i="11"/>
  <c r="T37" i="11"/>
  <c r="K130" i="12" l="1"/>
  <c r="B130" i="13" s="1"/>
  <c r="U37" i="11"/>
  <c r="C131" i="12" l="1"/>
  <c r="V37" i="11"/>
  <c r="C132" i="12" l="1"/>
  <c r="K131" i="12"/>
  <c r="B131" i="13" s="1"/>
  <c r="W37" i="11"/>
  <c r="C133" i="12" l="1"/>
  <c r="C134" i="12" s="1"/>
  <c r="K132" i="12"/>
  <c r="B132" i="13" s="1"/>
  <c r="V39" i="11"/>
  <c r="U39" i="11"/>
  <c r="S40" i="11"/>
  <c r="W39" i="11"/>
  <c r="AC39" i="11"/>
  <c r="AC40" i="11" s="1"/>
  <c r="C135" i="12" l="1"/>
  <c r="K134" i="12"/>
  <c r="B134" i="13" s="1"/>
  <c r="K133" i="12"/>
  <c r="B133" i="13" s="1"/>
  <c r="T40" i="11"/>
  <c r="C136" i="12" l="1"/>
  <c r="K136" i="12" s="1"/>
  <c r="B136" i="13" s="1"/>
  <c r="K135" i="12"/>
  <c r="B135" i="13" s="1"/>
  <c r="U40" i="11"/>
  <c r="V40" i="11" l="1"/>
  <c r="W40" i="11" l="1"/>
  <c r="C137" i="12" l="1"/>
  <c r="K137" i="12" l="1"/>
  <c r="C138" i="12"/>
  <c r="K138" i="12" l="1"/>
  <c r="B137" i="13"/>
  <c r="L60" i="11"/>
  <c r="B138" i="13" l="1"/>
  <c r="L63" i="11"/>
  <c r="I13" i="12"/>
  <c r="H13" i="12"/>
  <c r="B13" i="12" l="1"/>
  <c r="B12" i="12" s="1"/>
  <c r="V60" i="11"/>
  <c r="T60" i="11"/>
  <c r="S60" i="11"/>
  <c r="R60" i="11"/>
  <c r="Q60" i="11"/>
  <c r="P60" i="11"/>
  <c r="P61" i="11" s="1"/>
  <c r="W60" i="11"/>
  <c r="AC60" i="11"/>
  <c r="AC61" i="11" s="1"/>
  <c r="AC57" i="11"/>
  <c r="AC58" i="11" s="1"/>
  <c r="U57" i="11"/>
  <c r="V57" i="11"/>
  <c r="P57" i="11"/>
  <c r="P58" i="11" s="1"/>
  <c r="W57" i="11"/>
  <c r="R57" i="11"/>
  <c r="Q57" i="11"/>
  <c r="Q58" i="11" l="1"/>
  <c r="Q61" i="11"/>
  <c r="R61" i="11" l="1"/>
  <c r="R58" i="11"/>
  <c r="S58" i="11" l="1"/>
  <c r="S61" i="11"/>
  <c r="T61" i="11" l="1"/>
  <c r="T58" i="11"/>
  <c r="U58" i="11" l="1"/>
  <c r="U61" i="11"/>
  <c r="V61" i="11" l="1"/>
  <c r="V58" i="11"/>
  <c r="W58" i="11" l="1"/>
  <c r="W61" i="11"/>
  <c r="U54" i="11" l="1"/>
  <c r="W54" i="11"/>
  <c r="R54" i="11"/>
  <c r="Q54" i="11" l="1"/>
  <c r="P54" i="11"/>
  <c r="P55" i="11" s="1"/>
  <c r="V54" i="11"/>
  <c r="AC54" i="11"/>
  <c r="AC55" i="11" s="1"/>
  <c r="Q55" i="11" l="1"/>
  <c r="R55" i="11" l="1"/>
  <c r="S55" i="11" l="1"/>
  <c r="T55" i="11" l="1"/>
  <c r="U55" i="11" l="1"/>
  <c r="V55" i="11" l="1"/>
  <c r="W55" i="11" l="1"/>
  <c r="W24" i="11" l="1"/>
  <c r="V24" i="11"/>
  <c r="U24" i="11"/>
  <c r="T24" i="11"/>
  <c r="S24" i="11"/>
  <c r="R24" i="11"/>
  <c r="Q24" i="11"/>
  <c r="P25" i="11"/>
  <c r="AC24" i="11"/>
  <c r="AC25" i="11" s="1"/>
  <c r="Q25" i="11" l="1"/>
  <c r="R25" i="11" s="1"/>
  <c r="S25" i="11" l="1"/>
  <c r="T25" i="11" l="1"/>
  <c r="U25" i="11" l="1"/>
  <c r="V25" i="11" l="1"/>
  <c r="W25" i="11" l="1"/>
  <c r="X63" i="12" l="1"/>
  <c r="X101" i="12"/>
  <c r="S101" i="12" l="1"/>
  <c r="O63" i="12"/>
  <c r="D63" i="13" s="1"/>
  <c r="C63" i="13"/>
  <c r="Y101" i="12"/>
  <c r="O101" i="12"/>
  <c r="M60" i="11" l="1"/>
  <c r="D101" i="13"/>
  <c r="C101" i="13"/>
  <c r="Y63" i="12" l="1"/>
  <c r="S63" i="12" l="1"/>
  <c r="X131" i="12" l="1"/>
  <c r="O131" i="12" l="1"/>
  <c r="Y131" i="12"/>
  <c r="D131" i="13" l="1"/>
  <c r="C82" i="13" l="1"/>
  <c r="D87" i="13"/>
  <c r="D113" i="13"/>
  <c r="C27" i="13"/>
  <c r="D111" i="13"/>
  <c r="C123" i="13"/>
  <c r="D19" i="13"/>
  <c r="C78" i="13"/>
  <c r="C66" i="13"/>
  <c r="C89" i="13"/>
  <c r="C48" i="13"/>
  <c r="C77" i="13"/>
  <c r="C88" i="13"/>
  <c r="D88" i="13"/>
  <c r="D59" i="13"/>
  <c r="C19" i="13"/>
  <c r="D70" i="13"/>
  <c r="D66" i="13"/>
  <c r="D89" i="13"/>
  <c r="C127" i="13"/>
  <c r="D94" i="13"/>
  <c r="D26" i="13"/>
  <c r="C113" i="13"/>
  <c r="D64" i="13"/>
  <c r="C111" i="13"/>
  <c r="D125" i="13"/>
  <c r="C108" i="13"/>
  <c r="D37" i="13"/>
  <c r="D48" i="13"/>
  <c r="D15" i="13"/>
  <c r="C87" i="13"/>
  <c r="D54" i="13"/>
  <c r="C119" i="13"/>
  <c r="D27" i="13"/>
  <c r="C59" i="13"/>
  <c r="D123" i="13"/>
  <c r="C70" i="13"/>
  <c r="C22" i="13"/>
  <c r="C103" i="13"/>
  <c r="D127" i="13"/>
  <c r="C94" i="13"/>
  <c r="C26" i="13"/>
  <c r="C15" i="13"/>
  <c r="D99" i="13"/>
  <c r="D119" i="13"/>
  <c r="C112" i="13"/>
  <c r="D103" i="13"/>
  <c r="D106" i="13"/>
  <c r="C44" i="13"/>
  <c r="C57" i="13"/>
  <c r="C55" i="13"/>
  <c r="C54" i="13"/>
  <c r="D116" i="13"/>
  <c r="C74" i="13"/>
  <c r="D53" i="13"/>
  <c r="D22" i="13"/>
  <c r="C73" i="13"/>
  <c r="C106" i="13"/>
  <c r="D44" i="13"/>
  <c r="C99" i="13"/>
  <c r="C116" i="13"/>
  <c r="D74" i="13"/>
  <c r="D29" i="13"/>
  <c r="D112" i="13"/>
  <c r="C98" i="13"/>
  <c r="D57" i="13"/>
  <c r="D40" i="13"/>
  <c r="D55" i="13"/>
  <c r="D104" i="13"/>
  <c r="C92" i="13"/>
  <c r="C128" i="13"/>
  <c r="C29" i="13"/>
  <c r="D28" i="13"/>
  <c r="C126" i="13"/>
  <c r="C53" i="13"/>
  <c r="D75" i="13"/>
  <c r="D73" i="13"/>
  <c r="C16" i="13"/>
  <c r="C124" i="13"/>
  <c r="D98" i="13"/>
  <c r="D96" i="13"/>
  <c r="C40" i="13"/>
  <c r="C38" i="13"/>
  <c r="C104" i="13"/>
  <c r="D92" i="13"/>
  <c r="C32" i="13"/>
  <c r="D126" i="13"/>
  <c r="C100" i="13"/>
  <c r="C81" i="13"/>
  <c r="C75" i="13"/>
  <c r="D16" i="13"/>
  <c r="D124" i="13"/>
  <c r="C115" i="13"/>
  <c r="C122" i="13"/>
  <c r="C46" i="13"/>
  <c r="D128" i="13"/>
  <c r="C114" i="13"/>
  <c r="C97" i="13"/>
  <c r="C28" i="13"/>
  <c r="D42" i="13"/>
  <c r="D81" i="13"/>
  <c r="C20" i="13"/>
  <c r="C138" i="13"/>
  <c r="C109" i="13"/>
  <c r="C96" i="13"/>
  <c r="D38" i="13"/>
  <c r="D32" i="13"/>
  <c r="C117" i="13"/>
  <c r="D97" i="13"/>
  <c r="D65" i="13"/>
  <c r="C42" i="13"/>
  <c r="D100" i="13"/>
  <c r="D138" i="13"/>
  <c r="D109" i="13"/>
  <c r="D115" i="13"/>
  <c r="D122" i="13"/>
  <c r="D85" i="13"/>
  <c r="D46" i="13"/>
  <c r="D117" i="13"/>
  <c r="D114" i="13"/>
  <c r="D31" i="13"/>
  <c r="D129" i="13"/>
  <c r="D20" i="13"/>
  <c r="D130" i="13"/>
  <c r="C132" i="13"/>
  <c r="C85" i="13"/>
  <c r="D58" i="13"/>
  <c r="D120" i="13"/>
  <c r="C65" i="13"/>
  <c r="C67" i="13"/>
  <c r="C133" i="13"/>
  <c r="D25" i="13"/>
  <c r="D132" i="13"/>
  <c r="C93" i="13"/>
  <c r="C58" i="13"/>
  <c r="C120" i="13"/>
  <c r="C31" i="13"/>
  <c r="C84" i="13"/>
  <c r="C129" i="13"/>
  <c r="D121" i="13"/>
  <c r="D133" i="13"/>
  <c r="C86" i="13"/>
  <c r="C130" i="13"/>
  <c r="D41" i="13"/>
  <c r="D93" i="13"/>
  <c r="D90" i="13"/>
  <c r="D67" i="13"/>
  <c r="C105" i="13"/>
  <c r="D107" i="13"/>
  <c r="C121" i="13"/>
  <c r="C37" i="13"/>
  <c r="C25" i="13"/>
  <c r="D47" i="13"/>
  <c r="C62" i="13"/>
  <c r="D82" i="13"/>
  <c r="C41" i="13"/>
  <c r="C64" i="13"/>
  <c r="C90" i="13"/>
  <c r="C125" i="13"/>
  <c r="D84" i="13"/>
  <c r="D78" i="13"/>
  <c r="D105" i="13"/>
  <c r="C107" i="13"/>
  <c r="D108" i="13"/>
  <c r="D86" i="13"/>
  <c r="D77" i="13"/>
  <c r="C47" i="13"/>
  <c r="D62" i="13"/>
  <c r="D136" i="13" l="1"/>
  <c r="C136" i="13"/>
  <c r="D135" i="13"/>
  <c r="C135" i="13"/>
  <c r="C50" i="13" l="1"/>
  <c r="D50" i="13"/>
  <c r="D49" i="13"/>
  <c r="C49" i="13"/>
  <c r="F136" i="13" l="1"/>
  <c r="E136" i="13" s="1"/>
  <c r="F135" i="13"/>
  <c r="E135" i="13" s="1"/>
  <c r="S29" i="12" l="1"/>
  <c r="T29" i="12" s="1"/>
  <c r="S125" i="12"/>
  <c r="T125" i="12" s="1"/>
  <c r="S138" i="12"/>
  <c r="T138" i="12" s="1"/>
  <c r="T137" i="12" s="1"/>
  <c r="S113" i="12"/>
  <c r="T113" i="12" s="1"/>
  <c r="S116" i="12"/>
  <c r="T116" i="12" s="1"/>
  <c r="S112" i="12"/>
  <c r="T112" i="12" s="1"/>
  <c r="S129" i="12"/>
  <c r="T129" i="12" s="1"/>
  <c r="S103" i="12"/>
  <c r="T103" i="12" s="1"/>
  <c r="S124" i="12"/>
  <c r="T124" i="12" s="1"/>
  <c r="S123" i="12"/>
  <c r="T123" i="12" s="1"/>
  <c r="S22" i="12"/>
  <c r="T22" i="12" s="1"/>
  <c r="T21" i="12" s="1"/>
  <c r="U21" i="12" s="1"/>
  <c r="S57" i="12"/>
  <c r="T57" i="12" s="1"/>
  <c r="S19" i="12"/>
  <c r="T19" i="12" s="1"/>
  <c r="S20" i="12"/>
  <c r="T20" i="12" s="1"/>
  <c r="S48" i="12"/>
  <c r="T48" i="12" s="1"/>
  <c r="S16" i="12"/>
  <c r="T16" i="12" s="1"/>
  <c r="S38" i="12"/>
  <c r="T38" i="12" s="1"/>
  <c r="S65" i="12"/>
  <c r="T65" i="12" s="1"/>
  <c r="S120" i="12"/>
  <c r="T120" i="12" s="1"/>
  <c r="S15" i="12"/>
  <c r="T15" i="12" s="1"/>
  <c r="S55" i="12"/>
  <c r="T55" i="12" s="1"/>
  <c r="S93" i="12"/>
  <c r="T93" i="12" s="1"/>
  <c r="S122" i="12"/>
  <c r="T122" i="12" s="1"/>
  <c r="S47" i="12"/>
  <c r="T47" i="12" s="1"/>
  <c r="S27" i="12"/>
  <c r="T27" i="12" s="1"/>
  <c r="S81" i="12"/>
  <c r="T81" i="12" s="1"/>
  <c r="S84" i="12"/>
  <c r="T84" i="12" s="1"/>
  <c r="S70" i="12"/>
  <c r="T70" i="12" s="1"/>
  <c r="S78" i="12"/>
  <c r="T78" i="12" s="1"/>
  <c r="S109" i="12"/>
  <c r="T109" i="12" s="1"/>
  <c r="S53" i="12"/>
  <c r="T53" i="12" s="1"/>
  <c r="S89" i="12"/>
  <c r="T89" i="12" s="1"/>
  <c r="S94" i="12"/>
  <c r="T94" i="12" s="1"/>
  <c r="S107" i="12"/>
  <c r="T107" i="12" s="1"/>
  <c r="S99" i="12"/>
  <c r="T99" i="12" s="1"/>
  <c r="S44" i="12"/>
  <c r="T44" i="12" s="1"/>
  <c r="T43" i="12" s="1"/>
  <c r="S96" i="12"/>
  <c r="T96" i="12" s="1"/>
  <c r="S85" i="12"/>
  <c r="T85" i="12" s="1"/>
  <c r="S98" i="12"/>
  <c r="T98" i="12" s="1"/>
  <c r="S117" i="12"/>
  <c r="T117" i="12" s="1"/>
  <c r="S106" i="12"/>
  <c r="T106" i="12" s="1"/>
  <c r="S28" i="12"/>
  <c r="T28" i="12" s="1"/>
  <c r="S87" i="12"/>
  <c r="T87" i="12" s="1"/>
  <c r="S37" i="12"/>
  <c r="T37" i="12" s="1"/>
  <c r="S32" i="12"/>
  <c r="T32" i="12" s="1"/>
  <c r="S73" i="12"/>
  <c r="T73" i="12" s="1"/>
  <c r="S104" i="12"/>
  <c r="T104" i="12" s="1"/>
  <c r="S54" i="12"/>
  <c r="T54" i="12" s="1"/>
  <c r="S42" i="12"/>
  <c r="T42" i="12" s="1"/>
  <c r="S41" i="12"/>
  <c r="T41" i="12" s="1"/>
  <c r="S40" i="12"/>
  <c r="T40" i="12" s="1"/>
  <c r="S114" i="12"/>
  <c r="T114" i="12" s="1"/>
  <c r="S97" i="12"/>
  <c r="T97" i="12" s="1"/>
  <c r="S59" i="12"/>
  <c r="T59" i="12" s="1"/>
  <c r="S31" i="12"/>
  <c r="T31" i="12" s="1"/>
  <c r="S33" i="12"/>
  <c r="T33" i="12" s="1"/>
  <c r="S105" i="12"/>
  <c r="T105" i="12" s="1"/>
  <c r="S108" i="12"/>
  <c r="T108" i="12" s="1"/>
  <c r="S92" i="12"/>
  <c r="T92" i="12" s="1"/>
  <c r="S100" i="12"/>
  <c r="T100" i="12" s="1"/>
  <c r="S127" i="12"/>
  <c r="T127" i="12" s="1"/>
  <c r="S58" i="12"/>
  <c r="T58" i="12" s="1"/>
  <c r="S64" i="12"/>
  <c r="T64" i="12" s="1"/>
  <c r="S75" i="12"/>
  <c r="T75" i="12" s="1"/>
  <c r="S66" i="12"/>
  <c r="T66" i="12" s="1"/>
  <c r="S130" i="12"/>
  <c r="T130" i="12" s="1"/>
  <c r="S25" i="12"/>
  <c r="T25" i="12" s="1"/>
  <c r="S128" i="12"/>
  <c r="T128" i="12" s="1"/>
  <c r="S49" i="12"/>
  <c r="T49" i="12" s="1"/>
  <c r="S67" i="12"/>
  <c r="T67" i="12" s="1"/>
  <c r="S90" i="12"/>
  <c r="T90" i="12" s="1"/>
  <c r="S126" i="12"/>
  <c r="T126" i="12" s="1"/>
  <c r="S26" i="12"/>
  <c r="T26" i="12" s="1"/>
  <c r="S74" i="12"/>
  <c r="T74" i="12" s="1"/>
  <c r="S50" i="12"/>
  <c r="T50" i="12" s="1"/>
  <c r="S46" i="12"/>
  <c r="T46" i="12" s="1"/>
  <c r="S88" i="12"/>
  <c r="T88" i="12" s="1"/>
  <c r="S77" i="12"/>
  <c r="T77" i="12" s="1"/>
  <c r="S121" i="12"/>
  <c r="T121" i="12" s="1"/>
  <c r="S115" i="12"/>
  <c r="T115" i="12" s="1"/>
  <c r="S86" i="12"/>
  <c r="T86" i="12" s="1"/>
  <c r="S82" i="12"/>
  <c r="T82" i="12" s="1"/>
  <c r="T63" i="12" l="1"/>
  <c r="U63" i="12" s="1"/>
  <c r="T91" i="12"/>
  <c r="U91" i="12" s="1"/>
  <c r="T36" i="12"/>
  <c r="U36" i="12" s="1"/>
  <c r="T35" i="12"/>
  <c r="T69" i="12"/>
  <c r="U69" i="12" s="1"/>
  <c r="T68" i="12"/>
  <c r="T17" i="12"/>
  <c r="T18" i="12"/>
  <c r="U18" i="12" s="1"/>
  <c r="T83" i="12"/>
  <c r="U83" i="12" s="1"/>
  <c r="T79" i="12"/>
  <c r="T80" i="12"/>
  <c r="U80" i="12" s="1"/>
  <c r="T56" i="12"/>
  <c r="U56" i="12" s="1"/>
  <c r="T30" i="12"/>
  <c r="T23" i="12"/>
  <c r="T24" i="12"/>
  <c r="U24" i="12" s="1"/>
  <c r="T102" i="12"/>
  <c r="U102" i="12" s="1"/>
  <c r="T72" i="12"/>
  <c r="U72" i="12" s="1"/>
  <c r="T71" i="12"/>
  <c r="T95" i="12"/>
  <c r="U95" i="12" s="1"/>
  <c r="K38" i="11"/>
  <c r="N36" i="11" s="1"/>
  <c r="U43" i="12"/>
  <c r="T39" i="12"/>
  <c r="U39" i="12" s="1"/>
  <c r="T14" i="12"/>
  <c r="T76" i="12"/>
  <c r="U76" i="12" s="1"/>
  <c r="U137" i="12"/>
  <c r="K65" i="11"/>
  <c r="N63" i="11" s="1"/>
  <c r="T45" i="12"/>
  <c r="T51" i="12"/>
  <c r="T52" i="12"/>
  <c r="U52" i="12" s="1"/>
  <c r="S62" i="12" l="1"/>
  <c r="T62" i="12" s="1"/>
  <c r="K29" i="11"/>
  <c r="N27" i="11" s="1"/>
  <c r="U23" i="12"/>
  <c r="U30" i="12"/>
  <c r="K32" i="11"/>
  <c r="N30" i="11" s="1"/>
  <c r="K23" i="11"/>
  <c r="N21" i="11" s="1"/>
  <c r="U14" i="12"/>
  <c r="U79" i="12"/>
  <c r="K56" i="11"/>
  <c r="N54" i="11" s="1"/>
  <c r="K44" i="11"/>
  <c r="N42" i="11" s="1"/>
  <c r="U51" i="12"/>
  <c r="W65" i="11"/>
  <c r="AC65" i="11"/>
  <c r="V65" i="11"/>
  <c r="P65" i="11"/>
  <c r="S65" i="11"/>
  <c r="T65" i="11"/>
  <c r="R65" i="11"/>
  <c r="U65" i="11"/>
  <c r="Q65" i="11"/>
  <c r="V38" i="11"/>
  <c r="Q38" i="11"/>
  <c r="P38" i="11"/>
  <c r="T38" i="11"/>
  <c r="W38" i="11"/>
  <c r="R38" i="11"/>
  <c r="U38" i="11"/>
  <c r="S38" i="11"/>
  <c r="AC38" i="11"/>
  <c r="U17" i="12"/>
  <c r="K26" i="11"/>
  <c r="N24" i="11" s="1"/>
  <c r="K50" i="11"/>
  <c r="N48" i="11" s="1"/>
  <c r="U68" i="12"/>
  <c r="U71" i="12"/>
  <c r="K53" i="11"/>
  <c r="N51" i="11" s="1"/>
  <c r="U35" i="12"/>
  <c r="K35" i="11"/>
  <c r="N33" i="11" s="1"/>
  <c r="K41" i="11"/>
  <c r="N39" i="11" s="1"/>
  <c r="U45" i="12"/>
  <c r="S132" i="12" l="1"/>
  <c r="T132" i="12" s="1"/>
  <c r="S119" i="12"/>
  <c r="T119" i="12" s="1"/>
  <c r="T118" i="12" s="1"/>
  <c r="U118" i="12" s="1"/>
  <c r="S133" i="12"/>
  <c r="T133" i="12" s="1"/>
  <c r="S136" i="12"/>
  <c r="T136" i="12" s="1"/>
  <c r="S111" i="12"/>
  <c r="T111" i="12" s="1"/>
  <c r="S135" i="12"/>
  <c r="T135" i="12" s="1"/>
  <c r="T134" i="12" s="1"/>
  <c r="V44" i="11"/>
  <c r="R44" i="11"/>
  <c r="U44" i="11"/>
  <c r="T44" i="11"/>
  <c r="W44" i="11"/>
  <c r="S44" i="11"/>
  <c r="AC44" i="11"/>
  <c r="Q44" i="11"/>
  <c r="P44" i="11"/>
  <c r="Q56" i="11"/>
  <c r="T56" i="11"/>
  <c r="AC56" i="11"/>
  <c r="P56" i="11"/>
  <c r="W56" i="11"/>
  <c r="S56" i="11"/>
  <c r="V56" i="11"/>
  <c r="R56" i="11"/>
  <c r="U56" i="11"/>
  <c r="W41" i="11"/>
  <c r="R41" i="11"/>
  <c r="U41" i="11"/>
  <c r="AC41" i="11"/>
  <c r="T41" i="11"/>
  <c r="Q41" i="11"/>
  <c r="P41" i="11"/>
  <c r="V41" i="11"/>
  <c r="S41" i="11"/>
  <c r="Q23" i="11"/>
  <c r="T23" i="11"/>
  <c r="V23" i="11"/>
  <c r="AC23" i="11"/>
  <c r="S23" i="11"/>
  <c r="R23" i="11"/>
  <c r="W23" i="11"/>
  <c r="U23" i="11"/>
  <c r="P23" i="11"/>
  <c r="AC50" i="11"/>
  <c r="V50" i="11"/>
  <c r="S50" i="11"/>
  <c r="U50" i="11"/>
  <c r="P50" i="11"/>
  <c r="R50" i="11"/>
  <c r="Q50" i="11"/>
  <c r="T50" i="11"/>
  <c r="W50" i="11"/>
  <c r="S35" i="11"/>
  <c r="W35" i="11"/>
  <c r="P35" i="11"/>
  <c r="AC35" i="11"/>
  <c r="Q35" i="11"/>
  <c r="U35" i="11"/>
  <c r="T35" i="11"/>
  <c r="V35" i="11"/>
  <c r="R35" i="11"/>
  <c r="P32" i="11"/>
  <c r="S32" i="11"/>
  <c r="U32" i="11"/>
  <c r="T32" i="11"/>
  <c r="Q32" i="11"/>
  <c r="V32" i="11"/>
  <c r="W32" i="11"/>
  <c r="AC32" i="11"/>
  <c r="R32" i="11"/>
  <c r="AC26" i="11"/>
  <c r="U26" i="11"/>
  <c r="Q26" i="11"/>
  <c r="T26" i="11"/>
  <c r="V26" i="11"/>
  <c r="S26" i="11"/>
  <c r="R26" i="11"/>
  <c r="W26" i="11"/>
  <c r="P26" i="11"/>
  <c r="V53" i="11"/>
  <c r="T53" i="11"/>
  <c r="R53" i="11"/>
  <c r="W53" i="11"/>
  <c r="AC53" i="11"/>
  <c r="P53" i="11"/>
  <c r="S53" i="11"/>
  <c r="Q53" i="11"/>
  <c r="U53" i="11"/>
  <c r="R29" i="11"/>
  <c r="T29" i="11"/>
  <c r="V29" i="11"/>
  <c r="W29" i="11"/>
  <c r="S29" i="11"/>
  <c r="Q29" i="11"/>
  <c r="P29" i="11"/>
  <c r="U29" i="11"/>
  <c r="AC29" i="11"/>
  <c r="T60" i="12"/>
  <c r="T61" i="12"/>
  <c r="U61" i="12" s="1"/>
  <c r="T13" i="12"/>
  <c r="T12" i="12"/>
  <c r="N14" i="11" s="1"/>
  <c r="U134" i="12" l="1"/>
  <c r="K62" i="11"/>
  <c r="N60" i="11" s="1"/>
  <c r="T110" i="12"/>
  <c r="U110" i="12" s="1"/>
  <c r="T101" i="12"/>
  <c r="K20" i="11"/>
  <c r="N18" i="11" s="1"/>
  <c r="U13" i="12"/>
  <c r="U60" i="12"/>
  <c r="K47" i="11"/>
  <c r="N45" i="11" s="1"/>
  <c r="T131" i="12"/>
  <c r="U131" i="12" s="1"/>
  <c r="Q47" i="11" l="1"/>
  <c r="W47" i="11"/>
  <c r="T47" i="11"/>
  <c r="U47" i="11"/>
  <c r="V47" i="11"/>
  <c r="AC47" i="11"/>
  <c r="P47" i="11"/>
  <c r="S47" i="11"/>
  <c r="R47" i="11"/>
  <c r="V62" i="11"/>
  <c r="R62" i="11"/>
  <c r="W62" i="11"/>
  <c r="AC62" i="11"/>
  <c r="U62" i="11"/>
  <c r="T62" i="11"/>
  <c r="S62" i="11"/>
  <c r="Q62" i="11"/>
  <c r="P62" i="11"/>
  <c r="U101" i="12"/>
  <c r="K59" i="11"/>
  <c r="N57" i="11" s="1"/>
  <c r="W59" i="11" l="1"/>
  <c r="W20" i="11" s="1"/>
  <c r="P59" i="11"/>
  <c r="P20" i="11" s="1"/>
  <c r="S59" i="11"/>
  <c r="S20" i="11" s="1"/>
  <c r="AC59" i="11"/>
  <c r="AC20" i="11" s="1"/>
  <c r="V59" i="11"/>
  <c r="V20" i="11" s="1"/>
  <c r="T59" i="11"/>
  <c r="T20" i="11" s="1"/>
  <c r="Q59" i="11"/>
  <c r="Q20" i="11" s="1"/>
  <c r="U59" i="11"/>
  <c r="U20" i="11" s="1"/>
  <c r="R59" i="11"/>
  <c r="R20" i="11" s="1"/>
  <c r="R17" i="11" l="1"/>
  <c r="R19" i="11"/>
  <c r="V19" i="11"/>
  <c r="V17" i="11"/>
  <c r="Q17" i="11"/>
  <c r="Q19" i="11"/>
  <c r="S17" i="11"/>
  <c r="S19" i="11"/>
  <c r="S18" i="11" s="1"/>
  <c r="U19" i="11"/>
  <c r="U18" i="11" s="1"/>
  <c r="U17" i="11"/>
  <c r="P19" i="11"/>
  <c r="P18" i="11" s="1"/>
  <c r="P17" i="11"/>
  <c r="AC17" i="11"/>
  <c r="AC19" i="11"/>
  <c r="AC18" i="11" s="1"/>
  <c r="W19" i="11"/>
  <c r="W18" i="11" s="1"/>
  <c r="W17" i="11"/>
  <c r="T17" i="11"/>
  <c r="T19" i="11"/>
  <c r="T18" i="11" l="1"/>
  <c r="R18" i="11"/>
  <c r="P16" i="11"/>
  <c r="P15" i="11"/>
  <c r="P14" i="11" s="1"/>
  <c r="U15" i="11"/>
  <c r="U14" i="11" s="1"/>
  <c r="U16" i="11"/>
  <c r="Q16" i="11"/>
  <c r="Q15" i="11"/>
  <c r="Q14" i="11" s="1"/>
  <c r="W16" i="11"/>
  <c r="W15" i="11"/>
  <c r="W14" i="11" s="1"/>
  <c r="V16" i="11"/>
  <c r="V15" i="11"/>
  <c r="V14" i="11" s="1"/>
  <c r="S15" i="11"/>
  <c r="S14" i="11" s="1"/>
  <c r="S16" i="11"/>
  <c r="Q18" i="11"/>
  <c r="V18" i="11"/>
  <c r="AC15" i="11"/>
  <c r="AC14" i="11" s="1"/>
  <c r="AC16" i="11"/>
  <c r="T16" i="11"/>
  <c r="T15" i="11"/>
  <c r="T14" i="11" s="1"/>
  <c r="R16" i="11"/>
  <c r="R15" i="11"/>
  <c r="R14" i="11" s="1"/>
  <c r="L8" i="11" l="1"/>
  <c r="X126" i="12"/>
  <c r="X38" i="12"/>
  <c r="X32" i="12"/>
  <c r="X22" i="12"/>
  <c r="X116" i="12"/>
  <c r="X48" i="12"/>
  <c r="X64" i="12"/>
  <c r="X27" i="12"/>
  <c r="X84" i="12"/>
  <c r="X132" i="12"/>
  <c r="X127" i="12"/>
  <c r="X59" i="12"/>
  <c r="X28" i="12"/>
  <c r="X123" i="12"/>
  <c r="X85" i="12"/>
  <c r="X98" i="12"/>
  <c r="X50" i="12"/>
  <c r="X41" i="12"/>
  <c r="X47" i="12"/>
  <c r="X120" i="12"/>
  <c r="X20" i="12"/>
  <c r="X136" i="12"/>
  <c r="X138" i="12"/>
  <c r="X119" i="12"/>
  <c r="X70" i="12"/>
  <c r="X75" i="12"/>
  <c r="X53" i="12"/>
  <c r="X62" i="12"/>
  <c r="X111" i="12"/>
  <c r="X130" i="12"/>
  <c r="X103" i="12"/>
  <c r="X67" i="12"/>
  <c r="X90" i="12"/>
  <c r="X96" i="12"/>
  <c r="X112" i="12"/>
  <c r="X99" i="12"/>
  <c r="X87" i="12"/>
  <c r="X124" i="12"/>
  <c r="X89" i="12"/>
  <c r="X31" i="12"/>
  <c r="X122" i="12"/>
  <c r="X121" i="12"/>
  <c r="X66" i="12"/>
  <c r="X128" i="12"/>
  <c r="X97" i="12"/>
  <c r="X94" i="12"/>
  <c r="X117" i="12"/>
  <c r="X115" i="12"/>
  <c r="X125" i="12"/>
  <c r="X86" i="12"/>
  <c r="X15" i="12"/>
  <c r="X42" i="12"/>
  <c r="X82" i="12"/>
  <c r="X77" i="12"/>
  <c r="X107" i="12"/>
  <c r="X57" i="12"/>
  <c r="X104" i="12"/>
  <c r="X34" i="12"/>
  <c r="X65" i="12"/>
  <c r="X33" i="12"/>
  <c r="X49" i="12"/>
  <c r="X105" i="12"/>
  <c r="X16" i="12"/>
  <c r="X54" i="12"/>
  <c r="X93" i="12"/>
  <c r="X19" i="12"/>
  <c r="X40" i="12"/>
  <c r="X108" i="12"/>
  <c r="X92" i="12"/>
  <c r="X133" i="12"/>
  <c r="X88" i="12"/>
  <c r="X114" i="12"/>
  <c r="X46" i="12"/>
  <c r="X81" i="12"/>
  <c r="X58" i="12"/>
  <c r="X73" i="12"/>
  <c r="X37" i="12"/>
  <c r="X55" i="12"/>
  <c r="X78" i="12"/>
  <c r="X26" i="12"/>
  <c r="X100" i="12"/>
  <c r="X25" i="12"/>
  <c r="X113" i="12"/>
  <c r="X129" i="12"/>
  <c r="X29" i="12"/>
  <c r="X74" i="12"/>
  <c r="X106" i="12"/>
  <c r="X44" i="12"/>
  <c r="X109" i="12"/>
  <c r="X135" i="12"/>
  <c r="Y135" i="12"/>
  <c r="Y81" i="12"/>
  <c r="Y117" i="12"/>
  <c r="Y67" i="12"/>
  <c r="Y98" i="12"/>
  <c r="Y103" i="12"/>
  <c r="Y85" i="12"/>
  <c r="Y28" i="12"/>
  <c r="Y109" i="12"/>
  <c r="Y46" i="12"/>
  <c r="Y94" i="12"/>
  <c r="Y44" i="12"/>
  <c r="Y114" i="12"/>
  <c r="Y65" i="12"/>
  <c r="Y97" i="12"/>
  <c r="Y130" i="12"/>
  <c r="Y123" i="12"/>
  <c r="Y88" i="12"/>
  <c r="Y128" i="12"/>
  <c r="Y111" i="12"/>
  <c r="Y62" i="12"/>
  <c r="Y106" i="12"/>
  <c r="Y74" i="12"/>
  <c r="Y29" i="12"/>
  <c r="Y92" i="12"/>
  <c r="Y34" i="12"/>
  <c r="Y121" i="12"/>
  <c r="Y53" i="12"/>
  <c r="Y127" i="12"/>
  <c r="Y40" i="12"/>
  <c r="Y70" i="12"/>
  <c r="Y120" i="12"/>
  <c r="Y58" i="12"/>
  <c r="Y129" i="12"/>
  <c r="Y108" i="12"/>
  <c r="Y104" i="12"/>
  <c r="Y122" i="12"/>
  <c r="Y75" i="12"/>
  <c r="Y132" i="12"/>
  <c r="Y31" i="12"/>
  <c r="Y84" i="12"/>
  <c r="Y15" i="12"/>
  <c r="Y41" i="12"/>
  <c r="Y50" i="12"/>
  <c r="Y113" i="12"/>
  <c r="Y57" i="12"/>
  <c r="Y115" i="12"/>
  <c r="Y25" i="12"/>
  <c r="Y107" i="12"/>
  <c r="Y89" i="12"/>
  <c r="Y119" i="12"/>
  <c r="Y27" i="12"/>
  <c r="Y42" i="12"/>
  <c r="Y116" i="12"/>
  <c r="Y38" i="12"/>
  <c r="Y66" i="12"/>
  <c r="Y100" i="12"/>
  <c r="Y19" i="12"/>
  <c r="Y77" i="12"/>
  <c r="Y124" i="12"/>
  <c r="Y138" i="12"/>
  <c r="Y64" i="12"/>
  <c r="Y54" i="12"/>
  <c r="Y20" i="12"/>
  <c r="Y55" i="12"/>
  <c r="Y22" i="12"/>
  <c r="Y126" i="12"/>
  <c r="Y59" i="12"/>
  <c r="Y26" i="12"/>
  <c r="Y93" i="12"/>
  <c r="Y82" i="12"/>
  <c r="Y87" i="12"/>
  <c r="Y136" i="12"/>
  <c r="Y48" i="12"/>
  <c r="Y99" i="12"/>
  <c r="Y16" i="12"/>
  <c r="Y33" i="12"/>
  <c r="Y133" i="12"/>
  <c r="Y78" i="12"/>
  <c r="Y37" i="12"/>
  <c r="Y105" i="12"/>
  <c r="Y86" i="12"/>
  <c r="Y112" i="12"/>
  <c r="Y47" i="12"/>
  <c r="Y32" i="12"/>
  <c r="Y73" i="12"/>
  <c r="Y49" i="12"/>
  <c r="Y125" i="12"/>
  <c r="Y96" i="12"/>
  <c r="Y90" i="12"/>
  <c r="U90" i="12" l="1"/>
  <c r="U96" i="12"/>
  <c r="U125" i="12"/>
  <c r="U49" i="12"/>
  <c r="U73" i="12"/>
  <c r="U32" i="12"/>
  <c r="U47" i="12"/>
  <c r="U112" i="12"/>
  <c r="U86" i="12"/>
  <c r="U105" i="12"/>
  <c r="U37" i="12"/>
  <c r="U78" i="12"/>
  <c r="U133" i="12"/>
  <c r="U16" i="12"/>
  <c r="U99" i="12"/>
  <c r="U48" i="12"/>
  <c r="U136" i="12"/>
  <c r="U87" i="12"/>
  <c r="U82" i="12"/>
  <c r="U93" i="12"/>
  <c r="U26" i="12"/>
  <c r="U59" i="12"/>
  <c r="U126" i="12"/>
  <c r="U22" i="12"/>
  <c r="U55" i="12"/>
  <c r="U20" i="12"/>
  <c r="U54" i="12"/>
  <c r="U64" i="12"/>
  <c r="U138" i="12"/>
  <c r="U124" i="12"/>
  <c r="U77" i="12"/>
  <c r="U19" i="12"/>
  <c r="U100" i="12"/>
  <c r="U66" i="12"/>
  <c r="U38" i="12"/>
  <c r="U116" i="12"/>
  <c r="U42" i="12"/>
  <c r="U27" i="12"/>
  <c r="U119" i="12"/>
  <c r="U89" i="12"/>
  <c r="U107" i="12"/>
  <c r="U25" i="12"/>
  <c r="U115" i="12"/>
  <c r="U57" i="12"/>
  <c r="U113" i="12"/>
  <c r="U50" i="12"/>
  <c r="U41" i="12"/>
  <c r="U15" i="12"/>
  <c r="U84" i="12"/>
  <c r="U31" i="12"/>
  <c r="U132" i="12"/>
  <c r="U75" i="12"/>
  <c r="U122" i="12"/>
  <c r="U104" i="12"/>
  <c r="U108" i="12"/>
  <c r="U129" i="12"/>
  <c r="D34" i="13"/>
  <c r="U58" i="12"/>
  <c r="U120" i="12"/>
  <c r="U70" i="12"/>
  <c r="U40" i="12"/>
  <c r="U127" i="12"/>
  <c r="U53" i="12"/>
  <c r="U121" i="12"/>
  <c r="U92" i="12"/>
  <c r="U29" i="12"/>
  <c r="U74" i="12"/>
  <c r="U106" i="12"/>
  <c r="U62" i="12"/>
  <c r="U111" i="12"/>
  <c r="U128" i="12"/>
  <c r="U34" i="12"/>
  <c r="C34" i="13"/>
  <c r="U88" i="12"/>
  <c r="U123" i="12"/>
  <c r="U130" i="12"/>
  <c r="U97" i="12"/>
  <c r="U65" i="12"/>
  <c r="U114" i="12"/>
  <c r="U44" i="12"/>
  <c r="U94" i="12"/>
  <c r="U46" i="12"/>
  <c r="U109" i="12"/>
  <c r="U28" i="12"/>
  <c r="U85" i="12"/>
  <c r="U103" i="12"/>
  <c r="D33" i="13"/>
  <c r="U98" i="12"/>
  <c r="U67" i="12"/>
  <c r="U117" i="12"/>
  <c r="C33" i="13"/>
  <c r="U33" i="12"/>
  <c r="U81" i="12"/>
  <c r="U135" i="12"/>
  <c r="U5" i="12" l="1"/>
</calcChain>
</file>

<file path=xl/sharedStrings.xml><?xml version="1.0" encoding="utf-8"?>
<sst xmlns="http://schemas.openxmlformats.org/spreadsheetml/2006/main" count="1191" uniqueCount="475">
  <si>
    <t>OBJETO</t>
  </si>
  <si>
    <t>2.2 Na Versão Excel 2007 ou superior, selecione na Faixa de Opções: Arquivo --&gt; Opções --&gt; Central de Confiabilidade --&gt; Configurações da Central de Confiabilidade --&gt; Configurações de Macro --&gt; Habilitar todas as Macros --&gt; Clique em OK --&gt; Feche e abra o excel novamente para utilizar a Planilha.</t>
  </si>
  <si>
    <t>PO - Planilha Orçamentária / PLQ - Planilha de Levantamento de Quantidades / CFF - Cronograma Físico Financeiro</t>
  </si>
  <si>
    <t>Nível</t>
  </si>
  <si>
    <t>Código</t>
  </si>
  <si>
    <t>BDI
(%)</t>
  </si>
  <si>
    <t>Preço Total
(R$)</t>
  </si>
  <si>
    <t>BDI 1</t>
  </si>
  <si>
    <t>BDI 2</t>
  </si>
  <si>
    <t>BDI 3</t>
  </si>
  <si>
    <t>BDI 4</t>
  </si>
  <si>
    <t>BDI 5</t>
  </si>
  <si>
    <t>DESCRIÇÃO DO LOTE</t>
  </si>
  <si>
    <t>DESONERAÇÃO</t>
  </si>
  <si>
    <t>LOCALIDADE DO SINAPI</t>
  </si>
  <si>
    <t>DATA INÍCIO</t>
  </si>
  <si>
    <t>DATA BASE</t>
  </si>
  <si>
    <t>Título:</t>
  </si>
  <si>
    <t>Exibir o 2° Quadro de Assinatura?</t>
  </si>
  <si>
    <t>CRONOGRAMA GLOBAL DO LOTE</t>
  </si>
  <si>
    <t>Acumulado (R$)</t>
  </si>
  <si>
    <t>Observações:</t>
  </si>
  <si>
    <t xml:space="preserve">    CFF -</t>
  </si>
  <si>
    <r>
      <t xml:space="preserve">2. Para funcionamento pleno desse arquivo, a </t>
    </r>
    <r>
      <rPr>
        <b/>
        <sz val="10"/>
        <rFont val="Arial"/>
        <family val="2"/>
      </rPr>
      <t>Segurança de Macros do Excel deve ser habilitada</t>
    </r>
    <r>
      <rPr>
        <sz val="10"/>
        <rFont val="Arial"/>
        <family val="2"/>
      </rPr>
      <t>.</t>
    </r>
  </si>
  <si>
    <r>
      <t xml:space="preserve">3. O Preenchimento deve ser feito somente nas </t>
    </r>
    <r>
      <rPr>
        <b/>
        <sz val="10"/>
        <rFont val="Arial"/>
        <family val="2"/>
      </rPr>
      <t>células em amarelo</t>
    </r>
    <r>
      <rPr>
        <sz val="10"/>
        <rFont val="Arial"/>
        <family val="2"/>
      </rPr>
      <t>. As outras células são de preenchimento Automático.</t>
    </r>
  </si>
  <si>
    <t>MIN</t>
  </si>
  <si>
    <t>MED</t>
  </si>
  <si>
    <t>MAX</t>
  </si>
  <si>
    <t>Construção e Reforma de Edifícios</t>
  </si>
  <si>
    <t>AC</t>
  </si>
  <si>
    <t>SG</t>
  </si>
  <si>
    <t>R</t>
  </si>
  <si>
    <t>DF</t>
  </si>
  <si>
    <t>BDI PAD</t>
  </si>
  <si>
    <t>Construção de Praças Urbanas, Rodovias, Ferrovias e recapeamento e pavimentação de vias urbanas</t>
  </si>
  <si>
    <t>TIPO DE OBRA DO EMPREENDIMENTO</t>
  </si>
  <si>
    <t>Conforme legislação tributária municipal, definir estimativa de percentual da base de cálculo para o ISS:</t>
  </si>
  <si>
    <t>Construção de Redes de Abastecimento de Água, Coleta de Esgoto</t>
  </si>
  <si>
    <t>Sobre a base de cálculo, definir a respectiva alíquota do ISS (entre 2% e 5%):</t>
  </si>
  <si>
    <t>Itens</t>
  </si>
  <si>
    <t>Siglas</t>
  </si>
  <si>
    <t>% Adotado</t>
  </si>
  <si>
    <t>Situação</t>
  </si>
  <si>
    <t>1º Quartil</t>
  </si>
  <si>
    <t>Médio</t>
  </si>
  <si>
    <t>3º Quartil</t>
  </si>
  <si>
    <t>-</t>
  </si>
  <si>
    <t>Construção e Manutenção de Estações e Redes de Distribuição de Energia Elétrica</t>
  </si>
  <si>
    <t>Tributos (impostos COFINS 3%, e  PIS 0,65%)</t>
  </si>
  <si>
    <t>CP</t>
  </si>
  <si>
    <t>Tributos (ISS, variável de acordo com o município)</t>
  </si>
  <si>
    <t>ISS</t>
  </si>
  <si>
    <t>CPRB</t>
  </si>
  <si>
    <t>BDI SEM desoneração
(Fórmula Acórdão TCU)</t>
  </si>
  <si>
    <t>Obras Portuárias, Marítimas e Fluviais</t>
  </si>
  <si>
    <t>BDI COM desoneração</t>
  </si>
  <si>
    <t>BDI DES</t>
  </si>
  <si>
    <t>Responsável Técnico</t>
  </si>
  <si>
    <t>Responsável Tomador</t>
  </si>
  <si>
    <t>Estudos e Projetos, Planos e Gerenciamento e outros correlatos</t>
  </si>
  <si>
    <t>Cargo:</t>
  </si>
  <si>
    <t>Os valores de BDI foram calculados com o emprego da fórmula:</t>
  </si>
  <si>
    <t>Encargos sociais:</t>
  </si>
  <si>
    <t>PLQ -</t>
  </si>
  <si>
    <t>PLANILHA DE LEVANTAMENTO DE QUANTIDADES</t>
  </si>
  <si>
    <t>São Paulo / SP</t>
  </si>
  <si>
    <t>Campo Grande / MS</t>
  </si>
  <si>
    <t>Cuiabá / MT</t>
  </si>
  <si>
    <t>Curitiba / PR</t>
  </si>
  <si>
    <t>Florianópolis / SC</t>
  </si>
  <si>
    <t>Fortaleza / CE</t>
  </si>
  <si>
    <t>Goiânia / GO</t>
  </si>
  <si>
    <t>João Pessoa / PB</t>
  </si>
  <si>
    <t>Macapá / AP</t>
  </si>
  <si>
    <t>Maceió / AL</t>
  </si>
  <si>
    <t>Manaus / AM</t>
  </si>
  <si>
    <t>Natal / RN</t>
  </si>
  <si>
    <t>Palmas / TO</t>
  </si>
  <si>
    <t>Porto Alegre / RS</t>
  </si>
  <si>
    <t>Porto Velho / RO</t>
  </si>
  <si>
    <t>Recife / PE</t>
  </si>
  <si>
    <t>Rio Branco / AC</t>
  </si>
  <si>
    <t>Rio de Janeiro / RJ</t>
  </si>
  <si>
    <t>Salvador / BA</t>
  </si>
  <si>
    <t>São Luís / MA</t>
  </si>
  <si>
    <t>Teresina / PI</t>
  </si>
  <si>
    <t>Vitória / ES</t>
  </si>
  <si>
    <t>CTEF n.º</t>
  </si>
  <si>
    <t>REGIME DE EXECUÇÃO</t>
  </si>
  <si>
    <t>DATA ASSINATURA</t>
  </si>
  <si>
    <t>VIGÊNCIA</t>
  </si>
  <si>
    <t>DESON.</t>
  </si>
  <si>
    <t>ACOMP.</t>
  </si>
  <si>
    <t>OBJETO CTEF</t>
  </si>
  <si>
    <t>Tarefa</t>
  </si>
  <si>
    <t>Contratação Integrada</t>
  </si>
  <si>
    <t>Não se aplica</t>
  </si>
  <si>
    <t>BM</t>
  </si>
  <si>
    <t>PLE</t>
  </si>
  <si>
    <t>Meta</t>
  </si>
  <si>
    <t>Nível 2</t>
  </si>
  <si>
    <t>Nível 3</t>
  </si>
  <si>
    <t>Nível 4</t>
  </si>
  <si>
    <t>Serviço</t>
  </si>
  <si>
    <t>SIM</t>
  </si>
  <si>
    <t>K1</t>
  </si>
  <si>
    <t>K2</t>
  </si>
  <si>
    <t/>
  </si>
  <si>
    <t>K3</t>
  </si>
  <si>
    <t xml:space="preserve"> - 1</t>
  </si>
  <si>
    <t>N1</t>
  </si>
  <si>
    <t>N2</t>
  </si>
  <si>
    <t xml:space="preserve">NOME DA EMPRESA </t>
  </si>
  <si>
    <t>Empreitada Preço Global</t>
  </si>
  <si>
    <t>Empreitada Preço Unitário</t>
  </si>
  <si>
    <t>Empreitada Integral</t>
  </si>
  <si>
    <t>CRONOGRAMA FÍSICO-FINANCEIRO</t>
  </si>
  <si>
    <t>Tributos (Contribuição Previdenciária sobre a Receita Bruta - 0% ou 4,5% - Desoneração)</t>
  </si>
  <si>
    <t>Anexo: Relatório Técnico Circunstanciado justificando a adoção do percentual de cada parcela do BDI.</t>
  </si>
  <si>
    <t>pedir anexo</t>
  </si>
  <si>
    <t>anexo apresentado</t>
  </si>
  <si>
    <t>Local</t>
  </si>
  <si>
    <t>Data</t>
  </si>
  <si>
    <t>Concatenação Fonte-Código</t>
  </si>
  <si>
    <t>Altura</t>
  </si>
  <si>
    <t>Czero</t>
  </si>
  <si>
    <t>Cnível</t>
  </si>
  <si>
    <t>Nmax</t>
  </si>
  <si>
    <t>N3</t>
  </si>
  <si>
    <t>N4</t>
  </si>
  <si>
    <t>Último Nível</t>
  </si>
  <si>
    <t>BancoRef</t>
  </si>
  <si>
    <t>(Selecione uma Localidade)</t>
  </si>
  <si>
    <t>Aracaju / SE</t>
  </si>
  <si>
    <t>Belém / PA</t>
  </si>
  <si>
    <t>Belo Horizonte / MG</t>
  </si>
  <si>
    <t>Boa Vista / RR</t>
  </si>
  <si>
    <t>Brasília / DF</t>
  </si>
  <si>
    <t>Fornecimento de Materiais e Equipamentos (aquisição indireta - em conjunto com licitação de obras)</t>
  </si>
  <si>
    <t>Fornecimento de Materiais e Equipamentos (aquisição direta)</t>
  </si>
  <si>
    <t>Valores Totais (R$)</t>
  </si>
  <si>
    <t>Nome:</t>
  </si>
  <si>
    <t>Para elaboração deste orçamento, foram utilizados os encargos sociais do SINAPI para a Unidade da Federação indicada.</t>
  </si>
  <si>
    <t>Descrição</t>
  </si>
  <si>
    <t>Parcela (%)</t>
  </si>
  <si>
    <t>Parcela (R$)</t>
  </si>
  <si>
    <t>Acumulado (%)</t>
  </si>
  <si>
    <t>Fonte</t>
  </si>
  <si>
    <t>Item</t>
  </si>
  <si>
    <t>Quantidade</t>
  </si>
  <si>
    <t>Unidade</t>
  </si>
  <si>
    <t>Nº TC/CR</t>
  </si>
  <si>
    <t>Preço Unitário (R$)</t>
  </si>
  <si>
    <t>n1</t>
  </si>
  <si>
    <t>n2</t>
  </si>
  <si>
    <t>n3</t>
  </si>
  <si>
    <t>n4</t>
  </si>
  <si>
    <t>n5</t>
  </si>
  <si>
    <t>LOTE</t>
  </si>
  <si>
    <t>Unid.</t>
  </si>
  <si>
    <t>Erro de Dados</t>
  </si>
  <si>
    <t>Descrição das Metas / Macrosserviços</t>
  </si>
  <si>
    <t>Lista Crono</t>
  </si>
  <si>
    <t>4.1.2. Preencha no quadro abaixo as informações sobre o orçamento licitado:</t>
  </si>
  <si>
    <t>NOME DA EMPRESA / CNPJ:</t>
  </si>
  <si>
    <t>L</t>
  </si>
  <si>
    <t>Grau de Sigilo</t>
  </si>
  <si>
    <t>#PUBLICO</t>
  </si>
  <si>
    <t>PO - PLANILHA ORÇAMENTÁRIA</t>
  </si>
  <si>
    <t>INSTRUÇÕES DE USO E PREENCHIMENTO</t>
  </si>
  <si>
    <t>2.1  Na Versão Excel 2003, selecione na Faixa de Opções: Ferramentas --&gt; Macro --&gt; Segurança --&gt; Na aba Nível de Segurança selecione a Opção "Baixo" --&gt; Clique em OK --&gt; Feche e abra o Excel novamente para utilizar a Planilha.</t>
  </si>
  <si>
    <t>GESTOR</t>
  </si>
  <si>
    <t>PROGRAMA</t>
  </si>
  <si>
    <t>AÇÃO / MODALIDADE</t>
  </si>
  <si>
    <t>PROPONENTE / TOMADOR</t>
  </si>
  <si>
    <t>MUNICÍPIO / UF</t>
  </si>
  <si>
    <t>LOCALIDADE / ENDEREÇO</t>
  </si>
  <si>
    <t>Nível Máx Crono</t>
  </si>
  <si>
    <t>Nº OPERAÇÃO</t>
  </si>
  <si>
    <t>VTOTAL SOMA</t>
  </si>
  <si>
    <r>
      <t xml:space="preserve">1. Este documento somente pode ser utilizado nas versões do </t>
    </r>
    <r>
      <rPr>
        <b/>
        <sz val="10"/>
        <rFont val="Arial"/>
        <family val="2"/>
      </rPr>
      <t>Excel 2003 ou superior</t>
    </r>
    <r>
      <rPr>
        <sz val="10"/>
        <rFont val="Arial"/>
        <family val="2"/>
      </rPr>
      <t xml:space="preserve">. Não deve ser utilizado versões do BROffice. O Documento deve ser salvo </t>
    </r>
    <r>
      <rPr>
        <b/>
        <sz val="10"/>
        <rFont val="Arial"/>
        <family val="2"/>
      </rPr>
      <t>SOMENTE</t>
    </r>
    <r>
      <rPr>
        <sz val="10"/>
        <rFont val="Arial"/>
        <family val="2"/>
      </rPr>
      <t xml:space="preserve"> em extensão habilitada para macros </t>
    </r>
    <r>
      <rPr>
        <b/>
        <sz val="10"/>
        <rFont val="Arial"/>
        <family val="2"/>
      </rPr>
      <t xml:space="preserve">(.xls ou .xlsm). </t>
    </r>
    <r>
      <rPr>
        <sz val="10"/>
        <rFont val="Arial"/>
        <family val="2"/>
      </rPr>
      <t xml:space="preserve">Se o documento for salvo na extensão </t>
    </r>
    <r>
      <rPr>
        <b/>
        <sz val="10"/>
        <rFont val="Arial"/>
        <family val="2"/>
      </rPr>
      <t>.xlsx</t>
    </r>
    <r>
      <rPr>
        <sz val="10"/>
        <rFont val="Arial"/>
        <family val="2"/>
      </rPr>
      <t xml:space="preserve">, o arquivo será </t>
    </r>
    <r>
      <rPr>
        <b/>
        <sz val="10"/>
        <rFont val="Arial"/>
        <family val="2"/>
      </rPr>
      <t>INUTILIZADO.</t>
    </r>
    <r>
      <rPr>
        <sz val="10"/>
        <rFont val="Arial"/>
        <family val="2"/>
      </rPr>
      <t xml:space="preserve"> </t>
    </r>
  </si>
  <si>
    <t>APELIDO DO EMPREENDIMENTO</t>
  </si>
  <si>
    <t>Arredondamento</t>
  </si>
  <si>
    <t>Custo Unitáro</t>
  </si>
  <si>
    <t>BDI</t>
  </si>
  <si>
    <t>Preço Unitário</t>
  </si>
  <si>
    <t>Preço Total</t>
  </si>
  <si>
    <t>4. Preferências de Elaboração do Orçamento</t>
  </si>
  <si>
    <t>4.1. Preenchimento de Quantidades</t>
  </si>
  <si>
    <t>ERRO GERAL</t>
  </si>
  <si>
    <t>5. Ordem de Preenchimento</t>
  </si>
  <si>
    <t>5.1. na Aba DADOS</t>
  </si>
  <si>
    <t>5.1.1. Preencha no Quadro abaixo os Dados do TC/CR:</t>
  </si>
  <si>
    <t>5.1.2. Preencha no quadro abaixo as informações sobre o orçamento:</t>
  </si>
  <si>
    <t>5.1.3. Preencha a data de Início da Obra:</t>
  </si>
  <si>
    <t>5.1.4. Preencha no(s) Quadro(s) abaixo os Dados do(s) Responsável(is) Técnico(s) pela elaboração do Orçamento:</t>
  </si>
  <si>
    <t>5.2. Legenda das Abas</t>
  </si>
  <si>
    <t>5.2.1.  LARANJA: Aba DADOS. Preenchimento Obrigatório. Impressão Dispensada.</t>
  </si>
  <si>
    <t>5.2.2.  AMARELO: Abas BDI, PO, PLQ e CFF. Preenchimento e Impressão Obrigatórias. O preenchimento da Aba BDI é dispensada para os casos de Aquisição Direta de Materiais e Equipamentos. A Impressão da Aba PLQ pode ser dispensada para casos de Frente de Obra Única.</t>
  </si>
  <si>
    <t>5.3. na Aba BDI (Bonificações e Despesas Indiretas):</t>
  </si>
  <si>
    <t>5.3.1. Escolha o tipo de empreendimento.</t>
  </si>
  <si>
    <t>5.3.2. Escolha se o BDI será do tipo desonerado ou não (aba DADOS)</t>
  </si>
  <si>
    <t>5.3.3. Informe a base de cálculo do ISS (0 a 100%).</t>
  </si>
  <si>
    <t>5.3.4. Informe a alíquota do ISS (Normalmente de 2 a 5%).</t>
  </si>
  <si>
    <t>5.3.5. Defina na tabela os percentuais a serem adotados para cada item que compõe o BDI nos campos em amarelo.</t>
  </si>
  <si>
    <t>5.3.6. Preencha o campo observações se necessário (recomendado para os orçamentos que utilizam mais de um BDI).</t>
  </si>
  <si>
    <t>5.4. na Aba PO (Planilha Orçamentária):</t>
  </si>
  <si>
    <t>5.4.1. Primeiramente, selecione os níveis de cada item do orçamento na coluna NÍVEL.</t>
  </si>
  <si>
    <t>5.4.1.1: O nível de "Serviço" serve tanto para serviços ou insumos (mão-de-obra / material / equipamento / veículo / máquina / ferramenta / etc). Um "nível 2/3/4" é um título (é preenchida apenas a coluna descrição) utilizado para organizar melhor a planilha orçamentária e engloba (agrupa) serviços e agrupadores de nível inferior.</t>
  </si>
  <si>
    <t>5.4.2. Após a seleção dos níveis, preencha, para cada serviço, as informações sobre a Fonte de Referência, (SINAPI, SICRO, SIURB, etc) e o respectivo Código de Referência.</t>
  </si>
  <si>
    <t>5.4.3. Esta planilha é compatível com o arquivo REFERÊNCIA distribuído pela CAIXA. Caso o arquivo REFERÊNCIA esteja aberto, será possível buscar um código através do botão "Buscar Código". Desta forma a descrição dos serviços será preenchida automaticamente (podendo ser substituída). Caso contrário, seu preenchimento deve ser manual.</t>
  </si>
  <si>
    <t>5.4.3.1. As descrições e unidades preenchidas automaticamente ficarão vinculadas ao arquivo REFERÊNCIA até que se use o botão "Fixar Descrições", que quebra a fórmula e transforma as descrições em texto.</t>
  </si>
  <si>
    <t>5.4.4. Preencher o custo unitário do serviço/insumo na Coluna CUSTO UNITÁRIO. ATENÇÃO: o custo unitário adotado deve ser menor ou igual ao contido na tabela de referência ou mediana das cotações de mercado.</t>
  </si>
  <si>
    <t>5.4.5. Indicar o BDI adotado para cada serviço/insumo na Coluna BDI. Preferencialmente selecione uma das opções da lista suspensa que aparecerá na célula, esta lista contém os 05 BDIs que podem ser preenchidos na Aba BDI (conforme item 5.2 das instruções). Caso seja necessária a adoção de mais de 05 valores diferentes de BDI, digite o percentual diretamente na célula.</t>
  </si>
  <si>
    <t>5.4.6. Conforme selecionado no item 4.1. desta Aba, a Coluna Quantidade pode ser preenchida diretamente na PO, ou representar a soma das quantidades de cada Frente de Obra, informadas na aba PLQ (Planilha de Levantamento de Quantitativos).</t>
  </si>
  <si>
    <t>5.4.7. OBSERVAÇÃO: As demais colunas (Item / Quantidade / Preço Unitário / Preço Total) são de preenchimento automático. Não tente preenche-las ou alterá-las na Aba PO.</t>
  </si>
  <si>
    <t>5.4.8. Se for necessário acrescentar ou excluir linhas da Planilha Orçamentária, utilize o Botão EDITAR PLANILHA e selecione as opções no quadro.
ATENÇÃO: quanto maior o número de linhas mais lento será o processamento dos dados, então acrescente apenas o número necessário ou um pouco a mais.</t>
  </si>
  <si>
    <t>5.4.8.1. Evite deixar linhas em branco no corpo da Planilha Orçamentária.</t>
  </si>
  <si>
    <t>5.4.9. Caso deseje importar os dados de outro arquivo utilize apenas a opção COLAR ESPECIAL ==&gt; VALORES.</t>
  </si>
  <si>
    <t>5.4.10. Clique no Botão LICITAR / REPROGRAMAR para preencher o Orçamento Licitado ou Reprogramado.</t>
  </si>
  <si>
    <t>5.5. na Aba PLQ (Planilha de Levantamento de Quantitativos):</t>
  </si>
  <si>
    <t>5.5.1. Preencha primeiramente as Frentes de Obra.</t>
  </si>
  <si>
    <t xml:space="preserve">5.5.1.1. Exemplos de Frentes de Obra (Rua A trecho 01 / Rua A trecho 02 / Rua B ; UH 01 / UH 02 / UH 03). </t>
  </si>
  <si>
    <t>5.5.2. Preencha as quantidades dos serviços por frente de obra. A soma das quantidades de todas as frentes de um determinado serviço será a quantidade exibida na Planilha Orçamentária.</t>
  </si>
  <si>
    <t>5.5.3. Caso deseje incluir ou excluir frentes, utilize os botões ADICIONAR e EXCLUIR.</t>
  </si>
  <si>
    <t>5.6. na Aba CFF (Cronograma Físico-Financeiro):</t>
  </si>
  <si>
    <t>5.6.1. Preencha a data de início da obra na aba Dados.</t>
  </si>
  <si>
    <t>5.6.2. Preencha as porcentagens previstas por parcela para cada meta ou macrosserviço.</t>
  </si>
  <si>
    <t>5.6.3. Para atualizar o Cronograma conforme o Orçamento e incluir ou excluir parcelas, utilize o botão EDITAR / ATUALIZAR CRONOGRAMA.</t>
  </si>
  <si>
    <t>v008</t>
  </si>
  <si>
    <t>SERVIÇOS INICIAIS</t>
  </si>
  <si>
    <t>SINAPI-I</t>
  </si>
  <si>
    <t>4813</t>
  </si>
  <si>
    <t>SINAPI</t>
  </si>
  <si>
    <t>SISTEMA DE VEDAÇÃO VERTICAL</t>
  </si>
  <si>
    <t>SISTEMA DE COBERTURA</t>
  </si>
  <si>
    <t>94227</t>
  </si>
  <si>
    <t>89578</t>
  </si>
  <si>
    <t>PAVIMENTAÇÃO</t>
  </si>
  <si>
    <t>ESQUADRIAS</t>
  </si>
  <si>
    <t>PINTURA</t>
  </si>
  <si>
    <t>88489</t>
  </si>
  <si>
    <t>102220</t>
  </si>
  <si>
    <t>COTAÇÃO</t>
  </si>
  <si>
    <t>COT 03</t>
  </si>
  <si>
    <t>93654</t>
  </si>
  <si>
    <t>91926</t>
  </si>
  <si>
    <t>91930</t>
  </si>
  <si>
    <t>92979</t>
  </si>
  <si>
    <t>CENTRO DE DISTRIBUIÇÃO</t>
  </si>
  <si>
    <t>ELETRODUTOS E ACESSÓRIOS</t>
  </si>
  <si>
    <t>CABOS E FIOS CONDUTORES</t>
  </si>
  <si>
    <t>LUMINÁRIAS, TOMADAS E INTERRUPTORES</t>
  </si>
  <si>
    <t>INSTALAÇÃO ELÉTRICA</t>
  </si>
  <si>
    <t>99802</t>
  </si>
  <si>
    <t>SERVIÇOS FINAIS</t>
  </si>
  <si>
    <t>IMPERMEABILIZAÇÃO</t>
  </si>
  <si>
    <t>98557</t>
  </si>
  <si>
    <t>INFRAESTRUTRA - FUNDAÇÕES</t>
  </si>
  <si>
    <t>CONCRETO ARMADO - VIGA BALDRAME</t>
  </si>
  <si>
    <t>96619</t>
  </si>
  <si>
    <t>96536</t>
  </si>
  <si>
    <t>96543</t>
  </si>
  <si>
    <t>96546</t>
  </si>
  <si>
    <t>Única</t>
  </si>
  <si>
    <t>ALPESTRE/RS</t>
  </si>
  <si>
    <t>MUNICIPIO DE ALPESTRE</t>
  </si>
  <si>
    <t>DANIEL IANSSEN</t>
  </si>
  <si>
    <t>ENGENHEIRO CIVIL</t>
  </si>
  <si>
    <t>CREA RS 134510</t>
  </si>
  <si>
    <t>LUÍSA COPPINI BALESTRIN</t>
  </si>
  <si>
    <t>ARQUITETA E URBANISTA</t>
  </si>
  <si>
    <t>CAU RS A228024-8</t>
  </si>
  <si>
    <t>VALDIR JOSÉ ZASSO</t>
  </si>
  <si>
    <t>PREFEITO MUNICIPAL</t>
  </si>
  <si>
    <t>93358</t>
  </si>
  <si>
    <t>99059</t>
  </si>
  <si>
    <t>103670</t>
  </si>
  <si>
    <t>94965</t>
  </si>
  <si>
    <t>93197</t>
  </si>
  <si>
    <t>93187</t>
  </si>
  <si>
    <t>MOVIMENTOS EM TERRA</t>
  </si>
  <si>
    <t>ESCAVAÇÃO</t>
  </si>
  <si>
    <t xml:space="preserve">ATERRO  </t>
  </si>
  <si>
    <t>SUPERESTRUTURA</t>
  </si>
  <si>
    <t>COMPOSIÇÃO</t>
  </si>
  <si>
    <t>87630</t>
  </si>
  <si>
    <t>87251</t>
  </si>
  <si>
    <t>93656</t>
  </si>
  <si>
    <t>97881</t>
  </si>
  <si>
    <t>96986</t>
  </si>
  <si>
    <t>11854</t>
  </si>
  <si>
    <t>416</t>
  </si>
  <si>
    <t>COBERTURA</t>
  </si>
  <si>
    <t>PLUVIAL</t>
  </si>
  <si>
    <t>PORTAS</t>
  </si>
  <si>
    <t>COT 02</t>
  </si>
  <si>
    <t>94316</t>
  </si>
  <si>
    <t>DISTRITO DE SERTÃZINHO</t>
  </si>
  <si>
    <t>96520</t>
  </si>
  <si>
    <t>CONCRETO ARMADO - BLOCO DE CORROAMENTO E OU SAPATA</t>
  </si>
  <si>
    <t>CONCRETO PRÉ-MOLDADOS - PILARES</t>
  </si>
  <si>
    <t>CONCRETO PRÉ-MOLDADO - VIGAS DE RESPALDO</t>
  </si>
  <si>
    <t>103338</t>
  </si>
  <si>
    <t>101161</t>
  </si>
  <si>
    <t>92580</t>
  </si>
  <si>
    <t>94213</t>
  </si>
  <si>
    <t>PISO QUADRA</t>
  </si>
  <si>
    <t>PISO CANCHA</t>
  </si>
  <si>
    <t>97633</t>
  </si>
  <si>
    <t>PINTURA QUADRA</t>
  </si>
  <si>
    <t>PINTURA ALVENARIA</t>
  </si>
  <si>
    <t>91862</t>
  </si>
  <si>
    <t>91870</t>
  </si>
  <si>
    <t>91887</t>
  </si>
  <si>
    <t>12129</t>
  </si>
  <si>
    <t>12147</t>
  </si>
  <si>
    <t>38102</t>
  </si>
  <si>
    <t>39391</t>
  </si>
  <si>
    <t>95816</t>
  </si>
  <si>
    <t>102494</t>
  </si>
  <si>
    <t>102506</t>
  </si>
  <si>
    <t>102488</t>
  </si>
  <si>
    <t>COMP 01</t>
  </si>
  <si>
    <t>92614</t>
  </si>
  <si>
    <t>COT 01</t>
  </si>
  <si>
    <t>COT 04</t>
  </si>
  <si>
    <t>100701</t>
  </si>
  <si>
    <t>39620</t>
  </si>
  <si>
    <t>COT 05</t>
  </si>
  <si>
    <t>99855</t>
  </si>
  <si>
    <t>104166</t>
  </si>
  <si>
    <t>94994</t>
  </si>
  <si>
    <t>101908</t>
  </si>
  <si>
    <t>97599</t>
  </si>
  <si>
    <t>39621</t>
  </si>
  <si>
    <t>37559</t>
  </si>
  <si>
    <t>37556</t>
  </si>
  <si>
    <t xml:space="preserve">SISTEMA DE PROTEÇÃO CONTRA INCÊNDIO </t>
  </si>
  <si>
    <t>Equipamento, Extintores e Sinalização</t>
  </si>
  <si>
    <t>ALARME DE INCÊNDIO</t>
  </si>
  <si>
    <t>2633</t>
  </si>
  <si>
    <t>91924</t>
  </si>
  <si>
    <t>101892</t>
  </si>
  <si>
    <t>HIDRANTE E MANGOTINHO</t>
  </si>
  <si>
    <t>92367</t>
  </si>
  <si>
    <t>92642</t>
  </si>
  <si>
    <t>92390</t>
  </si>
  <si>
    <t>6011</t>
  </si>
  <si>
    <t>99624</t>
  </si>
  <si>
    <t>94483</t>
  </si>
  <si>
    <t>COT 07</t>
  </si>
  <si>
    <t>COT 08</t>
  </si>
  <si>
    <t>COT 06</t>
  </si>
  <si>
    <t>91928</t>
  </si>
  <si>
    <t>RESERVATÓRIO E PISO DE SUPORTE</t>
  </si>
  <si>
    <t>COMP 02</t>
  </si>
  <si>
    <t>COMP 03</t>
  </si>
  <si>
    <t>COT 10</t>
  </si>
  <si>
    <t>COT 11</t>
  </si>
  <si>
    <t>COMP 04</t>
  </si>
  <si>
    <t>13049753</t>
  </si>
  <si>
    <t>14029738</t>
  </si>
  <si>
    <t>COT 09</t>
  </si>
  <si>
    <t>COMP 05</t>
  </si>
  <si>
    <t>97622</t>
  </si>
  <si>
    <t>Não</t>
  </si>
  <si>
    <t xml:space="preserve">PLACA DE OBRA (PARA CONSTRUCAO CIVIL) EM CHAPA GALVANIZADA *N. 22*, ADESIVADA, DE *2,4 X 1,2* M (SEM POSTES PARA FIXACAO)                                                                                                                                                                                                                                                                                                                                                                                 </t>
  </si>
  <si>
    <t xml:space="preserve">M2    </t>
  </si>
  <si>
    <t>LOCACAO CONVENCIONAL DE OBRA, UTILIZANDO GABARITO DE TÁBUAS CORRIDAS PONTALETADAS A CADA 2,00M -  2 UTILIZAÇÕES. AF_10/2018</t>
  </si>
  <si>
    <t>M</t>
  </si>
  <si>
    <t>ESCAVAÇÃO MECANIZADA PARA BLOCO DE COROAMENTO OU SAPATA COM RETROESCAVADEIRA (SEM ESCAVAÇÃO PARA COLOCAÇÃO DE FÔRMAS). AF_06/2017</t>
  </si>
  <si>
    <t>M3</t>
  </si>
  <si>
    <t>ESCAVAÇÃO MANUAL DE VALA COM PROFUNDIDADE MENOR OU IGUAL A 1,30 M. AF_02/2021</t>
  </si>
  <si>
    <t>ATERRO MECANIZADO DE VALA COM RETROESCAVADEIRA (CAPACIDADE DA CAÇAMBA DA RETRO: 0,26 M³ / POTÊNCIA: 88 HP), LARGURA ATÉ 1,5 M, PROFUNDIDADE ATÉ 1,5 M, COM SOLO ARGILO-ARENOSO. AF_08/2023</t>
  </si>
  <si>
    <t>LASTRO DE CONCRETO MAGRO, APLICADO EM BLOCOS DE COROAMENTO OU SAPATAS, ESPESSURA DE 5 CM. AF_08/2017</t>
  </si>
  <si>
    <t>M2</t>
  </si>
  <si>
    <t>ARMAÇÃO DE BLOCO, VIGA BALDRAME E SAPATA UTILIZANDO AÇO CA-60 DE 5 MM - MONTAGEM. AF_06/2017</t>
  </si>
  <si>
    <t>KG</t>
  </si>
  <si>
    <t>ARMAÇÃO DE BLOCO, VIGA BALDRAME OU SAPATA UTILIZANDO AÇO CA-50 DE 10 MM - MONTAGEM. AF_06/2017</t>
  </si>
  <si>
    <t>LANÇAMENTO COM USO DE BALDES, ADENSAMENTO E ACABAMENTO DE CONCRETO EM ESTRUTURAS. AF_02/2022</t>
  </si>
  <si>
    <t>CONCRETO FCK = 25MPA, TRAÇO 1:2,3:2,7 (EM MASSA SECA DE CIMENTO/ AREIA MÉDIA/ BRITA 1) - PREPARO MECÂNICO COM BETONEIRA 400 L. AF_05/2021</t>
  </si>
  <si>
    <t>FABRICAÇÃO, MONTAGEM E DESMONTAGEM DE FÔRMA PARA VIGA BALDRAME, EM MADEIRA SERRADA, E=25 MM, 4 UTILIZAÇÕES. AF_06/2017</t>
  </si>
  <si>
    <t>FORNECIMENTO E INSTALAÇÃO PILAR PRÉ-MOLDADO 0,20 X 0,25 M X 6,00 M</t>
  </si>
  <si>
    <t xml:space="preserve">UN </t>
  </si>
  <si>
    <t>FORNECIMENTO E INSTALAÇÃO  PILAR PRÉ-MOLDADO 0,20 X 0,25 M X 6,55 M</t>
  </si>
  <si>
    <t xml:space="preserve">FORNECIMENTO E INSTALAÇÃO VIGA DE RESPALDO PRÉ-MOLDADA 0,15 X 0,30 M 2,68 M </t>
  </si>
  <si>
    <t xml:space="preserve">FORNECIMENTO E INSTALAÇÃO VIGA DE RESPALDO PRÉ-MOLDADA 0,15 X 0,30 M 3,12 M </t>
  </si>
  <si>
    <t xml:space="preserve">FORNECIMENTO E INSTALAÇÃO VIGA DE RESPALDO PRÉ-MOLDADA 0,15 X 0,30 M 5,40 M </t>
  </si>
  <si>
    <t>IMPERMEABILIZAÇÃO DE SUPERFÍCIE COM EMULSÃO ASFÁLTICA, 2 DEMÃOS. AF_09/2023</t>
  </si>
  <si>
    <t>ALVENARIA DE VEDAÇÃO DE BLOCOS  VAZADOS DE CONCRETO APARENTE DE 14X19X39 CM (ESPESSURA 14 CM) E ARGAMASSA DE ASSENTAMENTO COM PREPARO EM BETONEIRA. AF_12/2021</t>
  </si>
  <si>
    <t>ALVENARIA DE VEDAÇÃO COM ELEMENTO VAZADO DE CONCRETO (COBOGÓ) DE 7X50X50CM E ARGAMASSA DE ASSENTAMENTO COM PREPARO EM BETONEIRA. AF_05/2020</t>
  </si>
  <si>
    <t>DEMOLIÇÃO DE ALVENARIA DE BLOCO FURADO, DE FORMA MANUAL, SEM REAPROVEITAMENTO. AF_09/2023</t>
  </si>
  <si>
    <t>FABRICAÇÃO E INSTALAÇÃO DE TESOURA INTEIRA EM AÇO, VÃO DE 9 M, PARA TELHA ONDULADA DE FIBROCIMENTO, METÁLICA, PLÁSTICA OU TERMOACÚSTICA, INCLUSO IÇAMENTO. AF_12/2015</t>
  </si>
  <si>
    <t>UN</t>
  </si>
  <si>
    <t>TRAMA DE AÇO COMPOSTA POR TERÇAS PARA TELHADOS DE ATÉ 2 ÁGUAS PARA TELHA ONDULADA DE FIBROCIMENTO, METÁLICA, PLÁSTICA OU TERMOACÚSTICA, INCLUSO TRANSPORTE VERTICAL. AF_07/2019</t>
  </si>
  <si>
    <t>TELHAMENTO COM TELHA DE AÇO/ALUMÍNIO E = 0,5 MM, COM ATÉ 2 ÁGUAS, INCLUSO IÇAMENTO. AF_07/2019</t>
  </si>
  <si>
    <t>CALHA EM CHAPA DE AÇO GALVANIZADO NÚMERO 24, DESENVOLVIMENTO DE 33 CM, INCLUSO TRANSPORTE VERTICAL. AF_07/2019</t>
  </si>
  <si>
    <t>TUBO PVC, SÉRIE R, ÁGUA PLUVIAL, DN 100 MM, FORNECIDO E INSTALADO EM CONDUTORES VERTICAIS DE ÁGUAS PLUVIAIS. AF_06/2022</t>
  </si>
  <si>
    <t>TUBO PVC, SÉRIE R, ÁGUA PLUVIAL, DN 150 MM, FORNECIDO E INSTALADO EM RAMAL DE ENCAMINHAMENTO. AF_06/2022</t>
  </si>
  <si>
    <t>CORREÇÃO DE TRINCAS COM ADESIVO ESTRUTURAL A BASE DE EPOXI COM ABERTURA DAS TRINCAS CORTADOR A GASOLINA</t>
  </si>
  <si>
    <t>DEMOLIÇÃO DE REVESTIMENTO CERÂMICO, DE FORMA MANUAL, SEM REAPROVEITAMENTO. AF_09/2023</t>
  </si>
  <si>
    <t>CONTRAPISO EM ARGAMASSA TRAÇO 1:4 (CIMENTO E AREIA), PREPARO MECÂNICO COM BETONEIRA 400 L, APLICADO EM ÁREAS SECAS SOBRE LAJE, ADERIDO, ACABAMENTO NÃO REFORÇADO, ESPESSURA 3CM. AF_07/2021</t>
  </si>
  <si>
    <t>REVESTIMENTO CERÂMICO PARA PISO COM PLACAS TIPO ESMALTADA EXTRA DE DIMENSÕES 45X45 CM APLICADA EM AMBIENTES DE ÁREA MAIOR QUE 10 M2. AF_02/2023_PE</t>
  </si>
  <si>
    <t>EXECUÇÃO DE PASSEIO (CALÇADA) OU PISO DE CONCRETO COM CONCRETO MOLDADO IN LOCO, FEITO EM OBRA, ACABAMENTO CONVENCIONAL, ESPESSURA 8 CM, ARMADO. AF_08/2022</t>
  </si>
  <si>
    <t>PORTA DE FERRO, DE ABRIR, TIPO GRADE COM CHAPA, COM GUARNIÇÕES. AF_12/2019</t>
  </si>
  <si>
    <t>PREPARO DO PISO CIMENTADO PARA PINTURA - LIXAMENTO E LIMPEZA. AF_05/2021</t>
  </si>
  <si>
    <t>PINTURA DE PISO COM TINTA EPÓXI, APLICAÇÃO MANUAL, 2 DEMÃOS, INCLUSO PRIMER EPÓXI. AF_05/2021</t>
  </si>
  <si>
    <t>PINTURA DE DEMARCAÇÃO DE QUADRA POLIESPORTIVA COM TINTA EPÓXI, E = 5 CM, APLICAÇÃO MANUAL. AF_05/2021</t>
  </si>
  <si>
    <t>PINTURA LÁTEX ACRÍLICA PREMIUM, APLICAÇÃO MANUAL EM PAREDES, DUAS DEMÃOS. AF_04/2023</t>
  </si>
  <si>
    <t>PINTURA TINTA DE ACABAMENTO (PIGMENTADA) ESMALTE SINTÉTICO BRILHANTE EM MADEIRA, 2 DEMÃOS. AF_01/2021</t>
  </si>
  <si>
    <t>DISJUNTOR MONOPOLAR TIPO DIN, CORRENTE NOMINAL DE 16A - FORNECIMENTO E INSTALAÇÃO. AF_10/2020</t>
  </si>
  <si>
    <t>DISJUNTOR MONOPOLAR TIPO DIN, CORRENTE NOMINAL DE 25A - FORNECIMENTO E INSTALAÇÃO. AF_10/2020</t>
  </si>
  <si>
    <t>ELETRODUTO RÍGIDO ROSCÁVEL, PVC, DN 20 MM (1/2"), PARA CIRCUITOS TERMINAIS, INSTALADO EM FORRO - FORNECIMENTO E INSTALAÇÃO. AF_03/2023</t>
  </si>
  <si>
    <t>ELETRODUTO RÍGIDO ROSCÁVEL, PVC, DN 20 MM (1/2"), PARA CIRCUITOS TERMINAIS, INSTALADO EM PAREDE - FORNECIMENTO E INSTALAÇÃO. AF_03/2023</t>
  </si>
  <si>
    <t>CURVA 90 GRAUS PARA ELETRODUTO, PVC, ROSCÁVEL, DN 20 MM (1/2"), PARA CIRCUITOS TERMINAIS, INSTALADA EM FORRO - FORNECIMENTO E INSTALAÇÃO. AF_03/2023</t>
  </si>
  <si>
    <t>CAIXA ENTERRADA ELÉTRICA RETANGULAR, EM CONCRETO PRÉ-MOLDADO, FUNDO COM BRITA, DIMENSÕES INTERNAS: 0,3X0,3X0,3 M. AF_12/2020</t>
  </si>
  <si>
    <t>HASTE DE ATERRAMENTO, DIÂMETRO 3/4", COM 3 METROS - FORNECIMENTO E INSTALAÇÃO. AF_08/2023</t>
  </si>
  <si>
    <t xml:space="preserve">CONECTOR METALICO TIPO PARAFUSO FENDIDO (SPLIT BOLT), PARA CABOS ATE 35 MM2                                                                                                                                                                                                                                                                                                                                                                                                                               </t>
  </si>
  <si>
    <t xml:space="preserve">UN    </t>
  </si>
  <si>
    <t xml:space="preserve">GRAMPO METALICO TIPO OLHAL PARA HASTE DE ATERRAMENTO DE 3/4'', CONDUTOR DE *10* A 50 MM2                                                                                                                                                                                                                                                                                                                                                                                                                  </t>
  </si>
  <si>
    <t>CABO DE COBRE FLEXÍVEL ISOLADO, 2,5 MM², ANTI-CHAMA 450/750 V, PARA CIRCUITOS TERMINAIS - FORNECIMENTO E INSTALAÇÃO. AF_03/2023</t>
  </si>
  <si>
    <t>CABO DE COBRE FLEXÍVEL ISOLADO, 6 MM², ANTI-CHAMA 450/750 V, PARA CIRCUITOS TERMINAIS - FORNECIMENTO E INSTALAÇÃO. AF_03/2023</t>
  </si>
  <si>
    <t>CABO DE COBRE FLEXÍVEL ISOLADO, 10 MM², ANTI-CHAMA 450/750 V, PARA DISTRIBUIÇÃO - FORNECIMENTO E INSTALAÇÃO. AF_12/2015</t>
  </si>
  <si>
    <t xml:space="preserve">INTERRUPTOR SIMPLES 10A, 250V, CONJUNTO MONTADO PARA SOBREPOR 4" X 2" (CAIXA + 2 MODULOS)                                                                                                                                                                                                                                                                                                                                                                                                                 </t>
  </si>
  <si>
    <t xml:space="preserve">TOMADA 2P+T 10A, 250V, CONJUNTO MONTADO PARA SOBREPOR 4" X 2" (CAIXA + MODULO)                                                                                                                                                                                                                                                                                                                                                                                                                            </t>
  </si>
  <si>
    <t xml:space="preserve">TOMADA 2P+T 20A, 250V  (APENAS MODULO)                                                                                                                                                                                                                                                                                                                                                                                                                                                                    </t>
  </si>
  <si>
    <t>CONDULETE DE PVC, TIPO X, PARA ELETRODUTO DE PVC SOLDÁVEL DN 20 MM (1/2''), APARENTE - FORNECIMENTO E INSTALAÇÃO. AF_10/2022</t>
  </si>
  <si>
    <t xml:space="preserve">LUMINARIA LED REFLETOR RETANGULAR BIVOLT, LUZ BRANCA, 50 W                                                                                                                                                                                                                                                                                                                                                                                                                                                </t>
  </si>
  <si>
    <t xml:space="preserve">BARRA ANTIPANICO SIMPLES, COM FECHADURA LADO OPOSTO, COR CINZA                                                                                                                                                                                                                                                                                                                                                                                                                                            </t>
  </si>
  <si>
    <t>CORRIMÃO SIMPLES, DIÂMETRO EXTERNO = 1 1/2, EM AÇO GALVANIZADO. AF_04/2019_PS</t>
  </si>
  <si>
    <t>EXTINTOR DE INCÊNDIO PORTÁTIL COM CARGA DE PQS DE 4 KG, CLASSE BC - FORNECIMENTO E INSTALAÇÃO. AF_10/2020_PE</t>
  </si>
  <si>
    <t>LUMINÁRIA DE EMERGÊNCIA, COM 30 LÂMPADAS LED DE 2 W, SEM REATOR - FORNECIMENTO E INSTALAÇÃO. AF_02/2020</t>
  </si>
  <si>
    <t xml:space="preserve">BARRA ANTIPANICO DUPLA, CEGA EM LADO OPOSTO, COR CINZA                                                                                                                                                                                                                                                                                                                                                                                                                                                    </t>
  </si>
  <si>
    <t xml:space="preserve">PAR   </t>
  </si>
  <si>
    <t xml:space="preserve">PLACA DE SINALIZACAO DE SEGURANCA CONTRA INCENDIO, FOTOLUMINESCENTE, RETANGULAR, *12 X 40* CM, EM PVC *2* MM ANTI-CHAMAS (SIMBOLOS, CORES E PICTOGRAMAS CONFORME NBR 16820)                                                                                                                                                                                                                                                                                                                               </t>
  </si>
  <si>
    <t xml:space="preserve">PLACA DE SINALIZACAO DE SEGURANCA CONTRA INCENDIO, FOTOLUMINESCENTE, QUADRADA, *20 X 20* CM, EM PVC *2* MM ANTI-CHAMAS (SIMBOLOS, CORES E PICTOGRAMAS CONFORME NBR 16820)                                                                                                                                                                                                                                                                                                                                 </t>
  </si>
  <si>
    <t>ELETRODUTO DE AÇO GALVANIZADO, CLASSE LEVE, DN 20 MM (3/4), APARENTE, INSTALADO EM PAREDE - FORNECIMENTO E INSTALAÇÃO. AF_11/2016_P REFERENCIA SINAPI 95749</t>
  </si>
  <si>
    <t xml:space="preserve">CURVA 90 GRAUS, PARA ELETRODUTO, EM ACO GALVANIZADO ELETROLITICO, DIAMETRO DE 20 MM (3/4")                                                                                                                                                                                                                                                                                                                                                                                                                </t>
  </si>
  <si>
    <t>CABO DE COBRE FLEXÍVEL ISOLADO, 1,5 MM², ANTI-CHAMA 450/750 V, PARA CIRCUITOS TERMINAIS - FORNECIMENTO E INSTALAÇÃO. AF_03/2023</t>
  </si>
  <si>
    <t>ACIONADOR MANUAL DE ALARME DE INCÊNDIO</t>
  </si>
  <si>
    <t>UNIDADE</t>
  </si>
  <si>
    <t>CENTRAL DE ALARME CONVENCIONAL COM BATERIA</t>
  </si>
  <si>
    <t>SIRENE ELETRÔNICA AUDIOVISUAL 12V - BITONAL ELETRÔNICA; COR: BRANCA C/ TAMPA VERMELHA TRANSLÚCIDA; ILUMINAÇÃO: LUZ VERMELHA PISCANTE; SIRENE EM ABS; APLICAÇÃO: INCÊNDIO</t>
  </si>
  <si>
    <t>DISJUNTOR BIPOLAR TIPO NEMA, CORRENTE NOMINAL DE 10 ATÉ 50A - FORNECIMENTO E INSTALAÇÃO. AF_10/2020</t>
  </si>
  <si>
    <t>ABRIGO PARA HIDRANTE, 75X45X17CM, COM REGISTRO GLOBO ANGULAR 45 GRAUS 2 1/2", ADAPTADOR STORZ 2 1/2", MANGUEIRA DE INCÊNDIO 15M 2 1/2" E ESGUICHO EM LATÃO 2 1/2" - FORNECIMENTO E INSTALAÇÃO. AF_10/2020 REFERENCIA SINAPI 101912</t>
  </si>
  <si>
    <t>TUBO DE AÇO GALVANIZADO COM COSTURA, CLASSE MÉDIA, DN 65 (2 1/2"), CONEXÃO ROSQUEADA, INSTALADO EM REDE DE ALIMENTAÇÃO PARA HIDRANTE - FORNECIMENTO E INSTALAÇÃO. AF_10/2020</t>
  </si>
  <si>
    <t>TÊ, EM FERRO GALVANIZADO, CONEXÃO ROSQUEADA, DN 65 (2 1/2"), INSTALADO EM REDE DE ALIMENTAÇÃO PARA HIDRANTE - FORNECIMENTO E INSTALAÇÃO. AF_10/2020</t>
  </si>
  <si>
    <t>JOELHO 90 GRAUS, EM FERRO GALVANIZADO, DN 65 (2 1/2"), CONEXÃO ROSQUEADA, INSTALADO EM REDE DE ALIMENTAÇÃO PARA HIDRANTE - FORNECIMENTO E INSTALAÇÃO. AF_10/2020</t>
  </si>
  <si>
    <t xml:space="preserve">REGISTRO GAVETA BRUTO EM LATAO FORJADO, BITOLA 2 1/2 " (REF 1509)                                                                                                                                                                                                                                                                                                                                                                                                                                         </t>
  </si>
  <si>
    <t>VÁLVULA DE RETENÇÃO HORIZONTAL, DE BRONZE, ROSCÁVEL, 2 1/2" - FORNECIMENTO E INSTALAÇÃO. AF_08/2021</t>
  </si>
  <si>
    <t>CONJUNTO HIDRÁULICO PARA INSTALAÇÃO DE BOMBA EM AÇO ROSCÁVEL, DN SUCÇÃO 32 (1 1/4) E DN RECALQUE 25 (1), PARA EDIFICAÇÃO ATÉ 4 PAVIMENTOS  FORNECIMENTO E INSTALAÇÃO. AF_06/2016</t>
  </si>
  <si>
    <t>BOMBA PRINCIPAL CENTRÍFUGA 5 CV  TRIFASICA</t>
  </si>
  <si>
    <t xml:space="preserve">BOMBA AUXILIAR JOCKEY 1 CV </t>
  </si>
  <si>
    <t>QUADRO DE COMANDO PARA BOMBAS DE HIDRANTE: UMA PRINCIPAL E UMA AUXILIAR JOCKEY</t>
  </si>
  <si>
    <t>CABO DE COBRE FLEXÍVEL ISOLADO, 4 MM², ANTI-CHAMA 450/750 V, PARA CIRCUITOS TERMINAIS - FORNECIMENTO E INSTALAÇÃO. AF_03/2023</t>
  </si>
  <si>
    <t>RESERVATÓRIO EM FIBRA DE VIDRO, 10.000 LITROS, COM INSTALAÇÃO E ACESSÓRIOS</t>
  </si>
  <si>
    <t xml:space="preserve">PISO PARA SUPORTE DOS RESERVATÓRIOS - PISO DE CONCRETO USINADO BOMBEÁVEL FCK 20MPA, E=15CM - LANÇAMENTO, ADENSAMENTO E ACABAMENTO ARMADO COM MALHA DE FERRO 15X15CM CA-60 4.2MM </t>
  </si>
  <si>
    <t>LIMPEZA DE PISO CERÂMICO OU PORCELANATO COM VASSOURA A SECO. AF_04/2019</t>
  </si>
  <si>
    <t>941472/2023</t>
  </si>
  <si>
    <t>MINISTÉRIO DO ESPORTE</t>
  </si>
  <si>
    <t>RECUPERAÇÃO DE COMPLEXO ESPORTIVO DO DISTRITO DE SERTÃZINHO</t>
  </si>
  <si>
    <t>APOIO A IMPLANTAÇÃO E MODERNIZAÇÃO DE INFRAESTRUTURA PARA ESPORTE EDUCACIONAL, RECREATIVO E DE LAZER</t>
  </si>
  <si>
    <t>EQUIPAMENTOS</t>
  </si>
  <si>
    <t>COMP 06</t>
  </si>
  <si>
    <t>COMP 07</t>
  </si>
  <si>
    <t>CONTRAVERGA MOLDADA IN LOCO EM CONCRETO PARA VÃOS DE MAIS DE 1,5 M DE COMPRIMENTO. AF_03/2016</t>
  </si>
  <si>
    <t>VERGA MOLDADA IN LOCO EM CONCRETO PARA JANELAS COM MAIS DE 1,5 M DE VÃO. AF_03/2016</t>
  </si>
  <si>
    <t>MESA EM CONCRETO MOLDADO IN LOCO COM TABULEIRO DE XADREZ EM GRANITO</t>
  </si>
  <si>
    <t>BANCOS EM CONCRETO MOLDADO IN LOCO COM DIMENSÃO DE 35X35CM</t>
  </si>
  <si>
    <t>104920</t>
  </si>
  <si>
    <t>27 de maio de 2024</t>
  </si>
  <si>
    <t>96555</t>
  </si>
  <si>
    <t>ARMAÇÃO DE BLOCO, SAPATA ISOLADA, VIGA BALDRAME E SAPATA CORRIDA UTILIZANDO AÇO CA-50 DE 12,5 MM - MONTAGEM. AF_01/2024</t>
  </si>
  <si>
    <t>CONCRETAGEM DE BLOCO DE COROAMENTO OU VIGA BALDRAME, FCK 30 MPA, COM USO DE JERICA - LANÇAMENTO, ADENSAMENTO E ACABAMENTO. AF_01/2024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</si>
</sst>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00_);_(* \(#,##0.00\);_(* &quot;-&quot;??_);_(@_)"/>
    <numFmt numFmtId="165" formatCode="_(&quot;R$&quot;* #,##0.00_);_(&quot;R$&quot;* \(#,##0.00\);_(&quot;R$&quot;* &quot;-&quot;??_);_(@_)"/>
    <numFmt numFmtId="166" formatCode="dd/mm/yy;@"/>
    <numFmt numFmtId="167" formatCode="[$-416]mmm\-yy;@"/>
    <numFmt numFmtId="168" formatCode="[$-F800]dddd\,\ mmmm\ dd\,\ yyyy"/>
    <numFmt numFmtId="169" formatCode="_(&quot;R$ &quot;* #,##0.00_);_(&quot;R$ &quot;* \(#,##0.00\);_(&quot;R$ &quot;* &quot;-&quot;??_);_(@_)"/>
    <numFmt numFmtId="170" formatCode="dd\ &quot;de&quot;\ mmmm\ &quot;de&quot;\ yyyy"/>
    <numFmt numFmtId="171" formatCode="General;General;"/>
  </numFmts>
  <fonts count="54" x14ac:knownFonts="1">
    <font>
      <sz val="10"/>
      <name val="Arial"/>
    </font>
    <font>
      <sz val="10"/>
      <name val="Arial"/>
      <family val="2"/>
    </font>
    <font>
      <sz val="9"/>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8"/>
      <name val="Arial"/>
      <family val="2"/>
    </font>
    <font>
      <b/>
      <sz val="12"/>
      <name val="Arial"/>
      <family val="2"/>
    </font>
    <font>
      <b/>
      <sz val="10"/>
      <name val="Arial"/>
      <family val="2"/>
    </font>
    <font>
      <b/>
      <sz val="10"/>
      <color indexed="10"/>
      <name val="Arial"/>
      <family val="2"/>
    </font>
    <font>
      <sz val="14"/>
      <color indexed="9"/>
      <name val="Arial Black"/>
      <family val="2"/>
    </font>
    <font>
      <sz val="8"/>
      <name val="Arial"/>
      <family val="2"/>
    </font>
    <font>
      <b/>
      <sz val="11"/>
      <name val="Arial"/>
      <family val="2"/>
    </font>
    <font>
      <b/>
      <sz val="10"/>
      <color indexed="8"/>
      <name val="Arial"/>
      <family val="2"/>
    </font>
    <font>
      <sz val="8"/>
      <color indexed="9"/>
      <name val="Arial"/>
      <family val="2"/>
    </font>
    <font>
      <sz val="10"/>
      <color indexed="9"/>
      <name val="Arial"/>
      <family val="2"/>
    </font>
    <font>
      <sz val="11"/>
      <name val="Arial"/>
      <family val="2"/>
    </font>
    <font>
      <b/>
      <sz val="10"/>
      <color indexed="12"/>
      <name val="Arial"/>
      <family val="2"/>
    </font>
    <font>
      <b/>
      <u/>
      <sz val="15"/>
      <name val="Arial"/>
      <family val="2"/>
    </font>
    <font>
      <b/>
      <sz val="11"/>
      <color indexed="12"/>
      <name val="Arial"/>
      <family val="2"/>
    </font>
    <font>
      <u/>
      <sz val="10"/>
      <name val="Arial"/>
      <family val="2"/>
    </font>
    <font>
      <sz val="12"/>
      <name val="Arial"/>
      <family val="2"/>
    </font>
    <font>
      <sz val="14"/>
      <color indexed="9"/>
      <name val="Arial"/>
      <family val="2"/>
    </font>
    <font>
      <sz val="10"/>
      <name val="Arial"/>
      <family val="2"/>
    </font>
    <font>
      <b/>
      <sz val="9"/>
      <name val="Arial"/>
      <family val="2"/>
    </font>
    <font>
      <sz val="11"/>
      <color indexed="9"/>
      <name val="Arial"/>
      <family val="2"/>
    </font>
    <font>
      <b/>
      <sz val="10"/>
      <color indexed="23"/>
      <name val="Arial"/>
      <family val="2"/>
    </font>
    <font>
      <i/>
      <sz val="12"/>
      <name val="Calibri"/>
      <family val="2"/>
    </font>
    <font>
      <i/>
      <u/>
      <sz val="12"/>
      <name val="Calibri"/>
      <family val="2"/>
    </font>
    <font>
      <sz val="8"/>
      <name val="Arial"/>
      <family val="2"/>
    </font>
    <font>
      <b/>
      <sz val="18"/>
      <name val="Arial"/>
      <family val="2"/>
    </font>
    <font>
      <sz val="10.5"/>
      <name val="Arial"/>
      <family val="2"/>
    </font>
    <font>
      <b/>
      <sz val="12"/>
      <color indexed="10"/>
      <name val="Arial"/>
      <family val="2"/>
    </font>
    <font>
      <b/>
      <sz val="20"/>
      <color indexed="10"/>
      <name val="Arial"/>
      <family val="2"/>
    </font>
    <font>
      <sz val="8"/>
      <name val="Arial"/>
      <family val="2"/>
    </font>
    <font>
      <sz val="11"/>
      <name val="Arial"/>
      <family val="2"/>
    </font>
    <font>
      <sz val="10"/>
      <color indexed="13"/>
      <name val="Arial"/>
      <family val="2"/>
    </font>
    <font>
      <b/>
      <sz val="10"/>
      <color indexed="13"/>
      <name val="Arial"/>
      <family val="2"/>
    </font>
    <font>
      <b/>
      <sz val="10"/>
      <color indexed="13"/>
      <name val="Arial"/>
      <family val="2"/>
    </font>
    <font>
      <sz val="8"/>
      <color rgb="FF000000"/>
      <name val="Segoe UI"/>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3"/>
        <bgColor indexed="64"/>
      </patternFill>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solid">
        <fgColor indexed="55"/>
        <bgColor indexed="64"/>
      </patternFill>
    </fill>
    <fill>
      <patternFill patternType="solid">
        <fgColor indexed="8"/>
        <bgColor indexed="64"/>
      </patternFill>
    </fill>
    <fill>
      <patternFill patternType="solid">
        <fgColor indexed="47"/>
        <bgColor indexed="64"/>
      </patternFill>
    </fill>
    <fill>
      <patternFill patternType="solid">
        <fgColor rgb="FFFFFF99"/>
        <bgColor indexed="64"/>
      </patternFill>
    </fill>
  </fills>
  <borders count="41">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style="thin">
        <color indexed="64"/>
      </left>
      <right/>
      <top/>
      <bottom/>
      <diagonal/>
    </border>
    <border>
      <left/>
      <right style="thin">
        <color indexed="64"/>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top style="thin">
        <color indexed="64"/>
      </top>
      <bottom/>
      <diagonal/>
    </border>
    <border>
      <left style="thin">
        <color indexed="64"/>
      </left>
      <right style="hair">
        <color indexed="64"/>
      </right>
      <top style="thin">
        <color indexed="64"/>
      </top>
      <bottom style="thin">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thin">
        <color indexed="64"/>
      </bottom>
      <diagonal/>
    </border>
    <border>
      <left style="hair">
        <color indexed="64"/>
      </left>
      <right style="hair">
        <color indexed="64"/>
      </right>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thin">
        <color indexed="64"/>
      </left>
      <right/>
      <top style="thin">
        <color indexed="64"/>
      </top>
      <bottom style="thin">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diagonal/>
    </border>
    <border>
      <left/>
      <right/>
      <top style="hair">
        <color indexed="64"/>
      </top>
      <bottom/>
      <diagonal/>
    </border>
    <border>
      <left style="thin">
        <color indexed="64"/>
      </left>
      <right/>
      <top style="hair">
        <color indexed="64"/>
      </top>
      <bottom/>
      <diagonal/>
    </border>
    <border>
      <left/>
      <right style="thin">
        <color indexed="64"/>
      </right>
      <top style="hair">
        <color indexed="64"/>
      </top>
      <bottom/>
      <diagonal/>
    </border>
    <border>
      <left/>
      <right style="thin">
        <color indexed="64"/>
      </right>
      <top/>
      <bottom style="thin">
        <color indexed="64"/>
      </bottom>
      <diagonal/>
    </border>
    <border>
      <left/>
      <right style="thin">
        <color indexed="64"/>
      </right>
      <top style="thin">
        <color indexed="64"/>
      </top>
      <bottom/>
      <diagonal/>
    </border>
    <border>
      <left style="medium">
        <color indexed="64"/>
      </left>
      <right/>
      <top/>
      <bottom/>
      <diagonal/>
    </border>
  </borders>
  <cellStyleXfs count="89">
    <xf numFmtId="0" fontId="0" fillId="0" borderId="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2" borderId="0" applyNumberFormat="0" applyBorder="0" applyAlignment="0" applyProtection="0"/>
    <xf numFmtId="0" fontId="3" fillId="3" borderId="0" applyNumberFormat="0" applyBorder="0" applyAlignment="0" applyProtection="0"/>
    <xf numFmtId="0" fontId="3" fillId="4" borderId="0" applyNumberFormat="0" applyBorder="0" applyAlignment="0" applyProtection="0"/>
    <xf numFmtId="0" fontId="3" fillId="5" borderId="0" applyNumberFormat="0" applyBorder="0" applyAlignment="0" applyProtection="0"/>
    <xf numFmtId="0" fontId="3" fillId="6" borderId="0" applyNumberFormat="0" applyBorder="0" applyAlignment="0" applyProtection="0"/>
    <xf numFmtId="0" fontId="3" fillId="7"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3" fillId="8"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5" borderId="0" applyNumberFormat="0" applyBorder="0" applyAlignment="0" applyProtection="0"/>
    <xf numFmtId="0" fontId="3" fillId="8" borderId="0" applyNumberFormat="0" applyBorder="0" applyAlignment="0" applyProtection="0"/>
    <xf numFmtId="0" fontId="3" fillId="11"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2"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10" fillId="3" borderId="0" applyNumberFormat="0" applyBorder="0" applyAlignment="0" applyProtection="0"/>
    <xf numFmtId="0" fontId="5" fillId="4" borderId="0" applyNumberFormat="0" applyBorder="0" applyAlignment="0" applyProtection="0"/>
    <xf numFmtId="0" fontId="6" fillId="20" borderId="1" applyNumberFormat="0" applyAlignment="0" applyProtection="0"/>
    <xf numFmtId="0" fontId="6" fillId="20" borderId="1" applyNumberFormat="0" applyAlignment="0" applyProtection="0"/>
    <xf numFmtId="0" fontId="7" fillId="21" borderId="2" applyNumberFormat="0" applyAlignment="0" applyProtection="0"/>
    <xf numFmtId="0" fontId="8" fillId="0" borderId="3" applyNumberFormat="0" applyFill="0" applyAlignment="0" applyProtection="0"/>
    <xf numFmtId="0" fontId="7" fillId="21" borderId="2" applyNumberFormat="0" applyAlignment="0" applyProtection="0"/>
    <xf numFmtId="0" fontId="4" fillId="16" borderId="0" applyNumberFormat="0" applyBorder="0" applyAlignment="0" applyProtection="0"/>
    <xf numFmtId="0" fontId="4" fillId="17" borderId="0" applyNumberFormat="0" applyBorder="0" applyAlignment="0" applyProtection="0"/>
    <xf numFmtId="0" fontId="4" fillId="18"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9" borderId="0" applyNumberFormat="0" applyBorder="0" applyAlignment="0" applyProtection="0"/>
    <xf numFmtId="0" fontId="9" fillId="7" borderId="1" applyNumberFormat="0" applyAlignment="0" applyProtection="0"/>
    <xf numFmtId="0" fontId="3" fillId="0" borderId="0"/>
    <xf numFmtId="0" fontId="14" fillId="0" borderId="0" applyNumberFormat="0" applyFill="0" applyBorder="0" applyAlignment="0" applyProtection="0"/>
    <xf numFmtId="0" fontId="5" fillId="4" borderId="0" applyNumberFormat="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0" fillId="3" borderId="0" applyNumberFormat="0" applyBorder="0" applyAlignment="0" applyProtection="0"/>
    <xf numFmtId="0" fontId="9" fillId="7" borderId="1" applyNumberFormat="0" applyAlignment="0" applyProtection="0"/>
    <xf numFmtId="0" fontId="8" fillId="0" borderId="3" applyNumberFormat="0" applyFill="0" applyAlignment="0" applyProtection="0"/>
    <xf numFmtId="165" fontId="1" fillId="0" borderId="0" applyFont="0" applyFill="0" applyBorder="0" applyAlignment="0" applyProtection="0"/>
    <xf numFmtId="169" fontId="1" fillId="0" borderId="0" applyFont="0" applyFill="0" applyBorder="0" applyAlignment="0" applyProtection="0"/>
    <xf numFmtId="0" fontId="11" fillId="22" borderId="0" applyNumberFormat="0" applyBorder="0" applyAlignment="0" applyProtection="0"/>
    <xf numFmtId="0" fontId="11" fillId="22" borderId="0" applyNumberFormat="0" applyBorder="0" applyAlignment="0" applyProtection="0"/>
    <xf numFmtId="0" fontId="1" fillId="0" borderId="0"/>
    <xf numFmtId="0" fontId="2" fillId="0" borderId="0"/>
    <xf numFmtId="0" fontId="1" fillId="23" borderId="7" applyNumberFormat="0" applyFont="0" applyAlignment="0" applyProtection="0"/>
    <xf numFmtId="0" fontId="1" fillId="23" borderId="7" applyNumberFormat="0" applyFont="0" applyAlignment="0" applyProtection="0"/>
    <xf numFmtId="0" fontId="12" fillId="20" borderId="8" applyNumberFormat="0" applyAlignment="0" applyProtection="0"/>
    <xf numFmtId="9" fontId="1" fillId="0" borderId="0" applyFont="0" applyFill="0" applyBorder="0" applyAlignment="0" applyProtection="0"/>
    <xf numFmtId="0" fontId="12" fillId="20" borderId="8" applyNumberFormat="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6" fillId="0" borderId="4" applyNumberFormat="0" applyFill="0" applyAlignment="0" applyProtection="0"/>
    <xf numFmtId="0" fontId="17" fillId="0" borderId="5" applyNumberFormat="0" applyFill="0" applyAlignment="0" applyProtection="0"/>
    <xf numFmtId="0" fontId="18" fillId="0" borderId="6" applyNumberFormat="0" applyFill="0" applyAlignment="0" applyProtection="0"/>
    <xf numFmtId="0" fontId="18" fillId="0" borderId="0" applyNumberFormat="0" applyFill="0" applyBorder="0" applyAlignment="0" applyProtection="0"/>
    <xf numFmtId="0" fontId="19" fillId="0" borderId="9" applyNumberFormat="0" applyFill="0" applyAlignment="0" applyProtection="0"/>
    <xf numFmtId="164" fontId="1" fillId="0" borderId="0" applyFont="0" applyFill="0" applyBorder="0" applyAlignment="0" applyProtection="0"/>
    <xf numFmtId="0" fontId="13" fillId="0" borderId="0" applyNumberFormat="0" applyFill="0" applyBorder="0" applyAlignment="0" applyProtection="0"/>
  </cellStyleXfs>
  <cellXfs count="396">
    <xf numFmtId="0" fontId="0" fillId="0" borderId="0" xfId="0"/>
    <xf numFmtId="0" fontId="0" fillId="0" borderId="0" xfId="0" applyProtection="1"/>
    <xf numFmtId="0" fontId="0" fillId="0" borderId="0" xfId="0" applyFill="1" applyBorder="1" applyProtection="1"/>
    <xf numFmtId="0" fontId="0" fillId="0" borderId="0" xfId="0" applyBorder="1" applyProtection="1"/>
    <xf numFmtId="0" fontId="1" fillId="0" borderId="0" xfId="0" applyFont="1"/>
    <xf numFmtId="0" fontId="20" fillId="0" borderId="0" xfId="0" applyFont="1"/>
    <xf numFmtId="0" fontId="22" fillId="0" borderId="0" xfId="0" applyFont="1" applyAlignment="1">
      <alignment horizontal="center"/>
    </xf>
    <xf numFmtId="0" fontId="1" fillId="0" borderId="0" xfId="0" applyFont="1" applyAlignment="1" applyProtection="1">
      <alignment horizontal="center"/>
    </xf>
    <xf numFmtId="0" fontId="0" fillId="0" borderId="0" xfId="0" applyAlignment="1" applyProtection="1">
      <alignment horizontal="left"/>
    </xf>
    <xf numFmtId="0" fontId="1" fillId="0" borderId="0" xfId="0" applyFont="1" applyAlignment="1">
      <alignment horizontal="center"/>
    </xf>
    <xf numFmtId="49" fontId="22" fillId="24" borderId="10" xfId="0" applyNumberFormat="1" applyFont="1" applyFill="1" applyBorder="1" applyAlignment="1" applyProtection="1">
      <alignment horizontal="center" vertical="center"/>
    </xf>
    <xf numFmtId="164" fontId="22" fillId="24" borderId="10" xfId="87" applyNumberFormat="1" applyFont="1" applyFill="1" applyBorder="1" applyAlignment="1" applyProtection="1">
      <alignment horizontal="center" vertical="center"/>
    </xf>
    <xf numFmtId="10" fontId="22" fillId="24" borderId="10" xfId="76" applyNumberFormat="1" applyFont="1" applyFill="1" applyBorder="1" applyAlignment="1" applyProtection="1">
      <alignment horizontal="center" vertical="center"/>
    </xf>
    <xf numFmtId="0" fontId="23" fillId="0" borderId="0" xfId="0" applyFont="1"/>
    <xf numFmtId="0" fontId="1" fillId="0" borderId="0" xfId="0" applyFont="1" applyAlignment="1">
      <alignment horizontal="left"/>
    </xf>
    <xf numFmtId="0" fontId="1" fillId="0" borderId="0" xfId="0" applyFont="1" applyAlignment="1">
      <alignment horizontal="center" vertical="center"/>
    </xf>
    <xf numFmtId="164" fontId="1" fillId="0" borderId="0" xfId="87" applyFont="1"/>
    <xf numFmtId="0" fontId="27" fillId="0" borderId="0" xfId="0" applyFont="1" applyAlignment="1">
      <alignment vertical="center"/>
    </xf>
    <xf numFmtId="0" fontId="1" fillId="0" borderId="0" xfId="0" applyFont="1" applyBorder="1" applyAlignment="1" applyProtection="1">
      <alignment horizontal="right"/>
    </xf>
    <xf numFmtId="0" fontId="22" fillId="0" borderId="0" xfId="0" applyFont="1" applyBorder="1" applyAlignment="1" applyProtection="1">
      <alignment horizontal="right"/>
    </xf>
    <xf numFmtId="0" fontId="1" fillId="0" borderId="0" xfId="0" applyFont="1" applyBorder="1"/>
    <xf numFmtId="0" fontId="0" fillId="0" borderId="0" xfId="0" applyFill="1" applyProtection="1"/>
    <xf numFmtId="0" fontId="0" fillId="0" borderId="0" xfId="0" applyFill="1" applyAlignment="1" applyProtection="1">
      <alignment horizontal="left"/>
    </xf>
    <xf numFmtId="0" fontId="1" fillId="0" borderId="0" xfId="0" applyFont="1" applyFill="1" applyAlignment="1" applyProtection="1">
      <alignment horizontal="center"/>
    </xf>
    <xf numFmtId="0" fontId="1" fillId="0" borderId="0" xfId="0" applyFont="1" applyFill="1" applyBorder="1" applyAlignment="1" applyProtection="1">
      <alignment wrapText="1"/>
    </xf>
    <xf numFmtId="0" fontId="0" fillId="0" borderId="0" xfId="0" applyFill="1" applyAlignment="1" applyProtection="1">
      <alignment horizontal="left" wrapText="1"/>
    </xf>
    <xf numFmtId="0" fontId="1" fillId="0" borderId="0" xfId="0" applyFont="1" applyFill="1" applyBorder="1" applyAlignment="1" applyProtection="1">
      <alignment horizontal="left" wrapText="1" indent="2"/>
    </xf>
    <xf numFmtId="0" fontId="0" fillId="0" borderId="0" xfId="0" applyFill="1" applyAlignment="1" applyProtection="1">
      <alignment horizontal="center"/>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22" fillId="0" borderId="12" xfId="72" applyFont="1" applyBorder="1" applyAlignment="1" applyProtection="1">
      <alignment horizontal="left" vertical="top"/>
    </xf>
    <xf numFmtId="10" fontId="1" fillId="0" borderId="0" xfId="76" applyNumberFormat="1" applyFont="1" applyBorder="1" applyAlignment="1" applyProtection="1">
      <alignment horizontal="left"/>
    </xf>
    <xf numFmtId="0" fontId="0" fillId="0" borderId="0" xfId="0" applyAlignment="1" applyProtection="1">
      <alignment horizontal="left" indent="2"/>
    </xf>
    <xf numFmtId="14" fontId="28" fillId="0" borderId="0" xfId="0" applyNumberFormat="1" applyFont="1" applyFill="1" applyBorder="1" applyAlignment="1" applyProtection="1">
      <alignment vertical="top" wrapText="1"/>
    </xf>
    <xf numFmtId="0" fontId="29" fillId="0" borderId="0" xfId="0" applyFont="1" applyFill="1" applyAlignment="1" applyProtection="1">
      <alignment horizontal="center"/>
    </xf>
    <xf numFmtId="0" fontId="29" fillId="0" borderId="0" xfId="0" applyFont="1" applyFill="1" applyProtection="1"/>
    <xf numFmtId="0" fontId="21" fillId="0" borderId="0" xfId="0" applyFont="1" applyAlignment="1">
      <alignment horizontal="left"/>
    </xf>
    <xf numFmtId="166" fontId="0" fillId="0" borderId="0" xfId="87" applyNumberFormat="1" applyFont="1" applyFill="1" applyBorder="1" applyProtection="1"/>
    <xf numFmtId="0" fontId="1" fillId="0" borderId="0" xfId="0" applyFont="1" applyAlignment="1" applyProtection="1">
      <alignment horizontal="left"/>
    </xf>
    <xf numFmtId="0" fontId="0" fillId="0" borderId="13" xfId="0" applyFill="1" applyBorder="1" applyAlignment="1" applyProtection="1">
      <alignment horizontal="left"/>
    </xf>
    <xf numFmtId="0" fontId="0" fillId="0" borderId="13" xfId="0" applyFill="1" applyBorder="1" applyProtection="1"/>
    <xf numFmtId="0" fontId="0" fillId="0" borderId="0" xfId="0" applyProtection="1">
      <protection hidden="1"/>
    </xf>
    <xf numFmtId="0" fontId="1" fillId="0" borderId="0" xfId="0" applyFont="1" applyProtection="1">
      <protection hidden="1"/>
    </xf>
    <xf numFmtId="0" fontId="22" fillId="0" borderId="0" xfId="0" applyFont="1" applyFill="1" applyBorder="1" applyAlignment="1" applyProtection="1">
      <alignment wrapText="1"/>
      <protection hidden="1"/>
    </xf>
    <xf numFmtId="0" fontId="22" fillId="0" borderId="0" xfId="0" applyFont="1" applyFill="1" applyBorder="1" applyAlignment="1" applyProtection="1">
      <alignment horizontal="center" vertical="center"/>
      <protection hidden="1"/>
    </xf>
    <xf numFmtId="0" fontId="1" fillId="0" borderId="0" xfId="0" applyFont="1" applyFill="1" applyBorder="1" applyProtection="1">
      <protection hidden="1"/>
    </xf>
    <xf numFmtId="0" fontId="2" fillId="0" borderId="0" xfId="0" applyFont="1" applyProtection="1">
      <protection hidden="1"/>
    </xf>
    <xf numFmtId="0" fontId="1" fillId="0" borderId="0" xfId="0" applyFont="1" applyAlignment="1" applyProtection="1">
      <alignment horizontal="center"/>
      <protection hidden="1"/>
    </xf>
    <xf numFmtId="0" fontId="1" fillId="0" borderId="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1" fillId="0" borderId="0" xfId="71" applyFont="1" applyProtection="1"/>
    <xf numFmtId="0" fontId="22" fillId="0" borderId="0" xfId="71" applyFont="1" applyAlignment="1" applyProtection="1">
      <alignment horizontal="center"/>
    </xf>
    <xf numFmtId="0" fontId="22" fillId="0" borderId="14" xfId="71" applyFont="1" applyBorder="1" applyAlignment="1" applyProtection="1">
      <alignment horizontal="center"/>
    </xf>
    <xf numFmtId="10" fontId="31" fillId="0" borderId="14" xfId="71" applyNumberFormat="1" applyFont="1" applyFill="1" applyBorder="1" applyAlignment="1" applyProtection="1">
      <alignment horizontal="center"/>
    </xf>
    <xf numFmtId="0" fontId="21" fillId="0" borderId="0" xfId="71" applyFont="1" applyAlignment="1" applyProtection="1">
      <alignment horizontal="center"/>
    </xf>
    <xf numFmtId="0" fontId="32" fillId="0" borderId="0" xfId="71" applyFont="1" applyAlignment="1" applyProtection="1"/>
    <xf numFmtId="0" fontId="22" fillId="0" borderId="0" xfId="71" applyFont="1" applyProtection="1"/>
    <xf numFmtId="0" fontId="22" fillId="0" borderId="14" xfId="71" applyFont="1" applyFill="1" applyBorder="1" applyAlignment="1" applyProtection="1">
      <alignment horizontal="center" vertical="center" wrapText="1"/>
    </xf>
    <xf numFmtId="0" fontId="30" fillId="0" borderId="14" xfId="71" applyFont="1" applyBorder="1" applyAlignment="1" applyProtection="1">
      <alignment horizontal="center" vertical="center"/>
    </xf>
    <xf numFmtId="10" fontId="30" fillId="25" borderId="14" xfId="71" applyNumberFormat="1" applyFont="1" applyFill="1" applyBorder="1" applyAlignment="1" applyProtection="1">
      <alignment horizontal="center" vertical="center"/>
      <protection locked="0"/>
    </xf>
    <xf numFmtId="4" fontId="26"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xf>
    <xf numFmtId="10" fontId="30" fillId="0" borderId="14" xfId="71" applyNumberFormat="1" applyFont="1" applyFill="1" applyBorder="1" applyAlignment="1" applyProtection="1">
      <alignment horizontal="center" vertical="center" wrapText="1"/>
    </xf>
    <xf numFmtId="0" fontId="30" fillId="0" borderId="14" xfId="71" applyFont="1" applyFill="1" applyBorder="1" applyAlignment="1" applyProtection="1">
      <alignment horizontal="center" vertical="center" wrapText="1"/>
    </xf>
    <xf numFmtId="0" fontId="39" fillId="0" borderId="0" xfId="71" applyFont="1" applyFill="1" applyBorder="1" applyAlignment="1" applyProtection="1">
      <alignment horizontal="center" vertical="center" wrapText="1"/>
    </xf>
    <xf numFmtId="10" fontId="39" fillId="0" borderId="0" xfId="71" applyNumberFormat="1" applyFont="1" applyFill="1" applyBorder="1" applyAlignment="1" applyProtection="1">
      <alignment horizontal="center" vertical="center"/>
    </xf>
    <xf numFmtId="170" fontId="1" fillId="0" borderId="0" xfId="71" applyNumberFormat="1" applyFont="1" applyAlignment="1" applyProtection="1"/>
    <xf numFmtId="0" fontId="30" fillId="0" borderId="0" xfId="71" applyFont="1" applyBorder="1" applyProtection="1"/>
    <xf numFmtId="0" fontId="1" fillId="0" borderId="0" xfId="71" applyFont="1" applyBorder="1" applyProtection="1"/>
    <xf numFmtId="0" fontId="30" fillId="0" borderId="0" xfId="71" applyFont="1" applyProtection="1"/>
    <xf numFmtId="0" fontId="30" fillId="0" borderId="0" xfId="71" applyFont="1" applyAlignment="1" applyProtection="1">
      <alignment vertical="top"/>
    </xf>
    <xf numFmtId="0" fontId="34" fillId="0" borderId="0" xfId="71" applyFont="1" applyBorder="1" applyAlignment="1" applyProtection="1">
      <alignment horizontal="center" vertical="top"/>
    </xf>
    <xf numFmtId="0" fontId="22" fillId="0" borderId="14" xfId="0" applyFont="1" applyBorder="1" applyAlignment="1" applyProtection="1">
      <alignment horizontal="center" vertical="center" wrapText="1"/>
    </xf>
    <xf numFmtId="0" fontId="22" fillId="0" borderId="14" xfId="0" applyFont="1" applyBorder="1" applyAlignment="1" applyProtection="1">
      <alignment horizontal="center" vertical="center"/>
    </xf>
    <xf numFmtId="0" fontId="22" fillId="24" borderId="14" xfId="0" applyNumberFormat="1" applyFont="1" applyFill="1" applyBorder="1" applyAlignment="1" applyProtection="1">
      <alignment horizontal="center" vertical="center"/>
    </xf>
    <xf numFmtId="0" fontId="1" fillId="0" borderId="15" xfId="0" applyFont="1" applyBorder="1" applyAlignment="1" applyProtection="1">
      <alignment horizontal="center"/>
    </xf>
    <xf numFmtId="0" fontId="22" fillId="0" borderId="16" xfId="0" applyFont="1" applyBorder="1" applyAlignment="1" applyProtection="1">
      <alignment horizontal="center"/>
    </xf>
    <xf numFmtId="0" fontId="1" fillId="0" borderId="0" xfId="0" applyFont="1" applyFill="1"/>
    <xf numFmtId="0" fontId="36" fillId="0" borderId="0" xfId="0" applyFont="1" applyFill="1" applyAlignment="1">
      <alignment vertical="center"/>
    </xf>
    <xf numFmtId="0" fontId="1" fillId="0" borderId="0" xfId="0" applyFont="1" applyFill="1" applyAlignment="1">
      <alignment horizontal="center" vertical="top"/>
    </xf>
    <xf numFmtId="0" fontId="1" fillId="0" borderId="0" xfId="0" applyFont="1" applyProtection="1"/>
    <xf numFmtId="0" fontId="1" fillId="0" borderId="17" xfId="0" applyFont="1" applyBorder="1"/>
    <xf numFmtId="0" fontId="30" fillId="0" borderId="0" xfId="0" applyFont="1"/>
    <xf numFmtId="0" fontId="21" fillId="0" borderId="0" xfId="0" applyFont="1" applyAlignment="1">
      <alignment horizontal="right"/>
    </xf>
    <xf numFmtId="0" fontId="22" fillId="25" borderId="0" xfId="0" applyFont="1" applyFill="1" applyAlignment="1" applyProtection="1">
      <protection locked="0"/>
    </xf>
    <xf numFmtId="0" fontId="22" fillId="24" borderId="10" xfId="0"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0" borderId="12" xfId="0" applyFont="1" applyBorder="1"/>
    <xf numFmtId="0" fontId="30" fillId="0" borderId="11" xfId="0" applyFont="1" applyBorder="1" applyAlignment="1" applyProtection="1">
      <alignment horizontal="left" vertical="center"/>
    </xf>
    <xf numFmtId="0" fontId="1" fillId="25" borderId="18" xfId="0" applyFont="1" applyFill="1" applyBorder="1" applyAlignment="1" applyProtection="1">
      <alignment vertical="top" wrapText="1"/>
      <protection locked="0"/>
    </xf>
    <xf numFmtId="0" fontId="22" fillId="0" borderId="11" xfId="72" applyFont="1" applyBorder="1" applyAlignment="1" applyProtection="1">
      <alignment vertical="top"/>
    </xf>
    <xf numFmtId="0" fontId="22" fillId="0" borderId="15" xfId="72" applyFont="1" applyBorder="1" applyAlignment="1" applyProtection="1">
      <alignment horizontal="center" vertical="top"/>
    </xf>
    <xf numFmtId="0" fontId="0" fillId="0" borderId="0" xfId="0" applyFont="1" applyProtection="1"/>
    <xf numFmtId="10" fontId="37" fillId="25" borderId="16" xfId="76" applyNumberFormat="1" applyFont="1" applyFill="1" applyBorder="1" applyAlignment="1" applyProtection="1">
      <alignment horizontal="center" vertical="top" wrapText="1"/>
    </xf>
    <xf numFmtId="10" fontId="0" fillId="0" borderId="16" xfId="76" applyNumberFormat="1" applyFont="1" applyFill="1" applyBorder="1" applyAlignment="1" applyProtection="1">
      <alignment horizontal="center" vertical="top" wrapText="1"/>
    </xf>
    <xf numFmtId="164" fontId="22" fillId="24" borderId="19" xfId="87" applyNumberFormat="1" applyFont="1" applyFill="1" applyBorder="1" applyAlignment="1" applyProtection="1">
      <alignment horizontal="center" vertical="center" shrinkToFit="1"/>
    </xf>
    <xf numFmtId="164" fontId="1" fillId="0" borderId="20" xfId="87" applyNumberFormat="1" applyFont="1" applyFill="1" applyBorder="1" applyAlignment="1">
      <alignment horizontal="center" vertical="center" shrinkToFit="1"/>
    </xf>
    <xf numFmtId="0" fontId="21" fillId="0" borderId="0" xfId="0" applyFont="1" applyAlignment="1">
      <alignment horizontal="left" vertical="center"/>
    </xf>
    <xf numFmtId="0" fontId="1" fillId="0" borderId="0" xfId="71" applyFont="1" applyBorder="1" applyAlignment="1" applyProtection="1">
      <alignment horizontal="center" vertical="top"/>
    </xf>
    <xf numFmtId="0" fontId="38" fillId="0" borderId="0" xfId="72" applyFont="1" applyBorder="1" applyAlignment="1" applyProtection="1">
      <alignment horizontal="left" vertical="top"/>
    </xf>
    <xf numFmtId="0" fontId="35" fillId="0" borderId="0" xfId="0" applyFont="1" applyAlignment="1">
      <alignment horizontal="left" vertical="center"/>
    </xf>
    <xf numFmtId="3" fontId="0" fillId="26" borderId="21" xfId="0" applyNumberFormat="1" applyFill="1" applyBorder="1" applyAlignment="1" applyProtection="1">
      <alignment horizontal="left"/>
    </xf>
    <xf numFmtId="10" fontId="37" fillId="25" borderId="18" xfId="76" applyNumberFormat="1" applyFont="1" applyFill="1" applyBorder="1" applyAlignment="1" applyProtection="1">
      <alignment horizontal="left" vertical="top" wrapText="1"/>
      <protection locked="0"/>
    </xf>
    <xf numFmtId="0" fontId="1" fillId="26" borderId="18" xfId="0" applyFont="1" applyFill="1" applyBorder="1" applyAlignment="1" applyProtection="1">
      <alignment horizontal="left"/>
    </xf>
    <xf numFmtId="4" fontId="26" fillId="0" borderId="14" xfId="71" applyNumberFormat="1" applyFont="1" applyFill="1" applyBorder="1" applyAlignment="1" applyProtection="1">
      <alignment horizontal="center" vertical="center" wrapText="1"/>
    </xf>
    <xf numFmtId="0" fontId="46" fillId="0" borderId="0" xfId="71" applyFont="1" applyAlignment="1" applyProtection="1">
      <alignment wrapText="1"/>
    </xf>
    <xf numFmtId="0" fontId="47" fillId="0" borderId="0" xfId="71" applyFont="1" applyAlignment="1" applyProtection="1">
      <alignment vertical="top" wrapText="1"/>
    </xf>
    <xf numFmtId="0" fontId="44" fillId="0" borderId="14" xfId="71" applyFont="1" applyBorder="1" applyAlignment="1" applyProtection="1">
      <alignment horizontal="center" vertical="center"/>
    </xf>
    <xf numFmtId="4" fontId="26" fillId="0" borderId="0" xfId="71" applyNumberFormat="1" applyFont="1" applyFill="1" applyBorder="1" applyAlignment="1" applyProtection="1">
      <alignment horizontal="center" vertical="center" wrapText="1"/>
    </xf>
    <xf numFmtId="0" fontId="1" fillId="0" borderId="0" xfId="71" applyFont="1" applyProtection="1">
      <protection locked="0"/>
    </xf>
    <xf numFmtId="0" fontId="22" fillId="0" borderId="0" xfId="0" applyFont="1"/>
    <xf numFmtId="0" fontId="22" fillId="0" borderId="0" xfId="0" applyFont="1" applyAlignment="1">
      <alignment horizontal="left"/>
    </xf>
    <xf numFmtId="0" fontId="0" fillId="0" borderId="0" xfId="0" applyAlignment="1" applyProtection="1">
      <alignment horizontal="center"/>
    </xf>
    <xf numFmtId="0" fontId="22" fillId="0" borderId="22" xfId="0" applyFont="1" applyBorder="1" applyAlignment="1" applyProtection="1">
      <alignment horizontal="center" vertical="center" wrapText="1"/>
    </xf>
    <xf numFmtId="0" fontId="22" fillId="0" borderId="0" xfId="0" applyFont="1" applyFill="1" applyBorder="1" applyAlignment="1" applyProtection="1">
      <alignment horizontal="center" vertical="center" wrapText="1"/>
    </xf>
    <xf numFmtId="0" fontId="0" fillId="0" borderId="0" xfId="0" applyBorder="1"/>
    <xf numFmtId="0" fontId="1" fillId="0" borderId="0" xfId="0" applyFont="1" applyFill="1" applyBorder="1"/>
    <xf numFmtId="0" fontId="23" fillId="0" borderId="16" xfId="0" applyFont="1" applyBorder="1" applyAlignment="1">
      <alignment horizontal="center"/>
    </xf>
    <xf numFmtId="0" fontId="2" fillId="25" borderId="23" xfId="0" applyNumberFormat="1" applyFont="1" applyFill="1" applyBorder="1" applyAlignment="1" applyProtection="1">
      <alignment vertical="center" wrapText="1"/>
      <protection locked="0"/>
    </xf>
    <xf numFmtId="164" fontId="1" fillId="0" borderId="24" xfId="87" applyNumberFormat="1" applyFont="1" applyFill="1" applyBorder="1" applyAlignment="1">
      <alignment vertical="center" shrinkToFit="1"/>
    </xf>
    <xf numFmtId="0" fontId="1" fillId="25" borderId="25" xfId="0" applyFont="1" applyFill="1" applyBorder="1" applyAlignment="1" applyProtection="1">
      <alignment horizontal="center" textRotation="90" wrapText="1"/>
      <protection locked="0"/>
    </xf>
    <xf numFmtId="0" fontId="22" fillId="0" borderId="15" xfId="0" applyFont="1" applyBorder="1" applyAlignment="1" applyProtection="1">
      <alignment horizontal="center" vertical="center" wrapText="1"/>
    </xf>
    <xf numFmtId="0" fontId="22" fillId="0" borderId="15" xfId="0" applyFont="1" applyBorder="1" applyAlignment="1" applyProtection="1">
      <alignment horizontal="center" vertical="center"/>
    </xf>
    <xf numFmtId="0" fontId="27" fillId="0" borderId="26" xfId="0" applyFont="1" applyBorder="1" applyAlignment="1">
      <alignment horizontal="center" vertical="center"/>
    </xf>
    <xf numFmtId="0" fontId="2" fillId="0" borderId="27" xfId="0" applyNumberFormat="1" applyFont="1" applyFill="1" applyBorder="1" applyAlignment="1" applyProtection="1">
      <alignment vertical="center"/>
    </xf>
    <xf numFmtId="0" fontId="1" fillId="0" borderId="28" xfId="0" applyNumberFormat="1" applyFont="1" applyFill="1" applyBorder="1" applyAlignment="1" applyProtection="1">
      <alignment vertical="center" wrapText="1"/>
    </xf>
    <xf numFmtId="0" fontId="2" fillId="0" borderId="28" xfId="0" applyNumberFormat="1" applyFont="1" applyFill="1" applyBorder="1" applyAlignment="1" applyProtection="1">
      <alignment vertical="center"/>
    </xf>
    <xf numFmtId="0" fontId="1" fillId="0" borderId="28" xfId="0" applyNumberFormat="1" applyFont="1" applyFill="1" applyBorder="1" applyAlignment="1" applyProtection="1">
      <alignment horizontal="center" vertical="center" wrapText="1"/>
    </xf>
    <xf numFmtId="0" fontId="1" fillId="0" borderId="28" xfId="0" applyNumberFormat="1" applyFont="1" applyFill="1" applyBorder="1" applyAlignment="1" applyProtection="1">
      <alignment vertical="center" shrinkToFit="1"/>
    </xf>
    <xf numFmtId="0" fontId="1" fillId="0" borderId="0" xfId="0" applyFont="1" applyAlignment="1">
      <alignment wrapText="1"/>
    </xf>
    <xf numFmtId="10" fontId="1" fillId="0" borderId="24" xfId="87" applyNumberFormat="1" applyFont="1" applyFill="1" applyBorder="1" applyAlignment="1">
      <alignment vertical="center" shrinkToFit="1"/>
    </xf>
    <xf numFmtId="10" fontId="22" fillId="24" borderId="10" xfId="87" applyNumberFormat="1" applyFont="1" applyFill="1" applyBorder="1" applyAlignment="1" applyProtection="1">
      <alignment horizontal="center" vertical="center"/>
    </xf>
    <xf numFmtId="0" fontId="22" fillId="0" borderId="11" xfId="72" applyFont="1" applyFill="1" applyBorder="1" applyAlignment="1" applyProtection="1">
      <alignment horizontal="left" vertical="top"/>
    </xf>
    <xf numFmtId="0" fontId="22" fillId="0" borderId="11" xfId="72" applyFont="1" applyFill="1" applyBorder="1" applyAlignment="1" applyProtection="1">
      <alignment vertical="top"/>
    </xf>
    <xf numFmtId="0" fontId="22" fillId="0" borderId="15" xfId="72" applyFont="1" applyFill="1" applyBorder="1" applyAlignment="1" applyProtection="1">
      <alignment horizontal="center" vertical="top"/>
    </xf>
    <xf numFmtId="0" fontId="1" fillId="0" borderId="18" xfId="0" applyFont="1" applyFill="1" applyBorder="1" applyAlignment="1" applyProtection="1">
      <alignment vertical="top" wrapText="1"/>
    </xf>
    <xf numFmtId="0" fontId="1" fillId="0" borderId="18" xfId="0" applyFont="1" applyFill="1" applyBorder="1" applyAlignment="1" applyProtection="1">
      <alignment horizontal="left" vertical="top" wrapText="1"/>
    </xf>
    <xf numFmtId="10" fontId="37" fillId="0" borderId="16" xfId="76" applyNumberFormat="1" applyFont="1" applyFill="1" applyBorder="1" applyAlignment="1" applyProtection="1">
      <alignment horizontal="center" vertical="top" wrapText="1"/>
    </xf>
    <xf numFmtId="10" fontId="37" fillId="0" borderId="18" xfId="76" applyNumberFormat="1" applyFont="1" applyFill="1" applyBorder="1" applyAlignment="1" applyProtection="1">
      <alignment horizontal="left" vertical="top" wrapText="1"/>
    </xf>
    <xf numFmtId="0" fontId="22" fillId="0" borderId="17" xfId="0" applyFont="1" applyBorder="1"/>
    <xf numFmtId="0" fontId="22" fillId="0" borderId="17" xfId="0" applyFont="1" applyBorder="1" applyAlignment="1">
      <alignment horizontal="left"/>
    </xf>
    <xf numFmtId="0" fontId="1" fillId="0" borderId="17" xfId="0" applyFont="1" applyBorder="1" applyAlignment="1">
      <alignment horizontal="left"/>
    </xf>
    <xf numFmtId="0" fontId="22" fillId="0" borderId="17" xfId="71" applyFont="1" applyBorder="1" applyAlignment="1" applyProtection="1">
      <alignment horizontal="left"/>
    </xf>
    <xf numFmtId="0" fontId="1" fillId="0" borderId="17" xfId="71" applyFont="1" applyBorder="1" applyProtection="1"/>
    <xf numFmtId="0" fontId="27" fillId="0" borderId="0" xfId="0" applyFont="1" applyAlignment="1">
      <alignment horizontal="center" vertical="center"/>
    </xf>
    <xf numFmtId="0" fontId="38" fillId="0" borderId="29" xfId="0" applyFont="1" applyBorder="1" applyAlignment="1" applyProtection="1">
      <alignment horizontal="center" vertical="center" wrapText="1"/>
    </xf>
    <xf numFmtId="0" fontId="29" fillId="0" borderId="0" xfId="0" applyFont="1" applyAlignment="1" applyProtection="1">
      <alignment horizontal="center" vertical="center" wrapText="1"/>
    </xf>
    <xf numFmtId="0" fontId="29" fillId="0" borderId="0" xfId="0" applyFont="1" applyAlignment="1" applyProtection="1">
      <alignment horizontal="center"/>
    </xf>
    <xf numFmtId="4" fontId="26" fillId="27" borderId="13" xfId="87" applyNumberFormat="1" applyFont="1" applyFill="1" applyBorder="1" applyAlignment="1" applyProtection="1">
      <alignment horizontal="center" vertical="center" shrinkToFit="1"/>
    </xf>
    <xf numFmtId="10" fontId="26" fillId="28" borderId="0" xfId="76" applyNumberFormat="1" applyFont="1" applyFill="1" applyBorder="1" applyAlignment="1" applyProtection="1">
      <alignment horizontal="center" vertical="center" shrinkToFit="1"/>
    </xf>
    <xf numFmtId="4" fontId="26" fillId="28" borderId="13" xfId="87" applyNumberFormat="1" applyFont="1" applyFill="1" applyBorder="1" applyAlignment="1" applyProtection="1">
      <alignment horizontal="center" vertical="center" shrinkToFit="1"/>
    </xf>
    <xf numFmtId="0" fontId="38" fillId="0" borderId="30" xfId="0" applyFont="1" applyBorder="1" applyAlignment="1" applyProtection="1">
      <alignment horizontal="center" vertical="center" wrapText="1"/>
    </xf>
    <xf numFmtId="0" fontId="1" fillId="0" borderId="17" xfId="0" applyFont="1" applyFill="1" applyBorder="1" applyProtection="1"/>
    <xf numFmtId="0" fontId="1" fillId="0" borderId="17" xfId="0" applyFont="1" applyFill="1" applyBorder="1" applyAlignment="1" applyProtection="1">
      <alignment horizontal="center"/>
    </xf>
    <xf numFmtId="0" fontId="22" fillId="27" borderId="18" xfId="0" applyFont="1" applyFill="1" applyBorder="1" applyAlignment="1" applyProtection="1">
      <alignment horizontal="center" vertical="center"/>
    </xf>
    <xf numFmtId="0" fontId="22" fillId="28" borderId="11" xfId="0" applyFont="1" applyFill="1" applyBorder="1" applyAlignment="1" applyProtection="1">
      <alignment horizontal="center" vertical="center"/>
    </xf>
    <xf numFmtId="0" fontId="22" fillId="28" borderId="18" xfId="0" applyFont="1" applyFill="1" applyBorder="1" applyAlignment="1" applyProtection="1">
      <alignment horizontal="center" vertical="center"/>
    </xf>
    <xf numFmtId="0" fontId="0" fillId="25" borderId="14" xfId="0" applyFont="1" applyFill="1" applyBorder="1" applyAlignment="1" applyProtection="1">
      <alignment horizontal="center" vertical="center"/>
      <protection locked="0"/>
    </xf>
    <xf numFmtId="0" fontId="38" fillId="0" borderId="0" xfId="0" applyFont="1" applyAlignment="1" applyProtection="1">
      <alignment horizontal="center" wrapText="1"/>
    </xf>
    <xf numFmtId="0" fontId="50" fillId="0" borderId="0" xfId="0" applyFont="1" applyFill="1" applyProtection="1"/>
    <xf numFmtId="0" fontId="1" fillId="0" borderId="31" xfId="0" applyNumberFormat="1" applyFont="1" applyFill="1" applyBorder="1" applyAlignment="1">
      <alignment vertical="center" wrapText="1" shrinkToFit="1"/>
    </xf>
    <xf numFmtId="0" fontId="40" fillId="24" borderId="32" xfId="0" applyNumberFormat="1" applyFont="1" applyFill="1" applyBorder="1" applyAlignment="1" applyProtection="1">
      <alignment horizontal="center" vertical="center" wrapText="1"/>
    </xf>
    <xf numFmtId="0" fontId="2" fillId="28" borderId="23" xfId="0" applyNumberFormat="1" applyFont="1" applyFill="1" applyBorder="1" applyAlignment="1" applyProtection="1">
      <alignment vertical="center" wrapText="1"/>
    </xf>
    <xf numFmtId="164" fontId="1" fillId="0" borderId="28" xfId="87" applyFont="1" applyFill="1" applyBorder="1" applyAlignment="1" applyProtection="1">
      <alignment vertical="center" shrinkToFit="1"/>
    </xf>
    <xf numFmtId="0" fontId="1" fillId="0" borderId="0" xfId="0" applyFont="1" applyAlignment="1" applyProtection="1">
      <alignment horizontal="center"/>
      <protection locked="0"/>
    </xf>
    <xf numFmtId="0" fontId="22" fillId="27" borderId="11" xfId="0" applyFont="1" applyFill="1" applyBorder="1" applyAlignment="1" applyProtection="1">
      <alignment horizontal="center" vertical="center"/>
    </xf>
    <xf numFmtId="10" fontId="30" fillId="0" borderId="0" xfId="76" applyNumberFormat="1" applyFont="1" applyFill="1" applyBorder="1" applyAlignment="1" applyProtection="1">
      <alignment horizontal="center" vertical="center"/>
    </xf>
    <xf numFmtId="4" fontId="30" fillId="0" borderId="0" xfId="76" applyNumberFormat="1" applyFont="1" applyFill="1" applyBorder="1" applyAlignment="1" applyProtection="1">
      <alignment horizontal="center" vertical="center"/>
    </xf>
    <xf numFmtId="0" fontId="1" fillId="0" borderId="11" xfId="0" applyFont="1" applyFill="1" applyBorder="1" applyAlignment="1" applyProtection="1">
      <alignment horizontal="center" vertical="center"/>
    </xf>
    <xf numFmtId="0" fontId="22" fillId="0" borderId="11" xfId="0" applyFont="1" applyFill="1" applyBorder="1" applyAlignment="1" applyProtection="1">
      <alignment horizontal="center" vertical="center"/>
    </xf>
    <xf numFmtId="0" fontId="24" fillId="0" borderId="0" xfId="0" applyFont="1" applyFill="1" applyAlignment="1" applyProtection="1">
      <alignment vertical="center"/>
    </xf>
    <xf numFmtId="0" fontId="21" fillId="0" borderId="0" xfId="0" applyFont="1" applyAlignment="1" applyProtection="1">
      <alignment horizontal="right" vertical="center"/>
    </xf>
    <xf numFmtId="0" fontId="21" fillId="0" borderId="0" xfId="0" applyFont="1" applyAlignment="1" applyProtection="1">
      <alignment horizontal="left" vertical="center"/>
    </xf>
    <xf numFmtId="0" fontId="0" fillId="0" borderId="0" xfId="0" applyFill="1" applyAlignment="1" applyProtection="1">
      <alignment horizontal="center" vertical="top"/>
    </xf>
    <xf numFmtId="0" fontId="35" fillId="0" borderId="0" xfId="0" applyFont="1" applyAlignment="1" applyProtection="1">
      <alignment horizontal="left" vertical="center"/>
    </xf>
    <xf numFmtId="0" fontId="1" fillId="0" borderId="0" xfId="0" applyFont="1" applyAlignment="1" applyProtection="1">
      <alignment horizontal="center" wrapText="1"/>
    </xf>
    <xf numFmtId="0" fontId="48" fillId="0" borderId="0" xfId="0" applyFont="1" applyAlignment="1" applyProtection="1">
      <alignment wrapText="1"/>
    </xf>
    <xf numFmtId="0" fontId="0" fillId="0" borderId="0" xfId="0" applyNumberFormat="1" applyProtection="1"/>
    <xf numFmtId="0" fontId="22" fillId="0" borderId="0" xfId="0" applyFont="1" applyFill="1" applyBorder="1" applyAlignment="1" applyProtection="1">
      <alignment horizontal="center" wrapText="1"/>
    </xf>
    <xf numFmtId="0" fontId="26" fillId="0" borderId="15" xfId="0" applyFont="1" applyFill="1" applyBorder="1" applyAlignment="1" applyProtection="1">
      <alignment horizontal="center" vertical="center"/>
    </xf>
    <xf numFmtId="0" fontId="26" fillId="0" borderId="15" xfId="0" applyFont="1" applyFill="1" applyBorder="1" applyAlignment="1" applyProtection="1">
      <alignment horizontal="center" vertical="center" wrapText="1"/>
    </xf>
    <xf numFmtId="0" fontId="26" fillId="0" borderId="30" xfId="0" applyFont="1" applyFill="1" applyBorder="1" applyAlignment="1" applyProtection="1">
      <alignment horizontal="center" vertical="center" wrapText="1"/>
    </xf>
    <xf numFmtId="0" fontId="1" fillId="0" borderId="0" xfId="0" applyFont="1" applyFill="1" applyBorder="1" applyAlignment="1" applyProtection="1">
      <alignment horizontal="center" vertical="center"/>
    </xf>
    <xf numFmtId="4" fontId="1" fillId="0" borderId="0" xfId="0" applyNumberFormat="1" applyFont="1" applyFill="1" applyBorder="1" applyAlignment="1" applyProtection="1">
      <alignment horizontal="center" vertical="center"/>
    </xf>
    <xf numFmtId="0" fontId="2" fillId="0" borderId="0" xfId="0" applyFont="1" applyFill="1" applyBorder="1" applyProtection="1"/>
    <xf numFmtId="0" fontId="1" fillId="0" borderId="0" xfId="0" applyFont="1" applyBorder="1" applyProtection="1"/>
    <xf numFmtId="0" fontId="2" fillId="0" borderId="0" xfId="0" applyFont="1" applyProtection="1"/>
    <xf numFmtId="0" fontId="1" fillId="0" borderId="0" xfId="0" applyFont="1" applyBorder="1" applyAlignment="1" applyProtection="1">
      <alignment vertical="top"/>
    </xf>
    <xf numFmtId="0" fontId="22" fillId="0" borderId="0" xfId="0" applyFont="1" applyBorder="1" applyAlignment="1" applyProtection="1">
      <alignment vertical="center"/>
    </xf>
    <xf numFmtId="4" fontId="2" fillId="0" borderId="0" xfId="0" applyNumberFormat="1" applyFont="1" applyProtection="1"/>
    <xf numFmtId="0" fontId="22" fillId="0" borderId="17" xfId="0" applyFont="1" applyFill="1" applyBorder="1" applyAlignment="1" applyProtection="1">
      <alignment horizontal="left" vertical="center"/>
    </xf>
    <xf numFmtId="0" fontId="1" fillId="0" borderId="17" xfId="0" applyFont="1" applyBorder="1" applyProtection="1"/>
    <xf numFmtId="0" fontId="1" fillId="0" borderId="0" xfId="0" applyFont="1" applyBorder="1" applyAlignment="1" applyProtection="1">
      <alignment horizontal="center"/>
    </xf>
    <xf numFmtId="0" fontId="22" fillId="0" borderId="11" xfId="0" applyFont="1" applyFill="1" applyBorder="1" applyAlignment="1" applyProtection="1">
      <alignment wrapText="1"/>
    </xf>
    <xf numFmtId="0" fontId="0" fillId="0" borderId="11" xfId="0" applyBorder="1" applyProtection="1"/>
    <xf numFmtId="0" fontId="0" fillId="0" borderId="11" xfId="0" quotePrefix="1" applyBorder="1" applyProtection="1"/>
    <xf numFmtId="10" fontId="30" fillId="0" borderId="11" xfId="76" applyNumberFormat="1" applyFont="1" applyFill="1" applyBorder="1" applyAlignment="1" applyProtection="1">
      <alignment horizontal="center" vertical="center"/>
    </xf>
    <xf numFmtId="4" fontId="30" fillId="0" borderId="11" xfId="76" applyNumberFormat="1" applyFont="1" applyFill="1" applyBorder="1" applyAlignment="1" applyProtection="1">
      <alignment horizontal="center" vertical="center"/>
    </xf>
    <xf numFmtId="4" fontId="26" fillId="27" borderId="18" xfId="87" applyNumberFormat="1" applyFont="1" applyFill="1" applyBorder="1" applyAlignment="1" applyProtection="1">
      <alignment horizontal="center" vertical="center" shrinkToFit="1"/>
    </xf>
    <xf numFmtId="10" fontId="26" fillId="28" borderId="11" xfId="76" applyNumberFormat="1" applyFont="1" applyFill="1" applyBorder="1" applyAlignment="1" applyProtection="1">
      <alignment horizontal="center" vertical="center" shrinkToFit="1"/>
    </xf>
    <xf numFmtId="4" fontId="26" fillId="28" borderId="18" xfId="87" applyNumberFormat="1" applyFont="1" applyFill="1" applyBorder="1" applyAlignment="1" applyProtection="1">
      <alignment horizontal="center" vertical="center" shrinkToFit="1"/>
    </xf>
    <xf numFmtId="0" fontId="1" fillId="0" borderId="15" xfId="0" applyFont="1" applyFill="1" applyBorder="1" applyAlignment="1" applyProtection="1">
      <alignment horizontal="center" vertical="center"/>
    </xf>
    <xf numFmtId="0" fontId="1" fillId="0" borderId="33" xfId="0" applyFont="1" applyFill="1" applyBorder="1" applyAlignment="1" applyProtection="1">
      <alignment horizontal="center" vertical="center"/>
    </xf>
    <xf numFmtId="10" fontId="26" fillId="27" borderId="11" xfId="76" applyNumberFormat="1" applyFont="1" applyFill="1" applyBorder="1" applyAlignment="1" applyProtection="1">
      <alignment horizontal="center" vertical="center" shrinkToFit="1"/>
    </xf>
    <xf numFmtId="10" fontId="26" fillId="27" borderId="0" xfId="76" applyNumberFormat="1" applyFont="1" applyFill="1" applyBorder="1" applyAlignment="1" applyProtection="1">
      <alignment horizontal="center" vertical="center" shrinkToFit="1"/>
    </xf>
    <xf numFmtId="4" fontId="30" fillId="0" borderId="12" xfId="76" applyNumberFormat="1" applyFont="1" applyFill="1" applyBorder="1" applyAlignment="1" applyProtection="1">
      <alignment horizontal="center" vertical="center"/>
    </xf>
    <xf numFmtId="10" fontId="0" fillId="0" borderId="14" xfId="0" applyNumberFormat="1" applyBorder="1" applyProtection="1"/>
    <xf numFmtId="49" fontId="1" fillId="25" borderId="24" xfId="0" applyNumberFormat="1" applyFont="1" applyFill="1" applyBorder="1" applyAlignment="1" applyProtection="1">
      <alignment horizontal="center" vertical="center" wrapText="1"/>
      <protection locked="0"/>
    </xf>
    <xf numFmtId="0" fontId="26" fillId="0" borderId="0" xfId="0" applyFont="1" applyFill="1" applyBorder="1" applyAlignment="1" applyProtection="1">
      <alignment horizontal="center" vertical="center" wrapText="1"/>
    </xf>
    <xf numFmtId="0" fontId="1" fillId="0" borderId="14" xfId="0" applyFont="1" applyBorder="1"/>
    <xf numFmtId="0" fontId="0" fillId="0" borderId="0" xfId="0" quotePrefix="1"/>
    <xf numFmtId="0" fontId="30" fillId="0" borderId="0" xfId="0" applyFont="1" applyFill="1" applyBorder="1" applyAlignment="1" applyProtection="1">
      <alignment horizontal="left" wrapText="1"/>
      <protection locked="0"/>
    </xf>
    <xf numFmtId="0" fontId="1" fillId="0" borderId="14" xfId="0" applyFont="1" applyBorder="1" applyProtection="1">
      <protection locked="0"/>
    </xf>
    <xf numFmtId="164" fontId="1" fillId="25" borderId="34" xfId="87" applyFont="1" applyFill="1" applyBorder="1" applyAlignment="1" applyProtection="1">
      <alignment vertical="center" shrinkToFit="1"/>
      <protection locked="0"/>
    </xf>
    <xf numFmtId="0" fontId="22" fillId="24" borderId="32" xfId="0" applyNumberFormat="1" applyFont="1" applyFill="1" applyBorder="1" applyAlignment="1" applyProtection="1">
      <alignment horizontal="center" vertical="center" shrinkToFit="1"/>
    </xf>
    <xf numFmtId="0" fontId="22" fillId="24" borderId="25" xfId="0" applyNumberFormat="1" applyFont="1" applyFill="1" applyBorder="1" applyAlignment="1" applyProtection="1">
      <alignment horizontal="center" vertical="center" shrinkToFit="1"/>
    </xf>
    <xf numFmtId="0" fontId="22" fillId="0" borderId="11" xfId="0" applyFont="1" applyFill="1" applyBorder="1" applyAlignment="1" applyProtection="1">
      <alignment horizontal="center" vertical="center" wrapText="1" shrinkToFit="1"/>
    </xf>
    <xf numFmtId="14" fontId="26" fillId="0" borderId="11" xfId="0" applyNumberFormat="1" applyFont="1" applyFill="1" applyBorder="1" applyAlignment="1" applyProtection="1">
      <alignment horizontal="center" vertical="center" wrapText="1"/>
    </xf>
    <xf numFmtId="0" fontId="1" fillId="0" borderId="28" xfId="0" applyFont="1" applyFill="1" applyBorder="1" applyAlignment="1" applyProtection="1">
      <alignment horizontal="center" vertical="center"/>
    </xf>
    <xf numFmtId="10" fontId="30" fillId="25" borderId="35" xfId="76" applyNumberFormat="1" applyFont="1" applyFill="1" applyBorder="1" applyAlignment="1" applyProtection="1">
      <alignment horizontal="center" vertical="center"/>
      <protection locked="0" hidden="1"/>
    </xf>
    <xf numFmtId="0" fontId="26" fillId="0" borderId="12" xfId="0" applyFont="1" applyFill="1" applyBorder="1" applyAlignment="1" applyProtection="1">
      <alignment horizontal="center" vertical="center" wrapText="1"/>
    </xf>
    <xf numFmtId="0" fontId="22" fillId="0" borderId="0" xfId="0" applyFont="1" applyFill="1" applyBorder="1" applyAlignment="1" applyProtection="1">
      <alignment wrapText="1"/>
    </xf>
    <xf numFmtId="0" fontId="1" fillId="26" borderId="0" xfId="0" applyFont="1" applyFill="1"/>
    <xf numFmtId="10" fontId="30" fillId="25" borderId="36" xfId="76" applyNumberFormat="1" applyFont="1" applyFill="1" applyBorder="1" applyAlignment="1" applyProtection="1">
      <alignment horizontal="center" vertical="center"/>
      <protection locked="0"/>
    </xf>
    <xf numFmtId="10" fontId="30" fillId="25" borderId="35" xfId="76" applyNumberFormat="1" applyFont="1" applyFill="1" applyBorder="1" applyAlignment="1" applyProtection="1">
      <alignment horizontal="center" vertical="center"/>
      <protection locked="0"/>
    </xf>
    <xf numFmtId="10" fontId="30" fillId="25" borderId="37" xfId="76" applyNumberFormat="1" applyFont="1" applyFill="1" applyBorder="1" applyAlignment="1" applyProtection="1">
      <alignment horizontal="center" vertical="center"/>
      <protection locked="0"/>
    </xf>
    <xf numFmtId="164" fontId="1" fillId="31" borderId="24" xfId="87" applyFont="1" applyFill="1" applyBorder="1" applyAlignment="1" applyProtection="1">
      <alignment vertical="center" wrapText="1"/>
      <protection locked="0"/>
    </xf>
    <xf numFmtId="0" fontId="1" fillId="31" borderId="24" xfId="0" applyNumberFormat="1" applyFont="1" applyFill="1" applyBorder="1" applyAlignment="1" applyProtection="1">
      <alignment horizontal="center" vertical="center" wrapText="1"/>
      <protection locked="0"/>
    </xf>
    <xf numFmtId="0" fontId="1" fillId="31" borderId="24" xfId="0" applyNumberFormat="1" applyFont="1" applyFill="1" applyBorder="1" applyAlignment="1" applyProtection="1">
      <alignment vertical="center" wrapText="1"/>
      <protection locked="0"/>
    </xf>
    <xf numFmtId="10" fontId="1" fillId="31" borderId="24" xfId="76" applyNumberFormat="1" applyFont="1" applyFill="1" applyBorder="1" applyAlignment="1" applyProtection="1">
      <alignment horizontal="center" vertical="center" wrapText="1"/>
      <protection locked="0"/>
    </xf>
    <xf numFmtId="49" fontId="1" fillId="25" borderId="24" xfId="71" applyNumberFormat="1" applyFont="1" applyFill="1" applyBorder="1" applyAlignment="1" applyProtection="1">
      <alignment horizontal="center" vertical="center" wrapText="1"/>
      <protection locked="0"/>
    </xf>
    <xf numFmtId="164" fontId="1" fillId="25" borderId="24" xfId="87" applyNumberFormat="1" applyFont="1" applyFill="1" applyBorder="1" applyAlignment="1" applyProtection="1">
      <alignment vertical="center" shrinkToFit="1"/>
      <protection locked="0"/>
    </xf>
    <xf numFmtId="0" fontId="22" fillId="0" borderId="0" xfId="72" applyFont="1" applyBorder="1" applyAlignment="1" applyProtection="1">
      <alignment horizontal="left" vertical="top"/>
    </xf>
    <xf numFmtId="4" fontId="26" fillId="0" borderId="14" xfId="71" applyNumberFormat="1" applyFont="1" applyFill="1" applyBorder="1" applyAlignment="1" applyProtection="1">
      <alignment horizontal="center" vertical="center" wrapText="1"/>
    </xf>
    <xf numFmtId="0" fontId="1" fillId="25" borderId="18" xfId="0" applyFont="1" applyFill="1" applyBorder="1" applyAlignment="1" applyProtection="1">
      <alignment horizontal="left" vertical="top" wrapText="1"/>
      <protection locked="0"/>
    </xf>
    <xf numFmtId="0" fontId="1" fillId="25" borderId="13" xfId="0" applyFont="1" applyFill="1" applyBorder="1" applyAlignment="1" applyProtection="1">
      <alignment horizontal="left" vertical="top" wrapText="1"/>
      <protection locked="0"/>
    </xf>
    <xf numFmtId="0" fontId="1" fillId="25" borderId="38" xfId="0" applyFont="1" applyFill="1" applyBorder="1" applyAlignment="1" applyProtection="1">
      <alignment horizontal="left" vertical="top" wrapText="1"/>
      <protection locked="0"/>
    </xf>
    <xf numFmtId="0" fontId="1" fillId="0" borderId="0" xfId="0" applyFont="1" applyFill="1" applyBorder="1" applyAlignment="1" applyProtection="1">
      <alignment horizontal="left" wrapText="1" indent="3"/>
    </xf>
    <xf numFmtId="0" fontId="0" fillId="0" borderId="0" xfId="0" applyAlignment="1" applyProtection="1">
      <alignment horizontal="left" indent="3"/>
    </xf>
    <xf numFmtId="0" fontId="22" fillId="0" borderId="11" xfId="72" applyFont="1" applyBorder="1" applyAlignment="1" applyProtection="1">
      <alignment horizontal="left" vertical="top"/>
    </xf>
    <xf numFmtId="0" fontId="22" fillId="0" borderId="0" xfId="72" applyFont="1" applyBorder="1" applyAlignment="1" applyProtection="1">
      <alignment horizontal="left" vertical="top"/>
    </xf>
    <xf numFmtId="0" fontId="1" fillId="0" borderId="0" xfId="0" applyFont="1" applyFill="1" applyBorder="1" applyAlignment="1" applyProtection="1">
      <alignment horizontal="left" wrapText="1" indent="2"/>
    </xf>
    <xf numFmtId="0" fontId="0" fillId="0" borderId="0" xfId="0" applyAlignment="1" applyProtection="1">
      <alignment horizontal="left" indent="2"/>
    </xf>
    <xf numFmtId="0" fontId="22" fillId="0" borderId="40" xfId="0" applyFont="1" applyFill="1" applyBorder="1" applyAlignment="1" applyProtection="1">
      <alignment horizontal="left" wrapText="1"/>
    </xf>
    <xf numFmtId="0" fontId="22" fillId="0" borderId="0" xfId="0" applyFont="1" applyFill="1" applyBorder="1" applyAlignment="1" applyProtection="1">
      <alignment horizontal="left" wrapText="1"/>
    </xf>
    <xf numFmtId="0" fontId="22" fillId="0" borderId="0" xfId="0" applyFont="1" applyFill="1" applyBorder="1" applyAlignment="1" applyProtection="1">
      <alignment horizontal="left" wrapText="1" indent="1"/>
    </xf>
    <xf numFmtId="0" fontId="22" fillId="0" borderId="0" xfId="0" applyFont="1" applyAlignment="1" applyProtection="1">
      <alignment horizontal="left" indent="1"/>
    </xf>
    <xf numFmtId="0" fontId="22" fillId="0" borderId="11" xfId="72" applyFont="1" applyFill="1" applyBorder="1" applyAlignment="1" applyProtection="1">
      <alignment horizontal="left" vertical="top"/>
    </xf>
    <xf numFmtId="0" fontId="22" fillId="0" borderId="0" xfId="72" applyFont="1" applyFill="1" applyBorder="1" applyAlignment="1" applyProtection="1">
      <alignment horizontal="left" vertical="top"/>
    </xf>
    <xf numFmtId="0" fontId="22" fillId="0" borderId="12" xfId="72" applyFont="1" applyFill="1" applyBorder="1" applyAlignment="1" applyProtection="1">
      <alignment horizontal="left" vertical="top"/>
    </xf>
    <xf numFmtId="0" fontId="22" fillId="0" borderId="12" xfId="72" applyFont="1" applyBorder="1" applyAlignment="1" applyProtection="1">
      <alignment horizontal="left" vertical="top"/>
    </xf>
    <xf numFmtId="0" fontId="0" fillId="25" borderId="38" xfId="0" applyFill="1" applyBorder="1" applyAlignment="1" applyProtection="1">
      <alignment horizontal="left" vertical="top" wrapText="1"/>
      <protection locked="0"/>
    </xf>
    <xf numFmtId="0" fontId="51" fillId="29" borderId="0" xfId="0" applyFont="1" applyFill="1" applyBorder="1" applyAlignment="1" applyProtection="1">
      <alignment horizontal="left" vertical="top" wrapText="1" indent="2"/>
    </xf>
    <xf numFmtId="0" fontId="52" fillId="29" borderId="0" xfId="0" applyFont="1" applyFill="1" applyBorder="1" applyAlignment="1" applyProtection="1">
      <alignment horizontal="left" vertical="top" wrapText="1" indent="2"/>
    </xf>
    <xf numFmtId="0" fontId="52" fillId="29" borderId="0" xfId="0" applyFont="1" applyFill="1" applyAlignment="1" applyProtection="1">
      <alignment horizontal="left" vertical="top" indent="2"/>
    </xf>
    <xf numFmtId="167" fontId="0" fillId="25" borderId="18" xfId="0" applyNumberFormat="1" applyFill="1" applyBorder="1" applyAlignment="1" applyProtection="1">
      <alignment horizontal="center" vertical="top" wrapText="1"/>
      <protection locked="0"/>
    </xf>
    <xf numFmtId="167" fontId="0" fillId="25" borderId="38" xfId="0" applyNumberFormat="1" applyFill="1" applyBorder="1" applyAlignment="1" applyProtection="1">
      <alignment horizontal="center" vertical="top" wrapText="1"/>
      <protection locked="0"/>
    </xf>
    <xf numFmtId="0" fontId="38" fillId="0" borderId="11" xfId="72" applyFont="1" applyBorder="1" applyAlignment="1" applyProtection="1">
      <alignment horizontal="left" vertical="top"/>
    </xf>
    <xf numFmtId="0" fontId="38" fillId="0" borderId="12" xfId="72" applyFont="1" applyBorder="1" applyAlignment="1" applyProtection="1">
      <alignment horizontal="left" vertical="top"/>
    </xf>
    <xf numFmtId="0" fontId="21" fillId="26" borderId="17" xfId="0" applyFont="1" applyFill="1" applyBorder="1" applyAlignment="1" applyProtection="1">
      <alignment horizontal="center" vertical="center" wrapText="1"/>
    </xf>
    <xf numFmtId="0" fontId="21" fillId="26" borderId="39" xfId="0" applyFont="1" applyFill="1" applyBorder="1" applyAlignment="1" applyProtection="1">
      <alignment horizontal="center" vertical="center" wrapText="1"/>
    </xf>
    <xf numFmtId="0" fontId="21" fillId="26" borderId="13" xfId="0" applyFont="1" applyFill="1" applyBorder="1" applyAlignment="1" applyProtection="1">
      <alignment horizontal="center" vertical="center" wrapText="1"/>
    </xf>
    <xf numFmtId="0" fontId="21" fillId="26" borderId="38" xfId="0" applyFont="1" applyFill="1" applyBorder="1" applyAlignment="1" applyProtection="1">
      <alignment horizontal="center" vertical="center" wrapText="1"/>
    </xf>
    <xf numFmtId="49" fontId="0" fillId="25" borderId="0" xfId="0" applyNumberFormat="1" applyFill="1" applyBorder="1" applyAlignment="1" applyProtection="1">
      <alignment horizontal="left"/>
      <protection locked="0"/>
    </xf>
    <xf numFmtId="14" fontId="1" fillId="25" borderId="18" xfId="76" applyNumberFormat="1" applyFont="1" applyFill="1" applyBorder="1" applyAlignment="1" applyProtection="1">
      <alignment horizontal="center" vertical="top" wrapText="1"/>
      <protection locked="0"/>
    </xf>
    <xf numFmtId="14" fontId="37" fillId="25" borderId="38" xfId="76" applyNumberFormat="1" applyFont="1" applyFill="1" applyBorder="1" applyAlignment="1" applyProtection="1">
      <alignment horizontal="center" vertical="top" wrapText="1"/>
      <protection locked="0"/>
    </xf>
    <xf numFmtId="49" fontId="1" fillId="25" borderId="18" xfId="76" applyNumberFormat="1" applyFont="1" applyFill="1" applyBorder="1" applyAlignment="1" applyProtection="1">
      <alignment horizontal="left" vertical="top" wrapText="1"/>
      <protection locked="0"/>
    </xf>
    <xf numFmtId="49" fontId="1" fillId="25" borderId="13" xfId="76" applyNumberFormat="1" applyFont="1" applyFill="1" applyBorder="1" applyAlignment="1" applyProtection="1">
      <alignment horizontal="left" vertical="top" wrapText="1"/>
      <protection locked="0"/>
    </xf>
    <xf numFmtId="49" fontId="37" fillId="25" borderId="13" xfId="76" applyNumberFormat="1" applyFont="1" applyFill="1" applyBorder="1" applyAlignment="1" applyProtection="1">
      <alignment horizontal="left" vertical="top" wrapText="1"/>
      <protection locked="0"/>
    </xf>
    <xf numFmtId="49" fontId="37" fillId="25" borderId="38" xfId="76" applyNumberFormat="1" applyFont="1" applyFill="1" applyBorder="1" applyAlignment="1" applyProtection="1">
      <alignment horizontal="left" vertical="top" wrapText="1"/>
      <protection locked="0"/>
    </xf>
    <xf numFmtId="14" fontId="1" fillId="25" borderId="38" xfId="76" applyNumberFormat="1" applyFont="1" applyFill="1" applyBorder="1" applyAlignment="1" applyProtection="1">
      <alignment horizontal="center" vertical="top" wrapText="1"/>
      <protection locked="0"/>
    </xf>
    <xf numFmtId="0" fontId="26" fillId="0" borderId="0" xfId="0" applyFont="1" applyFill="1" applyBorder="1" applyAlignment="1" applyProtection="1">
      <alignment horizontal="center" vertical="center" wrapText="1"/>
    </xf>
    <xf numFmtId="0" fontId="1" fillId="0" borderId="40" xfId="0" applyFont="1" applyFill="1" applyBorder="1" applyAlignment="1" applyProtection="1">
      <alignment horizontal="left" vertical="top" wrapText="1"/>
    </xf>
    <xf numFmtId="0" fontId="1" fillId="0" borderId="0" xfId="0" applyFont="1" applyFill="1" applyBorder="1" applyAlignment="1" applyProtection="1">
      <alignment horizontal="left" vertical="top" wrapText="1"/>
    </xf>
    <xf numFmtId="0" fontId="1" fillId="0" borderId="0" xfId="0" applyFont="1" applyFill="1" applyBorder="1" applyAlignment="1" applyProtection="1">
      <alignment horizontal="left" wrapText="1"/>
    </xf>
    <xf numFmtId="0" fontId="1" fillId="0" borderId="40" xfId="0" applyFont="1" applyFill="1" applyBorder="1" applyAlignment="1" applyProtection="1">
      <alignment horizontal="left" wrapText="1"/>
    </xf>
    <xf numFmtId="0" fontId="1" fillId="0" borderId="0" xfId="0" applyFont="1" applyFill="1" applyBorder="1" applyAlignment="1" applyProtection="1">
      <alignment horizontal="left" wrapText="1" indent="1"/>
    </xf>
    <xf numFmtId="49" fontId="1" fillId="25" borderId="0" xfId="0" applyNumberFormat="1" applyFont="1" applyFill="1" applyBorder="1" applyAlignment="1" applyProtection="1">
      <alignment horizontal="left"/>
      <protection locked="0"/>
    </xf>
    <xf numFmtId="49" fontId="1" fillId="25" borderId="18" xfId="0" applyNumberFormat="1" applyFont="1" applyFill="1" applyBorder="1" applyAlignment="1" applyProtection="1">
      <alignment horizontal="left" vertical="top" wrapText="1"/>
      <protection locked="0"/>
    </xf>
    <xf numFmtId="49" fontId="1" fillId="25" borderId="38" xfId="0" applyNumberFormat="1" applyFont="1" applyFill="1" applyBorder="1" applyAlignment="1" applyProtection="1">
      <alignment horizontal="left" vertical="top" wrapText="1"/>
      <protection locked="0"/>
    </xf>
    <xf numFmtId="49" fontId="0" fillId="0" borderId="18" xfId="0" applyNumberFormat="1" applyFill="1" applyBorder="1" applyAlignment="1" applyProtection="1">
      <alignment horizontal="left" vertical="top" wrapText="1"/>
    </xf>
    <xf numFmtId="49" fontId="0" fillId="0" borderId="13" xfId="0" applyNumberFormat="1" applyFill="1" applyBorder="1" applyAlignment="1" applyProtection="1">
      <alignment horizontal="left" vertical="top" wrapText="1"/>
    </xf>
    <xf numFmtId="0" fontId="0" fillId="0" borderId="18" xfId="0" applyFill="1" applyBorder="1" applyAlignment="1" applyProtection="1">
      <alignment horizontal="left" vertical="top" wrapText="1"/>
    </xf>
    <xf numFmtId="0" fontId="0" fillId="0" borderId="13" xfId="0" applyFill="1" applyBorder="1" applyAlignment="1" applyProtection="1">
      <alignment horizontal="left" vertical="top" wrapText="1"/>
    </xf>
    <xf numFmtId="0" fontId="0" fillId="0" borderId="38" xfId="0" applyFill="1" applyBorder="1" applyAlignment="1" applyProtection="1">
      <alignment horizontal="left" vertical="top" wrapText="1"/>
    </xf>
    <xf numFmtId="0" fontId="38" fillId="0" borderId="11" xfId="72" applyFont="1" applyFill="1" applyBorder="1" applyAlignment="1" applyProtection="1">
      <alignment horizontal="left" vertical="top"/>
    </xf>
    <xf numFmtId="0" fontId="38" fillId="0" borderId="12" xfId="72" applyFont="1" applyFill="1" applyBorder="1" applyAlignment="1" applyProtection="1">
      <alignment horizontal="left" vertical="top"/>
    </xf>
    <xf numFmtId="167" fontId="0" fillId="0" borderId="18" xfId="0" applyNumberFormat="1" applyFill="1" applyBorder="1" applyAlignment="1" applyProtection="1">
      <alignment horizontal="center" vertical="top" wrapText="1"/>
    </xf>
    <xf numFmtId="167" fontId="0" fillId="0" borderId="38" xfId="0" applyNumberFormat="1" applyFill="1" applyBorder="1" applyAlignment="1" applyProtection="1">
      <alignment horizontal="center" vertical="top" wrapText="1"/>
    </xf>
    <xf numFmtId="0" fontId="1" fillId="0" borderId="18" xfId="0" applyFont="1" applyFill="1" applyBorder="1" applyAlignment="1" applyProtection="1">
      <alignment horizontal="left" vertical="top" wrapText="1"/>
    </xf>
    <xf numFmtId="0" fontId="1" fillId="0" borderId="13" xfId="0" applyFont="1" applyFill="1" applyBorder="1" applyAlignment="1" applyProtection="1">
      <alignment horizontal="left" vertical="top" wrapText="1"/>
    </xf>
    <xf numFmtId="0" fontId="1" fillId="0" borderId="38" xfId="0" applyFont="1" applyFill="1" applyBorder="1" applyAlignment="1" applyProtection="1">
      <alignment horizontal="left" vertical="top" wrapText="1"/>
    </xf>
    <xf numFmtId="14" fontId="0" fillId="25" borderId="18" xfId="0" applyNumberFormat="1" applyFill="1" applyBorder="1" applyAlignment="1" applyProtection="1">
      <alignment horizontal="left" vertical="top" wrapText="1"/>
      <protection locked="0"/>
    </xf>
    <xf numFmtId="14" fontId="0" fillId="25" borderId="13" xfId="0" applyNumberFormat="1" applyFill="1" applyBorder="1" applyAlignment="1" applyProtection="1">
      <alignment horizontal="left" vertical="top" wrapText="1"/>
      <protection locked="0"/>
    </xf>
    <xf numFmtId="14" fontId="0" fillId="25" borderId="38" xfId="0" applyNumberFormat="1" applyFill="1" applyBorder="1" applyAlignment="1" applyProtection="1">
      <alignment horizontal="left" vertical="top" wrapText="1"/>
      <protection locked="0"/>
    </xf>
    <xf numFmtId="0" fontId="0" fillId="25" borderId="0" xfId="0" applyFill="1" applyBorder="1" applyAlignment="1" applyProtection="1">
      <alignment horizontal="left"/>
      <protection locked="0"/>
    </xf>
    <xf numFmtId="0" fontId="1" fillId="25" borderId="0" xfId="0" applyFont="1" applyFill="1" applyBorder="1" applyAlignment="1" applyProtection="1">
      <alignment horizontal="left"/>
      <protection locked="0"/>
    </xf>
    <xf numFmtId="0" fontId="51" fillId="29" borderId="0" xfId="0" applyFont="1" applyFill="1" applyAlignment="1" applyProtection="1">
      <alignment horizontal="left" vertical="top" indent="2"/>
    </xf>
    <xf numFmtId="10" fontId="1" fillId="0" borderId="18" xfId="76" applyNumberFormat="1" applyFont="1" applyFill="1" applyBorder="1" applyAlignment="1" applyProtection="1">
      <alignment horizontal="left" vertical="top" wrapText="1"/>
    </xf>
    <xf numFmtId="10" fontId="1" fillId="0" borderId="13" xfId="76" applyNumberFormat="1" applyFont="1" applyFill="1" applyBorder="1" applyAlignment="1" applyProtection="1">
      <alignment horizontal="left" vertical="top" wrapText="1"/>
    </xf>
    <xf numFmtId="10" fontId="37" fillId="0" borderId="13" xfId="76" applyNumberFormat="1" applyFont="1" applyFill="1" applyBorder="1" applyAlignment="1" applyProtection="1">
      <alignment horizontal="left" vertical="top" wrapText="1"/>
    </xf>
    <xf numFmtId="10" fontId="37" fillId="0" borderId="38" xfId="76" applyNumberFormat="1" applyFont="1" applyFill="1" applyBorder="1" applyAlignment="1" applyProtection="1">
      <alignment horizontal="left" vertical="top" wrapText="1"/>
    </xf>
    <xf numFmtId="14" fontId="37" fillId="0" borderId="18" xfId="76" applyNumberFormat="1" applyFont="1" applyFill="1" applyBorder="1" applyAlignment="1" applyProtection="1">
      <alignment horizontal="center" vertical="top" wrapText="1"/>
    </xf>
    <xf numFmtId="14" fontId="37" fillId="0" borderId="38" xfId="76" applyNumberFormat="1" applyFont="1" applyFill="1" applyBorder="1" applyAlignment="1" applyProtection="1">
      <alignment horizontal="center" vertical="top" wrapText="1"/>
    </xf>
    <xf numFmtId="14" fontId="1" fillId="0" borderId="18" xfId="76" applyNumberFormat="1" applyFont="1" applyFill="1" applyBorder="1" applyAlignment="1" applyProtection="1">
      <alignment horizontal="center" vertical="top" wrapText="1"/>
    </xf>
    <xf numFmtId="14" fontId="1" fillId="0" borderId="38" xfId="76" applyNumberFormat="1" applyFont="1" applyFill="1" applyBorder="1" applyAlignment="1" applyProtection="1">
      <alignment horizontal="center" vertical="top" wrapText="1"/>
    </xf>
    <xf numFmtId="167" fontId="1" fillId="0" borderId="18" xfId="76" applyNumberFormat="1" applyFont="1" applyFill="1" applyBorder="1" applyAlignment="1" applyProtection="1">
      <alignment horizontal="left" vertical="top" wrapText="1"/>
    </xf>
    <xf numFmtId="167" fontId="1" fillId="0" borderId="13" xfId="76" applyNumberFormat="1" applyFont="1" applyFill="1" applyBorder="1" applyAlignment="1" applyProtection="1">
      <alignment horizontal="left" vertical="top" wrapText="1"/>
    </xf>
    <xf numFmtId="0" fontId="0" fillId="25" borderId="13" xfId="0" applyFill="1" applyBorder="1" applyAlignment="1" applyProtection="1">
      <alignment horizontal="left" vertical="top" wrapText="1"/>
      <protection locked="0"/>
    </xf>
    <xf numFmtId="49" fontId="0" fillId="25" borderId="18" xfId="0" applyNumberFormat="1" applyFill="1" applyBorder="1" applyAlignment="1" applyProtection="1">
      <alignment horizontal="left" vertical="top" wrapText="1"/>
      <protection locked="0"/>
    </xf>
    <xf numFmtId="49" fontId="0" fillId="25" borderId="13" xfId="0" applyNumberFormat="1" applyFill="1" applyBorder="1" applyAlignment="1" applyProtection="1">
      <alignment horizontal="left" vertical="top" wrapText="1"/>
      <protection locked="0"/>
    </xf>
    <xf numFmtId="49" fontId="0" fillId="25" borderId="38" xfId="0" applyNumberFormat="1" applyFill="1" applyBorder="1" applyAlignment="1" applyProtection="1">
      <alignment horizontal="left" vertical="top" wrapText="1"/>
      <protection locked="0"/>
    </xf>
    <xf numFmtId="10" fontId="1" fillId="25" borderId="18" xfId="76" applyNumberFormat="1" applyFont="1" applyFill="1" applyBorder="1" applyAlignment="1" applyProtection="1">
      <alignment horizontal="left" vertical="top" wrapText="1"/>
      <protection locked="0"/>
    </xf>
    <xf numFmtId="10" fontId="37" fillId="25" borderId="13" xfId="76" applyNumberFormat="1" applyFont="1" applyFill="1" applyBorder="1" applyAlignment="1" applyProtection="1">
      <alignment horizontal="left" vertical="top" wrapText="1"/>
      <protection locked="0"/>
    </xf>
    <xf numFmtId="10" fontId="37" fillId="25" borderId="38" xfId="76" applyNumberFormat="1" applyFont="1" applyFill="1" applyBorder="1" applyAlignment="1" applyProtection="1">
      <alignment horizontal="left" vertical="top" wrapText="1"/>
      <protection locked="0"/>
    </xf>
    <xf numFmtId="171" fontId="1" fillId="0" borderId="0" xfId="71" applyNumberFormat="1" applyFont="1" applyFill="1" applyBorder="1" applyAlignment="1" applyProtection="1">
      <alignment horizontal="left"/>
    </xf>
    <xf numFmtId="0" fontId="45" fillId="0" borderId="0" xfId="71" applyFont="1" applyAlignment="1" applyProtection="1">
      <alignment horizontal="left" vertical="center" indent="1"/>
    </xf>
    <xf numFmtId="0" fontId="1" fillId="0" borderId="14" xfId="71" applyFont="1" applyBorder="1" applyAlignment="1" applyProtection="1">
      <alignment horizontal="left" vertical="center" wrapText="1"/>
    </xf>
    <xf numFmtId="0" fontId="39" fillId="0" borderId="0" xfId="71" applyFont="1" applyBorder="1" applyAlignment="1" applyProtection="1">
      <alignment horizontal="left" vertical="center" wrapText="1"/>
    </xf>
    <xf numFmtId="2" fontId="33" fillId="0" borderId="17" xfId="71" applyNumberFormat="1" applyFont="1" applyFill="1" applyBorder="1" applyAlignment="1" applyProtection="1">
      <alignment horizontal="center" vertical="center"/>
    </xf>
    <xf numFmtId="0" fontId="26" fillId="0" borderId="0" xfId="71" applyFont="1" applyBorder="1" applyAlignment="1" applyProtection="1">
      <alignment horizontal="left" vertical="center"/>
    </xf>
    <xf numFmtId="0" fontId="1" fillId="0" borderId="0" xfId="71" applyFont="1" applyBorder="1" applyAlignment="1" applyProtection="1">
      <alignment horizontal="center" vertical="center"/>
    </xf>
    <xf numFmtId="0" fontId="35" fillId="0" borderId="14" xfId="71" applyFont="1" applyBorder="1" applyAlignment="1" applyProtection="1">
      <alignment horizontal="center" vertical="center" wrapText="1"/>
    </xf>
    <xf numFmtId="168" fontId="1" fillId="0" borderId="13" xfId="71" applyNumberFormat="1" applyFont="1" applyBorder="1" applyAlignment="1" applyProtection="1">
      <alignment horizontal="left"/>
    </xf>
    <xf numFmtId="49" fontId="1" fillId="25" borderId="32" xfId="71" applyNumberFormat="1" applyFont="1" applyFill="1" applyBorder="1" applyAlignment="1" applyProtection="1">
      <alignment horizontal="left" vertical="top" wrapText="1"/>
      <protection locked="0"/>
    </xf>
    <xf numFmtId="49" fontId="1" fillId="25" borderId="10" xfId="71" applyNumberFormat="1" applyFont="1" applyFill="1" applyBorder="1" applyAlignment="1" applyProtection="1">
      <alignment horizontal="left" vertical="top" wrapText="1"/>
      <protection locked="0"/>
    </xf>
    <xf numFmtId="49" fontId="1" fillId="25" borderId="19" xfId="71" applyNumberFormat="1" applyFont="1" applyFill="1" applyBorder="1" applyAlignment="1" applyProtection="1">
      <alignment horizontal="left" vertical="top" wrapText="1"/>
      <protection locked="0"/>
    </xf>
    <xf numFmtId="0" fontId="1" fillId="0" borderId="17" xfId="71" applyFont="1" applyBorder="1" applyAlignment="1" applyProtection="1">
      <alignment horizontal="center" vertical="center"/>
    </xf>
    <xf numFmtId="49" fontId="1" fillId="0" borderId="0" xfId="71" applyNumberFormat="1" applyFont="1" applyFill="1" applyBorder="1" applyAlignment="1" applyProtection="1">
      <alignment horizontal="left"/>
      <protection locked="0"/>
    </xf>
    <xf numFmtId="0" fontId="47" fillId="0" borderId="0" xfId="71" applyFont="1" applyAlignment="1" applyProtection="1">
      <alignment horizontal="center" vertical="top" wrapText="1"/>
    </xf>
    <xf numFmtId="171" fontId="1" fillId="0" borderId="13" xfId="71" applyNumberFormat="1" applyFont="1" applyFill="1" applyBorder="1" applyAlignment="1" applyProtection="1">
      <alignment horizontal="left"/>
    </xf>
    <xf numFmtId="0" fontId="1" fillId="0" borderId="14" xfId="71" applyFont="1" applyBorder="1" applyAlignment="1" applyProtection="1">
      <alignment horizontal="left" vertical="center"/>
    </xf>
    <xf numFmtId="0" fontId="22" fillId="0" borderId="14" xfId="71" applyFont="1" applyFill="1" applyBorder="1" applyAlignment="1" applyProtection="1">
      <alignment horizontal="center" vertical="center"/>
    </xf>
    <xf numFmtId="0" fontId="41" fillId="0" borderId="0" xfId="0" quotePrefix="1" applyFont="1" applyBorder="1" applyAlignment="1" applyProtection="1">
      <alignment horizontal="left" vertical="center"/>
    </xf>
    <xf numFmtId="0" fontId="41" fillId="0" borderId="0" xfId="0" applyFont="1" applyBorder="1" applyAlignment="1" applyProtection="1">
      <alignment horizontal="left" vertical="center"/>
    </xf>
    <xf numFmtId="0" fontId="42" fillId="0" borderId="0" xfId="0" applyFont="1" applyBorder="1" applyAlignment="1" applyProtection="1">
      <alignment horizontal="center"/>
    </xf>
    <xf numFmtId="0" fontId="41" fillId="0" borderId="0" xfId="0" applyFont="1" applyBorder="1" applyAlignment="1" applyProtection="1">
      <alignment horizontal="center" vertical="top"/>
    </xf>
    <xf numFmtId="0" fontId="41" fillId="0" borderId="0" xfId="0" applyFont="1" applyBorder="1" applyAlignment="1" applyProtection="1">
      <alignment horizontal="right" vertical="center"/>
    </xf>
    <xf numFmtId="169" fontId="2" fillId="25" borderId="18" xfId="68" applyFont="1" applyFill="1" applyBorder="1" applyAlignment="1" applyProtection="1">
      <alignment horizontal="left"/>
      <protection locked="0"/>
    </xf>
    <xf numFmtId="169" fontId="2" fillId="25" borderId="13" xfId="68" applyFont="1" applyFill="1" applyBorder="1" applyAlignment="1" applyProtection="1">
      <alignment horizontal="left"/>
      <protection locked="0"/>
    </xf>
    <xf numFmtId="169" fontId="2" fillId="25" borderId="38" xfId="68" applyFont="1" applyFill="1" applyBorder="1" applyAlignment="1" applyProtection="1">
      <alignment horizontal="left"/>
      <protection locked="0"/>
    </xf>
    <xf numFmtId="0" fontId="1" fillId="0" borderId="18" xfId="71" applyFont="1" applyFill="1" applyBorder="1" applyAlignment="1" applyProtection="1">
      <alignment horizontal="center" vertical="top" wrapText="1"/>
    </xf>
    <xf numFmtId="0" fontId="1" fillId="0" borderId="38" xfId="71" applyFont="1" applyFill="1" applyBorder="1" applyAlignment="1" applyProtection="1">
      <alignment horizontal="center" vertical="top" wrapText="1"/>
    </xf>
    <xf numFmtId="0" fontId="1" fillId="0" borderId="18" xfId="71" applyFont="1" applyFill="1" applyBorder="1" applyAlignment="1" applyProtection="1">
      <alignment horizontal="left" vertical="top" wrapText="1"/>
    </xf>
    <xf numFmtId="0" fontId="1" fillId="0" borderId="38" xfId="71" applyFont="1" applyFill="1" applyBorder="1" applyAlignment="1" applyProtection="1">
      <alignment horizontal="left" vertical="top" wrapText="1"/>
    </xf>
    <xf numFmtId="49" fontId="1" fillId="0" borderId="18" xfId="71" applyNumberFormat="1" applyFont="1" applyFill="1" applyBorder="1" applyAlignment="1" applyProtection="1">
      <alignment horizontal="left" vertical="top" wrapText="1"/>
    </xf>
    <xf numFmtId="0" fontId="1" fillId="0" borderId="13" xfId="71" applyNumberFormat="1" applyFont="1" applyFill="1" applyBorder="1" applyAlignment="1" applyProtection="1">
      <alignment horizontal="left" vertical="top" wrapText="1"/>
    </xf>
    <xf numFmtId="0" fontId="1" fillId="0" borderId="38" xfId="71" applyNumberFormat="1" applyFont="1" applyFill="1" applyBorder="1" applyAlignment="1" applyProtection="1">
      <alignment horizontal="left" vertical="top" wrapText="1"/>
    </xf>
    <xf numFmtId="0" fontId="2" fillId="0" borderId="16" xfId="68" applyNumberFormat="1" applyFont="1" applyFill="1" applyBorder="1" applyAlignment="1" applyProtection="1">
      <alignment horizontal="left" wrapText="1"/>
    </xf>
    <xf numFmtId="0" fontId="22" fillId="0" borderId="0" xfId="71" applyFont="1" applyBorder="1" applyAlignment="1" applyProtection="1">
      <alignment horizontal="left" vertical="center"/>
    </xf>
    <xf numFmtId="10" fontId="2" fillId="25" borderId="14" xfId="71" applyNumberFormat="1" applyFont="1" applyFill="1" applyBorder="1" applyAlignment="1" applyProtection="1">
      <alignment horizontal="center"/>
      <protection locked="0"/>
    </xf>
    <xf numFmtId="0" fontId="2" fillId="0" borderId="14" xfId="71" applyFont="1" applyFill="1" applyBorder="1" applyAlignment="1" applyProtection="1">
      <alignment horizontal="left"/>
    </xf>
    <xf numFmtId="0" fontId="26" fillId="0" borderId="14" xfId="71" applyFont="1" applyBorder="1" applyAlignment="1" applyProtection="1">
      <alignment horizontal="center" vertical="center"/>
    </xf>
    <xf numFmtId="0" fontId="2" fillId="0" borderId="14" xfId="71" applyFont="1" applyFill="1" applyBorder="1" applyAlignment="1" applyProtection="1">
      <alignment horizontal="left" wrapText="1"/>
    </xf>
    <xf numFmtId="0" fontId="26" fillId="0" borderId="14" xfId="71" applyFont="1" applyFill="1" applyBorder="1" applyAlignment="1" applyProtection="1">
      <alignment horizontal="center" vertical="center"/>
    </xf>
    <xf numFmtId="4" fontId="26" fillId="0" borderId="14" xfId="71" applyNumberFormat="1" applyFont="1" applyFill="1" applyBorder="1" applyAlignment="1" applyProtection="1">
      <alignment horizontal="center" vertical="center" wrapText="1"/>
    </xf>
    <xf numFmtId="0" fontId="1" fillId="0" borderId="14" xfId="0" applyFont="1" applyBorder="1" applyAlignment="1">
      <alignment horizontal="center"/>
    </xf>
    <xf numFmtId="0" fontId="26" fillId="0" borderId="32" xfId="0" applyFont="1" applyFill="1" applyBorder="1" applyAlignment="1" applyProtection="1">
      <alignment horizontal="left" wrapText="1"/>
    </xf>
    <xf numFmtId="0" fontId="26" fillId="0" borderId="10" xfId="0" applyFont="1" applyFill="1" applyBorder="1" applyAlignment="1" applyProtection="1">
      <alignment horizontal="left" wrapText="1"/>
    </xf>
    <xf numFmtId="0" fontId="26" fillId="0" borderId="19" xfId="0" applyFont="1" applyFill="1" applyBorder="1" applyAlignment="1" applyProtection="1">
      <alignment horizontal="left" wrapText="1"/>
    </xf>
    <xf numFmtId="0" fontId="30" fillId="25" borderId="11" xfId="0" applyFont="1" applyFill="1" applyBorder="1" applyAlignment="1" applyProtection="1">
      <alignment horizontal="left" wrapText="1"/>
      <protection locked="0"/>
    </xf>
    <xf numFmtId="0" fontId="30" fillId="25" borderId="0" xfId="0" applyFont="1" applyFill="1" applyBorder="1" applyAlignment="1" applyProtection="1">
      <alignment horizontal="left" wrapText="1"/>
      <protection locked="0"/>
    </xf>
    <xf numFmtId="0" fontId="30" fillId="25" borderId="12" xfId="0" applyFont="1" applyFill="1" applyBorder="1" applyAlignment="1" applyProtection="1">
      <alignment horizontal="left" wrapText="1"/>
      <protection locked="0"/>
    </xf>
    <xf numFmtId="0" fontId="30" fillId="25" borderId="18" xfId="0" applyFont="1" applyFill="1" applyBorder="1" applyAlignment="1" applyProtection="1">
      <alignment horizontal="left" wrapText="1"/>
      <protection locked="0"/>
    </xf>
    <xf numFmtId="0" fontId="30" fillId="25" borderId="13" xfId="0" applyFont="1" applyFill="1" applyBorder="1" applyAlignment="1" applyProtection="1">
      <alignment horizontal="left" wrapText="1"/>
      <protection locked="0"/>
    </xf>
    <xf numFmtId="0" fontId="30" fillId="25" borderId="38" xfId="0" applyFont="1" applyFill="1" applyBorder="1" applyAlignment="1" applyProtection="1">
      <alignment horizontal="left" wrapText="1"/>
      <protection locked="0"/>
    </xf>
    <xf numFmtId="0" fontId="30" fillId="0" borderId="32" xfId="0" applyFont="1" applyBorder="1" applyAlignment="1" applyProtection="1">
      <alignment horizontal="left" vertical="center"/>
      <protection locked="0"/>
    </xf>
    <xf numFmtId="0" fontId="30" fillId="0" borderId="10" xfId="0" applyFont="1" applyBorder="1" applyAlignment="1" applyProtection="1">
      <alignment horizontal="left" vertical="center"/>
      <protection locked="0"/>
    </xf>
    <xf numFmtId="0" fontId="30" fillId="0" borderId="19" xfId="0" applyFont="1" applyBorder="1" applyAlignment="1" applyProtection="1">
      <alignment horizontal="left" vertical="center"/>
      <protection locked="0"/>
    </xf>
    <xf numFmtId="170" fontId="1" fillId="0" borderId="0" xfId="0" applyNumberFormat="1" applyFont="1" applyBorder="1" applyAlignment="1" applyProtection="1">
      <alignment horizontal="left"/>
      <protection locked="0"/>
    </xf>
    <xf numFmtId="171" fontId="1" fillId="0" borderId="13" xfId="0" applyNumberFormat="1" applyFont="1" applyBorder="1" applyAlignment="1" applyProtection="1">
      <alignment horizontal="left"/>
      <protection locked="0"/>
    </xf>
    <xf numFmtId="171" fontId="1" fillId="0" borderId="13" xfId="0" applyNumberFormat="1" applyFont="1" applyBorder="1" applyAlignment="1" applyProtection="1">
      <alignment horizontal="left"/>
    </xf>
    <xf numFmtId="170" fontId="1" fillId="0" borderId="13" xfId="0" applyNumberFormat="1" applyFont="1" applyBorder="1" applyAlignment="1" applyProtection="1">
      <alignment horizontal="left"/>
    </xf>
    <xf numFmtId="0" fontId="30" fillId="30" borderId="36" xfId="0" applyFont="1" applyFill="1" applyBorder="1" applyAlignment="1" applyProtection="1">
      <alignment horizontal="center" vertical="center" shrinkToFit="1"/>
    </xf>
    <xf numFmtId="0" fontId="30" fillId="30" borderId="11" xfId="0" applyFont="1" applyFill="1" applyBorder="1" applyAlignment="1" applyProtection="1">
      <alignment horizontal="center" vertical="center" shrinkToFit="1"/>
    </xf>
    <xf numFmtId="0" fontId="30" fillId="30" borderId="37" xfId="0" applyFont="1" applyFill="1" applyBorder="1" applyAlignment="1" applyProtection="1">
      <alignment horizontal="center" vertical="center" wrapText="1"/>
    </xf>
    <xf numFmtId="0" fontId="30" fillId="30" borderId="12" xfId="0" applyFont="1" applyFill="1" applyBorder="1" applyAlignment="1" applyProtection="1">
      <alignment horizontal="center" vertical="center" wrapText="1"/>
    </xf>
    <xf numFmtId="4" fontId="30" fillId="30" borderId="28" xfId="0" applyNumberFormat="1" applyFont="1" applyFill="1" applyBorder="1" applyAlignment="1" applyProtection="1">
      <alignment horizontal="center" vertical="center"/>
    </xf>
    <xf numFmtId="4" fontId="30" fillId="30" borderId="15" xfId="0" applyNumberFormat="1" applyFont="1" applyFill="1" applyBorder="1" applyAlignment="1" applyProtection="1">
      <alignment horizontal="center" vertical="center"/>
    </xf>
    <xf numFmtId="0" fontId="49" fillId="0" borderId="0" xfId="0" applyFont="1" applyAlignment="1" applyProtection="1">
      <alignment horizontal="center" vertical="top" wrapText="1"/>
    </xf>
    <xf numFmtId="168" fontId="1" fillId="0" borderId="0" xfId="0" applyNumberFormat="1" applyFont="1" applyFill="1" applyBorder="1" applyAlignment="1" applyProtection="1">
      <alignment horizontal="left"/>
    </xf>
    <xf numFmtId="49" fontId="1" fillId="0" borderId="0" xfId="0" applyNumberFormat="1" applyFont="1" applyFill="1" applyBorder="1" applyAlignment="1" applyProtection="1">
      <alignment horizontal="left"/>
    </xf>
    <xf numFmtId="0" fontId="1" fillId="0" borderId="0" xfId="0" applyFont="1" applyFill="1" applyBorder="1" applyAlignment="1" applyProtection="1">
      <alignment horizontal="left"/>
    </xf>
    <xf numFmtId="171" fontId="1" fillId="0" borderId="13" xfId="0" applyNumberFormat="1" applyFont="1" applyFill="1" applyBorder="1" applyAlignment="1" applyProtection="1">
      <alignment horizontal="left" vertical="center"/>
    </xf>
    <xf numFmtId="170" fontId="1" fillId="0" borderId="13" xfId="0" applyNumberFormat="1" applyFont="1" applyBorder="1" applyAlignment="1" applyProtection="1">
      <alignment horizontal="left" vertical="center"/>
    </xf>
    <xf numFmtId="0" fontId="26" fillId="24" borderId="21" xfId="0" applyFont="1" applyFill="1" applyBorder="1" applyAlignment="1" applyProtection="1">
      <alignment horizontal="center" vertical="center" wrapText="1"/>
    </xf>
    <xf numFmtId="0" fontId="26" fillId="24" borderId="39" xfId="0" applyFont="1" applyFill="1" applyBorder="1" applyAlignment="1" applyProtection="1">
      <alignment horizontal="center" vertical="center" wrapText="1"/>
    </xf>
    <xf numFmtId="0" fontId="26" fillId="24" borderId="11" xfId="0" applyFont="1" applyFill="1" applyBorder="1" applyAlignment="1" applyProtection="1">
      <alignment horizontal="center" vertical="center" wrapText="1"/>
    </xf>
    <xf numFmtId="0" fontId="26" fillId="24" borderId="12" xfId="0" applyFont="1" applyFill="1" applyBorder="1" applyAlignment="1" applyProtection="1">
      <alignment horizontal="center" vertical="center" wrapText="1"/>
    </xf>
    <xf numFmtId="0" fontId="26" fillId="24" borderId="18" xfId="0" applyFont="1" applyFill="1" applyBorder="1" applyAlignment="1" applyProtection="1">
      <alignment horizontal="center" vertical="center" wrapText="1"/>
    </xf>
    <xf numFmtId="0" fontId="26" fillId="24" borderId="38" xfId="0" applyFont="1" applyFill="1" applyBorder="1" applyAlignment="1" applyProtection="1">
      <alignment horizontal="center" vertical="center" wrapText="1"/>
    </xf>
    <xf numFmtId="4" fontId="26" fillId="24" borderId="30" xfId="0" applyNumberFormat="1" applyFont="1" applyFill="1" applyBorder="1" applyAlignment="1" applyProtection="1">
      <alignment horizontal="center" vertical="center" shrinkToFit="1"/>
    </xf>
    <xf numFmtId="4" fontId="26" fillId="24" borderId="15" xfId="0" applyNumberFormat="1" applyFont="1" applyFill="1" applyBorder="1" applyAlignment="1" applyProtection="1">
      <alignment horizontal="center" vertical="center" shrinkToFit="1"/>
    </xf>
    <xf numFmtId="4" fontId="26" fillId="24" borderId="16" xfId="0" applyNumberFormat="1" applyFont="1" applyFill="1" applyBorder="1" applyAlignment="1" applyProtection="1">
      <alignment horizontal="center" vertical="center" shrinkToFit="1"/>
    </xf>
  </cellXfs>
  <cellStyles count="89">
    <cellStyle name="20% - Accent1" xfId="1"/>
    <cellStyle name="20% - Accent2" xfId="2"/>
    <cellStyle name="20% - Accent3" xfId="3"/>
    <cellStyle name="20% - Accent4" xfId="4"/>
    <cellStyle name="20% - Accent5" xfId="5"/>
    <cellStyle name="20% - Accent6" xfId="6"/>
    <cellStyle name="20% - Ênfase1" xfId="7" builtinId="30" customBuiltin="1"/>
    <cellStyle name="20% - Ênfase2" xfId="8" builtinId="34" customBuiltin="1"/>
    <cellStyle name="20% - Ênfase3" xfId="9" builtinId="38" customBuiltin="1"/>
    <cellStyle name="20% - Ênfase4" xfId="10" builtinId="42" customBuiltin="1"/>
    <cellStyle name="20% - Ênfase5" xfId="11" builtinId="46" customBuiltin="1"/>
    <cellStyle name="20% - Ênfase6" xfId="12" builtinId="50" customBuiltin="1"/>
    <cellStyle name="40% - Accent1" xfId="13"/>
    <cellStyle name="40% - Accent2" xfId="14"/>
    <cellStyle name="40% - Accent3" xfId="15"/>
    <cellStyle name="40% - Accent4" xfId="16"/>
    <cellStyle name="40% - Accent5" xfId="17"/>
    <cellStyle name="40% - Accent6" xfId="18"/>
    <cellStyle name="40% - Ênfase1" xfId="19" builtinId="31" customBuiltin="1"/>
    <cellStyle name="40% - Ênfase2" xfId="20" builtinId="35" customBuiltin="1"/>
    <cellStyle name="40% - Ênfase3" xfId="21" builtinId="39" customBuiltin="1"/>
    <cellStyle name="40% - Ênfase4" xfId="22" builtinId="43" customBuiltin="1"/>
    <cellStyle name="40% - Ênfase5" xfId="23" builtinId="47" customBuiltin="1"/>
    <cellStyle name="40% - Ênfase6" xfId="24" builtinId="51" customBuiltin="1"/>
    <cellStyle name="60% - Accent1" xfId="25"/>
    <cellStyle name="60% - Accent2" xfId="26"/>
    <cellStyle name="60% - Accent3" xfId="27"/>
    <cellStyle name="60% - Accent4" xfId="28"/>
    <cellStyle name="60% - Accent5" xfId="29"/>
    <cellStyle name="60% - Accent6" xfId="30"/>
    <cellStyle name="60% - Ênfase1" xfId="31" builtinId="32" customBuiltin="1"/>
    <cellStyle name="60% - Ênfase2" xfId="32" builtinId="36" customBuiltin="1"/>
    <cellStyle name="60% - Ênfase3" xfId="33" builtinId="40" customBuiltin="1"/>
    <cellStyle name="60% - Ênfase4" xfId="34" builtinId="44" customBuiltin="1"/>
    <cellStyle name="60% - Ênfase5" xfId="35" builtinId="48" customBuiltin="1"/>
    <cellStyle name="60% - Ênfase6" xfId="36" builtinId="52" customBuiltin="1"/>
    <cellStyle name="Accent1" xfId="37"/>
    <cellStyle name="Accent2" xfId="38"/>
    <cellStyle name="Accent3" xfId="39"/>
    <cellStyle name="Accent4" xfId="40"/>
    <cellStyle name="Accent5" xfId="41"/>
    <cellStyle name="Accent6" xfId="42"/>
    <cellStyle name="Bad" xfId="43"/>
    <cellStyle name="Bom" xfId="44" builtinId="26" customBuiltin="1"/>
    <cellStyle name="Calculation" xfId="45"/>
    <cellStyle name="Cálculo" xfId="46" builtinId="22" customBuiltin="1"/>
    <cellStyle name="Célula de Verificação" xfId="47" builtinId="23" customBuiltin="1"/>
    <cellStyle name="Célula Vinculada" xfId="48" builtinId="24" customBuiltin="1"/>
    <cellStyle name="Check Cell" xfId="49"/>
    <cellStyle name="Ênfase1" xfId="50" builtinId="29" customBuiltin="1"/>
    <cellStyle name="Ênfase2" xfId="51" builtinId="33" customBuiltin="1"/>
    <cellStyle name="Ênfase3" xfId="52" builtinId="37" customBuiltin="1"/>
    <cellStyle name="Ênfase4" xfId="53" builtinId="41" customBuiltin="1"/>
    <cellStyle name="Ênfase5" xfId="54" builtinId="45" customBuiltin="1"/>
    <cellStyle name="Ênfase6" xfId="55" builtinId="49" customBuiltin="1"/>
    <cellStyle name="Entrada" xfId="56" builtinId="20" customBuiltin="1"/>
    <cellStyle name="Excel Built-in Normal" xfId="57"/>
    <cellStyle name="Explanatory Text" xfId="58"/>
    <cellStyle name="Good" xfId="59"/>
    <cellStyle name="Heading 1" xfId="60"/>
    <cellStyle name="Heading 2" xfId="61"/>
    <cellStyle name="Heading 3" xfId="62"/>
    <cellStyle name="Heading 4" xfId="63"/>
    <cellStyle name="Incorreto" xfId="64" builtinId="27" customBuiltin="1"/>
    <cellStyle name="Input" xfId="65"/>
    <cellStyle name="Linked Cell" xfId="66"/>
    <cellStyle name="Moeda 2" xfId="67"/>
    <cellStyle name="Moeda_Composicao BDI v2.1" xfId="68"/>
    <cellStyle name="Neutra" xfId="69" builtinId="28" customBuiltin="1"/>
    <cellStyle name="Neutral" xfId="70"/>
    <cellStyle name="Normal" xfId="0" builtinId="0"/>
    <cellStyle name="Normal 2" xfId="71"/>
    <cellStyle name="Normal_FICHA DE VERIFICAÇÃO PRELIMINAR - Plano R" xfId="72"/>
    <cellStyle name="Nota" xfId="73" builtinId="10" customBuiltin="1"/>
    <cellStyle name="Note" xfId="74"/>
    <cellStyle name="Output" xfId="75"/>
    <cellStyle name="Porcentagem" xfId="76" builtinId="5"/>
    <cellStyle name="Saída" xfId="77" builtinId="21" customBuiltin="1"/>
    <cellStyle name="Texto de Aviso" xfId="78" builtinId="11" customBuiltin="1"/>
    <cellStyle name="Texto Explicativo" xfId="79" builtinId="53" customBuiltin="1"/>
    <cellStyle name="Title" xfId="80"/>
    <cellStyle name="Título" xfId="81" builtinId="15" customBuiltin="1"/>
    <cellStyle name="Título 1" xfId="82" builtinId="16" customBuiltin="1"/>
    <cellStyle name="Título 2" xfId="83" builtinId="17" customBuiltin="1"/>
    <cellStyle name="Título 3" xfId="84" builtinId="18" customBuiltin="1"/>
    <cellStyle name="Título 4" xfId="85" builtinId="19" customBuiltin="1"/>
    <cellStyle name="Total" xfId="86" builtinId="25" customBuiltin="1"/>
    <cellStyle name="Vírgula" xfId="87" builtinId="3"/>
    <cellStyle name="Warning Text" xfId="88"/>
  </cellStyles>
  <dxfs count="367">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b/>
        <i val="0"/>
      </font>
      <fill>
        <patternFill>
          <bgColor indexed="55"/>
        </patternFill>
      </fill>
      <border>
        <top style="thin">
          <color indexed="64"/>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border>
        <bottom style="thin">
          <color indexed="64"/>
        </bottom>
      </border>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font>
        <condense val="0"/>
        <extend val="0"/>
      </font>
      <border>
        <top style="thin">
          <color indexed="64"/>
        </top>
      </border>
    </dxf>
    <dxf>
      <fill>
        <patternFill>
          <bgColor indexed="55"/>
        </patternFill>
      </fill>
    </dxf>
    <dxf>
      <font>
        <condense val="0"/>
        <extend val="0"/>
        <color indexed="9"/>
      </font>
      <fill>
        <patternFill patternType="none">
          <bgColor indexed="65"/>
        </patternFill>
      </fill>
      <border>
        <top/>
      </border>
    </dxf>
    <dxf>
      <font>
        <b/>
        <i val="0"/>
      </font>
      <fill>
        <patternFill>
          <bgColor indexed="55"/>
        </patternFill>
      </fill>
      <border>
        <top style="thin">
          <color indexed="64"/>
        </top>
      </border>
    </dxf>
    <dxf>
      <font>
        <condense val="0"/>
        <extend val="0"/>
        <color indexed="9"/>
      </font>
      <fill>
        <patternFill patternType="none">
          <bgColor indexed="65"/>
        </patternFill>
      </fill>
      <border>
        <left/>
        <right/>
        <top/>
        <bottom/>
      </border>
    </dxf>
    <dxf>
      <font>
        <b/>
        <i val="0"/>
        <condense val="0"/>
        <extend val="0"/>
        <color indexed="9"/>
      </font>
      <fill>
        <patternFill>
          <bgColor indexed="10"/>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ndense val="0"/>
        <extend val="0"/>
        <color indexed="9"/>
      </font>
      <fill>
        <patternFill patternType="none">
          <bgColor indexed="65"/>
        </patternFill>
      </fill>
    </dxf>
    <dxf>
      <font>
        <b/>
        <i val="0"/>
        <condense val="0"/>
        <extend val="0"/>
        <color indexed="9"/>
      </font>
      <fill>
        <patternFill>
          <bgColor indexed="10"/>
        </patternFill>
      </fill>
    </dxf>
    <dxf>
      <font>
        <color indexed="9"/>
      </font>
      <fill>
        <patternFill>
          <bgColor indexed="9"/>
        </patternFill>
      </fill>
    </dxf>
    <dxf>
      <border>
        <top style="thin">
          <color indexed="64"/>
        </top>
      </border>
    </dxf>
    <dxf>
      <fill>
        <patternFill>
          <bgColor indexed="55"/>
        </patternFill>
      </fill>
    </dxf>
    <dxf>
      <font>
        <b/>
        <i val="0"/>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ont>
        <condense val="0"/>
        <extend val="0"/>
        <color indexed="47"/>
      </font>
      <fill>
        <patternFill>
          <bgColor indexed="47"/>
        </patternFill>
      </fill>
    </dxf>
    <dxf>
      <fill>
        <patternFill patternType="none">
          <bgColor indexed="65"/>
        </patternFill>
      </fill>
    </dxf>
    <dxf>
      <font>
        <condense val="0"/>
        <extend val="0"/>
        <color indexed="47"/>
      </font>
      <fill>
        <patternFill>
          <bgColor indexed="47"/>
        </patternFill>
      </fill>
    </dxf>
    <dxf>
      <font>
        <b/>
        <i val="0"/>
        <condense val="0"/>
        <extend val="0"/>
        <color indexed="55"/>
      </font>
      <fill>
        <patternFill>
          <bgColor indexed="55"/>
        </patternFill>
      </fill>
    </dxf>
    <dxf>
      <font>
        <condense val="0"/>
        <extend val="0"/>
        <color indexed="47"/>
      </font>
      <fill>
        <patternFill>
          <bgColor indexed="47"/>
        </patternFill>
      </fill>
    </dxf>
    <dxf>
      <font>
        <b/>
        <i val="0"/>
      </font>
      <fill>
        <patternFill>
          <bgColor indexed="47"/>
        </patternFill>
      </fill>
    </dxf>
    <dxf>
      <font>
        <b/>
        <i val="0"/>
      </font>
      <fill>
        <patternFill>
          <bgColor indexed="55"/>
        </patternFill>
      </fill>
    </dxf>
    <dxf>
      <font>
        <b/>
        <i val="0"/>
      </font>
      <fill>
        <patternFill>
          <bgColor indexed="47"/>
        </patternFill>
      </fill>
    </dxf>
    <dxf>
      <font>
        <b/>
        <i val="0"/>
      </font>
      <fill>
        <patternFill>
          <bgColor indexed="55"/>
        </patternFill>
      </fill>
    </dxf>
    <dxf>
      <font>
        <b/>
        <i val="0"/>
        <condense val="0"/>
        <extend val="0"/>
        <color indexed="47"/>
      </font>
      <fill>
        <patternFill>
          <bgColor indexed="47"/>
        </patternFill>
      </fill>
    </dxf>
    <dxf>
      <font>
        <b/>
        <i val="0"/>
        <condense val="0"/>
        <extend val="0"/>
        <color indexed="55"/>
      </font>
      <fill>
        <patternFill>
          <bgColor indexed="5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ill>
        <patternFill patternType="none">
          <bgColor indexed="65"/>
        </patternFill>
      </fill>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ill>
        <patternFill patternType="none">
          <bgColor indexed="65"/>
        </patternFill>
      </fill>
    </dxf>
    <dxf>
      <fill>
        <patternFill patternType="none">
          <bgColor indexed="65"/>
        </patternFill>
      </fill>
    </dxf>
    <dxf>
      <fill>
        <patternFill patternType="none">
          <bgColor indexed="65"/>
        </patternFill>
      </fill>
    </dxf>
    <dxf>
      <font>
        <condense val="0"/>
        <extend val="0"/>
      </font>
      <fill>
        <patternFill patternType="none">
          <bgColor indexed="65"/>
        </patternFill>
      </fill>
    </dxf>
    <dxf>
      <font>
        <b/>
        <i val="0"/>
      </font>
      <fill>
        <patternFill>
          <bgColor indexed="47"/>
        </patternFill>
      </fill>
    </dxf>
    <dxf>
      <font>
        <b/>
        <i val="0"/>
        <condense val="0"/>
        <extend val="0"/>
        <u/>
        <color auto="1"/>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patternType="none">
          <bgColor indexed="65"/>
        </patternFill>
      </fill>
    </dxf>
    <dxf>
      <fill>
        <patternFill>
          <bgColor indexed="43"/>
        </patternFill>
      </fill>
    </dxf>
    <dxf>
      <font>
        <condense val="0"/>
        <extend val="0"/>
        <color indexed="9"/>
      </font>
      <fill>
        <patternFill patternType="none">
          <bgColor indexed="65"/>
        </patternFill>
      </fill>
      <border>
        <left/>
        <right/>
        <top/>
        <bottom/>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ont>
        <b/>
        <i val="0"/>
      </font>
      <fill>
        <patternFill>
          <bgColor indexed="47"/>
        </patternFill>
      </fill>
    </dxf>
    <dxf>
      <font>
        <b/>
        <i val="0"/>
      </font>
      <fill>
        <patternFill>
          <bgColor indexed="55"/>
        </patternFill>
      </fill>
      <border>
        <top style="thin">
          <color indexed="64"/>
        </top>
      </border>
    </dxf>
    <dxf>
      <font>
        <b val="0"/>
        <i val="0"/>
        <condense val="0"/>
        <extend val="0"/>
        <color auto="1"/>
      </font>
      <fill>
        <patternFill patternType="none">
          <bgColor indexed="65"/>
        </patternFill>
      </fill>
    </dxf>
    <dxf>
      <font>
        <b val="0"/>
        <i val="0"/>
        <color indexed="47"/>
        <name val="Cambria"/>
        <scheme val="none"/>
      </font>
      <fill>
        <patternFill>
          <bgColor indexed="47"/>
        </patternFill>
      </fill>
    </dxf>
    <dxf>
      <font>
        <b val="0"/>
        <i val="0"/>
        <condense val="0"/>
        <extend val="0"/>
        <color indexed="55"/>
        <name val="Cambria"/>
        <scheme val="none"/>
      </font>
      <fill>
        <patternFill>
          <bgColor indexed="55"/>
        </patternFill>
      </fill>
      <border>
        <top style="thin">
          <color indexed="64"/>
        </top>
      </border>
    </dxf>
    <dxf>
      <fill>
        <patternFill>
          <bgColor theme="0"/>
        </patternFill>
      </fill>
    </dxf>
    <dxf>
      <font>
        <b/>
        <i val="0"/>
        <color indexed="47"/>
        <name val="Cambria"/>
        <scheme val="none"/>
      </font>
      <fill>
        <patternFill>
          <bgColor indexed="47"/>
        </patternFill>
      </fill>
    </dxf>
    <dxf>
      <font>
        <b/>
        <i val="0"/>
        <condense val="0"/>
        <extend val="0"/>
        <color indexed="55"/>
        <name val="Cambria"/>
        <scheme val="none"/>
      </font>
      <fill>
        <patternFill>
          <bgColor indexed="55"/>
        </patternFill>
      </fill>
      <border>
        <top style="thin">
          <color indexed="64"/>
        </top>
      </border>
    </dxf>
    <dxf>
      <font>
        <condense val="0"/>
        <extend val="0"/>
        <color indexed="47"/>
      </font>
      <fill>
        <patternFill>
          <bgColor indexed="47"/>
        </patternFill>
      </fill>
    </dxf>
    <dxf>
      <font>
        <b/>
        <i val="0"/>
      </font>
      <fill>
        <patternFill>
          <bgColor indexed="47"/>
        </patternFill>
      </fill>
    </dxf>
    <dxf>
      <font>
        <b/>
        <i val="0"/>
      </font>
      <fill>
        <patternFill>
          <bgColor indexed="55"/>
        </patternFill>
      </fill>
      <border>
        <top style="thin">
          <color indexed="64"/>
        </top>
      </border>
    </dxf>
    <dxf>
      <font>
        <b/>
        <i val="0"/>
      </font>
      <fill>
        <patternFill>
          <bgColor rgb="FFC0C0C0"/>
        </patternFill>
      </fill>
    </dxf>
    <dxf>
      <font>
        <b/>
        <i val="0"/>
      </font>
      <fill>
        <patternFill>
          <bgColor rgb="FF969696"/>
        </patternFill>
      </fill>
    </dxf>
    <dxf>
      <font>
        <color theme="1"/>
      </font>
    </dxf>
    <dxf>
      <font>
        <b/>
        <i val="0"/>
      </font>
      <fill>
        <patternFill>
          <bgColor rgb="FFC0C0C0"/>
        </patternFill>
      </fill>
    </dxf>
    <dxf>
      <font>
        <b/>
        <i val="0"/>
      </font>
      <fill>
        <patternFill>
          <bgColor rgb="FF969696"/>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lor theme="0"/>
      </font>
      <fill>
        <patternFill patternType="none">
          <bgColor indexed="65"/>
        </patternFill>
      </fill>
    </dxf>
    <dxf>
      <font>
        <color theme="0"/>
      </font>
      <fill>
        <patternFill>
          <bgColor theme="0"/>
        </patternFill>
      </fill>
      <border>
        <left/>
        <right/>
        <top/>
        <bottom/>
      </border>
    </dxf>
    <dxf>
      <fill>
        <patternFill>
          <bgColor rgb="FFFFFF9E"/>
        </patternFill>
      </fill>
    </dxf>
    <dxf>
      <border>
        <left style="thin">
          <color indexed="64"/>
        </left>
        <right style="thin">
          <color indexed="64"/>
        </right>
        <top style="thin">
          <color indexed="64"/>
        </top>
        <bottom style="thin">
          <color indexed="64"/>
        </bottom>
      </border>
    </dxf>
    <dxf>
      <font>
        <b/>
        <i val="0"/>
        <color theme="1"/>
      </font>
      <fill>
        <patternFill>
          <bgColor theme="0" tint="-0.14996795556505021"/>
        </patternFill>
      </fill>
      <border>
        <left style="thin">
          <color indexed="64"/>
        </left>
        <right style="thin">
          <color indexed="64"/>
        </right>
        <top style="thin">
          <color indexed="64"/>
        </top>
        <bottom style="thin">
          <color indexed="64"/>
        </bottom>
      </border>
    </dxf>
    <dxf>
      <font>
        <b/>
        <i val="0"/>
      </font>
      <fill>
        <patternFill>
          <bgColor theme="0" tint="-0.14996795556505021"/>
        </patternFill>
      </fill>
    </dxf>
    <dxf>
      <font>
        <condense val="0"/>
        <extend val="0"/>
        <color indexed="17"/>
      </font>
      <border>
        <left style="thin">
          <color indexed="64"/>
        </left>
        <right style="thin">
          <color indexed="64"/>
        </right>
        <top style="thin">
          <color indexed="64"/>
        </top>
        <bottom style="thin">
          <color indexed="64"/>
        </bottom>
      </border>
    </dxf>
    <dxf>
      <font>
        <condense val="0"/>
        <extend val="0"/>
        <color indexed="10"/>
      </font>
      <border>
        <left style="thin">
          <color indexed="64"/>
        </left>
        <right style="thin">
          <color indexed="64"/>
        </right>
        <top style="thin">
          <color indexed="64"/>
        </top>
        <bottom style="thin">
          <color indexed="64"/>
        </bottom>
      </border>
    </dxf>
    <dxf>
      <fill>
        <patternFill>
          <bgColor rgb="FFFFFF9E"/>
        </patternFill>
      </fill>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
      <fill>
        <patternFill patternType="none">
          <bgColor indexed="65"/>
        </patternFill>
      </fill>
    </dxf>
    <dxf>
      <font>
        <condense val="0"/>
        <extend val="0"/>
        <color indexed="9"/>
      </font>
      <fill>
        <patternFill patternType="none">
          <bgColor indexed="65"/>
        </patternFill>
      </fill>
      <border>
        <left/>
        <right/>
        <top/>
        <bottom/>
      </border>
    </dxf>
    <dxf>
      <fill>
        <patternFill patternType="none">
          <bgColor indexed="65"/>
        </patternFill>
      </fill>
    </dxf>
    <dxf>
      <font>
        <condense val="0"/>
        <extend val="0"/>
        <color indexed="9"/>
      </font>
      <fill>
        <patternFill patternType="none">
          <bgColor indexed="65"/>
        </patternFill>
      </fill>
      <border>
        <left/>
        <right/>
        <top/>
        <bottom/>
      </border>
    </dxf>
    <dxf>
      <font>
        <condense val="0"/>
        <extend val="0"/>
        <color indexed="9"/>
      </font>
      <fill>
        <patternFill>
          <bgColor indexed="9"/>
        </patternFill>
      </fill>
      <border>
        <left/>
        <right/>
        <top/>
        <bottom/>
      </border>
    </dxf>
    <dxf>
      <fill>
        <patternFill patternType="none">
          <bgColor indexed="65"/>
        </patternFill>
      </fill>
    </dxf>
    <dxf>
      <fill>
        <patternFill patternType="none">
          <bgColor indexed="65"/>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checked="Checked" lockText="1" noThreeD="1"/>
</file>

<file path=xl/ctrlProps/ctrlProp3.xml><?xml version="1.0" encoding="utf-8"?>
<formControlPr xmlns="http://schemas.microsoft.com/office/spreadsheetml/2009/9/main" objectType="CheckBox" checked="Checked" fmlaLink="$X$3" noThreeD="1"/>
</file>

<file path=xl/ctrlProps/ctrlProp4.xml><?xml version="1.0" encoding="utf-8"?>
<formControlPr xmlns="http://schemas.microsoft.com/office/spreadsheetml/2009/9/main" objectType="CheckBox" checked="Checked" fmlaLink="$X$4" noThreeD="1"/>
</file>

<file path=xl/ctrlProps/ctrlProp5.xml><?xml version="1.0" encoding="utf-8"?>
<formControlPr xmlns="http://schemas.microsoft.com/office/spreadsheetml/2009/9/main" objectType="CheckBox" checked="Checked" fmlaLink="$X$5" noThreeD="1"/>
</file>

<file path=xl/ctrlProps/ctrlProp6.xml><?xml version="1.0" encoding="utf-8"?>
<formControlPr xmlns="http://schemas.microsoft.com/office/spreadsheetml/2009/9/main" objectType="CheckBox" checked="Checked" fmlaLink="$X$6" noThreeD="1"/>
</file>

<file path=xl/ctrlProps/ctrlProp7.xml><?xml version="1.0" encoding="utf-8"?>
<formControlPr xmlns="http://schemas.microsoft.com/office/spreadsheetml/2009/9/main" objectType="CheckBox" checked="Checked" fmlaLink="$X$7" noThreeD="1"/>
</file>

<file path=xl/drawings/_rels/drawing2.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3.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4.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media/image5.emf"/><Relationship Id="rId1" Type="http://schemas.openxmlformats.org/officeDocument/2006/relationships/image" Target="../media/image4.emf"/></Relationships>
</file>

<file path=xl/drawings/_rels/drawing5.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8.emf"/><Relationship Id="rId1" Type="http://schemas.openxmlformats.org/officeDocument/2006/relationships/image" Target="../media/image4.emf"/><Relationship Id="rId4" Type="http://schemas.openxmlformats.org/officeDocument/2006/relationships/image" Target="../media/image2.emf"/></Relationships>
</file>

<file path=xl/drawings/_rels/drawing6.xml.rels><?xml version="1.0" encoding="UTF-8" standalone="yes"?>
<Relationships xmlns="http://schemas.openxmlformats.org/package/2006/relationships"><Relationship Id="rId3" Type="http://schemas.openxmlformats.org/officeDocument/2006/relationships/image" Target="../media/image1.emf"/><Relationship Id="rId2" Type="http://schemas.openxmlformats.org/officeDocument/2006/relationships/image" Target="../media/image8.emf"/><Relationship Id="rId1" Type="http://schemas.openxmlformats.org/officeDocument/2006/relationships/image" Target="../media/image4.emf"/><Relationship Id="rId5" Type="http://schemas.openxmlformats.org/officeDocument/2006/relationships/image" Target="../media/image2.emf"/><Relationship Id="rId4" Type="http://schemas.openxmlformats.org/officeDocument/2006/relationships/image" Target="../media/image5.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7.emf"/><Relationship Id="rId1" Type="http://schemas.openxmlformats.org/officeDocument/2006/relationships/image" Target="../media/image6.emf"/></Relationships>
</file>

<file path=xl/drawings/_rels/vmlDrawing5.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s>
</file>

<file path=xl/drawings/_rels/vmlDrawing6.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9.emf"/><Relationship Id="rId1" Type="http://schemas.openxmlformats.org/officeDocument/2006/relationships/image" Target="../media/image6.emf"/><Relationship Id="rId4"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xdr:twoCellAnchor editAs="oneCell">
    <xdr:from>
      <xdr:col>12</xdr:col>
      <xdr:colOff>495300</xdr:colOff>
      <xdr:row>12</xdr:row>
      <xdr:rowOff>85725</xdr:rowOff>
    </xdr:from>
    <xdr:to>
      <xdr:col>15</xdr:col>
      <xdr:colOff>466725</xdr:colOff>
      <xdr:row>15</xdr:row>
      <xdr:rowOff>57150</xdr:rowOff>
    </xdr:to>
    <xdr:sp macro="[0]!Importar" textlink="">
      <xdr:nvSpPr>
        <xdr:cNvPr id="2" name="ImportButton"/>
        <xdr:cNvSpPr>
          <a:spLocks noChangeArrowheads="1"/>
        </xdr:cNvSpPr>
      </xdr:nvSpPr>
      <xdr:spPr bwMode="auto">
        <a:xfrm>
          <a:off x="8077200" y="1847850"/>
          <a:ext cx="1714500" cy="457200"/>
        </a:xfrm>
        <a:prstGeom prst="rect">
          <a:avLst/>
        </a:prstGeom>
        <a:solidFill>
          <a:srgbClr val="D0CECE"/>
        </a:solidFill>
        <a:ln w="6350" algn="ctr">
          <a:solidFill>
            <a:srgbClr val="41719C"/>
          </a:solidFill>
          <a:miter lim="800000"/>
          <a:headEnd/>
          <a:tailEnd/>
        </a:ln>
        <a:effectLst>
          <a:outerShdw dist="63500" dir="2700000" algn="tl" rotWithShape="0">
            <a:srgbClr val="000000"/>
          </a:outerShdw>
        </a:effectLst>
      </xdr:spPr>
      <xdr:txBody>
        <a:bodyPr vertOverflow="clip" wrap="square" lIns="27432" tIns="27432" rIns="27432" bIns="27432" anchor="ctr" upright="1"/>
        <a:lstStyle/>
        <a:p>
          <a:pPr algn="ctr" rtl="0">
            <a:defRPr sz="1000"/>
          </a:pPr>
          <a:r>
            <a:rPr lang="pt-BR" sz="1050" b="0" i="0" u="none" strike="noStrike" baseline="0">
              <a:solidFill>
                <a:srgbClr val="000000"/>
              </a:solidFill>
              <a:latin typeface="Calibri"/>
            </a:rPr>
            <a:t>Importar PO</a:t>
          </a:r>
        </a:p>
        <a:p>
          <a:pPr algn="ctr" rtl="0">
            <a:defRPr sz="1000"/>
          </a:pPr>
          <a:r>
            <a:rPr lang="pt-BR" sz="1050" b="0" i="0" u="none" strike="noStrike" baseline="0">
              <a:solidFill>
                <a:srgbClr val="000000"/>
              </a:solidFill>
              <a:latin typeface="Calibri"/>
            </a:rPr>
            <a:t>(MO27476)</a:t>
          </a:r>
        </a:p>
      </xdr:txBody>
    </xdr:sp>
    <xdr:clientData fPrintsWithSheet="0"/>
  </xdr:twoCellAnchor>
  <mc:AlternateContent xmlns:mc="http://schemas.openxmlformats.org/markup-compatibility/2006">
    <mc:Choice xmlns:a14="http://schemas.microsoft.com/office/drawing/2010/main" Requires="a14">
      <xdr:twoCellAnchor editAs="oneCell">
        <xdr:from>
          <xdr:col>0</xdr:col>
          <xdr:colOff>381000</xdr:colOff>
          <xdr:row>18</xdr:row>
          <xdr:rowOff>85725</xdr:rowOff>
        </xdr:from>
        <xdr:to>
          <xdr:col>5</xdr:col>
          <xdr:colOff>228600</xdr:colOff>
          <xdr:row>20</xdr:row>
          <xdr:rowOff>47625</xdr:rowOff>
        </xdr:to>
        <xdr:sp macro="" textlink="">
          <xdr:nvSpPr>
            <xdr:cNvPr id="34202" name="OptionPLQ-ON" descr="Parcela 1" hidden="1">
              <a:extLst>
                <a:ext uri="{63B3BB69-23CF-44E3-9099-C40C66FF867C}">
                  <a14:compatExt spid="_x0000_s34202"/>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MÚLTIPLAS FRENTES (PREENCHIMENTO NA PLQ)</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228600</xdr:colOff>
          <xdr:row>18</xdr:row>
          <xdr:rowOff>85725</xdr:rowOff>
        </xdr:from>
        <xdr:to>
          <xdr:col>11</xdr:col>
          <xdr:colOff>142875</xdr:colOff>
          <xdr:row>20</xdr:row>
          <xdr:rowOff>47625</xdr:rowOff>
        </xdr:to>
        <xdr:sp macro="" textlink="">
          <xdr:nvSpPr>
            <xdr:cNvPr id="34203" name="OptionPLQ-OFF" descr="Parcela 1" hidden="1">
              <a:extLst>
                <a:ext uri="{63B3BB69-23CF-44E3-9099-C40C66FF867C}">
                  <a14:compatExt spid="_x0000_s34203"/>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pt-BR" sz="800" b="0" i="0" u="none" strike="noStrike" baseline="0">
                  <a:solidFill>
                    <a:srgbClr val="000000"/>
                  </a:solidFill>
                  <a:latin typeface="Segoe UI"/>
                  <a:cs typeface="Segoe UI"/>
                </a:rPr>
                <a:t>FRENTE ÚNICA (PREENCHIMENTO DIRETAMENTE NA PO)</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156124" name="Object 476" hidden="1">
          <a:extLst>
            <a:ext uri="{63B3BB69-23CF-44E3-9099-C40C66FF867C}">
              <a14:compatExt xmlns:a14="http://schemas.microsoft.com/office/drawing/2010/main" spid="_x0000_s156124"/>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18</xdr:col>
          <xdr:colOff>19050</xdr:colOff>
          <xdr:row>2</xdr:row>
          <xdr:rowOff>57150</xdr:rowOff>
        </xdr:to>
        <xdr:pic>
          <xdr:nvPicPr>
            <xdr:cNvPr id="156569" name="SigiloPic"/>
            <xdr:cNvPicPr>
              <a:picLocks noChangeArrowheads="1"/>
              <a:extLst>
                <a:ext uri="{84589F7E-364E-4C9E-8A38-B11213B215E9}">
                  <a14:cameraTool cellRange="PO!$T$1:$T$2" spid="_x0000_s207157"/>
                </a:ext>
              </a:extLst>
            </xdr:cNvPicPr>
          </xdr:nvPicPr>
          <xdr:blipFill>
            <a:blip xmlns:r="http://schemas.openxmlformats.org/officeDocument/2006/relationships" r:embed="rId1"/>
            <a:srcRect/>
            <a:stretch>
              <a:fillRect/>
            </a:stretch>
          </xdr:blipFill>
          <xdr:spPr bwMode="auto">
            <a:xfrm>
              <a:off x="6172200" y="285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3" name="Picture 47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absolute">
    <xdr:from>
      <xdr:col>19</xdr:col>
      <xdr:colOff>95250</xdr:colOff>
      <xdr:row>5</xdr:row>
      <xdr:rowOff>47625</xdr:rowOff>
    </xdr:from>
    <xdr:to>
      <xdr:col>19</xdr:col>
      <xdr:colOff>1152525</xdr:colOff>
      <xdr:row>7</xdr:row>
      <xdr:rowOff>142875</xdr:rowOff>
    </xdr:to>
    <xdr:sp macro="[0]!BDI_add" textlink="">
      <xdr:nvSpPr>
        <xdr:cNvPr id="2" name="FiltroButton"/>
        <xdr:cNvSpPr txBox="1">
          <a:spLocks noChangeArrowheads="1"/>
        </xdr:cNvSpPr>
      </xdr:nvSpPr>
      <xdr:spPr bwMode="auto">
        <a:xfrm>
          <a:off x="7629525" y="885825"/>
          <a:ext cx="1057275" cy="342900"/>
        </a:xfrm>
        <a:prstGeom prst="rect">
          <a:avLst/>
        </a:prstGeom>
        <a:solidFill>
          <a:srgbClr xmlns:mc="http://schemas.openxmlformats.org/markup-compatibility/2006" xmlns:a14="http://schemas.microsoft.com/office/drawing/2010/main" val="E3E3E3" mc:Ignorable="a14" a14:legacySpreadsheetColorIndex="47"/>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BDI</a:t>
          </a:r>
        </a:p>
      </xdr:txBody>
    </xdr:sp>
    <xdr:clientData fPrintsWithSheet="0"/>
  </xdr:twoCellAnchor>
  <xdr:twoCellAnchor editAs="oneCell">
    <xdr:from>
      <xdr:col>8</xdr:col>
      <xdr:colOff>28575</xdr:colOff>
      <xdr:row>0</xdr:row>
      <xdr:rowOff>19050</xdr:rowOff>
    </xdr:from>
    <xdr:to>
      <xdr:col>10</xdr:col>
      <xdr:colOff>390525</xdr:colOff>
      <xdr:row>2</xdr:row>
      <xdr:rowOff>47625</xdr:rowOff>
    </xdr:to>
    <xdr:sp macro="" textlink="">
      <xdr:nvSpPr>
        <xdr:cNvPr id="3" name="Object 476" hidden="1">
          <a:extLst>
            <a:ext uri="{63B3BB69-23CF-44E3-9099-C40C66FF867C}">
              <a14:compatExt xmlns:a14="http://schemas.microsoft.com/office/drawing/2010/main" spid="_x0000_s156124"/>
            </a:ext>
          </a:extLst>
        </xdr:cNvPr>
        <xdr:cNvSpPr/>
      </xdr:nvSpPr>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xdr:from>
          <xdr:col>16</xdr:col>
          <xdr:colOff>314325</xdr:colOff>
          <xdr:row>0</xdr:row>
          <xdr:rowOff>28575</xdr:rowOff>
        </xdr:from>
        <xdr:to>
          <xdr:col>17</xdr:col>
          <xdr:colOff>647700</xdr:colOff>
          <xdr:row>2</xdr:row>
          <xdr:rowOff>0</xdr:rowOff>
        </xdr:to>
        <xdr:pic>
          <xdr:nvPicPr>
            <xdr:cNvPr id="4" name="SigiloPic"/>
            <xdr:cNvPicPr>
              <a:picLocks noChangeArrowheads="1"/>
              <a:extLst>
                <a:ext uri="{84589F7E-364E-4C9E-8A38-B11213B215E9}">
                  <a14:cameraTool cellRange="PO!$T$1:$T$2" spid="_x0000_s217117"/>
                </a:ext>
              </a:extLst>
            </xdr:cNvPicPr>
          </xdr:nvPicPr>
          <xdr:blipFill>
            <a:blip xmlns:r="http://schemas.openxmlformats.org/officeDocument/2006/relationships" r:embed="rId1"/>
            <a:srcRect/>
            <a:stretch>
              <a:fillRect/>
            </a:stretch>
          </xdr:blipFill>
          <xdr:spPr bwMode="auto">
            <a:xfrm>
              <a:off x="6172200" y="28575"/>
              <a:ext cx="1047750" cy="3238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8</xdr:col>
      <xdr:colOff>28575</xdr:colOff>
      <xdr:row>0</xdr:row>
      <xdr:rowOff>19050</xdr:rowOff>
    </xdr:from>
    <xdr:to>
      <xdr:col>10</xdr:col>
      <xdr:colOff>390525</xdr:colOff>
      <xdr:row>2</xdr:row>
      <xdr:rowOff>47625</xdr:rowOff>
    </xdr:to>
    <xdr:pic>
      <xdr:nvPicPr>
        <xdr:cNvPr id="5" name="Picture 476"/>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28575" y="1905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0</xdr:colOff>
          <xdr:row>3</xdr:row>
          <xdr:rowOff>0</xdr:rowOff>
        </xdr:from>
        <xdr:to>
          <xdr:col>19</xdr:col>
          <xdr:colOff>923925</xdr:colOff>
          <xdr:row>6</xdr:row>
          <xdr:rowOff>219075</xdr:rowOff>
        </xdr:to>
        <xdr:pic>
          <xdr:nvPicPr>
            <xdr:cNvPr id="198585" name="Picture 482"/>
            <xdr:cNvPicPr>
              <a:picLocks noChangeArrowheads="1"/>
              <a:extLst>
                <a:ext uri="{84589F7E-364E-4C9E-8A38-B11213B215E9}">
                  <a14:cameraTool cellRange="DADOS!$A$220:$X$230" spid="_x0000_s202500"/>
                </a:ext>
              </a:extLst>
            </xdr:cNvPicPr>
          </xdr:nvPicPr>
          <xdr:blipFill>
            <a:blip xmlns:r="http://schemas.openxmlformats.org/officeDocument/2006/relationships" r:embed="rId1"/>
            <a:srcRect/>
            <a:stretch>
              <a:fillRect/>
            </a:stretch>
          </xdr:blipFill>
          <xdr:spPr bwMode="auto">
            <a:xfrm>
              <a:off x="581025" y="485775"/>
              <a:ext cx="13820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10</xdr:col>
      <xdr:colOff>57150</xdr:colOff>
      <xdr:row>0</xdr:row>
      <xdr:rowOff>19050</xdr:rowOff>
    </xdr:from>
    <xdr:to>
      <xdr:col>11</xdr:col>
      <xdr:colOff>1009650</xdr:colOff>
      <xdr:row>2</xdr:row>
      <xdr:rowOff>76200</xdr:rowOff>
    </xdr:to>
    <xdr:sp macro="" textlink="">
      <xdr:nvSpPr>
        <xdr:cNvPr id="185899" name="Object 5675" hidden="1">
          <a:extLst>
            <a:ext uri="{63B3BB69-23CF-44E3-9099-C40C66FF867C}">
              <a14:compatExt xmlns:a14="http://schemas.microsoft.com/office/drawing/2010/main" spid="_x0000_s185899"/>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142874</xdr:colOff>
      <xdr:row>7</xdr:row>
      <xdr:rowOff>166687</xdr:rowOff>
    </xdr:from>
    <xdr:to>
      <xdr:col>13</xdr:col>
      <xdr:colOff>1619249</xdr:colOff>
      <xdr:row>7</xdr:row>
      <xdr:rowOff>347662</xdr:rowOff>
    </xdr:to>
    <xdr:sp macro="[0]!EditarPlan" textlink="">
      <xdr:nvSpPr>
        <xdr:cNvPr id="5" name="EditarButton"/>
        <xdr:cNvSpPr txBox="1">
          <a:spLocks noChangeArrowheads="1"/>
        </xdr:cNvSpPr>
      </xdr:nvSpPr>
      <xdr:spPr bwMode="auto">
        <a:xfrm>
          <a:off x="3667124" y="1905000"/>
          <a:ext cx="1476375" cy="180975"/>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PLANILHA</a:t>
          </a:r>
        </a:p>
      </xdr:txBody>
    </xdr:sp>
    <xdr:clientData fPrintsWithSheet="0"/>
  </xdr:twoCellAnchor>
  <xdr:twoCellAnchor>
    <xdr:from>
      <xdr:col>13</xdr:col>
      <xdr:colOff>3762375</xdr:colOff>
      <xdr:row>7</xdr:row>
      <xdr:rowOff>166687</xdr:rowOff>
    </xdr:from>
    <xdr:to>
      <xdr:col>13</xdr:col>
      <xdr:colOff>5076826</xdr:colOff>
      <xdr:row>9</xdr:row>
      <xdr:rowOff>154779</xdr:rowOff>
    </xdr:to>
    <xdr:sp macro="[0]!licitacaouserform" textlink="">
      <xdr:nvSpPr>
        <xdr:cNvPr id="6" name="LicitButton"/>
        <xdr:cNvSpPr txBox="1">
          <a:spLocks noChangeArrowheads="1"/>
        </xdr:cNvSpPr>
      </xdr:nvSpPr>
      <xdr:spPr bwMode="auto">
        <a:xfrm>
          <a:off x="7286625" y="1905000"/>
          <a:ext cx="1314451" cy="369092"/>
        </a:xfrm>
        <a:prstGeom prst="rect">
          <a:avLst/>
        </a:prstGeom>
        <a:solidFill>
          <a:srgbClr xmlns:mc="http://schemas.openxmlformats.org/markup-compatibility/2006" xmlns:a14="http://schemas.microsoft.com/office/drawing/2010/main" val="33CCCC" mc:Ignorable="a14" a14:legacySpreadsheetColorIndex="4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LICITAR / REPROGRAMAR</a:t>
          </a:r>
        </a:p>
      </xdr:txBody>
    </xdr:sp>
    <xdr:clientData fPrintsWithSheet="0"/>
  </xdr:twoCellAnchor>
  <mc:AlternateContent xmlns:mc="http://schemas.openxmlformats.org/markup-compatibility/2006">
    <mc:Choice xmlns:a14="http://schemas.microsoft.com/office/drawing/2010/main" Requires="a14">
      <xdr:twoCellAnchor>
        <xdr:from>
          <xdr:col>13</xdr:col>
          <xdr:colOff>3686175</xdr:colOff>
          <xdr:row>149</xdr:row>
          <xdr:rowOff>0</xdr:rowOff>
        </xdr:from>
        <xdr:to>
          <xdr:col>19</xdr:col>
          <xdr:colOff>90488</xdr:colOff>
          <xdr:row>154</xdr:row>
          <xdr:rowOff>0</xdr:rowOff>
        </xdr:to>
        <xdr:pic>
          <xdr:nvPicPr>
            <xdr:cNvPr id="198588" name="Picture 483"/>
            <xdr:cNvPicPr>
              <a:picLocks noChangeArrowheads="1"/>
              <a:extLst>
                <a:ext uri="{84589F7E-364E-4C9E-8A38-B11213B215E9}">
                  <a14:cameraTool cellRange="DADOS!$A$53:$K$57" spid="_x0000_s202501"/>
                </a:ext>
              </a:extLst>
            </xdr:cNvPicPr>
          </xdr:nvPicPr>
          <xdr:blipFill>
            <a:blip xmlns:r="http://schemas.openxmlformats.org/officeDocument/2006/relationships" r:embed="rId2"/>
            <a:srcRect/>
            <a:stretch>
              <a:fillRect/>
            </a:stretch>
          </xdr:blipFill>
          <xdr:spPr bwMode="auto">
            <a:xfrm>
              <a:off x="7210425" y="41793583"/>
              <a:ext cx="6373813" cy="7937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13</xdr:col>
      <xdr:colOff>1976437</xdr:colOff>
      <xdr:row>7</xdr:row>
      <xdr:rowOff>166686</xdr:rowOff>
    </xdr:from>
    <xdr:to>
      <xdr:col>13</xdr:col>
      <xdr:colOff>3452812</xdr:colOff>
      <xdr:row>7</xdr:row>
      <xdr:rowOff>346686</xdr:rowOff>
    </xdr:to>
    <xdr:sp macro="[0]!fixarReferencias" textlink="">
      <xdr:nvSpPr>
        <xdr:cNvPr id="7" name="FixarButton"/>
        <xdr:cNvSpPr txBox="1">
          <a:spLocks noChangeArrowheads="1"/>
        </xdr:cNvSpPr>
      </xdr:nvSpPr>
      <xdr:spPr bwMode="auto">
        <a:xfrm>
          <a:off x="5500687" y="1904999"/>
          <a:ext cx="1476375" cy="1800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FIXAR DESCRICOES</a:t>
          </a:r>
        </a:p>
      </xdr:txBody>
    </xdr:sp>
    <xdr:clientData fPrintsWithSheet="0"/>
  </xdr:twoCellAnchor>
  <xdr:twoCellAnchor>
    <xdr:from>
      <xdr:col>11</xdr:col>
      <xdr:colOff>378619</xdr:colOff>
      <xdr:row>7</xdr:row>
      <xdr:rowOff>164306</xdr:rowOff>
    </xdr:from>
    <xdr:to>
      <xdr:col>12</xdr:col>
      <xdr:colOff>807244</xdr:colOff>
      <xdr:row>7</xdr:row>
      <xdr:rowOff>345281</xdr:rowOff>
    </xdr:to>
    <xdr:sp macro="[0]!buscaCodigo" textlink="">
      <xdr:nvSpPr>
        <xdr:cNvPr id="8" name="BuscarButton"/>
        <xdr:cNvSpPr txBox="1">
          <a:spLocks noChangeArrowheads="1"/>
        </xdr:cNvSpPr>
      </xdr:nvSpPr>
      <xdr:spPr bwMode="auto">
        <a:xfrm>
          <a:off x="1807369" y="1902619"/>
          <a:ext cx="1476375" cy="180975"/>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BUSCAR CÓDIGO</a:t>
          </a:r>
        </a:p>
      </xdr:txBody>
    </xdr:sp>
    <xdr:clientData fPrintsWithSheet="0"/>
  </xdr:twoCellAnchor>
  <xdr:twoCellAnchor editAs="oneCell">
    <xdr:from>
      <xdr:col>14</xdr:col>
      <xdr:colOff>714374</xdr:colOff>
      <xdr:row>6</xdr:row>
      <xdr:rowOff>285748</xdr:rowOff>
    </xdr:from>
    <xdr:to>
      <xdr:col>19</xdr:col>
      <xdr:colOff>1047748</xdr:colOff>
      <xdr:row>7</xdr:row>
      <xdr:rowOff>330852</xdr:rowOff>
    </xdr:to>
    <xdr:sp macro="" textlink="">
      <xdr:nvSpPr>
        <xdr:cNvPr id="9" name="TextBoxArred"/>
        <xdr:cNvSpPr txBox="1">
          <a:spLocks noChangeArrowheads="1"/>
        </xdr:cNvSpPr>
      </xdr:nvSpPr>
      <xdr:spPr bwMode="auto">
        <a:xfrm flipH="1">
          <a:off x="9620249" y="1714498"/>
          <a:ext cx="4905374" cy="354667"/>
        </a:xfrm>
        <a:prstGeom prst="rect">
          <a:avLst/>
        </a:prstGeom>
        <a:noFill/>
        <a:ln w="6350">
          <a:solidFill>
            <a:srgbClr val="000000"/>
          </a:solidFill>
          <a:miter lim="800000"/>
          <a:headEnd/>
          <a:tailEnd/>
        </a:ln>
        <a:extLst>
          <a:ext uri="{909E8E84-426E-40DD-AFC4-6F175D3DCCD1}">
            <a14:hiddenFill xmlns:a14="http://schemas.microsoft.com/office/drawing/2010/main">
              <a:solidFill>
                <a:srgbClr val="FFFFFF"/>
              </a:solidFill>
            </a14:hiddenFill>
          </a:ext>
        </a:extLst>
      </xdr:spPr>
      <xdr:txBody>
        <a:bodyPr vertOverflow="clip" wrap="square" lIns="27432" tIns="22860" rIns="27432" bIns="0" anchor="t" upright="1"/>
        <a:lstStyle/>
        <a:p>
          <a:pPr algn="ctr" rtl="0">
            <a:defRPr sz="1000"/>
          </a:pPr>
          <a:r>
            <a:rPr lang="pt-BR" sz="1000" b="0" i="0" u="none" strike="noStrike" baseline="0">
              <a:solidFill>
                <a:srgbClr val="000000"/>
              </a:solidFill>
              <a:latin typeface="Arial"/>
              <a:cs typeface="Arial"/>
            </a:rPr>
            <a:t>Considerar valores arredondados com (0,00)</a:t>
          </a:r>
        </a:p>
      </xdr:txBody>
    </xdr:sp>
    <xdr:clientData fPrintsWithSheet="0"/>
  </xdr:twoCellAnchor>
  <mc:AlternateContent xmlns:mc="http://schemas.openxmlformats.org/markup-compatibility/2006">
    <mc:Choice xmlns:a14="http://schemas.microsoft.com/office/drawing/2010/main" Requires="a14">
      <xdr:twoCellAnchor editAs="oneCell">
        <xdr:from>
          <xdr:col>15</xdr:col>
          <xdr:colOff>428625</xdr:colOff>
          <xdr:row>7</xdr:row>
          <xdr:rowOff>114300</xdr:rowOff>
        </xdr:from>
        <xdr:to>
          <xdr:col>15</xdr:col>
          <xdr:colOff>847725</xdr:colOff>
          <xdr:row>7</xdr:row>
          <xdr:rowOff>342900</xdr:rowOff>
        </xdr:to>
        <xdr:sp macro="" textlink="">
          <xdr:nvSpPr>
            <xdr:cNvPr id="197642" name="CaixaArredQuant" hidden="1">
              <a:extLst>
                <a:ext uri="{63B3BB69-23CF-44E3-9099-C40C66FF867C}">
                  <a14:compatExt spid="_x0000_s197642"/>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16</xdr:col>
          <xdr:colOff>419100</xdr:colOff>
          <xdr:row>7</xdr:row>
          <xdr:rowOff>114300</xdr:rowOff>
        </xdr:from>
        <xdr:to>
          <xdr:col>16</xdr:col>
          <xdr:colOff>838200</xdr:colOff>
          <xdr:row>7</xdr:row>
          <xdr:rowOff>342900</xdr:rowOff>
        </xdr:to>
        <xdr:sp macro="" textlink="">
          <xdr:nvSpPr>
            <xdr:cNvPr id="197650" name="CaixaArredCustoUnit" hidden="1">
              <a:extLst>
                <a:ext uri="{63B3BB69-23CF-44E3-9099-C40C66FF867C}">
                  <a14:compatExt spid="_x0000_s19765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17</xdr:col>
          <xdr:colOff>257175</xdr:colOff>
          <xdr:row>7</xdr:row>
          <xdr:rowOff>114300</xdr:rowOff>
        </xdr:from>
        <xdr:to>
          <xdr:col>17</xdr:col>
          <xdr:colOff>676275</xdr:colOff>
          <xdr:row>7</xdr:row>
          <xdr:rowOff>342900</xdr:rowOff>
        </xdr:to>
        <xdr:sp macro="" textlink="">
          <xdr:nvSpPr>
            <xdr:cNvPr id="197651" name="CaixaArredBDI" hidden="1">
              <a:extLst>
                <a:ext uri="{63B3BB69-23CF-44E3-9099-C40C66FF867C}">
                  <a14:compatExt spid="_x0000_s197651"/>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333375</xdr:colOff>
          <xdr:row>7</xdr:row>
          <xdr:rowOff>114300</xdr:rowOff>
        </xdr:from>
        <xdr:to>
          <xdr:col>18</xdr:col>
          <xdr:colOff>752475</xdr:colOff>
          <xdr:row>7</xdr:row>
          <xdr:rowOff>342900</xdr:rowOff>
        </xdr:to>
        <xdr:sp macro="" textlink="">
          <xdr:nvSpPr>
            <xdr:cNvPr id="197652" name="CaixaArredPrecoUnit" hidden="1">
              <a:extLst>
                <a:ext uri="{63B3BB69-23CF-44E3-9099-C40C66FF867C}">
                  <a14:compatExt spid="_x0000_s197652"/>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19</xdr:col>
          <xdr:colOff>419100</xdr:colOff>
          <xdr:row>7</xdr:row>
          <xdr:rowOff>104775</xdr:rowOff>
        </xdr:from>
        <xdr:to>
          <xdr:col>19</xdr:col>
          <xdr:colOff>838200</xdr:colOff>
          <xdr:row>7</xdr:row>
          <xdr:rowOff>333375</xdr:rowOff>
        </xdr:to>
        <xdr:sp macro="" textlink="">
          <xdr:nvSpPr>
            <xdr:cNvPr id="197660" name="CaixaArredPrecoTotal" hidden="1">
              <a:extLst>
                <a:ext uri="{63B3BB69-23CF-44E3-9099-C40C66FF867C}">
                  <a14:compatExt spid="_x0000_s197660"/>
                </a:ext>
              </a:extLst>
            </xdr:cNvPr>
            <xdr:cNvSpPr/>
          </xdr:nvSpPr>
          <xdr:spPr bwMode="auto">
            <a:xfrm>
              <a:off x="0" y="0"/>
              <a:ext cx="0" cy="0"/>
            </a:xfrm>
            <a:prstGeom prst="rect">
              <a:avLst/>
            </a:prstGeom>
            <a:noFill/>
            <a:ln>
              <a:noFill/>
            </a:ln>
            <a:extLst>
              <a:ext uri="{909E8E84-426E-40DD-AFC4-6F175D3DCCD1}">
                <a14:hiddenFill>
                  <a:solidFill>
                    <a:srgbClr val="FFFF99" mc:Ignorable="a14" a14:legacySpreadsheetColorIndex="43">
                      <a:alpha val="50000"/>
                    </a:srgbClr>
                  </a:solidFill>
                </a14:hiddenFill>
              </a:ext>
              <a:ext uri="{91240B29-F687-4F45-9708-019B960494DF}">
                <a14:hiddenLine w="9525">
                  <a:solidFill>
                    <a:srgbClr val="A6CAF0"/>
                  </a:solidFill>
                  <a:miter lim="800000"/>
                  <a:headEnd/>
                  <a:tailEnd/>
                </a14:hiddenLine>
              </a:ext>
            </a:extLst>
          </xdr:spPr>
        </xdr:sp>
        <xdr:clientData fLocksWithSheet="0" fPrintsWithSheet="0"/>
      </xdr:twoCellAnchor>
    </mc:Choice>
    <mc:Fallback/>
  </mc:AlternateContent>
  <xdr:twoCellAnchor editAs="oneCell">
    <xdr:from>
      <xdr:col>10</xdr:col>
      <xdr:colOff>57150</xdr:colOff>
      <xdr:row>0</xdr:row>
      <xdr:rowOff>19050</xdr:rowOff>
    </xdr:from>
    <xdr:to>
      <xdr:col>11</xdr:col>
      <xdr:colOff>1009650</xdr:colOff>
      <xdr:row>2</xdr:row>
      <xdr:rowOff>76200</xdr:rowOff>
    </xdr:to>
    <xdr:pic>
      <xdr:nvPicPr>
        <xdr:cNvPr id="2" name="Picture 5675"/>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638175" y="19050"/>
          <a:ext cx="1800225"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28575</xdr:colOff>
      <xdr:row>0</xdr:row>
      <xdr:rowOff>28575</xdr:rowOff>
    </xdr:from>
    <xdr:to>
      <xdr:col>2</xdr:col>
      <xdr:colOff>1104900</xdr:colOff>
      <xdr:row>1</xdr:row>
      <xdr:rowOff>190500</xdr:rowOff>
    </xdr:to>
    <xdr:sp macro="" textlink="">
      <xdr:nvSpPr>
        <xdr:cNvPr id="193696" name="Object 13472" hidden="1">
          <a:extLst>
            <a:ext uri="{63B3BB69-23CF-44E3-9099-C40C66FF867C}">
              <a14:compatExt xmlns:a14="http://schemas.microsoft.com/office/drawing/2010/main" spid="_x0000_s193696"/>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mc:AlternateContent xmlns:mc="http://schemas.openxmlformats.org/markup-compatibility/2006">
    <mc:Choice xmlns:a14="http://schemas.microsoft.com/office/drawing/2010/main" Requires="a14">
      <xdr:twoCellAnchor editAs="absolute">
        <xdr:from>
          <xdr:col>1</xdr:col>
          <xdr:colOff>0</xdr:colOff>
          <xdr:row>3</xdr:row>
          <xdr:rowOff>0</xdr:rowOff>
        </xdr:from>
        <xdr:to>
          <xdr:col>4</xdr:col>
          <xdr:colOff>809625</xdr:colOff>
          <xdr:row>5</xdr:row>
          <xdr:rowOff>123825</xdr:rowOff>
        </xdr:to>
        <xdr:pic>
          <xdr:nvPicPr>
            <xdr:cNvPr id="199394" name="PIC1"/>
            <xdr:cNvPicPr>
              <a:picLocks noChangeArrowheads="1"/>
              <a:extLst>
                <a:ext uri="{84589F7E-364E-4C9E-8A38-B11213B215E9}">
                  <a14:cameraTool cellRange="DADOS!$A$220:$X$230" spid="_x0000_s214317"/>
                </a:ext>
              </a:extLst>
            </xdr:cNvPicPr>
          </xdr:nvPicPr>
          <xdr:blipFill>
            <a:blip xmlns:r="http://schemas.openxmlformats.org/officeDocument/2006/relationships" r:embed="rId1"/>
            <a:srcRect r="56371"/>
            <a:stretch>
              <a:fillRect/>
            </a:stretch>
          </xdr:blipFill>
          <xdr:spPr bwMode="auto">
            <a:xfrm>
              <a:off x="847725" y="581025"/>
              <a:ext cx="6076950"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0</xdr:colOff>
          <xdr:row>3</xdr:row>
          <xdr:rowOff>0</xdr:rowOff>
        </xdr:from>
        <xdr:to>
          <xdr:col>14</xdr:col>
          <xdr:colOff>771525</xdr:colOff>
          <xdr:row>5</xdr:row>
          <xdr:rowOff>123825</xdr:rowOff>
        </xdr:to>
        <xdr:pic>
          <xdr:nvPicPr>
            <xdr:cNvPr id="199395" name="PIC2"/>
            <xdr:cNvPicPr>
              <a:picLocks noChangeArrowheads="1"/>
              <a:extLst>
                <a:ext uri="{84589F7E-364E-4C9E-8A38-B11213B215E9}">
                  <a14:cameraTool cellRange="DADOS!$A$220:$X$230" spid="_x0000_s214318"/>
                </a:ext>
              </a:extLst>
            </xdr:cNvPicPr>
          </xdr:nvPicPr>
          <xdr:blipFill>
            <a:blip xmlns:r="http://schemas.openxmlformats.org/officeDocument/2006/relationships" r:embed="rId1"/>
            <a:srcRect l="44028"/>
            <a:stretch>
              <a:fillRect/>
            </a:stretch>
          </xdr:blipFill>
          <xdr:spPr bwMode="auto">
            <a:xfrm>
              <a:off x="6962775" y="581025"/>
              <a:ext cx="7800975" cy="11334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xdr:from>
      <xdr:col>3</xdr:col>
      <xdr:colOff>28575</xdr:colOff>
      <xdr:row>8</xdr:row>
      <xdr:rowOff>123825</xdr:rowOff>
    </xdr:from>
    <xdr:to>
      <xdr:col>4</xdr:col>
      <xdr:colOff>800100</xdr:colOff>
      <xdr:row>8</xdr:row>
      <xdr:rowOff>638175</xdr:rowOff>
    </xdr:to>
    <xdr:sp macro="" textlink="">
      <xdr:nvSpPr>
        <xdr:cNvPr id="5" name="AutoShape 68" descr="Frente de Obra:"/>
        <xdr:cNvSpPr>
          <a:spLocks noChangeArrowheads="1"/>
        </xdr:cNvSpPr>
      </xdr:nvSpPr>
      <xdr:spPr bwMode="auto">
        <a:xfrm>
          <a:off x="5629275" y="2095500"/>
          <a:ext cx="1285875" cy="514350"/>
        </a:xfrm>
        <a:prstGeom prst="rightArrow">
          <a:avLst>
            <a:gd name="adj1" fmla="val 50000"/>
            <a:gd name="adj2" fmla="val 57203"/>
          </a:avLst>
        </a:prstGeom>
        <a:solidFill>
          <a:srgbClr xmlns:mc="http://schemas.openxmlformats.org/markup-compatibility/2006" xmlns:a14="http://schemas.microsoft.com/office/drawing/2010/main" val="CCFFCC" mc:Ignorable="a14" a14:legacySpreadsheetColorIndex="42"/>
        </a:solidFill>
        <a:ln w="9525" algn="ctr">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t" upright="1"/>
        <a:lstStyle/>
        <a:p>
          <a:pPr algn="l" rtl="0">
            <a:defRPr sz="1000"/>
          </a:pPr>
          <a:r>
            <a:rPr lang="pt-BR" sz="1000" b="1" i="0" u="none" strike="noStrike" baseline="0">
              <a:solidFill>
                <a:srgbClr val="000000"/>
              </a:solidFill>
              <a:latin typeface="Arial"/>
              <a:cs typeface="Arial"/>
            </a:rPr>
            <a:t>Frente de Obra:</a:t>
          </a:r>
        </a:p>
      </xdr:txBody>
    </xdr:sp>
    <xdr:clientData/>
  </xdr:twoCellAnchor>
  <xdr:twoCellAnchor editAs="oneCell">
    <xdr:from>
      <xdr:col>2</xdr:col>
      <xdr:colOff>676275</xdr:colOff>
      <xdr:row>8</xdr:row>
      <xdr:rowOff>104775</xdr:rowOff>
    </xdr:from>
    <xdr:to>
      <xdr:col>2</xdr:col>
      <xdr:colOff>1704975</xdr:colOff>
      <xdr:row>8</xdr:row>
      <xdr:rowOff>485775</xdr:rowOff>
    </xdr:to>
    <xdr:sp macro="[0]!IncluirPLQ" textlink="">
      <xdr:nvSpPr>
        <xdr:cNvPr id="6" name="AddPLQ"/>
        <xdr:cNvSpPr txBox="1">
          <a:spLocks noChangeArrowheads="1"/>
        </xdr:cNvSpPr>
      </xdr:nvSpPr>
      <xdr:spPr bwMode="auto">
        <a:xfrm>
          <a:off x="2238375" y="2076450"/>
          <a:ext cx="1028700" cy="3810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ADICIONAR 10 FRENTES</a:t>
          </a:r>
        </a:p>
      </xdr:txBody>
    </xdr:sp>
    <xdr:clientData fPrintsWithSheet="0"/>
  </xdr:twoCellAnchor>
  <xdr:twoCellAnchor editAs="oneCell">
    <xdr:from>
      <xdr:col>2</xdr:col>
      <xdr:colOff>1971675</xdr:colOff>
      <xdr:row>8</xdr:row>
      <xdr:rowOff>104775</xdr:rowOff>
    </xdr:from>
    <xdr:to>
      <xdr:col>2</xdr:col>
      <xdr:colOff>3000375</xdr:colOff>
      <xdr:row>8</xdr:row>
      <xdr:rowOff>485775</xdr:rowOff>
    </xdr:to>
    <xdr:sp macro="[0]!ExcluirPLQ" textlink="">
      <xdr:nvSpPr>
        <xdr:cNvPr id="7" name="RemovePLQ"/>
        <xdr:cNvSpPr txBox="1">
          <a:spLocks noChangeArrowheads="1"/>
        </xdr:cNvSpPr>
      </xdr:nvSpPr>
      <xdr:spPr bwMode="auto">
        <a:xfrm>
          <a:off x="3533775" y="2076450"/>
          <a:ext cx="1028700" cy="381000"/>
        </a:xfrm>
        <a:prstGeom prst="rect">
          <a:avLst/>
        </a:prstGeom>
        <a:solidFill>
          <a:srgbClr xmlns:mc="http://schemas.openxmlformats.org/markup-compatibility/2006" xmlns:a14="http://schemas.microsoft.com/office/drawing/2010/main" val="993366" mc:Ignorable="a14" a14:legacySpreadsheetColorIndex="61"/>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FFFFFF"/>
              </a:solidFill>
              <a:latin typeface="Arial"/>
              <a:cs typeface="Arial"/>
            </a:rPr>
            <a:t>EXCLUIR 10 FRENTES</a:t>
          </a:r>
        </a:p>
      </xdr:txBody>
    </xdr:sp>
    <xdr:clientData fPrintsWithSheet="0"/>
  </xdr:twoCellAnchor>
  <mc:AlternateContent xmlns:mc="http://schemas.openxmlformats.org/markup-compatibility/2006">
    <mc:Choice xmlns:a14="http://schemas.microsoft.com/office/drawing/2010/main" Requires="a14">
      <xdr:twoCellAnchor>
        <xdr:from>
          <xdr:col>5</xdr:col>
          <xdr:colOff>704850</xdr:colOff>
          <xdr:row>140</xdr:row>
          <xdr:rowOff>9525</xdr:rowOff>
        </xdr:from>
        <xdr:to>
          <xdr:col>14</xdr:col>
          <xdr:colOff>28575</xdr:colOff>
          <xdr:row>144</xdr:row>
          <xdr:rowOff>152400</xdr:rowOff>
        </xdr:to>
        <xdr:pic>
          <xdr:nvPicPr>
            <xdr:cNvPr id="199399" name="Picture 483"/>
            <xdr:cNvPicPr>
              <a:picLocks noChangeArrowheads="1"/>
              <a:extLst>
                <a:ext uri="{84589F7E-364E-4C9E-8A38-B11213B215E9}">
                  <a14:cameraTool cellRange="DADOS!$A$53:$K$57" spid="_x0000_s214319"/>
                </a:ext>
              </a:extLst>
            </xdr:cNvPicPr>
          </xdr:nvPicPr>
          <xdr:blipFill>
            <a:blip xmlns:r="http://schemas.openxmlformats.org/officeDocument/2006/relationships" r:embed="rId2"/>
            <a:srcRect/>
            <a:stretch>
              <a:fillRect/>
            </a:stretch>
          </xdr:blipFill>
          <xdr:spPr bwMode="auto">
            <a:xfrm>
              <a:off x="7667625" y="6524625"/>
              <a:ext cx="63531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13</xdr:col>
          <xdr:colOff>352425</xdr:colOff>
          <xdr:row>0</xdr:row>
          <xdr:rowOff>57150</xdr:rowOff>
        </xdr:from>
        <xdr:to>
          <xdr:col>14</xdr:col>
          <xdr:colOff>704850</xdr:colOff>
          <xdr:row>2</xdr:row>
          <xdr:rowOff>19050</xdr:rowOff>
        </xdr:to>
        <xdr:pic>
          <xdr:nvPicPr>
            <xdr:cNvPr id="199400" name="SigiloPic"/>
            <xdr:cNvPicPr>
              <a:picLocks noChangeArrowheads="1"/>
              <a:extLst>
                <a:ext uri="{84589F7E-364E-4C9E-8A38-B11213B215E9}">
                  <a14:cameraTool cellRange="PO!$T$1:$T$2" spid="_x0000_s214320"/>
                </a:ext>
              </a:extLst>
            </xdr:cNvPicPr>
          </xdr:nvPicPr>
          <xdr:blipFill>
            <a:blip xmlns:r="http://schemas.openxmlformats.org/officeDocument/2006/relationships" r:embed="rId3"/>
            <a:srcRect/>
            <a:stretch>
              <a:fillRect/>
            </a:stretch>
          </xdr:blipFill>
          <xdr:spPr bwMode="auto">
            <a:xfrm>
              <a:off x="13563600" y="57150"/>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xdr:col>
      <xdr:colOff>28575</xdr:colOff>
      <xdr:row>0</xdr:row>
      <xdr:rowOff>28575</xdr:rowOff>
    </xdr:from>
    <xdr:to>
      <xdr:col>2</xdr:col>
      <xdr:colOff>1104900</xdr:colOff>
      <xdr:row>1</xdr:row>
      <xdr:rowOff>190500</xdr:rowOff>
    </xdr:to>
    <xdr:pic>
      <xdr:nvPicPr>
        <xdr:cNvPr id="2" name="Picture 13472"/>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876300" y="28575"/>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11</xdr:col>
      <xdr:colOff>57150</xdr:colOff>
      <xdr:row>0</xdr:row>
      <xdr:rowOff>38100</xdr:rowOff>
    </xdr:from>
    <xdr:to>
      <xdr:col>12</xdr:col>
      <xdr:colOff>1133475</xdr:colOff>
      <xdr:row>2</xdr:row>
      <xdr:rowOff>95250</xdr:rowOff>
    </xdr:to>
    <xdr:sp macro="" textlink="">
      <xdr:nvSpPr>
        <xdr:cNvPr id="193474" name="Object 125890" hidden="1">
          <a:extLst>
            <a:ext uri="{63B3BB69-23CF-44E3-9099-C40C66FF867C}">
              <a14:compatExt xmlns:a14="http://schemas.microsoft.com/office/drawing/2010/main" spid="_x0000_s193474"/>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11</xdr:col>
      <xdr:colOff>628650</xdr:colOff>
      <xdr:row>7</xdr:row>
      <xdr:rowOff>209550</xdr:rowOff>
    </xdr:from>
    <xdr:to>
      <xdr:col>12</xdr:col>
      <xdr:colOff>1695450</xdr:colOff>
      <xdr:row>9</xdr:row>
      <xdr:rowOff>0</xdr:rowOff>
    </xdr:to>
    <xdr:sp macro="[0]!EditarCRONO" textlink="">
      <xdr:nvSpPr>
        <xdr:cNvPr id="7" name="AddCFF"/>
        <xdr:cNvSpPr txBox="1">
          <a:spLocks noChangeArrowheads="1"/>
        </xdr:cNvSpPr>
      </xdr:nvSpPr>
      <xdr:spPr bwMode="auto">
        <a:xfrm>
          <a:off x="628650" y="1914525"/>
          <a:ext cx="1781175" cy="342900"/>
        </a:xfrm>
        <a:prstGeom prst="rect">
          <a:avLst/>
        </a:prstGeom>
        <a:solidFill>
          <a:srgbClr val="99FF99"/>
        </a:solidFill>
        <a:ln w="9525">
          <a:solidFill>
            <a:srgbClr xmlns:mc="http://schemas.openxmlformats.org/markup-compatibility/2006" xmlns:a14="http://schemas.microsoft.com/office/drawing/2010/main" val="000000" mc:Ignorable="a14" a14:legacySpreadsheetColorIndex="64"/>
          </a:solidFill>
          <a:miter lim="800000"/>
          <a:headEnd/>
          <a:tailEnd/>
        </a:ln>
        <a:effectLst>
          <a:outerShdw dist="53882" dir="2700000" algn="ctr" rotWithShape="0">
            <a:srgbClr xmlns:mc="http://schemas.openxmlformats.org/markup-compatibility/2006" xmlns:a14="http://schemas.microsoft.com/office/drawing/2010/main" val="000080" mc:Ignorable="a14" a14:legacySpreadsheetColorIndex="18"/>
          </a:outerShdw>
        </a:effectLst>
      </xdr:spPr>
      <xdr:txBody>
        <a:bodyPr vertOverflow="clip" wrap="square" lIns="27432" tIns="22860" rIns="27432" bIns="22860" anchor="ctr" upright="1"/>
        <a:lstStyle/>
        <a:p>
          <a:pPr algn="ctr" rtl="0">
            <a:defRPr sz="1000"/>
          </a:pPr>
          <a:r>
            <a:rPr lang="pt-BR" sz="900" b="1" i="0" u="none" strike="noStrike" baseline="0">
              <a:solidFill>
                <a:srgbClr val="000000"/>
              </a:solidFill>
              <a:latin typeface="Arial"/>
              <a:cs typeface="Arial"/>
            </a:rPr>
            <a:t>EDITAR / ATUALIZAR CRONOGRAMA</a:t>
          </a:r>
        </a:p>
      </xdr:txBody>
    </xdr:sp>
    <xdr:clientData fPrintsWithSheet="0"/>
  </xdr:twoCellAnchor>
  <mc:AlternateContent xmlns:mc="http://schemas.openxmlformats.org/markup-compatibility/2006">
    <mc:Choice xmlns:a14="http://schemas.microsoft.com/office/drawing/2010/main" Requires="a14">
      <xdr:twoCellAnchor editAs="absolute">
        <xdr:from>
          <xdr:col>15</xdr:col>
          <xdr:colOff>0</xdr:colOff>
          <xdr:row>3</xdr:row>
          <xdr:rowOff>0</xdr:rowOff>
        </xdr:from>
        <xdr:to>
          <xdr:col>23</xdr:col>
          <xdr:colOff>0</xdr:colOff>
          <xdr:row>6</xdr:row>
          <xdr:rowOff>219075</xdr:rowOff>
        </xdr:to>
        <xdr:pic>
          <xdr:nvPicPr>
            <xdr:cNvPr id="200672" name="PIC2"/>
            <xdr:cNvPicPr>
              <a:picLocks noChangeArrowheads="1"/>
              <a:extLst>
                <a:ext uri="{84589F7E-364E-4C9E-8A38-B11213B215E9}">
                  <a14:cameraTool cellRange="DADOS!$A$220:$X$230" spid="_x0000_s216540"/>
                </a:ext>
              </a:extLst>
            </xdr:cNvPicPr>
          </xdr:nvPicPr>
          <xdr:blipFill>
            <a:blip xmlns:r="http://schemas.openxmlformats.org/officeDocument/2006/relationships" r:embed="rId1"/>
            <a:srcRect l="39473"/>
            <a:stretch>
              <a:fillRect/>
            </a:stretch>
          </xdr:blipFill>
          <xdr:spPr bwMode="auto">
            <a:xfrm>
              <a:off x="5619750" y="485775"/>
              <a:ext cx="8382000"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editAs="absolute">
        <xdr:from>
          <xdr:col>11</xdr:col>
          <xdr:colOff>152400</xdr:colOff>
          <xdr:row>3</xdr:row>
          <xdr:rowOff>0</xdr:rowOff>
        </xdr:from>
        <xdr:to>
          <xdr:col>14</xdr:col>
          <xdr:colOff>1076325</xdr:colOff>
          <xdr:row>6</xdr:row>
          <xdr:rowOff>219075</xdr:rowOff>
        </xdr:to>
        <xdr:pic>
          <xdr:nvPicPr>
            <xdr:cNvPr id="200673" name="PIC1"/>
            <xdr:cNvPicPr>
              <a:picLocks noChangeArrowheads="1"/>
              <a:extLst>
                <a:ext uri="{84589F7E-364E-4C9E-8A38-B11213B215E9}">
                  <a14:cameraTool cellRange="DADOS!$A$220:$X$230" spid="_x0000_s216541"/>
                </a:ext>
              </a:extLst>
            </xdr:cNvPicPr>
          </xdr:nvPicPr>
          <xdr:blipFill>
            <a:blip xmlns:r="http://schemas.openxmlformats.org/officeDocument/2006/relationships" r:embed="rId1"/>
            <a:srcRect r="60628"/>
            <a:stretch>
              <a:fillRect/>
            </a:stretch>
          </xdr:blipFill>
          <xdr:spPr bwMode="auto">
            <a:xfrm>
              <a:off x="152400" y="485775"/>
              <a:ext cx="5438775" cy="116205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15</xdr:col>
          <xdr:colOff>971550</xdr:colOff>
          <xdr:row>67</xdr:row>
          <xdr:rowOff>0</xdr:rowOff>
        </xdr:from>
        <xdr:to>
          <xdr:col>22</xdr:col>
          <xdr:colOff>28575</xdr:colOff>
          <xdr:row>71</xdr:row>
          <xdr:rowOff>142875</xdr:rowOff>
        </xdr:to>
        <xdr:pic>
          <xdr:nvPicPr>
            <xdr:cNvPr id="200674" name="Picture 483"/>
            <xdr:cNvPicPr>
              <a:picLocks noChangeArrowheads="1"/>
              <a:extLst>
                <a:ext uri="{84589F7E-364E-4C9E-8A38-B11213B215E9}">
                  <a14:cameraTool cellRange="DADOS!$A$53:$K$57" spid="_x0000_s216542"/>
                </a:ext>
              </a:extLst>
            </xdr:cNvPicPr>
          </xdr:nvPicPr>
          <xdr:blipFill>
            <a:blip xmlns:r="http://schemas.openxmlformats.org/officeDocument/2006/relationships" r:embed="rId2"/>
            <a:srcRect/>
            <a:stretch>
              <a:fillRect/>
            </a:stretch>
          </xdr:blipFill>
          <xdr:spPr bwMode="auto">
            <a:xfrm>
              <a:off x="6591300" y="4143375"/>
              <a:ext cx="6391275"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21</xdr:col>
          <xdr:colOff>914400</xdr:colOff>
          <xdr:row>0</xdr:row>
          <xdr:rowOff>66675</xdr:rowOff>
        </xdr:from>
        <xdr:to>
          <xdr:col>22</xdr:col>
          <xdr:colOff>1000125</xdr:colOff>
          <xdr:row>2</xdr:row>
          <xdr:rowOff>123825</xdr:rowOff>
        </xdr:to>
        <xdr:pic>
          <xdr:nvPicPr>
            <xdr:cNvPr id="200675" name="SigiloPic"/>
            <xdr:cNvPicPr>
              <a:picLocks noChangeArrowheads="1"/>
              <a:extLst>
                <a:ext uri="{84589F7E-364E-4C9E-8A38-B11213B215E9}">
                  <a14:cameraTool cellRange="PO!$T$1:$T$2" spid="_x0000_s216543"/>
                </a:ext>
              </a:extLst>
            </xdr:cNvPicPr>
          </xdr:nvPicPr>
          <xdr:blipFill>
            <a:blip xmlns:r="http://schemas.openxmlformats.org/officeDocument/2006/relationships" r:embed="rId3"/>
            <a:srcRect/>
            <a:stretch>
              <a:fillRect/>
            </a:stretch>
          </xdr:blipFill>
          <xdr:spPr bwMode="auto">
            <a:xfrm>
              <a:off x="12820650" y="66675"/>
              <a:ext cx="1133475"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67</xdr:row>
          <xdr:rowOff>0</xdr:rowOff>
        </xdr:from>
        <xdr:to>
          <xdr:col>23</xdr:col>
          <xdr:colOff>0</xdr:colOff>
          <xdr:row>71</xdr:row>
          <xdr:rowOff>142875</xdr:rowOff>
        </xdr:to>
        <xdr:pic>
          <xdr:nvPicPr>
            <xdr:cNvPr id="200676" name="Picture 483"/>
            <xdr:cNvPicPr>
              <a:picLocks noChangeArrowheads="1"/>
              <a:extLst>
                <a:ext uri="{84589F7E-364E-4C9E-8A38-B11213B215E9}">
                  <a14:cameraTool cellRange="DADOS!$A$53:$K$57" spid="_x0000_s216544"/>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7" name="SigiloPic"/>
            <xdr:cNvPicPr>
              <a:picLocks noChangeArrowheads="1"/>
              <a:extLst>
                <a:ext uri="{84589F7E-364E-4C9E-8A38-B11213B215E9}">
                  <a14:cameraTool cellRange="PO!$T$1:$T$2" spid="_x0000_s216545"/>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67</xdr:row>
          <xdr:rowOff>0</xdr:rowOff>
        </xdr:from>
        <xdr:to>
          <xdr:col>23</xdr:col>
          <xdr:colOff>0</xdr:colOff>
          <xdr:row>71</xdr:row>
          <xdr:rowOff>142875</xdr:rowOff>
        </xdr:to>
        <xdr:pic>
          <xdr:nvPicPr>
            <xdr:cNvPr id="200678" name="Picture 483"/>
            <xdr:cNvPicPr>
              <a:picLocks noChangeArrowheads="1"/>
              <a:extLst>
                <a:ext uri="{84589F7E-364E-4C9E-8A38-B11213B215E9}">
                  <a14:cameraTool cellRange="DADOS!$A$53:$K$57" spid="_x0000_s216546"/>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79" name="SigiloPic"/>
            <xdr:cNvPicPr>
              <a:picLocks noChangeArrowheads="1"/>
              <a:extLst>
                <a:ext uri="{84589F7E-364E-4C9E-8A38-B11213B215E9}">
                  <a14:cameraTool cellRange="PO!$T$1:$T$2" spid="_x0000_s216547"/>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67</xdr:row>
          <xdr:rowOff>0</xdr:rowOff>
        </xdr:from>
        <xdr:to>
          <xdr:col>23</xdr:col>
          <xdr:colOff>0</xdr:colOff>
          <xdr:row>71</xdr:row>
          <xdr:rowOff>142875</xdr:rowOff>
        </xdr:to>
        <xdr:pic>
          <xdr:nvPicPr>
            <xdr:cNvPr id="200680" name="Picture 483"/>
            <xdr:cNvPicPr>
              <a:picLocks noChangeArrowheads="1"/>
              <a:extLst>
                <a:ext uri="{84589F7E-364E-4C9E-8A38-B11213B215E9}">
                  <a14:cameraTool cellRange="DADOS!$A$53:$K$57" spid="_x0000_s216548"/>
                </a:ext>
              </a:extLst>
            </xdr:cNvPicPr>
          </xdr:nvPicPr>
          <xdr:blipFill>
            <a:blip xmlns:r="http://schemas.openxmlformats.org/officeDocument/2006/relationships" r:embed="rId2"/>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1" name="SigiloPic"/>
            <xdr:cNvPicPr>
              <a:picLocks noChangeArrowheads="1"/>
              <a:extLst>
                <a:ext uri="{84589F7E-364E-4C9E-8A38-B11213B215E9}">
                  <a14:cameraTool cellRange="PO!$T$1:$T$2" spid="_x0000_s216549"/>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67</xdr:row>
          <xdr:rowOff>0</xdr:rowOff>
        </xdr:from>
        <xdr:to>
          <xdr:col>23</xdr:col>
          <xdr:colOff>0</xdr:colOff>
          <xdr:row>71</xdr:row>
          <xdr:rowOff>142875</xdr:rowOff>
        </xdr:to>
        <xdr:pic>
          <xdr:nvPicPr>
            <xdr:cNvPr id="200682" name="Picture 483"/>
            <xdr:cNvPicPr>
              <a:picLocks noChangeArrowheads="1"/>
              <a:extLst>
                <a:ext uri="{84589F7E-364E-4C9E-8A38-B11213B215E9}">
                  <a14:cameraTool cellRange="DADOS!$A$53:$K$57" spid="_x0000_s216550"/>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3" name="SigiloPic"/>
            <xdr:cNvPicPr>
              <a:picLocks noChangeArrowheads="1"/>
              <a:extLst>
                <a:ext uri="{84589F7E-364E-4C9E-8A38-B11213B215E9}">
                  <a14:cameraTool cellRange="PO!$T$1:$T$2" spid="_x0000_s216551"/>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67</xdr:row>
          <xdr:rowOff>0</xdr:rowOff>
        </xdr:from>
        <xdr:to>
          <xdr:col>23</xdr:col>
          <xdr:colOff>0</xdr:colOff>
          <xdr:row>71</xdr:row>
          <xdr:rowOff>142875</xdr:rowOff>
        </xdr:to>
        <xdr:pic>
          <xdr:nvPicPr>
            <xdr:cNvPr id="200684" name="Picture 483"/>
            <xdr:cNvPicPr>
              <a:picLocks noChangeArrowheads="1"/>
              <a:extLst>
                <a:ext uri="{84589F7E-364E-4C9E-8A38-B11213B215E9}">
                  <a14:cameraTool cellRange="DADOS!$A$53:$K$57" spid="_x0000_s216552"/>
                </a:ext>
              </a:extLst>
            </xdr:cNvPicPr>
          </xdr:nvPicPr>
          <xdr:blipFill>
            <a:blip xmlns:r="http://schemas.openxmlformats.org/officeDocument/2006/relationships" r:embed="rId4"/>
            <a:srcRect/>
            <a:stretch>
              <a:fillRect/>
            </a:stretch>
          </xdr:blipFill>
          <xdr:spPr bwMode="auto">
            <a:xfrm>
              <a:off x="14001750" y="4143375"/>
              <a:ext cx="0" cy="790575"/>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mc:AlternateContent xmlns:mc="http://schemas.openxmlformats.org/markup-compatibility/2006">
    <mc:Choice xmlns:a14="http://schemas.microsoft.com/office/drawing/2010/main" Requires="a14">
      <xdr:twoCellAnchor>
        <xdr:from>
          <xdr:col>23</xdr:col>
          <xdr:colOff>0</xdr:colOff>
          <xdr:row>0</xdr:row>
          <xdr:rowOff>66675</xdr:rowOff>
        </xdr:from>
        <xdr:to>
          <xdr:col>23</xdr:col>
          <xdr:colOff>0</xdr:colOff>
          <xdr:row>2</xdr:row>
          <xdr:rowOff>123825</xdr:rowOff>
        </xdr:to>
        <xdr:pic>
          <xdr:nvPicPr>
            <xdr:cNvPr id="200685" name="SigiloPic"/>
            <xdr:cNvPicPr>
              <a:picLocks noChangeArrowheads="1"/>
              <a:extLst>
                <a:ext uri="{84589F7E-364E-4C9E-8A38-B11213B215E9}">
                  <a14:cameraTool cellRange="PO!$T$1:$T$2" spid="_x0000_s216553"/>
                </a:ext>
              </a:extLst>
            </xdr:cNvPicPr>
          </xdr:nvPicPr>
          <xdr:blipFill>
            <a:blip xmlns:r="http://schemas.openxmlformats.org/officeDocument/2006/relationships" r:embed="rId3"/>
            <a:srcRect/>
            <a:stretch>
              <a:fillRect/>
            </a:stretch>
          </xdr:blipFill>
          <xdr:spPr bwMode="auto">
            <a:xfrm>
              <a:off x="14001750" y="66675"/>
              <a:ext cx="0" cy="38100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pic>
        <xdr:clientData/>
      </xdr:twoCellAnchor>
    </mc:Choice>
    <mc:Fallback/>
  </mc:AlternateContent>
  <xdr:twoCellAnchor editAs="oneCell">
    <xdr:from>
      <xdr:col>11</xdr:col>
      <xdr:colOff>57150</xdr:colOff>
      <xdr:row>0</xdr:row>
      <xdr:rowOff>38100</xdr:rowOff>
    </xdr:from>
    <xdr:to>
      <xdr:col>12</xdr:col>
      <xdr:colOff>1133475</xdr:colOff>
      <xdr:row>2</xdr:row>
      <xdr:rowOff>95250</xdr:rowOff>
    </xdr:to>
    <xdr:pic>
      <xdr:nvPicPr>
        <xdr:cNvPr id="2" name="Picture 125890"/>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57150" y="38100"/>
          <a:ext cx="1790700" cy="381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7.xml"/><Relationship Id="rId3" Type="http://schemas.openxmlformats.org/officeDocument/2006/relationships/vmlDrawing" Target="../drawings/vmlDrawing4.vml"/><Relationship Id="rId7" Type="http://schemas.openxmlformats.org/officeDocument/2006/relationships/ctrlProp" Target="../ctrlProps/ctrlProp6.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5.xml"/><Relationship Id="rId5" Type="http://schemas.openxmlformats.org/officeDocument/2006/relationships/ctrlProp" Target="../ctrlProps/ctrlProp4.xml"/><Relationship Id="rId4" Type="http://schemas.openxmlformats.org/officeDocument/2006/relationships/ctrlProp" Target="../ctrlProps/ctrlProp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3">
    <tabColor rgb="FFFFC000"/>
    <pageSetUpPr fitToPage="1"/>
  </sheetPr>
  <dimension ref="A1:Y257"/>
  <sheetViews>
    <sheetView showGridLines="0" zoomScale="120" zoomScaleNormal="120" zoomScaleSheetLayoutView="100" workbookViewId="0">
      <selection activeCell="A48" sqref="A48:C48"/>
    </sheetView>
  </sheetViews>
  <sheetFormatPr defaultRowHeight="12.75" x14ac:dyDescent="0.2"/>
  <cols>
    <col min="1" max="2" width="8.7109375" style="8" customWidth="1"/>
    <col min="3" max="5" width="8.7109375" style="1" customWidth="1"/>
    <col min="6" max="8" width="8.7109375" style="7" customWidth="1"/>
    <col min="9" max="24" width="8.7109375" style="1" customWidth="1"/>
    <col min="25" max="16384" width="9.140625" style="1"/>
  </cols>
  <sheetData>
    <row r="1" spans="1:25" ht="12.75" customHeight="1" x14ac:dyDescent="0.2">
      <c r="A1" s="103">
        <v>27476</v>
      </c>
      <c r="B1" s="261" t="s">
        <v>2</v>
      </c>
      <c r="C1" s="261"/>
      <c r="D1" s="261"/>
      <c r="E1" s="261"/>
      <c r="F1" s="261"/>
      <c r="G1" s="261"/>
      <c r="H1" s="261"/>
      <c r="I1" s="261"/>
      <c r="J1" s="261"/>
      <c r="K1" s="261"/>
      <c r="L1" s="261"/>
      <c r="M1" s="261"/>
      <c r="N1" s="261"/>
      <c r="O1" s="261"/>
      <c r="P1" s="261"/>
      <c r="Q1" s="261"/>
      <c r="R1" s="261"/>
      <c r="S1" s="261"/>
      <c r="T1" s="261"/>
      <c r="U1" s="261"/>
      <c r="V1" s="261"/>
      <c r="W1" s="261"/>
      <c r="X1" s="262"/>
    </row>
    <row r="2" spans="1:25" ht="13.5" customHeight="1" x14ac:dyDescent="0.2">
      <c r="A2" s="105" t="s">
        <v>229</v>
      </c>
      <c r="B2" s="263"/>
      <c r="C2" s="263"/>
      <c r="D2" s="263"/>
      <c r="E2" s="263"/>
      <c r="F2" s="263"/>
      <c r="G2" s="263"/>
      <c r="H2" s="263"/>
      <c r="I2" s="263"/>
      <c r="J2" s="263"/>
      <c r="K2" s="263"/>
      <c r="L2" s="263"/>
      <c r="M2" s="263"/>
      <c r="N2" s="263"/>
      <c r="O2" s="263"/>
      <c r="P2" s="263"/>
      <c r="Q2" s="263"/>
      <c r="R2" s="263"/>
      <c r="S2" s="263"/>
      <c r="T2" s="263"/>
      <c r="U2" s="263"/>
      <c r="V2" s="263"/>
      <c r="W2" s="263"/>
      <c r="X2" s="264"/>
    </row>
    <row r="3" spans="1:25" ht="13.5" customHeight="1" x14ac:dyDescent="0.2">
      <c r="A3" s="1"/>
      <c r="B3" s="1"/>
      <c r="F3" s="1"/>
      <c r="G3" s="1"/>
      <c r="H3" s="1"/>
    </row>
    <row r="4" spans="1:25" s="21" customFormat="1" ht="12.75" customHeight="1" x14ac:dyDescent="0.2">
      <c r="A4" s="273" t="s">
        <v>169</v>
      </c>
      <c r="B4" s="273"/>
      <c r="C4" s="273"/>
      <c r="D4" s="273"/>
      <c r="E4" s="273"/>
      <c r="F4" s="273"/>
      <c r="G4" s="273"/>
      <c r="H4" s="273"/>
      <c r="I4" s="273"/>
      <c r="J4" s="273"/>
      <c r="K4" s="273"/>
      <c r="L4" s="273"/>
      <c r="M4" s="273"/>
      <c r="N4" s="273"/>
      <c r="O4" s="273"/>
      <c r="P4" s="273"/>
      <c r="Q4" s="273"/>
      <c r="R4" s="273"/>
      <c r="S4" s="273"/>
      <c r="T4" s="273"/>
      <c r="U4" s="273"/>
      <c r="V4" s="273"/>
      <c r="W4" s="273"/>
      <c r="X4" s="273"/>
    </row>
    <row r="5" spans="1:25" s="21" customFormat="1" x14ac:dyDescent="0.2">
      <c r="A5" s="22"/>
      <c r="B5" s="22"/>
      <c r="F5" s="23"/>
      <c r="G5" s="23"/>
      <c r="H5" s="23"/>
    </row>
    <row r="6" spans="1:25" s="22" customFormat="1" ht="24.95" customHeight="1" x14ac:dyDescent="0.2">
      <c r="A6" s="274" t="s">
        <v>180</v>
      </c>
      <c r="B6" s="275"/>
      <c r="C6" s="275"/>
      <c r="D6" s="275"/>
      <c r="E6" s="275"/>
      <c r="F6" s="275"/>
      <c r="G6" s="275"/>
      <c r="H6" s="275"/>
      <c r="I6" s="275"/>
      <c r="J6" s="275"/>
      <c r="K6" s="275"/>
      <c r="L6" s="275"/>
      <c r="M6" s="275"/>
      <c r="N6" s="275"/>
      <c r="O6" s="275"/>
      <c r="P6" s="275"/>
      <c r="Q6" s="275"/>
      <c r="R6" s="275"/>
      <c r="S6" s="275"/>
      <c r="T6" s="275"/>
      <c r="U6" s="275"/>
      <c r="V6" s="275"/>
      <c r="W6" s="275"/>
      <c r="X6" s="275"/>
    </row>
    <row r="7" spans="1:25" s="21" customFormat="1" ht="12.75" customHeight="1" x14ac:dyDescent="0.2">
      <c r="A7" s="22"/>
      <c r="B7" s="22"/>
      <c r="F7" s="23"/>
      <c r="G7" s="23"/>
      <c r="H7" s="23"/>
    </row>
    <row r="8" spans="1:25" s="21" customFormat="1" ht="12.75" customHeight="1" x14ac:dyDescent="0.2">
      <c r="A8" s="276" t="s">
        <v>23</v>
      </c>
      <c r="B8" s="276"/>
      <c r="C8" s="276"/>
      <c r="D8" s="276"/>
      <c r="E8" s="276"/>
      <c r="F8" s="276"/>
      <c r="G8" s="276"/>
      <c r="H8" s="276"/>
      <c r="I8" s="276"/>
      <c r="J8" s="276"/>
      <c r="K8" s="276"/>
      <c r="L8" s="276"/>
      <c r="M8" s="276"/>
      <c r="N8" s="276"/>
      <c r="O8" s="276"/>
      <c r="P8" s="276"/>
      <c r="Q8" s="276"/>
      <c r="R8" s="276"/>
      <c r="S8" s="276"/>
      <c r="T8" s="276"/>
      <c r="U8" s="276"/>
      <c r="V8" s="276"/>
      <c r="W8" s="276"/>
      <c r="X8" s="276"/>
      <c r="Y8" s="24"/>
    </row>
    <row r="9" spans="1:25" s="21" customFormat="1" ht="6" customHeight="1" x14ac:dyDescent="0.2">
      <c r="A9" s="48"/>
      <c r="B9" s="48"/>
      <c r="C9" s="48"/>
      <c r="D9" s="48"/>
      <c r="E9" s="48"/>
      <c r="F9" s="48"/>
      <c r="G9" s="48"/>
      <c r="H9" s="48"/>
      <c r="I9" s="48"/>
      <c r="J9" s="48"/>
      <c r="K9" s="48"/>
      <c r="L9" s="48"/>
      <c r="M9" s="48"/>
      <c r="N9" s="48"/>
      <c r="O9" s="48"/>
      <c r="P9" s="48"/>
      <c r="Q9" s="48"/>
      <c r="R9" s="48"/>
      <c r="S9" s="48"/>
      <c r="T9" s="48"/>
      <c r="U9" s="48"/>
      <c r="V9" s="48"/>
      <c r="W9" s="48"/>
      <c r="X9" s="48"/>
      <c r="Y9" s="24"/>
    </row>
    <row r="10" spans="1:25" s="21" customFormat="1" ht="12.75" customHeight="1" x14ac:dyDescent="0.2">
      <c r="A10" s="278" t="s">
        <v>170</v>
      </c>
      <c r="B10" s="278"/>
      <c r="C10" s="278"/>
      <c r="D10" s="278"/>
      <c r="E10" s="278"/>
      <c r="F10" s="278"/>
      <c r="G10" s="278"/>
      <c r="H10" s="278"/>
      <c r="I10" s="278"/>
      <c r="J10" s="278"/>
      <c r="K10" s="278"/>
      <c r="L10" s="278"/>
      <c r="M10" s="278"/>
      <c r="N10" s="278"/>
      <c r="O10" s="278"/>
      <c r="P10" s="278"/>
      <c r="Q10" s="278"/>
      <c r="R10" s="278"/>
      <c r="S10" s="278"/>
      <c r="T10" s="278"/>
      <c r="U10" s="278"/>
      <c r="V10" s="278"/>
      <c r="W10" s="278"/>
      <c r="X10" s="278"/>
    </row>
    <row r="11" spans="1:25" s="21" customFormat="1" ht="6" customHeight="1" x14ac:dyDescent="0.2">
      <c r="A11" s="49"/>
      <c r="B11" s="49"/>
      <c r="C11" s="49"/>
      <c r="D11" s="49"/>
      <c r="E11" s="49"/>
      <c r="F11" s="49"/>
      <c r="G11" s="49"/>
      <c r="H11" s="49"/>
      <c r="I11" s="49"/>
      <c r="J11" s="49"/>
      <c r="K11" s="49"/>
      <c r="L11" s="49"/>
      <c r="M11" s="49"/>
      <c r="N11" s="49"/>
      <c r="O11" s="49"/>
      <c r="P11" s="49"/>
      <c r="Q11" s="49"/>
      <c r="R11" s="49"/>
      <c r="S11" s="49"/>
      <c r="T11" s="49"/>
      <c r="U11" s="49"/>
      <c r="V11" s="49"/>
      <c r="W11" s="49"/>
      <c r="X11" s="49"/>
    </row>
    <row r="12" spans="1:25" s="21" customFormat="1" ht="24.95" customHeight="1" x14ac:dyDescent="0.2">
      <c r="A12" s="278" t="s">
        <v>1</v>
      </c>
      <c r="B12" s="278"/>
      <c r="C12" s="278"/>
      <c r="D12" s="278"/>
      <c r="E12" s="278"/>
      <c r="F12" s="278"/>
      <c r="G12" s="278"/>
      <c r="H12" s="278"/>
      <c r="I12" s="278"/>
      <c r="J12" s="278"/>
      <c r="K12" s="278"/>
      <c r="L12" s="278"/>
      <c r="M12" s="278"/>
      <c r="N12" s="278"/>
      <c r="O12" s="278"/>
      <c r="P12" s="278"/>
      <c r="Q12" s="278"/>
      <c r="R12" s="278"/>
      <c r="S12" s="278"/>
      <c r="T12" s="278"/>
      <c r="U12" s="278"/>
      <c r="V12" s="278"/>
      <c r="W12" s="278"/>
      <c r="X12" s="278"/>
    </row>
    <row r="13" spans="1:25" s="21" customFormat="1" x14ac:dyDescent="0.2">
      <c r="A13" s="22"/>
      <c r="B13" s="22"/>
      <c r="F13" s="23"/>
      <c r="G13" s="23"/>
      <c r="H13" s="23"/>
    </row>
    <row r="14" spans="1:25" s="21" customFormat="1" x14ac:dyDescent="0.2">
      <c r="A14" s="277" t="s">
        <v>24</v>
      </c>
      <c r="B14" s="276"/>
      <c r="C14" s="276"/>
      <c r="D14" s="276"/>
      <c r="E14" s="276"/>
      <c r="F14" s="276"/>
      <c r="G14" s="276"/>
      <c r="H14" s="276"/>
      <c r="I14" s="276"/>
      <c r="J14" s="276"/>
      <c r="K14" s="276"/>
      <c r="L14" s="276"/>
      <c r="M14" s="276"/>
      <c r="N14" s="276"/>
      <c r="O14" s="276"/>
      <c r="P14" s="276"/>
      <c r="Q14" s="276"/>
      <c r="R14" s="276"/>
      <c r="S14" s="276"/>
      <c r="T14" s="276"/>
      <c r="U14" s="276"/>
      <c r="V14" s="276"/>
      <c r="W14" s="276"/>
      <c r="X14" s="276"/>
    </row>
    <row r="15" spans="1:25" s="21" customFormat="1" x14ac:dyDescent="0.2">
      <c r="A15" s="22"/>
      <c r="B15" s="22"/>
      <c r="F15" s="23"/>
      <c r="G15" s="23"/>
      <c r="H15" s="23"/>
    </row>
    <row r="16" spans="1:25" s="21" customFormat="1" x14ac:dyDescent="0.2">
      <c r="A16" s="245" t="s">
        <v>187</v>
      </c>
      <c r="B16" s="246"/>
      <c r="C16" s="246"/>
      <c r="D16" s="246"/>
      <c r="E16" s="246"/>
      <c r="F16" s="246"/>
      <c r="G16" s="246"/>
      <c r="H16" s="246"/>
      <c r="I16" s="246"/>
      <c r="J16" s="246"/>
      <c r="K16" s="246"/>
      <c r="L16" s="246"/>
      <c r="M16" s="246"/>
      <c r="N16" s="246"/>
      <c r="O16" s="246"/>
      <c r="P16" s="246"/>
      <c r="Q16" s="246"/>
      <c r="R16" s="246"/>
      <c r="S16" s="246"/>
      <c r="T16" s="246"/>
      <c r="U16" s="246"/>
      <c r="V16" s="246"/>
      <c r="W16" s="246"/>
      <c r="X16" s="246"/>
    </row>
    <row r="17" spans="1:25" s="21" customFormat="1" ht="6" customHeight="1" x14ac:dyDescent="0.2">
      <c r="A17" s="48"/>
      <c r="B17" s="48"/>
      <c r="C17" s="48"/>
      <c r="D17" s="48"/>
      <c r="E17" s="48"/>
      <c r="F17" s="48"/>
      <c r="G17" s="48"/>
      <c r="H17" s="48"/>
      <c r="I17" s="48"/>
      <c r="J17" s="48"/>
      <c r="K17" s="48"/>
      <c r="L17" s="48"/>
      <c r="M17" s="48"/>
      <c r="N17" s="48"/>
      <c r="O17" s="48"/>
      <c r="P17" s="48"/>
      <c r="Q17" s="48"/>
      <c r="R17" s="48"/>
      <c r="S17" s="48"/>
      <c r="T17" s="48"/>
      <c r="U17" s="48"/>
      <c r="V17" s="48"/>
      <c r="W17" s="48"/>
      <c r="X17" s="48"/>
    </row>
    <row r="18" spans="1:25" s="21" customFormat="1" x14ac:dyDescent="0.2">
      <c r="A18" s="247" t="s">
        <v>188</v>
      </c>
      <c r="B18" s="247"/>
      <c r="C18" s="248"/>
      <c r="D18" s="248"/>
      <c r="E18" s="248"/>
      <c r="F18" s="248"/>
      <c r="G18" s="248"/>
      <c r="H18" s="248"/>
      <c r="I18" s="248"/>
      <c r="J18" s="248"/>
      <c r="K18" s="248"/>
      <c r="L18" s="248"/>
      <c r="M18" s="248"/>
      <c r="N18" s="248"/>
      <c r="O18" s="248"/>
      <c r="P18" s="248"/>
      <c r="Q18" s="248"/>
      <c r="R18" s="248"/>
      <c r="S18" s="248"/>
      <c r="T18" s="248"/>
      <c r="U18" s="248"/>
      <c r="V18" s="248"/>
      <c r="W18" s="248"/>
      <c r="X18" s="248"/>
    </row>
    <row r="19" spans="1:25" s="21" customFormat="1" x14ac:dyDescent="0.2">
      <c r="A19" s="22"/>
      <c r="B19" s="22"/>
      <c r="F19" s="23"/>
      <c r="G19" s="23"/>
      <c r="H19" s="23"/>
    </row>
    <row r="20" spans="1:25" s="21" customFormat="1" x14ac:dyDescent="0.2">
      <c r="A20" s="22"/>
      <c r="B20" s="22"/>
      <c r="F20" s="23"/>
      <c r="G20" s="23"/>
      <c r="H20" s="23"/>
    </row>
    <row r="21" spans="1:25" s="21" customFormat="1" x14ac:dyDescent="0.2">
      <c r="B21" s="22"/>
      <c r="F21" s="23"/>
      <c r="G21" s="23"/>
      <c r="H21" s="23"/>
    </row>
    <row r="22" spans="1:25" s="21" customFormat="1" ht="12.75" customHeight="1" x14ac:dyDescent="0.2">
      <c r="A22" s="245" t="s">
        <v>190</v>
      </c>
      <c r="B22" s="246"/>
      <c r="C22" s="246"/>
      <c r="D22" s="246"/>
      <c r="E22" s="246"/>
      <c r="F22" s="246"/>
      <c r="G22" s="246"/>
      <c r="H22" s="246"/>
      <c r="I22" s="246"/>
      <c r="J22" s="223"/>
      <c r="K22" s="223"/>
      <c r="L22" s="223"/>
      <c r="M22" s="223"/>
      <c r="N22" s="223"/>
      <c r="O22" s="223"/>
      <c r="P22" s="223"/>
      <c r="Q22" s="223"/>
      <c r="R22" s="223"/>
      <c r="S22" s="223"/>
      <c r="T22" s="223"/>
      <c r="U22" s="223"/>
      <c r="V22" s="223"/>
      <c r="W22" s="223"/>
      <c r="X22" s="223"/>
      <c r="Y22" s="223"/>
    </row>
    <row r="23" spans="1:25" s="21" customFormat="1" ht="6" customHeight="1" x14ac:dyDescent="0.2">
      <c r="A23" s="48"/>
    </row>
    <row r="24" spans="1:25" s="21" customFormat="1" ht="12.75" customHeight="1" x14ac:dyDescent="0.2">
      <c r="A24" s="247" t="s">
        <v>191</v>
      </c>
      <c r="B24" s="247"/>
      <c r="C24" s="248"/>
      <c r="D24" s="248"/>
      <c r="E24" s="248"/>
      <c r="F24" s="248"/>
      <c r="G24" s="248"/>
      <c r="H24" s="248"/>
      <c r="I24" s="248"/>
      <c r="J24" s="248"/>
      <c r="K24" s="248"/>
      <c r="L24" s="248"/>
      <c r="M24" s="248"/>
      <c r="N24" s="248"/>
      <c r="O24" s="248"/>
      <c r="P24" s="248"/>
      <c r="Q24" s="248"/>
      <c r="R24" s="248"/>
      <c r="S24" s="248"/>
      <c r="T24" s="248"/>
      <c r="U24" s="248"/>
      <c r="V24" s="248"/>
      <c r="W24" s="248"/>
      <c r="X24" s="248"/>
    </row>
    <row r="25" spans="1:25" s="21" customFormat="1" ht="6" customHeight="1" x14ac:dyDescent="0.2">
      <c r="A25" s="50"/>
      <c r="B25" s="50"/>
      <c r="C25" s="51"/>
      <c r="D25" s="51"/>
      <c r="E25" s="51"/>
      <c r="F25" s="51"/>
      <c r="G25" s="51"/>
      <c r="H25" s="51"/>
      <c r="I25" s="51"/>
      <c r="J25" s="51"/>
      <c r="K25" s="51"/>
      <c r="L25" s="51"/>
      <c r="M25" s="51"/>
      <c r="N25" s="51"/>
      <c r="O25" s="51"/>
      <c r="P25" s="51"/>
      <c r="Q25" s="51"/>
      <c r="R25" s="51"/>
      <c r="S25" s="51"/>
      <c r="T25" s="51"/>
      <c r="U25" s="51"/>
      <c r="V25" s="51"/>
      <c r="W25" s="51"/>
      <c r="X25" s="51"/>
    </row>
    <row r="26" spans="1:25" s="21" customFormat="1" ht="12.75" customHeight="1" x14ac:dyDescent="0.2">
      <c r="A26" s="243" t="s">
        <v>192</v>
      </c>
      <c r="B26" s="243"/>
      <c r="C26" s="244"/>
      <c r="D26" s="244"/>
      <c r="E26" s="244"/>
      <c r="F26" s="244"/>
      <c r="G26" s="244"/>
      <c r="H26" s="244"/>
      <c r="I26" s="244"/>
      <c r="J26" s="244"/>
      <c r="K26" s="244"/>
      <c r="L26" s="244"/>
      <c r="M26" s="244"/>
      <c r="N26" s="244"/>
      <c r="O26" s="244"/>
      <c r="P26" s="244"/>
      <c r="Q26" s="244"/>
      <c r="R26" s="244"/>
      <c r="S26" s="244"/>
      <c r="T26" s="244"/>
      <c r="U26" s="244"/>
      <c r="V26" s="244"/>
      <c r="W26" s="244"/>
      <c r="X26" s="244"/>
    </row>
    <row r="27" spans="1:25" s="21" customFormat="1" ht="6" customHeight="1" x14ac:dyDescent="0.2">
      <c r="A27" s="25"/>
      <c r="B27" s="25"/>
      <c r="F27" s="23"/>
      <c r="G27" s="23"/>
      <c r="H27" s="23"/>
    </row>
    <row r="28" spans="1:25" ht="12.75" customHeight="1" x14ac:dyDescent="0.2">
      <c r="A28" s="241" t="s">
        <v>178</v>
      </c>
      <c r="B28" s="252"/>
      <c r="C28" s="241" t="s">
        <v>171</v>
      </c>
      <c r="D28" s="242"/>
      <c r="E28" s="252"/>
      <c r="F28" s="241" t="s">
        <v>172</v>
      </c>
      <c r="G28" s="242"/>
      <c r="H28" s="242"/>
      <c r="I28" s="252"/>
      <c r="J28" s="241" t="s">
        <v>173</v>
      </c>
      <c r="K28" s="242"/>
      <c r="L28" s="242"/>
      <c r="M28" s="242"/>
      <c r="N28" s="242"/>
      <c r="O28" s="252"/>
      <c r="P28" s="241" t="s">
        <v>0</v>
      </c>
      <c r="Q28" s="242"/>
      <c r="R28" s="242"/>
      <c r="S28" s="242"/>
      <c r="T28" s="242"/>
      <c r="U28" s="242"/>
      <c r="V28" s="242"/>
      <c r="W28" s="242"/>
      <c r="X28" s="252"/>
    </row>
    <row r="29" spans="1:25" ht="12.75" customHeight="1" x14ac:dyDescent="0.2">
      <c r="A29" s="236" t="s">
        <v>459</v>
      </c>
      <c r="B29" s="253"/>
      <c r="C29" s="236" t="s">
        <v>460</v>
      </c>
      <c r="D29" s="237"/>
      <c r="E29" s="238"/>
      <c r="F29" s="236" t="s">
        <v>462</v>
      </c>
      <c r="G29" s="310"/>
      <c r="H29" s="310"/>
      <c r="I29" s="253"/>
      <c r="J29" s="236" t="s">
        <v>461</v>
      </c>
      <c r="K29" s="310"/>
      <c r="L29" s="310"/>
      <c r="M29" s="310"/>
      <c r="N29" s="310"/>
      <c r="O29" s="253"/>
      <c r="P29" s="236" t="s">
        <v>461</v>
      </c>
      <c r="Q29" s="310"/>
      <c r="R29" s="310"/>
      <c r="S29" s="310"/>
      <c r="T29" s="310"/>
      <c r="U29" s="310"/>
      <c r="V29" s="310"/>
      <c r="W29" s="310"/>
      <c r="X29" s="253"/>
    </row>
    <row r="30" spans="1:25" ht="6" customHeight="1" x14ac:dyDescent="0.2">
      <c r="A30" s="3"/>
      <c r="B30" s="3"/>
      <c r="C30" s="3"/>
      <c r="D30" s="3"/>
      <c r="E30" s="3"/>
      <c r="F30" s="3"/>
      <c r="G30" s="3"/>
      <c r="H30" s="3"/>
      <c r="I30" s="3"/>
      <c r="J30" s="3"/>
      <c r="K30" s="3"/>
      <c r="L30" s="3"/>
      <c r="M30" s="3"/>
      <c r="N30" s="3"/>
      <c r="O30" s="3"/>
      <c r="P30" s="3"/>
      <c r="Q30" s="3"/>
      <c r="R30" s="3"/>
      <c r="S30" s="3"/>
      <c r="T30" s="3"/>
      <c r="U30" s="3"/>
      <c r="V30" s="3"/>
    </row>
    <row r="31" spans="1:25" x14ac:dyDescent="0.2">
      <c r="A31" s="241" t="s">
        <v>174</v>
      </c>
      <c r="B31" s="242"/>
      <c r="C31" s="242"/>
      <c r="D31" s="242"/>
      <c r="E31" s="242"/>
      <c r="F31" s="252"/>
      <c r="G31" s="241" t="s">
        <v>175</v>
      </c>
      <c r="H31" s="242"/>
      <c r="I31" s="242"/>
      <c r="J31" s="252"/>
      <c r="K31" s="241" t="s">
        <v>176</v>
      </c>
      <c r="L31" s="242"/>
      <c r="M31" s="242"/>
      <c r="N31" s="242"/>
      <c r="O31" s="242"/>
      <c r="P31" s="252"/>
      <c r="Q31" s="241" t="s">
        <v>181</v>
      </c>
      <c r="R31" s="242"/>
      <c r="S31" s="242"/>
      <c r="T31" s="242"/>
      <c r="U31" s="242"/>
      <c r="V31" s="242"/>
      <c r="W31" s="242"/>
      <c r="X31" s="252"/>
    </row>
    <row r="32" spans="1:25" x14ac:dyDescent="0.2">
      <c r="A32" s="311" t="s">
        <v>266</v>
      </c>
      <c r="B32" s="312"/>
      <c r="C32" s="312"/>
      <c r="D32" s="312"/>
      <c r="E32" s="312"/>
      <c r="F32" s="313"/>
      <c r="G32" s="236" t="s">
        <v>265</v>
      </c>
      <c r="H32" s="237"/>
      <c r="I32" s="237"/>
      <c r="J32" s="238"/>
      <c r="K32" s="236" t="s">
        <v>298</v>
      </c>
      <c r="L32" s="310"/>
      <c r="M32" s="310"/>
      <c r="N32" s="310"/>
      <c r="O32" s="310"/>
      <c r="P32" s="253"/>
      <c r="Q32" s="236" t="s">
        <v>461</v>
      </c>
      <c r="R32" s="310"/>
      <c r="S32" s="310"/>
      <c r="T32" s="310"/>
      <c r="U32" s="310"/>
      <c r="V32" s="310"/>
      <c r="W32" s="310"/>
      <c r="X32" s="253"/>
    </row>
    <row r="33" spans="1:24" s="21" customFormat="1" ht="9" customHeight="1" x14ac:dyDescent="0.2">
      <c r="A33" s="22"/>
      <c r="B33" s="22"/>
      <c r="F33" s="23"/>
      <c r="G33" s="23"/>
      <c r="H33" s="23"/>
    </row>
    <row r="34" spans="1:24" s="27" customFormat="1" x14ac:dyDescent="0.2"/>
    <row r="35" spans="1:24" s="21" customFormat="1" ht="12.75" customHeight="1" x14ac:dyDescent="0.2">
      <c r="A35" s="243" t="s">
        <v>193</v>
      </c>
      <c r="B35" s="243"/>
      <c r="C35" s="244"/>
      <c r="D35" s="244"/>
      <c r="E35" s="244"/>
      <c r="F35" s="244"/>
      <c r="G35" s="244"/>
      <c r="H35" s="244"/>
      <c r="I35" s="244"/>
      <c r="J35" s="244"/>
      <c r="K35" s="244"/>
      <c r="L35" s="244"/>
      <c r="M35" s="244"/>
      <c r="N35" s="244"/>
      <c r="O35" s="244"/>
      <c r="P35" s="244"/>
      <c r="Q35" s="244"/>
      <c r="R35" s="244"/>
      <c r="S35" s="244"/>
      <c r="T35" s="244"/>
      <c r="U35" s="244"/>
      <c r="V35" s="244"/>
      <c r="W35" s="244"/>
      <c r="X35" s="244"/>
    </row>
    <row r="36" spans="1:24" s="21" customFormat="1" ht="6" customHeight="1" x14ac:dyDescent="0.2">
      <c r="A36" s="26"/>
      <c r="B36" s="26"/>
      <c r="C36" s="32"/>
      <c r="D36" s="32"/>
      <c r="E36" s="32"/>
      <c r="F36" s="32"/>
      <c r="G36" s="32"/>
      <c r="H36" s="32"/>
      <c r="I36" s="32"/>
      <c r="J36" s="32"/>
      <c r="K36" s="32"/>
      <c r="L36" s="32"/>
      <c r="M36" s="32"/>
      <c r="N36" s="32"/>
      <c r="O36" s="32"/>
      <c r="P36" s="32"/>
      <c r="Q36" s="32"/>
      <c r="R36" s="32"/>
      <c r="S36" s="32"/>
      <c r="T36" s="32"/>
      <c r="U36" s="32"/>
      <c r="V36" s="32"/>
      <c r="W36" s="32"/>
      <c r="X36" s="32"/>
    </row>
    <row r="37" spans="1:24" s="21" customFormat="1" ht="12.75" customHeight="1" x14ac:dyDescent="0.2">
      <c r="A37" s="241" t="s">
        <v>16</v>
      </c>
      <c r="B37" s="252"/>
      <c r="C37" s="92" t="s">
        <v>91</v>
      </c>
      <c r="D37" s="241" t="s">
        <v>14</v>
      </c>
      <c r="E37" s="242"/>
      <c r="F37" s="252"/>
      <c r="G37" s="241" t="s">
        <v>12</v>
      </c>
      <c r="H37" s="242"/>
      <c r="I37" s="242"/>
      <c r="J37" s="242"/>
      <c r="K37" s="242"/>
      <c r="L37" s="242"/>
      <c r="M37" s="242"/>
      <c r="N37" s="242"/>
      <c r="O37" s="242"/>
      <c r="P37" s="242"/>
      <c r="Q37" s="242"/>
      <c r="R37" s="242"/>
      <c r="S37" s="252"/>
      <c r="T37" s="93" t="s">
        <v>7</v>
      </c>
      <c r="U37" s="93" t="s">
        <v>8</v>
      </c>
      <c r="V37" s="93" t="s">
        <v>9</v>
      </c>
      <c r="W37" s="93" t="s">
        <v>10</v>
      </c>
      <c r="X37" s="93" t="s">
        <v>11</v>
      </c>
    </row>
    <row r="38" spans="1:24" s="21" customFormat="1" ht="12.75" customHeight="1" x14ac:dyDescent="0.2">
      <c r="A38" s="257">
        <v>45413</v>
      </c>
      <c r="B38" s="258"/>
      <c r="C38" s="91" t="s">
        <v>366</v>
      </c>
      <c r="D38" s="236" t="s">
        <v>78</v>
      </c>
      <c r="E38" s="237"/>
      <c r="F38" s="238"/>
      <c r="G38" s="236" t="s">
        <v>461</v>
      </c>
      <c r="H38" s="237"/>
      <c r="I38" s="237"/>
      <c r="J38" s="237"/>
      <c r="K38" s="237"/>
      <c r="L38" s="237"/>
      <c r="M38" s="237"/>
      <c r="N38" s="237"/>
      <c r="O38" s="237"/>
      <c r="P38" s="237"/>
      <c r="Q38" s="237"/>
      <c r="R38" s="237"/>
      <c r="S38" s="238"/>
      <c r="T38" s="95">
        <f ca="1">IF(ISERROR(INDIRECT("'BDI ("&amp;RIGHT(T37,1)&amp;")'!N27")),"",INDIRECT("'BDI ("&amp;RIGHT(T37,1)&amp;")'!N27"))</f>
        <v>0.2487</v>
      </c>
      <c r="U38" s="96">
        <f ca="1">IF(ISERROR(INDIRECT("'BDI ("&amp;RIGHT(U37,1)&amp;")'!N27")),"",INDIRECT("'BDI ("&amp;RIGHT(U37,1)&amp;")'!N27"))</f>
        <v>0.15690000000000001</v>
      </c>
      <c r="V38" s="96" t="str">
        <f ca="1">IF(ISERROR(INDIRECT("'BDI ("&amp;RIGHT(V37,1)&amp;")'!N27")),"",INDIRECT("'BDI ("&amp;RIGHT(V37,1)&amp;")'!N27"))</f>
        <v/>
      </c>
      <c r="W38" s="96" t="str">
        <f ca="1">IF(ISERROR(INDIRECT("'BDI ("&amp;RIGHT(W37,1)&amp;")'!N27")),"",INDIRECT("'BDI ("&amp;RIGHT(W37,1)&amp;")'!N27"))</f>
        <v/>
      </c>
      <c r="X38" s="96" t="str">
        <f ca="1">IF(ISERROR(INDIRECT("'BDI ("&amp;RIGHT(X37,1)&amp;")'!N27")),"",INDIRECT("'BDI ("&amp;RIGHT(X37,1)&amp;")'!N27"))</f>
        <v/>
      </c>
    </row>
    <row r="39" spans="1:24" s="21" customFormat="1" ht="11.25" customHeight="1" x14ac:dyDescent="0.2">
      <c r="A39" s="26"/>
      <c r="B39" s="26"/>
      <c r="C39" s="32"/>
      <c r="D39" s="32"/>
      <c r="E39" s="32"/>
      <c r="F39" s="32"/>
      <c r="G39" s="32"/>
      <c r="H39" s="32"/>
      <c r="I39" s="32"/>
      <c r="J39" s="32"/>
      <c r="K39" s="32"/>
      <c r="L39" s="32"/>
      <c r="M39" s="32"/>
      <c r="N39" s="32"/>
      <c r="O39" s="32"/>
      <c r="P39" s="32"/>
      <c r="Q39" s="32"/>
      <c r="R39" s="32"/>
      <c r="S39" s="32"/>
      <c r="T39" s="32"/>
      <c r="U39" s="32"/>
      <c r="V39" s="32"/>
      <c r="W39" s="32"/>
      <c r="X39" s="32"/>
    </row>
    <row r="40" spans="1:24" s="21" customFormat="1" ht="12.75" customHeight="1" x14ac:dyDescent="0.2">
      <c r="A40" s="243" t="s">
        <v>163</v>
      </c>
      <c r="B40" s="243"/>
      <c r="C40" s="244"/>
      <c r="D40" s="244"/>
      <c r="E40" s="244"/>
      <c r="F40" s="244"/>
      <c r="G40" s="244"/>
      <c r="H40" s="244"/>
      <c r="I40" s="244"/>
      <c r="J40" s="244"/>
      <c r="K40" s="244"/>
      <c r="L40" s="244"/>
      <c r="M40" s="244"/>
      <c r="N40" s="244"/>
      <c r="O40" s="244"/>
      <c r="P40" s="244"/>
      <c r="Q40" s="244"/>
      <c r="R40" s="244"/>
      <c r="S40" s="244"/>
      <c r="T40" s="244"/>
      <c r="U40" s="244"/>
      <c r="V40" s="244"/>
      <c r="W40" s="244"/>
      <c r="X40" s="244"/>
    </row>
    <row r="41" spans="1:24" s="21" customFormat="1" ht="6" customHeight="1" x14ac:dyDescent="0.2">
      <c r="A41" s="26"/>
      <c r="B41" s="26"/>
      <c r="C41" s="32"/>
      <c r="D41" s="32"/>
      <c r="E41" s="32"/>
      <c r="F41" s="32"/>
      <c r="G41" s="32"/>
      <c r="H41" s="32"/>
      <c r="I41" s="32"/>
      <c r="J41" s="32"/>
      <c r="K41" s="32"/>
      <c r="L41" s="32"/>
      <c r="M41" s="32"/>
      <c r="N41" s="32"/>
      <c r="O41" s="32"/>
      <c r="P41" s="32"/>
      <c r="Q41" s="32"/>
      <c r="R41" s="32"/>
      <c r="S41" s="32"/>
      <c r="T41" s="32"/>
      <c r="U41" s="32"/>
      <c r="V41" s="32"/>
      <c r="W41" s="32"/>
      <c r="X41" s="32"/>
    </row>
    <row r="42" spans="1:24" s="21" customFormat="1" ht="12.75" customHeight="1" x14ac:dyDescent="0.2">
      <c r="A42" s="241" t="s">
        <v>87</v>
      </c>
      <c r="B42" s="252"/>
      <c r="C42" s="241" t="s">
        <v>112</v>
      </c>
      <c r="D42" s="242"/>
      <c r="E42" s="242"/>
      <c r="F42" s="242"/>
      <c r="G42" s="242"/>
      <c r="H42" s="241" t="s">
        <v>16</v>
      </c>
      <c r="I42" s="242"/>
      <c r="J42" s="28" t="s">
        <v>91</v>
      </c>
      <c r="K42" s="241" t="s">
        <v>88</v>
      </c>
      <c r="L42" s="242"/>
      <c r="M42" s="252"/>
      <c r="N42" s="28" t="s">
        <v>92</v>
      </c>
      <c r="O42" s="241" t="s">
        <v>93</v>
      </c>
      <c r="P42" s="242"/>
      <c r="Q42" s="242"/>
      <c r="R42" s="242"/>
      <c r="S42" s="242"/>
      <c r="T42" s="252"/>
      <c r="U42" s="259" t="s">
        <v>89</v>
      </c>
      <c r="V42" s="260"/>
      <c r="W42" s="259" t="s">
        <v>90</v>
      </c>
      <c r="X42" s="260"/>
    </row>
    <row r="43" spans="1:24" s="21" customFormat="1" ht="12.75" customHeight="1" x14ac:dyDescent="0.2">
      <c r="A43" s="280"/>
      <c r="B43" s="281"/>
      <c r="C43" s="236"/>
      <c r="D43" s="237"/>
      <c r="E43" s="237"/>
      <c r="F43" s="237"/>
      <c r="G43" s="237"/>
      <c r="H43" s="257"/>
      <c r="I43" s="258"/>
      <c r="J43" s="88"/>
      <c r="K43" s="314"/>
      <c r="L43" s="315"/>
      <c r="M43" s="316"/>
      <c r="N43" s="104"/>
      <c r="O43" s="268"/>
      <c r="P43" s="269"/>
      <c r="Q43" s="269"/>
      <c r="R43" s="270"/>
      <c r="S43" s="270"/>
      <c r="T43" s="271"/>
      <c r="U43" s="266"/>
      <c r="V43" s="272"/>
      <c r="W43" s="266"/>
      <c r="X43" s="267"/>
    </row>
    <row r="44" spans="1:24" s="21" customFormat="1" ht="12.75" customHeight="1" x14ac:dyDescent="0.2">
      <c r="A44" s="26"/>
      <c r="B44" s="26"/>
      <c r="C44" s="32"/>
      <c r="D44" s="32"/>
      <c r="E44" s="32"/>
      <c r="F44" s="32"/>
      <c r="G44" s="32"/>
      <c r="H44" s="32"/>
      <c r="I44" s="32"/>
      <c r="J44" s="32"/>
      <c r="K44" s="32"/>
      <c r="L44" s="32"/>
      <c r="M44" s="32"/>
      <c r="N44" s="32"/>
      <c r="O44" s="32"/>
      <c r="P44" s="32"/>
      <c r="Q44" s="32"/>
      <c r="R44" s="32"/>
      <c r="S44" s="32"/>
      <c r="T44" s="32"/>
      <c r="U44" s="32"/>
      <c r="V44" s="32"/>
      <c r="W44" s="32"/>
      <c r="X44" s="32"/>
    </row>
    <row r="45" spans="1:24" s="21" customFormat="1" ht="12.75" customHeight="1" x14ac:dyDescent="0.2">
      <c r="A45" s="243" t="s">
        <v>194</v>
      </c>
      <c r="B45" s="243"/>
      <c r="C45" s="244"/>
      <c r="D45" s="244"/>
      <c r="E45" s="244"/>
      <c r="F45" s="244"/>
      <c r="G45" s="244"/>
      <c r="H45" s="244"/>
      <c r="I45" s="244"/>
      <c r="J45" s="244"/>
      <c r="K45" s="244"/>
      <c r="L45" s="244"/>
      <c r="M45" s="244"/>
      <c r="N45" s="244"/>
      <c r="O45" s="244"/>
      <c r="P45" s="244"/>
      <c r="Q45" s="244"/>
      <c r="R45" s="244"/>
      <c r="S45" s="244"/>
      <c r="T45" s="244"/>
      <c r="U45" s="244"/>
      <c r="V45" s="244"/>
      <c r="W45" s="244"/>
      <c r="X45" s="244"/>
    </row>
    <row r="46" spans="1:24" s="21" customFormat="1" ht="6" customHeight="1" x14ac:dyDescent="0.2">
      <c r="A46" s="26"/>
      <c r="B46" s="26"/>
      <c r="C46" s="32"/>
      <c r="D46" s="32"/>
      <c r="E46" s="32"/>
      <c r="F46" s="32"/>
      <c r="G46" s="32"/>
      <c r="H46" s="32"/>
      <c r="I46" s="32"/>
      <c r="J46" s="32"/>
      <c r="K46" s="32"/>
      <c r="L46" s="32"/>
      <c r="M46" s="32"/>
      <c r="N46" s="32"/>
      <c r="O46" s="32"/>
      <c r="P46" s="32"/>
      <c r="Q46" s="32"/>
      <c r="R46" s="32"/>
      <c r="S46" s="32"/>
      <c r="T46" s="32"/>
      <c r="U46" s="32"/>
      <c r="V46" s="32"/>
      <c r="W46" s="32"/>
      <c r="X46" s="32"/>
    </row>
    <row r="47" spans="1:24" s="21" customFormat="1" x14ac:dyDescent="0.2">
      <c r="A47" s="28" t="s">
        <v>15</v>
      </c>
      <c r="B47" s="29"/>
      <c r="C47" s="30"/>
    </row>
    <row r="48" spans="1:24" s="21" customFormat="1" x14ac:dyDescent="0.2">
      <c r="A48" s="294">
        <v>45579</v>
      </c>
      <c r="B48" s="295"/>
      <c r="C48" s="296"/>
      <c r="E48" s="37"/>
    </row>
    <row r="49" spans="1:24" s="21" customFormat="1" x14ac:dyDescent="0.2">
      <c r="A49" s="22"/>
      <c r="B49" s="22"/>
      <c r="F49" s="33"/>
      <c r="G49" s="34"/>
      <c r="H49" s="35"/>
    </row>
    <row r="50" spans="1:24" s="21" customFormat="1" x14ac:dyDescent="0.2">
      <c r="A50" s="243" t="s">
        <v>195</v>
      </c>
      <c r="B50" s="243"/>
      <c r="C50" s="244"/>
      <c r="D50" s="244"/>
      <c r="E50" s="244"/>
      <c r="F50" s="244"/>
      <c r="G50" s="244"/>
      <c r="H50" s="244"/>
      <c r="I50" s="244"/>
      <c r="J50" s="244"/>
      <c r="K50" s="244"/>
      <c r="L50" s="244"/>
      <c r="M50" s="244"/>
      <c r="N50" s="244"/>
      <c r="O50" s="244"/>
      <c r="P50" s="244"/>
      <c r="Q50" s="244"/>
      <c r="R50" s="244"/>
      <c r="S50" s="244"/>
      <c r="T50" s="244"/>
      <c r="U50" s="244"/>
      <c r="V50" s="244"/>
      <c r="W50" s="244"/>
      <c r="X50" s="244"/>
    </row>
    <row r="51" spans="1:24" s="21" customFormat="1" x14ac:dyDescent="0.2">
      <c r="A51" s="26"/>
      <c r="B51" s="26"/>
      <c r="C51" s="32"/>
      <c r="D51" s="32"/>
      <c r="E51" s="32"/>
      <c r="F51" s="32"/>
      <c r="G51" s="32"/>
      <c r="H51" s="32"/>
      <c r="I51" s="32"/>
      <c r="J51" s="32"/>
      <c r="K51" s="32"/>
      <c r="L51" s="32"/>
      <c r="M51"/>
      <c r="N51"/>
      <c r="O51"/>
      <c r="P51"/>
      <c r="Q51"/>
      <c r="R51"/>
      <c r="S51"/>
      <c r="T51"/>
      <c r="U51"/>
      <c r="V51"/>
      <c r="W51"/>
      <c r="X51"/>
    </row>
    <row r="52" spans="1:24" s="21" customFormat="1" x14ac:dyDescent="0.2">
      <c r="A52" s="26"/>
      <c r="B52" s="26"/>
      <c r="C52" s="32"/>
      <c r="D52" s="32"/>
      <c r="E52" s="32"/>
      <c r="F52" s="32"/>
      <c r="G52" s="8" t="s">
        <v>18</v>
      </c>
      <c r="H52" s="32"/>
      <c r="I52" s="32"/>
      <c r="K52" s="86" t="s">
        <v>104</v>
      </c>
      <c r="L52" s="32"/>
      <c r="M52"/>
      <c r="N52"/>
      <c r="O52"/>
      <c r="P52"/>
      <c r="Q52"/>
      <c r="R52"/>
      <c r="S52"/>
      <c r="T52"/>
      <c r="U52"/>
      <c r="V52"/>
      <c r="W52"/>
      <c r="X52"/>
    </row>
    <row r="53" spans="1:24" s="21" customFormat="1" x14ac:dyDescent="0.2">
      <c r="A53" s="39"/>
      <c r="B53" s="39"/>
      <c r="C53" s="40"/>
      <c r="D53" s="40"/>
      <c r="E53" s="40"/>
      <c r="F53" s="33"/>
      <c r="G53" s="39"/>
      <c r="H53" s="39"/>
      <c r="I53" s="40"/>
      <c r="J53" s="40"/>
      <c r="K53" s="40"/>
      <c r="L53" s="2"/>
      <c r="M53"/>
      <c r="N53"/>
      <c r="O53"/>
      <c r="P53"/>
      <c r="Q53"/>
      <c r="R53"/>
      <c r="S53"/>
      <c r="T53"/>
      <c r="U53"/>
      <c r="V53"/>
      <c r="W53"/>
      <c r="X53"/>
    </row>
    <row r="54" spans="1:24" s="21" customFormat="1" x14ac:dyDescent="0.2">
      <c r="A54" s="101" t="s">
        <v>141</v>
      </c>
      <c r="B54" s="297" t="s">
        <v>267</v>
      </c>
      <c r="C54" s="297"/>
      <c r="D54" s="297"/>
      <c r="E54" s="297"/>
      <c r="F54" s="33"/>
      <c r="G54" s="101" t="s">
        <v>141</v>
      </c>
      <c r="H54" s="298" t="s">
        <v>270</v>
      </c>
      <c r="I54" s="297"/>
      <c r="J54" s="297"/>
      <c r="K54" s="297"/>
      <c r="L54" s="2"/>
      <c r="M54"/>
      <c r="N54"/>
      <c r="O54"/>
      <c r="P54"/>
      <c r="Q54"/>
      <c r="R54"/>
      <c r="S54"/>
      <c r="T54"/>
      <c r="U54"/>
      <c r="V54"/>
      <c r="W54"/>
      <c r="X54"/>
    </row>
    <row r="55" spans="1:24" s="21" customFormat="1" x14ac:dyDescent="0.2">
      <c r="A55" s="101" t="str">
        <f>IF(OR(TipoOrçamento="BASE",TipoOrçamento="REPROGRAMADONPL"),"Título:","Cargo:")</f>
        <v>Título:</v>
      </c>
      <c r="B55" s="297" t="s">
        <v>268</v>
      </c>
      <c r="C55" s="297"/>
      <c r="D55" s="297"/>
      <c r="E55" s="297"/>
      <c r="F55" s="33"/>
      <c r="G55" s="101" t="str">
        <f>A55</f>
        <v>Título:</v>
      </c>
      <c r="H55" s="298" t="s">
        <v>271</v>
      </c>
      <c r="I55" s="297"/>
      <c r="J55" s="297"/>
      <c r="K55" s="297"/>
      <c r="L55" s="2"/>
      <c r="M55"/>
      <c r="N55"/>
      <c r="O55"/>
      <c r="P55"/>
      <c r="Q55"/>
      <c r="R55"/>
      <c r="S55"/>
      <c r="T55"/>
      <c r="U55"/>
      <c r="V55"/>
      <c r="W55"/>
      <c r="X55"/>
    </row>
    <row r="56" spans="1:24" s="21" customFormat="1" x14ac:dyDescent="0.2">
      <c r="A56" s="101" t="str">
        <f>IF(OR(TipoOrçamento="BASE",TipoOrçamento="REPROGRAMADONPL"),"CREA/CAU:","Empresa:")</f>
        <v>CREA/CAU:</v>
      </c>
      <c r="B56" s="279" t="s">
        <v>269</v>
      </c>
      <c r="C56" s="265"/>
      <c r="D56" s="265"/>
      <c r="E56" s="265"/>
      <c r="F56" s="33"/>
      <c r="G56" s="101" t="str">
        <f>A56</f>
        <v>CREA/CAU:</v>
      </c>
      <c r="H56" s="265" t="s">
        <v>272</v>
      </c>
      <c r="I56" s="265"/>
      <c r="J56" s="265"/>
      <c r="K56" s="265"/>
      <c r="L56" s="2"/>
      <c r="M56"/>
      <c r="N56"/>
      <c r="O56"/>
      <c r="P56"/>
      <c r="Q56"/>
      <c r="R56"/>
      <c r="S56"/>
      <c r="T56"/>
      <c r="U56"/>
      <c r="V56"/>
      <c r="W56"/>
      <c r="X56"/>
    </row>
    <row r="57" spans="1:24" s="21" customFormat="1" x14ac:dyDescent="0.2">
      <c r="A57" s="101" t="str">
        <f>IF(OR(TipoOrçamento="BASE",TipoOrçamento="REPROGRAMADONPL"),"ART/RRT:","CNPJ:")</f>
        <v>ART/RRT:</v>
      </c>
      <c r="B57" s="279" t="s">
        <v>361</v>
      </c>
      <c r="C57" s="265"/>
      <c r="D57" s="265"/>
      <c r="E57" s="265"/>
      <c r="F57" s="33"/>
      <c r="G57" s="101" t="str">
        <f>A57</f>
        <v>ART/RRT:</v>
      </c>
      <c r="H57" s="279" t="s">
        <v>362</v>
      </c>
      <c r="I57" s="265"/>
      <c r="J57" s="265"/>
      <c r="K57" s="265"/>
      <c r="L57" s="2"/>
      <c r="M57"/>
      <c r="N57"/>
      <c r="O57"/>
      <c r="P57"/>
      <c r="Q57"/>
      <c r="R57"/>
      <c r="S57"/>
      <c r="T57"/>
      <c r="U57"/>
      <c r="V57"/>
      <c r="W57"/>
      <c r="X57"/>
    </row>
    <row r="58" spans="1:24" s="21" customFormat="1" x14ac:dyDescent="0.2">
      <c r="A58" s="22"/>
      <c r="B58" s="22"/>
      <c r="F58" s="33"/>
      <c r="G58" s="34"/>
      <c r="H58" s="35"/>
      <c r="M58"/>
      <c r="N58"/>
      <c r="O58"/>
      <c r="P58"/>
      <c r="Q58"/>
      <c r="R58"/>
      <c r="S58"/>
      <c r="T58"/>
      <c r="U58"/>
      <c r="V58"/>
      <c r="W58"/>
      <c r="X58"/>
    </row>
    <row r="59" spans="1:24" s="21" customFormat="1" x14ac:dyDescent="0.2">
      <c r="A59" s="22"/>
      <c r="B59" s="22"/>
      <c r="F59" s="33"/>
      <c r="G59" s="34"/>
      <c r="H59" s="35"/>
      <c r="M59"/>
      <c r="N59"/>
      <c r="O59"/>
      <c r="P59"/>
      <c r="Q59"/>
      <c r="R59"/>
      <c r="S59"/>
      <c r="T59"/>
      <c r="U59"/>
      <c r="V59"/>
      <c r="W59"/>
      <c r="X59"/>
    </row>
    <row r="60" spans="1:24" s="21" customFormat="1" ht="12.75" customHeight="1" x14ac:dyDescent="0.2">
      <c r="A60" s="247" t="s">
        <v>196</v>
      </c>
      <c r="B60" s="247"/>
      <c r="C60" s="248"/>
      <c r="D60" s="248"/>
      <c r="E60" s="248"/>
      <c r="F60" s="248"/>
      <c r="G60" s="248"/>
      <c r="H60" s="248"/>
      <c r="I60" s="248"/>
      <c r="J60" s="248"/>
      <c r="K60" s="248"/>
      <c r="L60" s="248"/>
      <c r="M60" s="248"/>
      <c r="N60" s="248"/>
      <c r="O60" s="248"/>
      <c r="P60" s="248"/>
      <c r="Q60" s="248"/>
      <c r="R60" s="248"/>
      <c r="S60" s="248"/>
      <c r="T60" s="248"/>
      <c r="U60" s="248"/>
      <c r="V60" s="248"/>
      <c r="W60" s="248"/>
      <c r="X60" s="248"/>
    </row>
    <row r="61" spans="1:24" s="21" customFormat="1" x14ac:dyDescent="0.2">
      <c r="A61" s="50"/>
      <c r="B61" s="50"/>
      <c r="C61" s="51"/>
      <c r="D61" s="51"/>
      <c r="E61" s="51"/>
      <c r="F61" s="51"/>
      <c r="G61" s="51"/>
      <c r="H61" s="51"/>
      <c r="I61" s="51"/>
      <c r="J61" s="51"/>
      <c r="K61" s="51"/>
      <c r="L61" s="51"/>
      <c r="M61" s="51"/>
      <c r="N61" s="51"/>
      <c r="O61" s="51"/>
      <c r="P61" s="51"/>
      <c r="Q61" s="51"/>
      <c r="R61" s="51"/>
      <c r="S61" s="51"/>
      <c r="T61" s="51"/>
      <c r="U61" s="51"/>
      <c r="V61" s="51"/>
      <c r="W61" s="51"/>
      <c r="X61" s="51"/>
    </row>
    <row r="62" spans="1:24" s="161" customFormat="1" ht="12.75" customHeight="1" x14ac:dyDescent="0.2">
      <c r="A62" s="254" t="s">
        <v>197</v>
      </c>
      <c r="B62" s="255"/>
      <c r="C62" s="256"/>
      <c r="D62" s="256"/>
      <c r="E62" s="256"/>
      <c r="F62" s="256"/>
      <c r="G62" s="256"/>
      <c r="H62" s="256"/>
      <c r="I62" s="256"/>
      <c r="J62" s="256"/>
      <c r="K62" s="256"/>
      <c r="L62" s="256"/>
      <c r="M62" s="256"/>
      <c r="N62" s="256"/>
      <c r="O62" s="256"/>
      <c r="P62" s="256"/>
      <c r="Q62" s="256"/>
      <c r="R62" s="256"/>
      <c r="S62" s="256"/>
      <c r="T62" s="256"/>
      <c r="U62" s="256"/>
      <c r="V62" s="256"/>
      <c r="W62" s="256"/>
      <c r="X62" s="256"/>
    </row>
    <row r="63" spans="1:24" s="21" customFormat="1" ht="30" customHeight="1" x14ac:dyDescent="0.2">
      <c r="A63" s="254" t="s">
        <v>198</v>
      </c>
      <c r="B63" s="254"/>
      <c r="C63" s="299"/>
      <c r="D63" s="299"/>
      <c r="E63" s="299"/>
      <c r="F63" s="299"/>
      <c r="G63" s="299"/>
      <c r="H63" s="299"/>
      <c r="I63" s="299"/>
      <c r="J63" s="299"/>
      <c r="K63" s="299"/>
      <c r="L63" s="299"/>
      <c r="M63" s="299"/>
      <c r="N63" s="299"/>
      <c r="O63" s="299"/>
      <c r="P63" s="299"/>
      <c r="Q63" s="299"/>
      <c r="R63" s="299"/>
      <c r="S63" s="299"/>
      <c r="T63" s="299"/>
      <c r="U63" s="299"/>
      <c r="V63" s="299"/>
      <c r="W63" s="299"/>
      <c r="X63" s="299"/>
    </row>
    <row r="64" spans="1:24" s="21" customFormat="1" x14ac:dyDescent="0.2">
      <c r="A64" s="22"/>
      <c r="B64" s="22"/>
      <c r="F64" s="33"/>
      <c r="G64" s="34"/>
      <c r="H64" s="35"/>
      <c r="M64"/>
      <c r="N64"/>
      <c r="O64"/>
      <c r="P64"/>
      <c r="Q64"/>
      <c r="R64"/>
      <c r="S64"/>
      <c r="T64"/>
      <c r="U64"/>
      <c r="V64"/>
      <c r="W64"/>
      <c r="X64"/>
    </row>
    <row r="65" spans="1:24" s="21" customFormat="1" ht="12.75" customHeight="1" x14ac:dyDescent="0.2">
      <c r="A65" s="247" t="s">
        <v>199</v>
      </c>
      <c r="B65" s="247"/>
      <c r="C65" s="248"/>
      <c r="D65" s="248"/>
      <c r="E65" s="248"/>
      <c r="F65" s="248"/>
      <c r="G65" s="248"/>
      <c r="H65" s="248"/>
      <c r="I65" s="248"/>
      <c r="J65" s="248"/>
      <c r="K65" s="248"/>
      <c r="L65" s="248"/>
      <c r="M65" s="248"/>
      <c r="N65" s="248"/>
      <c r="O65" s="248"/>
      <c r="P65" s="248"/>
      <c r="Q65" s="248"/>
      <c r="R65" s="248"/>
      <c r="S65" s="248"/>
      <c r="T65" s="248"/>
      <c r="U65" s="248"/>
      <c r="V65" s="248"/>
      <c r="W65" s="248"/>
      <c r="X65" s="248"/>
    </row>
    <row r="66" spans="1:24" s="21" customFormat="1" x14ac:dyDescent="0.2">
      <c r="A66" s="50"/>
      <c r="B66" s="50"/>
      <c r="C66" s="51"/>
      <c r="D66" s="51"/>
      <c r="E66" s="51"/>
      <c r="F66" s="51"/>
      <c r="G66" s="51"/>
      <c r="H66" s="51"/>
      <c r="I66" s="51"/>
      <c r="J66" s="51"/>
      <c r="K66" s="51"/>
      <c r="L66" s="51"/>
      <c r="M66" s="51"/>
      <c r="N66" s="51"/>
      <c r="O66" s="51"/>
      <c r="P66" s="51"/>
      <c r="Q66" s="51"/>
      <c r="R66" s="51"/>
      <c r="S66" s="51"/>
      <c r="T66" s="51"/>
      <c r="U66" s="51"/>
      <c r="V66" s="51"/>
      <c r="W66" s="51"/>
      <c r="X66" s="51"/>
    </row>
    <row r="67" spans="1:24" s="21" customFormat="1" ht="12.75" customHeight="1" x14ac:dyDescent="0.2">
      <c r="A67" s="243" t="s">
        <v>200</v>
      </c>
      <c r="B67" s="243"/>
      <c r="C67" s="244"/>
      <c r="D67" s="244"/>
      <c r="E67" s="244"/>
      <c r="F67" s="244"/>
      <c r="G67" s="244"/>
      <c r="H67" s="244"/>
      <c r="I67" s="244"/>
      <c r="J67" s="244"/>
      <c r="K67" s="244"/>
      <c r="L67" s="244"/>
      <c r="M67" s="244"/>
      <c r="N67" s="244"/>
      <c r="O67" s="244"/>
      <c r="P67" s="244"/>
      <c r="Q67" s="244"/>
      <c r="R67" s="244"/>
      <c r="S67" s="244"/>
      <c r="T67" s="244"/>
      <c r="U67" s="244"/>
      <c r="V67" s="244"/>
      <c r="W67" s="244"/>
      <c r="X67" s="244"/>
    </row>
    <row r="68" spans="1:24" s="21" customFormat="1" x14ac:dyDescent="0.2">
      <c r="A68" s="243" t="s">
        <v>201</v>
      </c>
      <c r="B68" s="243"/>
      <c r="C68" s="244"/>
      <c r="D68" s="244"/>
      <c r="E68" s="244"/>
      <c r="F68" s="244"/>
      <c r="G68" s="244"/>
      <c r="H68" s="244"/>
      <c r="I68" s="244"/>
      <c r="J68" s="244"/>
      <c r="K68" s="244"/>
      <c r="L68" s="244"/>
      <c r="M68" s="244"/>
      <c r="N68" s="244"/>
      <c r="O68" s="244"/>
      <c r="P68" s="244"/>
      <c r="Q68" s="244"/>
      <c r="R68" s="244"/>
      <c r="S68" s="244"/>
      <c r="T68" s="244"/>
      <c r="U68" s="244"/>
      <c r="V68" s="244"/>
      <c r="W68" s="244"/>
      <c r="X68" s="244"/>
    </row>
    <row r="69" spans="1:24" s="21" customFormat="1" ht="12.75" customHeight="1" x14ac:dyDescent="0.2">
      <c r="A69" s="243" t="s">
        <v>202</v>
      </c>
      <c r="B69" s="243"/>
      <c r="C69" s="244"/>
      <c r="D69" s="244"/>
      <c r="E69" s="244"/>
      <c r="F69" s="244"/>
      <c r="G69" s="244"/>
      <c r="H69" s="244"/>
      <c r="I69" s="244"/>
      <c r="J69" s="244"/>
      <c r="K69" s="244"/>
      <c r="L69" s="244"/>
      <c r="M69" s="244"/>
      <c r="N69" s="244"/>
      <c r="O69" s="244"/>
      <c r="P69" s="244"/>
      <c r="Q69" s="244"/>
      <c r="R69" s="244"/>
      <c r="S69" s="244"/>
      <c r="T69" s="244"/>
      <c r="U69" s="244"/>
      <c r="V69" s="244"/>
      <c r="W69" s="244"/>
      <c r="X69" s="244"/>
    </row>
    <row r="70" spans="1:24" s="21" customFormat="1" ht="12.75" customHeight="1" x14ac:dyDescent="0.2">
      <c r="A70" s="243" t="s">
        <v>203</v>
      </c>
      <c r="B70" s="243"/>
      <c r="C70" s="244"/>
      <c r="D70" s="244"/>
      <c r="E70" s="244"/>
      <c r="F70" s="244"/>
      <c r="G70" s="244"/>
      <c r="H70" s="244"/>
      <c r="I70" s="244"/>
      <c r="J70" s="244"/>
      <c r="K70" s="244"/>
      <c r="L70" s="244"/>
      <c r="M70" s="244"/>
      <c r="N70" s="244"/>
      <c r="O70" s="244"/>
      <c r="P70" s="244"/>
      <c r="Q70" s="244"/>
      <c r="R70" s="244"/>
      <c r="S70" s="244"/>
      <c r="T70" s="244"/>
      <c r="U70" s="244"/>
      <c r="V70" s="244"/>
      <c r="W70" s="244"/>
      <c r="X70" s="244"/>
    </row>
    <row r="71" spans="1:24" s="21" customFormat="1" ht="12.75" customHeight="1" x14ac:dyDescent="0.2">
      <c r="A71" s="243" t="s">
        <v>204</v>
      </c>
      <c r="B71" s="243"/>
      <c r="C71" s="244"/>
      <c r="D71" s="244"/>
      <c r="E71" s="244"/>
      <c r="F71" s="244"/>
      <c r="G71" s="244"/>
      <c r="H71" s="244"/>
      <c r="I71" s="244"/>
      <c r="J71" s="244"/>
      <c r="K71" s="244"/>
      <c r="L71" s="244"/>
      <c r="M71" s="244"/>
      <c r="N71" s="244"/>
      <c r="O71" s="244"/>
      <c r="P71" s="244"/>
      <c r="Q71" s="244"/>
      <c r="R71" s="244"/>
      <c r="S71" s="244"/>
      <c r="T71" s="244"/>
      <c r="U71" s="244"/>
      <c r="V71" s="244"/>
      <c r="W71" s="244"/>
      <c r="X71" s="244"/>
    </row>
    <row r="72" spans="1:24" s="21" customFormat="1" ht="12.75" customHeight="1" x14ac:dyDescent="0.2">
      <c r="A72" s="243" t="s">
        <v>205</v>
      </c>
      <c r="B72" s="243"/>
      <c r="C72" s="244"/>
      <c r="D72" s="244"/>
      <c r="E72" s="244"/>
      <c r="F72" s="244"/>
      <c r="G72" s="244"/>
      <c r="H72" s="244"/>
      <c r="I72" s="244"/>
      <c r="J72" s="244"/>
      <c r="K72" s="244"/>
      <c r="L72" s="244"/>
      <c r="M72" s="244"/>
      <c r="N72" s="244"/>
      <c r="O72" s="244"/>
      <c r="P72" s="244"/>
      <c r="Q72" s="244"/>
      <c r="R72" s="244"/>
      <c r="S72" s="244"/>
      <c r="T72" s="244"/>
      <c r="U72" s="244"/>
      <c r="V72" s="244"/>
      <c r="W72" s="244"/>
      <c r="X72" s="244"/>
    </row>
    <row r="73" spans="1:24" s="21" customFormat="1" x14ac:dyDescent="0.2">
      <c r="A73" s="22"/>
      <c r="B73" s="22"/>
      <c r="F73" s="33"/>
      <c r="G73" s="34"/>
      <c r="H73" s="35"/>
    </row>
    <row r="74" spans="1:24" s="21" customFormat="1" ht="12.75" customHeight="1" x14ac:dyDescent="0.2">
      <c r="A74" s="247" t="s">
        <v>206</v>
      </c>
      <c r="B74" s="247"/>
      <c r="C74" s="248"/>
      <c r="D74" s="248"/>
      <c r="E74" s="248"/>
      <c r="F74" s="248"/>
      <c r="G74" s="248"/>
      <c r="H74" s="248"/>
      <c r="I74" s="248"/>
      <c r="J74" s="248"/>
      <c r="K74" s="248"/>
      <c r="L74" s="248"/>
      <c r="M74" s="248"/>
      <c r="N74" s="248"/>
      <c r="O74" s="248"/>
      <c r="P74" s="248"/>
      <c r="Q74" s="248"/>
      <c r="R74" s="248"/>
      <c r="S74" s="248"/>
      <c r="T74" s="248"/>
      <c r="U74" s="248"/>
      <c r="V74" s="248"/>
      <c r="W74" s="248"/>
      <c r="X74" s="248"/>
    </row>
    <row r="75" spans="1:24" s="21" customFormat="1" x14ac:dyDescent="0.2">
      <c r="A75" s="50"/>
      <c r="B75" s="50"/>
      <c r="C75" s="51"/>
      <c r="D75" s="51"/>
      <c r="E75" s="51"/>
      <c r="F75" s="51"/>
      <c r="G75" s="51"/>
      <c r="H75" s="51"/>
      <c r="I75" s="51"/>
      <c r="J75" s="51"/>
      <c r="K75" s="51"/>
      <c r="L75" s="51"/>
      <c r="M75" s="51"/>
      <c r="N75" s="51"/>
      <c r="O75" s="51"/>
      <c r="P75" s="51"/>
      <c r="Q75" s="51"/>
      <c r="R75" s="51"/>
      <c r="S75" s="51"/>
      <c r="T75" s="51"/>
      <c r="U75" s="51"/>
      <c r="V75" s="51"/>
      <c r="W75" s="51"/>
      <c r="X75" s="51"/>
    </row>
    <row r="76" spans="1:24" s="21" customFormat="1" ht="12.75" customHeight="1" x14ac:dyDescent="0.2">
      <c r="A76" s="243" t="s">
        <v>207</v>
      </c>
      <c r="B76" s="243"/>
      <c r="C76" s="244"/>
      <c r="D76" s="244"/>
      <c r="E76" s="244"/>
      <c r="F76" s="244"/>
      <c r="G76" s="244"/>
      <c r="H76" s="244"/>
      <c r="I76" s="244"/>
      <c r="J76" s="244"/>
      <c r="K76" s="244"/>
      <c r="L76" s="244"/>
      <c r="M76" s="244"/>
      <c r="N76" s="244"/>
      <c r="O76" s="244"/>
      <c r="P76" s="244"/>
      <c r="Q76" s="244"/>
      <c r="R76" s="244"/>
      <c r="S76" s="244"/>
      <c r="T76" s="244"/>
      <c r="U76" s="244"/>
      <c r="V76" s="244"/>
      <c r="W76" s="244"/>
      <c r="X76" s="244"/>
    </row>
    <row r="77" spans="1:24" s="21" customFormat="1" ht="26.1" customHeight="1" x14ac:dyDescent="0.2">
      <c r="A77" s="239" t="s">
        <v>208</v>
      </c>
      <c r="B77" s="239"/>
      <c r="C77" s="240"/>
      <c r="D77" s="240"/>
      <c r="E77" s="240"/>
      <c r="F77" s="240"/>
      <c r="G77" s="240"/>
      <c r="H77" s="240"/>
      <c r="I77" s="240"/>
      <c r="J77" s="240"/>
      <c r="K77" s="240"/>
      <c r="L77" s="240"/>
      <c r="M77" s="240"/>
      <c r="N77" s="240"/>
      <c r="O77" s="240"/>
      <c r="P77" s="240"/>
      <c r="Q77" s="240"/>
      <c r="R77" s="240"/>
      <c r="S77" s="240"/>
      <c r="T77" s="240"/>
      <c r="U77" s="240"/>
      <c r="V77" s="240"/>
      <c r="W77" s="240"/>
      <c r="X77" s="240"/>
    </row>
    <row r="78" spans="1:24" s="21" customFormat="1" ht="12.75" customHeight="1" x14ac:dyDescent="0.2">
      <c r="A78" s="243" t="s">
        <v>209</v>
      </c>
      <c r="B78" s="243"/>
      <c r="C78" s="244"/>
      <c r="D78" s="244"/>
      <c r="E78" s="244"/>
      <c r="F78" s="244"/>
      <c r="G78" s="244"/>
      <c r="H78" s="244"/>
      <c r="I78" s="244"/>
      <c r="J78" s="244"/>
      <c r="K78" s="244"/>
      <c r="L78" s="244"/>
      <c r="M78" s="244"/>
      <c r="N78" s="244"/>
      <c r="O78" s="244"/>
      <c r="P78" s="244"/>
      <c r="Q78" s="244"/>
      <c r="R78" s="244"/>
      <c r="S78" s="244"/>
      <c r="T78" s="244"/>
      <c r="U78" s="244"/>
      <c r="V78" s="244"/>
      <c r="W78" s="244"/>
      <c r="X78" s="244"/>
    </row>
    <row r="79" spans="1:24" s="21" customFormat="1" ht="25.5" customHeight="1" x14ac:dyDescent="0.2">
      <c r="A79" s="243" t="s">
        <v>210</v>
      </c>
      <c r="B79" s="243"/>
      <c r="C79" s="244"/>
      <c r="D79" s="244"/>
      <c r="E79" s="244"/>
      <c r="F79" s="244"/>
      <c r="G79" s="244"/>
      <c r="H79" s="244"/>
      <c r="I79" s="244"/>
      <c r="J79" s="244"/>
      <c r="K79" s="244"/>
      <c r="L79" s="244"/>
      <c r="M79" s="244"/>
      <c r="N79" s="244"/>
      <c r="O79" s="244"/>
      <c r="P79" s="244"/>
      <c r="Q79" s="244"/>
      <c r="R79" s="244"/>
      <c r="S79" s="244"/>
      <c r="T79" s="244"/>
      <c r="U79" s="244"/>
      <c r="V79" s="244"/>
      <c r="W79" s="244"/>
      <c r="X79" s="244"/>
    </row>
    <row r="80" spans="1:24" s="21" customFormat="1" x14ac:dyDescent="0.2">
      <c r="A80" s="239" t="s">
        <v>211</v>
      </c>
      <c r="B80" s="239"/>
      <c r="C80" s="240"/>
      <c r="D80" s="240"/>
      <c r="E80" s="240"/>
      <c r="F80" s="240"/>
      <c r="G80" s="240"/>
      <c r="H80" s="240"/>
      <c r="I80" s="240"/>
      <c r="J80" s="240"/>
      <c r="K80" s="240"/>
      <c r="L80" s="240"/>
      <c r="M80" s="240"/>
      <c r="N80" s="240"/>
      <c r="O80" s="240"/>
      <c r="P80" s="240"/>
      <c r="Q80" s="240"/>
      <c r="R80" s="240"/>
      <c r="S80" s="240"/>
      <c r="T80" s="240"/>
      <c r="U80" s="240"/>
      <c r="V80" s="240"/>
      <c r="W80" s="240"/>
      <c r="X80" s="240"/>
    </row>
    <row r="81" spans="1:24" ht="12.75" customHeight="1" x14ac:dyDescent="0.2">
      <c r="A81" s="243" t="s">
        <v>212</v>
      </c>
      <c r="B81" s="243"/>
      <c r="C81" s="244"/>
      <c r="D81" s="244"/>
      <c r="E81" s="244"/>
      <c r="F81" s="244"/>
      <c r="G81" s="244"/>
      <c r="H81" s="244"/>
      <c r="I81" s="244"/>
      <c r="J81" s="244"/>
      <c r="K81" s="244"/>
      <c r="L81" s="244"/>
      <c r="M81" s="244"/>
      <c r="N81" s="244"/>
      <c r="O81" s="244"/>
      <c r="P81" s="244"/>
      <c r="Q81" s="244"/>
      <c r="R81" s="244"/>
      <c r="S81" s="244"/>
      <c r="T81" s="244"/>
      <c r="U81" s="244"/>
      <c r="V81" s="244"/>
      <c r="W81" s="244"/>
      <c r="X81" s="244"/>
    </row>
    <row r="82" spans="1:24" ht="26.1" customHeight="1" x14ac:dyDescent="0.2">
      <c r="A82" s="243" t="s">
        <v>213</v>
      </c>
      <c r="B82" s="243"/>
      <c r="C82" s="244"/>
      <c r="D82" s="244"/>
      <c r="E82" s="244"/>
      <c r="F82" s="244"/>
      <c r="G82" s="244"/>
      <c r="H82" s="244"/>
      <c r="I82" s="244"/>
      <c r="J82" s="244"/>
      <c r="K82" s="244"/>
      <c r="L82" s="244"/>
      <c r="M82" s="244"/>
      <c r="N82" s="244"/>
      <c r="O82" s="244"/>
      <c r="P82" s="244"/>
      <c r="Q82" s="244"/>
      <c r="R82" s="244"/>
      <c r="S82" s="244"/>
      <c r="T82" s="244"/>
      <c r="U82" s="244"/>
      <c r="V82" s="244"/>
      <c r="W82" s="244"/>
      <c r="X82" s="244"/>
    </row>
    <row r="83" spans="1:24" s="21" customFormat="1" ht="26.1" customHeight="1" x14ac:dyDescent="0.2">
      <c r="A83" s="243" t="s">
        <v>214</v>
      </c>
      <c r="B83" s="243"/>
      <c r="C83" s="244"/>
      <c r="D83" s="244"/>
      <c r="E83" s="244"/>
      <c r="F83" s="244"/>
      <c r="G83" s="244"/>
      <c r="H83" s="244"/>
      <c r="I83" s="244"/>
      <c r="J83" s="244"/>
      <c r="K83" s="244"/>
      <c r="L83" s="244"/>
      <c r="M83" s="244"/>
      <c r="N83" s="244"/>
      <c r="O83" s="244"/>
      <c r="P83" s="244"/>
      <c r="Q83" s="244"/>
      <c r="R83" s="244"/>
      <c r="S83" s="244"/>
      <c r="T83" s="244"/>
      <c r="U83" s="244"/>
      <c r="V83" s="244"/>
      <c r="W83" s="244"/>
      <c r="X83" s="244"/>
    </row>
    <row r="84" spans="1:24" s="21" customFormat="1" ht="12.75" customHeight="1" x14ac:dyDescent="0.2">
      <c r="A84" s="243" t="s">
        <v>215</v>
      </c>
      <c r="B84" s="243"/>
      <c r="C84" s="244"/>
      <c r="D84" s="244"/>
      <c r="E84" s="244"/>
      <c r="F84" s="244"/>
      <c r="G84" s="244"/>
      <c r="H84" s="244"/>
      <c r="I84" s="244"/>
      <c r="J84" s="244"/>
      <c r="K84" s="244"/>
      <c r="L84" s="244"/>
      <c r="M84" s="244"/>
      <c r="N84" s="244"/>
      <c r="O84" s="244"/>
      <c r="P84" s="244"/>
      <c r="Q84" s="244"/>
      <c r="R84" s="244"/>
      <c r="S84" s="244"/>
      <c r="T84" s="244"/>
      <c r="U84" s="244"/>
      <c r="V84" s="244"/>
      <c r="W84" s="244"/>
      <c r="X84" s="244"/>
    </row>
    <row r="85" spans="1:24" s="21" customFormat="1" x14ac:dyDescent="0.2">
      <c r="A85" s="243" t="s">
        <v>216</v>
      </c>
      <c r="B85" s="243"/>
      <c r="C85" s="244"/>
      <c r="D85" s="244"/>
      <c r="E85" s="244"/>
      <c r="F85" s="244"/>
      <c r="G85" s="244"/>
      <c r="H85" s="244"/>
      <c r="I85" s="244"/>
      <c r="J85" s="244"/>
      <c r="K85" s="244"/>
      <c r="L85" s="244"/>
      <c r="M85" s="244"/>
      <c r="N85" s="244"/>
      <c r="O85" s="244"/>
      <c r="P85" s="244"/>
      <c r="Q85" s="244"/>
      <c r="R85" s="244"/>
      <c r="S85" s="244"/>
      <c r="T85" s="244"/>
      <c r="U85" s="244"/>
      <c r="V85" s="244"/>
      <c r="W85" s="244"/>
      <c r="X85" s="244"/>
    </row>
    <row r="86" spans="1:24" ht="12.75" customHeight="1" x14ac:dyDescent="0.2">
      <c r="A86" s="239" t="s">
        <v>217</v>
      </c>
      <c r="B86" s="239"/>
      <c r="C86" s="240"/>
      <c r="D86" s="240"/>
      <c r="E86" s="240"/>
      <c r="F86" s="240"/>
      <c r="G86" s="240"/>
      <c r="H86" s="240"/>
      <c r="I86" s="240"/>
      <c r="J86" s="240"/>
      <c r="K86" s="240"/>
      <c r="L86" s="240"/>
      <c r="M86" s="240"/>
      <c r="N86" s="240"/>
      <c r="O86" s="240"/>
      <c r="P86" s="240"/>
      <c r="Q86" s="240"/>
      <c r="R86" s="240"/>
      <c r="S86" s="240"/>
      <c r="T86" s="240"/>
      <c r="U86" s="240"/>
      <c r="V86" s="240"/>
      <c r="W86" s="240"/>
      <c r="X86" s="240"/>
    </row>
    <row r="87" spans="1:24" x14ac:dyDescent="0.2">
      <c r="A87" s="243" t="s">
        <v>218</v>
      </c>
      <c r="B87" s="243"/>
      <c r="C87" s="244"/>
      <c r="D87" s="244"/>
      <c r="E87" s="244"/>
      <c r="F87" s="244"/>
      <c r="G87" s="244"/>
      <c r="H87" s="244"/>
      <c r="I87" s="244"/>
      <c r="J87" s="244"/>
      <c r="K87" s="244"/>
      <c r="L87" s="244"/>
      <c r="M87" s="244"/>
      <c r="N87" s="244"/>
      <c r="O87" s="244"/>
      <c r="P87" s="244"/>
      <c r="Q87" s="244"/>
      <c r="R87" s="244"/>
      <c r="S87" s="244"/>
      <c r="T87" s="244"/>
      <c r="U87" s="244"/>
      <c r="V87" s="244"/>
      <c r="W87" s="244"/>
      <c r="X87" s="244"/>
    </row>
    <row r="88" spans="1:24" x14ac:dyDescent="0.2">
      <c r="A88" s="243" t="s">
        <v>219</v>
      </c>
      <c r="B88" s="243"/>
      <c r="C88" s="244"/>
      <c r="D88" s="244"/>
      <c r="E88" s="244"/>
      <c r="F88" s="244"/>
      <c r="G88" s="244"/>
      <c r="H88" s="244"/>
      <c r="I88" s="244"/>
      <c r="J88" s="244"/>
      <c r="K88" s="244"/>
      <c r="L88" s="244"/>
      <c r="M88" s="244"/>
      <c r="N88" s="244"/>
      <c r="O88" s="244"/>
      <c r="P88" s="244"/>
      <c r="Q88" s="244"/>
      <c r="R88" s="244"/>
      <c r="S88" s="244"/>
      <c r="T88" s="244"/>
      <c r="U88" s="244"/>
      <c r="V88" s="244"/>
      <c r="W88" s="244"/>
      <c r="X88" s="244"/>
    </row>
    <row r="90" spans="1:24" x14ac:dyDescent="0.2">
      <c r="A90" s="247" t="s">
        <v>220</v>
      </c>
      <c r="B90" s="247"/>
      <c r="C90" s="248"/>
      <c r="D90" s="248"/>
      <c r="E90" s="248"/>
      <c r="F90" s="248"/>
      <c r="G90" s="248"/>
      <c r="H90" s="248"/>
      <c r="I90" s="248"/>
      <c r="J90" s="248"/>
      <c r="K90" s="248"/>
      <c r="L90" s="248"/>
      <c r="M90" s="248"/>
      <c r="N90" s="248"/>
      <c r="O90" s="248"/>
      <c r="P90" s="248"/>
      <c r="Q90" s="248"/>
      <c r="R90" s="248"/>
      <c r="S90" s="248"/>
      <c r="T90" s="248"/>
      <c r="U90" s="248"/>
      <c r="V90" s="248"/>
      <c r="W90" s="248"/>
      <c r="X90" s="248"/>
    </row>
    <row r="91" spans="1:24" x14ac:dyDescent="0.2">
      <c r="A91" s="50"/>
      <c r="B91" s="50"/>
      <c r="C91" s="51"/>
      <c r="D91" s="51"/>
      <c r="E91" s="51"/>
      <c r="F91" s="51"/>
      <c r="G91" s="51"/>
      <c r="H91" s="51"/>
      <c r="I91" s="51"/>
      <c r="J91" s="51"/>
      <c r="K91" s="51"/>
      <c r="L91" s="51"/>
      <c r="M91" s="51"/>
      <c r="N91" s="51"/>
      <c r="O91" s="51"/>
      <c r="P91" s="51"/>
      <c r="Q91" s="51"/>
      <c r="R91" s="51"/>
      <c r="S91" s="51"/>
      <c r="T91" s="51"/>
      <c r="U91" s="51"/>
      <c r="V91" s="51"/>
      <c r="W91" s="51"/>
      <c r="X91" s="51"/>
    </row>
    <row r="92" spans="1:24" x14ac:dyDescent="0.2">
      <c r="A92" s="243" t="s">
        <v>221</v>
      </c>
      <c r="B92" s="243"/>
      <c r="C92" s="244"/>
      <c r="D92" s="244"/>
      <c r="E92" s="244"/>
      <c r="F92" s="244"/>
      <c r="G92" s="244"/>
      <c r="H92" s="244"/>
      <c r="I92" s="244"/>
      <c r="J92" s="244"/>
      <c r="K92" s="244"/>
      <c r="L92" s="244"/>
      <c r="M92" s="244"/>
      <c r="N92" s="244"/>
      <c r="O92" s="244"/>
      <c r="P92" s="244"/>
      <c r="Q92" s="244"/>
      <c r="R92" s="244"/>
      <c r="S92" s="244"/>
      <c r="T92" s="244"/>
      <c r="U92" s="244"/>
      <c r="V92" s="244"/>
      <c r="W92" s="244"/>
      <c r="X92" s="244"/>
    </row>
    <row r="93" spans="1:24" ht="12.75" customHeight="1" x14ac:dyDescent="0.2">
      <c r="A93" s="239" t="s">
        <v>222</v>
      </c>
      <c r="B93" s="239"/>
      <c r="C93" s="240"/>
      <c r="D93" s="240"/>
      <c r="E93" s="240"/>
      <c r="F93" s="240"/>
      <c r="G93" s="240"/>
      <c r="H93" s="240"/>
      <c r="I93" s="240"/>
      <c r="J93" s="240"/>
      <c r="K93" s="240"/>
      <c r="L93" s="240"/>
      <c r="M93" s="240"/>
      <c r="N93" s="240"/>
      <c r="O93" s="240"/>
      <c r="P93" s="240"/>
      <c r="Q93" s="240"/>
      <c r="R93" s="240"/>
      <c r="S93" s="240"/>
      <c r="T93" s="240"/>
      <c r="U93" s="240"/>
      <c r="V93" s="240"/>
      <c r="W93" s="240"/>
      <c r="X93" s="240"/>
    </row>
    <row r="94" spans="1:24" ht="12.75" customHeight="1" x14ac:dyDescent="0.2">
      <c r="A94" s="243" t="s">
        <v>223</v>
      </c>
      <c r="B94" s="243"/>
      <c r="C94" s="244"/>
      <c r="D94" s="244"/>
      <c r="E94" s="244"/>
      <c r="F94" s="244"/>
      <c r="G94" s="244"/>
      <c r="H94" s="244"/>
      <c r="I94" s="244"/>
      <c r="J94" s="244"/>
      <c r="K94" s="244"/>
      <c r="L94" s="244"/>
      <c r="M94" s="244"/>
      <c r="N94" s="244"/>
      <c r="O94" s="244"/>
      <c r="P94" s="244"/>
      <c r="Q94" s="244"/>
      <c r="R94" s="244"/>
      <c r="S94" s="244"/>
      <c r="T94" s="244"/>
      <c r="U94" s="244"/>
      <c r="V94" s="244"/>
      <c r="W94" s="244"/>
      <c r="X94" s="244"/>
    </row>
    <row r="95" spans="1:24" x14ac:dyDescent="0.2">
      <c r="A95" s="243" t="s">
        <v>224</v>
      </c>
      <c r="B95" s="243"/>
      <c r="C95" s="244"/>
      <c r="D95" s="244"/>
      <c r="E95" s="244"/>
      <c r="F95" s="244"/>
      <c r="G95" s="244"/>
      <c r="H95" s="244"/>
      <c r="I95" s="244"/>
      <c r="J95" s="244"/>
      <c r="K95" s="244"/>
      <c r="L95" s="244"/>
      <c r="M95" s="244"/>
      <c r="N95" s="244"/>
      <c r="O95" s="244"/>
      <c r="P95" s="244"/>
      <c r="Q95" s="244"/>
      <c r="R95" s="244"/>
      <c r="S95" s="244"/>
      <c r="T95" s="244"/>
      <c r="U95" s="244"/>
      <c r="V95" s="244"/>
      <c r="W95" s="244"/>
      <c r="X95" s="244"/>
    </row>
    <row r="96" spans="1:24" ht="12.75" customHeight="1" x14ac:dyDescent="0.2">
      <c r="A96" s="239"/>
      <c r="B96" s="239"/>
      <c r="C96" s="240"/>
      <c r="D96" s="240"/>
      <c r="E96" s="240"/>
      <c r="F96" s="240"/>
      <c r="G96" s="240"/>
      <c r="H96" s="240"/>
      <c r="I96" s="240"/>
      <c r="J96" s="240"/>
      <c r="K96" s="240"/>
      <c r="L96" s="240"/>
      <c r="M96" s="240"/>
      <c r="N96" s="240"/>
      <c r="O96" s="240"/>
      <c r="P96" s="240"/>
      <c r="Q96" s="240"/>
      <c r="R96" s="240"/>
      <c r="S96" s="240"/>
      <c r="T96" s="240"/>
      <c r="U96" s="240"/>
      <c r="V96" s="240"/>
      <c r="W96" s="240"/>
      <c r="X96" s="240"/>
    </row>
    <row r="97" spans="1:24" x14ac:dyDescent="0.2">
      <c r="A97" s="247" t="s">
        <v>225</v>
      </c>
      <c r="B97" s="247"/>
      <c r="C97" s="248"/>
      <c r="D97" s="248"/>
      <c r="E97" s="248"/>
      <c r="F97" s="248"/>
      <c r="G97" s="248"/>
      <c r="H97" s="248"/>
      <c r="I97" s="248"/>
      <c r="J97" s="248"/>
      <c r="K97" s="248"/>
      <c r="L97" s="248"/>
      <c r="M97" s="248"/>
      <c r="N97" s="248"/>
      <c r="O97" s="248"/>
      <c r="P97" s="248"/>
      <c r="Q97" s="248"/>
      <c r="R97" s="248"/>
      <c r="S97" s="248"/>
      <c r="T97" s="248"/>
      <c r="U97" s="248"/>
      <c r="V97" s="248"/>
      <c r="W97" s="248"/>
      <c r="X97" s="248"/>
    </row>
    <row r="98" spans="1:24" ht="12.75" customHeight="1" x14ac:dyDescent="0.2">
      <c r="A98" s="239"/>
      <c r="B98" s="239"/>
      <c r="C98" s="240"/>
      <c r="D98" s="240"/>
      <c r="E98" s="240"/>
      <c r="F98" s="240"/>
      <c r="G98" s="240"/>
      <c r="H98" s="240"/>
      <c r="I98" s="240"/>
      <c r="J98" s="240"/>
      <c r="K98" s="240"/>
      <c r="L98" s="240"/>
      <c r="M98" s="240"/>
      <c r="N98" s="240"/>
      <c r="O98" s="240"/>
      <c r="P98" s="240"/>
      <c r="Q98" s="240"/>
      <c r="R98" s="240"/>
      <c r="S98" s="240"/>
      <c r="T98" s="240"/>
      <c r="U98" s="240"/>
      <c r="V98" s="240"/>
      <c r="W98" s="240"/>
      <c r="X98" s="240"/>
    </row>
    <row r="99" spans="1:24" ht="12.75" customHeight="1" x14ac:dyDescent="0.2">
      <c r="A99" s="243" t="s">
        <v>226</v>
      </c>
      <c r="B99" s="243"/>
      <c r="C99" s="244"/>
      <c r="D99" s="244"/>
      <c r="E99" s="244"/>
      <c r="F99" s="244"/>
      <c r="G99" s="244"/>
      <c r="H99" s="244"/>
      <c r="I99" s="244"/>
      <c r="J99" s="244"/>
      <c r="K99" s="244"/>
      <c r="L99" s="244"/>
      <c r="M99" s="244"/>
      <c r="N99" s="244"/>
      <c r="O99" s="244"/>
      <c r="P99" s="244"/>
      <c r="Q99" s="244"/>
      <c r="R99" s="244"/>
      <c r="S99" s="244"/>
      <c r="T99" s="244"/>
      <c r="U99" s="244"/>
      <c r="V99" s="244"/>
      <c r="W99" s="244"/>
      <c r="X99" s="244"/>
    </row>
    <row r="100" spans="1:24" ht="12.75" customHeight="1" x14ac:dyDescent="0.2">
      <c r="A100" s="243" t="s">
        <v>227</v>
      </c>
      <c r="B100" s="243"/>
      <c r="C100" s="244"/>
      <c r="D100" s="244"/>
      <c r="E100" s="244"/>
      <c r="F100" s="244"/>
      <c r="G100" s="244"/>
      <c r="H100" s="244"/>
      <c r="I100" s="244"/>
      <c r="J100" s="244"/>
      <c r="K100" s="244"/>
      <c r="L100" s="244"/>
      <c r="M100" s="244"/>
      <c r="N100" s="244"/>
      <c r="O100" s="244"/>
      <c r="P100" s="244"/>
      <c r="Q100" s="244"/>
      <c r="R100" s="244"/>
      <c r="S100" s="244"/>
      <c r="T100" s="244"/>
      <c r="U100" s="244"/>
      <c r="V100" s="244"/>
      <c r="W100" s="244"/>
      <c r="X100" s="244"/>
    </row>
    <row r="101" spans="1:24" x14ac:dyDescent="0.2">
      <c r="A101" s="243" t="s">
        <v>228</v>
      </c>
      <c r="B101" s="243"/>
      <c r="C101" s="244"/>
      <c r="D101" s="244"/>
      <c r="E101" s="244"/>
      <c r="F101" s="244"/>
      <c r="G101" s="244"/>
      <c r="H101" s="244"/>
      <c r="I101" s="244"/>
      <c r="J101" s="244"/>
      <c r="K101" s="244"/>
      <c r="L101" s="244"/>
      <c r="M101" s="244"/>
      <c r="N101" s="244"/>
      <c r="O101" s="244"/>
      <c r="P101" s="244"/>
      <c r="Q101" s="244"/>
      <c r="R101" s="244"/>
      <c r="S101" s="244"/>
      <c r="T101" s="244"/>
      <c r="U101" s="244"/>
      <c r="V101" s="244"/>
      <c r="W101" s="244"/>
      <c r="X101" s="244"/>
    </row>
    <row r="102" spans="1:24" ht="12.75" customHeight="1" x14ac:dyDescent="0.2">
      <c r="A102" s="26"/>
      <c r="B102" s="26"/>
      <c r="C102" s="32"/>
      <c r="D102" s="32"/>
      <c r="E102" s="32"/>
      <c r="F102" s="32"/>
      <c r="G102" s="32"/>
      <c r="H102" s="32"/>
      <c r="I102" s="32"/>
      <c r="J102" s="32"/>
      <c r="K102" s="32"/>
      <c r="L102" s="32"/>
      <c r="M102" s="32"/>
      <c r="N102" s="32"/>
      <c r="O102" s="32"/>
      <c r="P102" s="32"/>
      <c r="Q102" s="32"/>
      <c r="R102" s="32"/>
      <c r="S102" s="32"/>
      <c r="T102" s="32"/>
      <c r="U102" s="32"/>
      <c r="V102" s="32"/>
      <c r="W102" s="32"/>
      <c r="X102" s="32"/>
    </row>
    <row r="103" spans="1:24" ht="12.75" customHeight="1" x14ac:dyDescent="0.2">
      <c r="A103" s="26"/>
      <c r="B103" s="26"/>
      <c r="C103" s="32"/>
      <c r="D103" s="32"/>
      <c r="E103" s="32"/>
      <c r="F103" s="32"/>
      <c r="G103" s="32"/>
      <c r="H103" s="32"/>
      <c r="I103" s="32"/>
      <c r="J103" s="32"/>
      <c r="K103" s="32"/>
      <c r="L103" s="32"/>
      <c r="M103" s="32"/>
      <c r="N103" s="32"/>
      <c r="O103" s="32"/>
      <c r="P103" s="32"/>
      <c r="Q103" s="32"/>
      <c r="R103" s="32"/>
      <c r="S103" s="32"/>
      <c r="T103" s="32"/>
      <c r="U103" s="32"/>
      <c r="V103" s="32"/>
      <c r="W103" s="32"/>
      <c r="X103" s="32"/>
    </row>
    <row r="104" spans="1:24" ht="12.75" customHeight="1" x14ac:dyDescent="0.2">
      <c r="A104" s="26"/>
      <c r="B104" s="26"/>
      <c r="C104" s="32"/>
      <c r="D104" s="32"/>
      <c r="E104" s="32"/>
      <c r="F104" s="32"/>
      <c r="G104" s="32"/>
      <c r="H104" s="32"/>
      <c r="I104" s="32"/>
      <c r="J104" s="32"/>
      <c r="K104" s="32"/>
      <c r="L104" s="32"/>
      <c r="M104" s="32"/>
      <c r="N104" s="32"/>
      <c r="O104" s="32"/>
      <c r="P104" s="32"/>
      <c r="Q104" s="32"/>
      <c r="R104" s="32"/>
      <c r="S104" s="32"/>
      <c r="T104" s="32"/>
      <c r="U104" s="32"/>
      <c r="V104" s="32"/>
      <c r="W104" s="32"/>
      <c r="X104" s="32"/>
    </row>
    <row r="105" spans="1:24" ht="12.75" customHeight="1" x14ac:dyDescent="0.2">
      <c r="A105" s="26"/>
      <c r="B105" s="26"/>
      <c r="C105" s="32"/>
      <c r="D105" s="32"/>
      <c r="E105" s="32"/>
      <c r="F105" s="32"/>
      <c r="G105" s="32"/>
      <c r="H105" s="32"/>
      <c r="I105" s="32"/>
      <c r="J105" s="32"/>
      <c r="K105" s="32"/>
      <c r="L105" s="32"/>
      <c r="M105" s="32"/>
      <c r="N105" s="32"/>
      <c r="O105" s="32"/>
      <c r="P105" s="32"/>
      <c r="Q105" s="32"/>
      <c r="R105" s="32"/>
      <c r="S105" s="32"/>
      <c r="T105" s="32"/>
      <c r="U105" s="32"/>
      <c r="V105" s="32"/>
      <c r="W105" s="32"/>
      <c r="X105" s="32"/>
    </row>
    <row r="106" spans="1:24" ht="12.75" customHeight="1" x14ac:dyDescent="0.2"/>
    <row r="107" spans="1:24" x14ac:dyDescent="0.2">
      <c r="A107"/>
      <c r="E107"/>
      <c r="F107"/>
      <c r="H107" s="38"/>
      <c r="L107" s="82" t="s">
        <v>132</v>
      </c>
      <c r="O107" s="82"/>
      <c r="P107" s="38"/>
      <c r="Q107" s="82"/>
    </row>
    <row r="108" spans="1:24" ht="12.75" customHeight="1" x14ac:dyDescent="0.2">
      <c r="A108"/>
      <c r="E108"/>
      <c r="F108"/>
      <c r="G108" s="31"/>
      <c r="H108" s="31"/>
      <c r="L108" s="82" t="s">
        <v>133</v>
      </c>
      <c r="P108" s="31"/>
      <c r="S108" s="208">
        <f ca="1">T38</f>
        <v>0.2487</v>
      </c>
    </row>
    <row r="109" spans="1:24" x14ac:dyDescent="0.2">
      <c r="A109"/>
      <c r="E109"/>
      <c r="F109"/>
      <c r="G109" s="31"/>
      <c r="H109" s="31"/>
      <c r="L109" s="82" t="s">
        <v>134</v>
      </c>
      <c r="P109" s="31"/>
      <c r="S109" s="208">
        <f ca="1">U38</f>
        <v>0.15690000000000001</v>
      </c>
    </row>
    <row r="110" spans="1:24" ht="12.75" customHeight="1" x14ac:dyDescent="0.2">
      <c r="A110"/>
      <c r="E110"/>
      <c r="F110"/>
      <c r="G110" s="31"/>
      <c r="H110" s="31"/>
      <c r="L110" s="82" t="s">
        <v>135</v>
      </c>
      <c r="P110" s="31"/>
      <c r="S110" s="208" t="str">
        <f ca="1">V38</f>
        <v/>
      </c>
    </row>
    <row r="111" spans="1:24" x14ac:dyDescent="0.2">
      <c r="A111"/>
      <c r="E111"/>
      <c r="F111"/>
      <c r="G111" s="31"/>
      <c r="H111" s="31"/>
      <c r="L111" s="82" t="s">
        <v>136</v>
      </c>
      <c r="P111" s="31"/>
      <c r="S111" s="208" t="str">
        <f ca="1">W38</f>
        <v/>
      </c>
    </row>
    <row r="112" spans="1:24" ht="12.75" customHeight="1" x14ac:dyDescent="0.2">
      <c r="A112"/>
      <c r="E112"/>
      <c r="F112"/>
      <c r="G112" s="31"/>
      <c r="H112" s="31"/>
      <c r="L112" s="82" t="s">
        <v>137</v>
      </c>
      <c r="P112" s="31"/>
      <c r="S112" s="208" t="str">
        <f ca="1">X38</f>
        <v/>
      </c>
    </row>
    <row r="113" spans="1:16" x14ac:dyDescent="0.2">
      <c r="A113"/>
      <c r="H113" s="38"/>
      <c r="L113" s="82" t="s">
        <v>66</v>
      </c>
    </row>
    <row r="114" spans="1:16" ht="12.75" customHeight="1" x14ac:dyDescent="0.2">
      <c r="A114"/>
      <c r="H114" s="38"/>
      <c r="L114" s="82" t="s">
        <v>67</v>
      </c>
    </row>
    <row r="115" spans="1:16" x14ac:dyDescent="0.2">
      <c r="A115"/>
      <c r="H115" s="38"/>
      <c r="L115" s="82" t="s">
        <v>68</v>
      </c>
      <c r="P115" s="1" t="s">
        <v>113</v>
      </c>
    </row>
    <row r="116" spans="1:16" x14ac:dyDescent="0.2">
      <c r="A116"/>
      <c r="H116" s="38"/>
      <c r="L116" s="82" t="s">
        <v>69</v>
      </c>
      <c r="P116" s="1" t="s">
        <v>114</v>
      </c>
    </row>
    <row r="117" spans="1:16" x14ac:dyDescent="0.2">
      <c r="A117"/>
      <c r="L117" s="82" t="s">
        <v>70</v>
      </c>
      <c r="P117" s="1" t="s">
        <v>115</v>
      </c>
    </row>
    <row r="118" spans="1:16" x14ac:dyDescent="0.2">
      <c r="A118"/>
      <c r="L118" s="82" t="s">
        <v>71</v>
      </c>
      <c r="P118" s="1" t="s">
        <v>94</v>
      </c>
    </row>
    <row r="119" spans="1:16" x14ac:dyDescent="0.2">
      <c r="A119"/>
      <c r="L119" s="82" t="s">
        <v>72</v>
      </c>
      <c r="P119" s="1" t="s">
        <v>95</v>
      </c>
    </row>
    <row r="120" spans="1:16" x14ac:dyDescent="0.2">
      <c r="A120"/>
      <c r="L120" s="82" t="s">
        <v>73</v>
      </c>
      <c r="P120" s="1" t="s">
        <v>96</v>
      </c>
    </row>
    <row r="121" spans="1:16" x14ac:dyDescent="0.2">
      <c r="A121"/>
      <c r="L121" s="82" t="s">
        <v>74</v>
      </c>
    </row>
    <row r="122" spans="1:16" x14ac:dyDescent="0.2">
      <c r="A122"/>
      <c r="L122" s="82" t="s">
        <v>75</v>
      </c>
      <c r="P122" s="94" t="s">
        <v>97</v>
      </c>
    </row>
    <row r="123" spans="1:16" x14ac:dyDescent="0.2">
      <c r="A123"/>
      <c r="L123" s="82" t="s">
        <v>76</v>
      </c>
      <c r="P123" s="94" t="s">
        <v>98</v>
      </c>
    </row>
    <row r="124" spans="1:16" x14ac:dyDescent="0.2">
      <c r="A124"/>
      <c r="L124" s="82" t="s">
        <v>77</v>
      </c>
    </row>
    <row r="125" spans="1:16" x14ac:dyDescent="0.2">
      <c r="A125"/>
      <c r="L125" s="82" t="s">
        <v>78</v>
      </c>
    </row>
    <row r="126" spans="1:16" x14ac:dyDescent="0.2">
      <c r="A126"/>
      <c r="L126" s="82" t="s">
        <v>79</v>
      </c>
    </row>
    <row r="127" spans="1:16" x14ac:dyDescent="0.2">
      <c r="A127"/>
      <c r="L127" s="82" t="s">
        <v>80</v>
      </c>
    </row>
    <row r="128" spans="1:16" x14ac:dyDescent="0.2">
      <c r="A128"/>
      <c r="L128" s="82" t="s">
        <v>81</v>
      </c>
    </row>
    <row r="129" spans="1:12" x14ac:dyDescent="0.2">
      <c r="A129"/>
      <c r="L129" s="82" t="s">
        <v>82</v>
      </c>
    </row>
    <row r="130" spans="1:12" x14ac:dyDescent="0.2">
      <c r="A130"/>
      <c r="L130" s="82" t="s">
        <v>83</v>
      </c>
    </row>
    <row r="131" spans="1:12" x14ac:dyDescent="0.2">
      <c r="A131"/>
      <c r="L131" s="82" t="s">
        <v>84</v>
      </c>
    </row>
    <row r="132" spans="1:12" x14ac:dyDescent="0.2">
      <c r="A132"/>
      <c r="L132" s="82" t="s">
        <v>65</v>
      </c>
    </row>
    <row r="133" spans="1:12" x14ac:dyDescent="0.2">
      <c r="A133"/>
      <c r="L133" s="82" t="s">
        <v>85</v>
      </c>
    </row>
    <row r="134" spans="1:12" x14ac:dyDescent="0.2">
      <c r="A134"/>
      <c r="L134" s="82" t="s">
        <v>86</v>
      </c>
    </row>
    <row r="135" spans="1:12" x14ac:dyDescent="0.2">
      <c r="A135"/>
    </row>
    <row r="136" spans="1:12" x14ac:dyDescent="0.2">
      <c r="A136"/>
    </row>
    <row r="137" spans="1:12" x14ac:dyDescent="0.2">
      <c r="A137"/>
    </row>
    <row r="138" spans="1:12" x14ac:dyDescent="0.2">
      <c r="A138"/>
    </row>
    <row r="139" spans="1:12" x14ac:dyDescent="0.2">
      <c r="A139"/>
    </row>
    <row r="140" spans="1:12" x14ac:dyDescent="0.2">
      <c r="A140"/>
    </row>
    <row r="141" spans="1:12" x14ac:dyDescent="0.2">
      <c r="A141"/>
    </row>
    <row r="142" spans="1:12" x14ac:dyDescent="0.2">
      <c r="A142"/>
    </row>
    <row r="143" spans="1:12" x14ac:dyDescent="0.2">
      <c r="A143"/>
    </row>
    <row r="144" spans="1:12" x14ac:dyDescent="0.2">
      <c r="A144"/>
    </row>
    <row r="145" spans="1:1" x14ac:dyDescent="0.2">
      <c r="A145"/>
    </row>
    <row r="146" spans="1:1" x14ac:dyDescent="0.2">
      <c r="A146"/>
    </row>
    <row r="147" spans="1:1" x14ac:dyDescent="0.2">
      <c r="A147"/>
    </row>
    <row r="148" spans="1:1" x14ac:dyDescent="0.2">
      <c r="A148"/>
    </row>
    <row r="149" spans="1:1" x14ac:dyDescent="0.2">
      <c r="A149"/>
    </row>
    <row r="150" spans="1:1" x14ac:dyDescent="0.2">
      <c r="A150"/>
    </row>
    <row r="151" spans="1:1" x14ac:dyDescent="0.2">
      <c r="A151"/>
    </row>
    <row r="152" spans="1:1" x14ac:dyDescent="0.2">
      <c r="A152"/>
    </row>
    <row r="153" spans="1:1" x14ac:dyDescent="0.2">
      <c r="A153"/>
    </row>
    <row r="154" spans="1:1" x14ac:dyDescent="0.2">
      <c r="A154"/>
    </row>
    <row r="155" spans="1:1" x14ac:dyDescent="0.2">
      <c r="A155"/>
    </row>
    <row r="156" spans="1:1" x14ac:dyDescent="0.2">
      <c r="A156"/>
    </row>
    <row r="157" spans="1:1" x14ac:dyDescent="0.2">
      <c r="A157"/>
    </row>
    <row r="158" spans="1:1" x14ac:dyDescent="0.2">
      <c r="A158"/>
    </row>
    <row r="159" spans="1:1" x14ac:dyDescent="0.2">
      <c r="A159"/>
    </row>
    <row r="160" spans="1:1" x14ac:dyDescent="0.2">
      <c r="A160"/>
    </row>
    <row r="161" spans="1:1" x14ac:dyDescent="0.2">
      <c r="A161"/>
    </row>
    <row r="162" spans="1:1" x14ac:dyDescent="0.2">
      <c r="A162"/>
    </row>
    <row r="163" spans="1:1" x14ac:dyDescent="0.2">
      <c r="A163"/>
    </row>
    <row r="164" spans="1:1" x14ac:dyDescent="0.2">
      <c r="A164"/>
    </row>
    <row r="165" spans="1:1" x14ac:dyDescent="0.2">
      <c r="A165"/>
    </row>
    <row r="166" spans="1:1" x14ac:dyDescent="0.2">
      <c r="A166"/>
    </row>
    <row r="167" spans="1:1" x14ac:dyDescent="0.2">
      <c r="A167"/>
    </row>
    <row r="168" spans="1:1" x14ac:dyDescent="0.2">
      <c r="A168"/>
    </row>
    <row r="169" spans="1:1" x14ac:dyDescent="0.2">
      <c r="A169"/>
    </row>
    <row r="170" spans="1:1" x14ac:dyDescent="0.2">
      <c r="A170"/>
    </row>
    <row r="171" spans="1:1" x14ac:dyDescent="0.2">
      <c r="A171"/>
    </row>
    <row r="172" spans="1:1" x14ac:dyDescent="0.2">
      <c r="A172"/>
    </row>
    <row r="173" spans="1:1" x14ac:dyDescent="0.2">
      <c r="A173"/>
    </row>
    <row r="174" spans="1:1" x14ac:dyDescent="0.2">
      <c r="A174"/>
    </row>
    <row r="175" spans="1:1" x14ac:dyDescent="0.2">
      <c r="A175"/>
    </row>
    <row r="176" spans="1:1" x14ac:dyDescent="0.2">
      <c r="A176"/>
    </row>
    <row r="177" spans="1:1" x14ac:dyDescent="0.2">
      <c r="A177"/>
    </row>
    <row r="178" spans="1:1" x14ac:dyDescent="0.2">
      <c r="A178"/>
    </row>
    <row r="179" spans="1:1" x14ac:dyDescent="0.2">
      <c r="A179"/>
    </row>
    <row r="180" spans="1:1" x14ac:dyDescent="0.2">
      <c r="A180"/>
    </row>
    <row r="219" spans="1:24" ht="12.75" customHeight="1" x14ac:dyDescent="0.2"/>
    <row r="220" spans="1:24" ht="12.75" customHeight="1" x14ac:dyDescent="0.2">
      <c r="A220" s="249" t="str">
        <f>A28</f>
        <v>Nº OPERAÇÃO</v>
      </c>
      <c r="B220" s="251"/>
      <c r="C220" s="249" t="str">
        <f>C28</f>
        <v>GESTOR</v>
      </c>
      <c r="D220" s="250"/>
      <c r="E220" s="251"/>
      <c r="F220" s="249" t="str">
        <f>F28</f>
        <v>PROGRAMA</v>
      </c>
      <c r="G220" s="250"/>
      <c r="H220" s="250"/>
      <c r="I220" s="251"/>
      <c r="J220" s="249" t="str">
        <f>J28</f>
        <v>AÇÃO / MODALIDADE</v>
      </c>
      <c r="K220" s="250"/>
      <c r="L220" s="250"/>
      <c r="M220" s="250"/>
      <c r="N220" s="250"/>
      <c r="O220" s="251"/>
      <c r="P220" s="249" t="str">
        <f>P28</f>
        <v>OBJETO</v>
      </c>
      <c r="Q220" s="250"/>
      <c r="R220" s="250"/>
      <c r="S220" s="250"/>
      <c r="T220" s="250"/>
      <c r="U220" s="250"/>
      <c r="V220" s="250"/>
      <c r="W220" s="250"/>
      <c r="X220" s="251"/>
    </row>
    <row r="221" spans="1:24" ht="12.75" customHeight="1" x14ac:dyDescent="0.2">
      <c r="A221" s="284" t="str">
        <f>IF(A29="","",A29)</f>
        <v>941472/2023</v>
      </c>
      <c r="B221" s="286"/>
      <c r="C221" s="284" t="str">
        <f>IF(C29="","",C29)</f>
        <v>MINISTÉRIO DO ESPORTE</v>
      </c>
      <c r="D221" s="285"/>
      <c r="E221" s="286"/>
      <c r="F221" s="284" t="str">
        <f>IF(F29="","",F29)</f>
        <v>APOIO A IMPLANTAÇÃO E MODERNIZAÇÃO DE INFRAESTRUTURA PARA ESPORTE EDUCACIONAL, RECREATIVO E DE LAZER</v>
      </c>
      <c r="G221" s="285"/>
      <c r="H221" s="285"/>
      <c r="I221" s="286"/>
      <c r="J221" s="284" t="str">
        <f>IF(J29="","",J29)</f>
        <v>RECUPERAÇÃO DE COMPLEXO ESPORTIVO DO DISTRITO DE SERTÃZINHO</v>
      </c>
      <c r="K221" s="285"/>
      <c r="L221" s="285" t="e">
        <f>IF(#REF!="","",#REF!)</f>
        <v>#REF!</v>
      </c>
      <c r="M221" s="285"/>
      <c r="N221" s="285" t="e">
        <f>IF(#REF!="","",#REF!)</f>
        <v>#REF!</v>
      </c>
      <c r="O221" s="286"/>
      <c r="P221" s="284" t="str">
        <f>IF(P29="","",P29)</f>
        <v>RECUPERAÇÃO DE COMPLEXO ESPORTIVO DO DISTRITO DE SERTÃZINHO</v>
      </c>
      <c r="Q221" s="285"/>
      <c r="R221" s="285"/>
      <c r="S221" s="285"/>
      <c r="T221" s="285"/>
      <c r="U221" s="285"/>
      <c r="V221" s="285"/>
      <c r="W221" s="285"/>
      <c r="X221" s="286"/>
    </row>
    <row r="222" spans="1:24" ht="6" customHeight="1" x14ac:dyDescent="0.2">
      <c r="A222" s="2"/>
      <c r="B222" s="2"/>
      <c r="C222" s="2"/>
      <c r="D222" s="2"/>
      <c r="E222" s="2"/>
      <c r="F222" s="2"/>
      <c r="G222" s="2"/>
      <c r="H222" s="2"/>
      <c r="I222" s="2"/>
      <c r="J222" s="2"/>
      <c r="K222" s="2"/>
      <c r="L222" s="2"/>
      <c r="M222" s="2"/>
      <c r="N222" s="2"/>
      <c r="O222" s="2"/>
      <c r="P222" s="2"/>
      <c r="Q222" s="2"/>
      <c r="R222" s="2"/>
      <c r="S222" s="2"/>
      <c r="T222" s="2"/>
      <c r="U222" s="2"/>
      <c r="V222" s="2"/>
      <c r="W222" s="21"/>
      <c r="X222" s="21"/>
    </row>
    <row r="223" spans="1:24" x14ac:dyDescent="0.2">
      <c r="A223" s="249" t="str">
        <f>A31</f>
        <v>PROPONENTE / TOMADOR</v>
      </c>
      <c r="B223" s="250"/>
      <c r="C223" s="250"/>
      <c r="D223" s="250"/>
      <c r="E223" s="250"/>
      <c r="F223" s="250"/>
      <c r="G223" s="249" t="str">
        <f>G31</f>
        <v>MUNICÍPIO / UF</v>
      </c>
      <c r="H223" s="250"/>
      <c r="I223" s="250"/>
      <c r="J223" s="251"/>
      <c r="K223" s="249" t="str">
        <f>K31</f>
        <v>LOCALIDADE / ENDEREÇO</v>
      </c>
      <c r="L223" s="250"/>
      <c r="M223" s="250"/>
      <c r="N223" s="250"/>
      <c r="O223" s="250"/>
      <c r="P223" s="251"/>
      <c r="Q223" s="249" t="str">
        <f>Q31</f>
        <v>APELIDO DO EMPREENDIMENTO</v>
      </c>
      <c r="R223" s="250"/>
      <c r="S223" s="250"/>
      <c r="T223" s="250"/>
      <c r="U223" s="250"/>
      <c r="V223" s="250"/>
      <c r="W223" s="250"/>
      <c r="X223" s="251"/>
    </row>
    <row r="224" spans="1:24" ht="12.75" customHeight="1" x14ac:dyDescent="0.2">
      <c r="A224" s="282" t="str">
        <f>IF(A32="","",A32)</f>
        <v>MUNICIPIO DE ALPESTRE</v>
      </c>
      <c r="B224" s="283"/>
      <c r="C224" s="283"/>
      <c r="D224" s="283"/>
      <c r="E224" s="283"/>
      <c r="F224" s="283"/>
      <c r="G224" s="284" t="str">
        <f>IF(G32="","",G32)</f>
        <v>ALPESTRE/RS</v>
      </c>
      <c r="H224" s="285" t="str">
        <f>IF(I32="","",I32)</f>
        <v/>
      </c>
      <c r="I224" s="285"/>
      <c r="J224" s="286" t="e">
        <f>IF(#REF!="","",#REF!)</f>
        <v>#REF!</v>
      </c>
      <c r="K224" s="284" t="str">
        <f>IF(K32="","",K32)</f>
        <v>DISTRITO DE SERTÃZINHO</v>
      </c>
      <c r="L224" s="285"/>
      <c r="M224" s="285"/>
      <c r="N224" s="285"/>
      <c r="O224" s="285"/>
      <c r="P224" s="286"/>
      <c r="Q224" s="284" t="str">
        <f>IF(Q32="","",Q32)</f>
        <v>RECUPERAÇÃO DE COMPLEXO ESPORTIVO DO DISTRITO DE SERTÃZINHO</v>
      </c>
      <c r="R224" s="285"/>
      <c r="S224" s="285"/>
      <c r="T224" s="285"/>
      <c r="U224" s="285"/>
      <c r="V224" s="285"/>
      <c r="W224" s="285"/>
      <c r="X224" s="286"/>
    </row>
    <row r="225" spans="1:24" ht="6" customHeight="1" x14ac:dyDescent="0.2">
      <c r="A225" s="2"/>
      <c r="B225" s="2"/>
      <c r="C225" s="2"/>
      <c r="D225" s="2"/>
      <c r="E225" s="2"/>
      <c r="F225" s="2"/>
      <c r="G225" s="2"/>
      <c r="H225" s="2"/>
      <c r="I225" s="2"/>
      <c r="J225" s="2"/>
      <c r="K225" s="2"/>
      <c r="L225" s="2"/>
      <c r="M225" s="2"/>
      <c r="N225" s="2"/>
      <c r="O225" s="2"/>
      <c r="P225" s="2"/>
      <c r="Q225" s="2"/>
      <c r="R225" s="2"/>
      <c r="S225" s="2"/>
      <c r="T225" s="2"/>
      <c r="U225" s="2"/>
      <c r="V225" s="2"/>
      <c r="W225" s="21"/>
      <c r="X225" s="21"/>
    </row>
    <row r="226" spans="1:24" x14ac:dyDescent="0.2">
      <c r="A226" s="249" t="str">
        <f>A37</f>
        <v>DATA BASE</v>
      </c>
      <c r="B226" s="251"/>
      <c r="C226" s="135" t="str">
        <f>C37</f>
        <v>DESON.</v>
      </c>
      <c r="D226" s="249" t="str">
        <f>D37</f>
        <v>LOCALIDADE DO SINAPI</v>
      </c>
      <c r="E226" s="250"/>
      <c r="F226" s="251"/>
      <c r="G226" s="249" t="str">
        <f>G37</f>
        <v>DESCRIÇÃO DO LOTE</v>
      </c>
      <c r="H226" s="250"/>
      <c r="I226" s="250"/>
      <c r="J226" s="250"/>
      <c r="K226" s="250"/>
      <c r="L226" s="250"/>
      <c r="M226" s="250"/>
      <c r="N226" s="250"/>
      <c r="O226" s="250"/>
      <c r="P226" s="250"/>
      <c r="Q226" s="250"/>
      <c r="R226" s="250"/>
      <c r="S226" s="251"/>
      <c r="T226" s="136" t="str">
        <f>T37</f>
        <v>BDI 1</v>
      </c>
      <c r="U226" s="136" t="str">
        <f>U37</f>
        <v>BDI 2</v>
      </c>
      <c r="V226" s="136" t="str">
        <f>V37</f>
        <v>BDI 3</v>
      </c>
      <c r="W226" s="136" t="str">
        <f>W37</f>
        <v>BDI 4</v>
      </c>
      <c r="X226" s="136" t="str">
        <f>X37</f>
        <v>BDI 5</v>
      </c>
    </row>
    <row r="227" spans="1:24" ht="12.75" customHeight="1" x14ac:dyDescent="0.2">
      <c r="A227" s="289">
        <f>IF(A38="","",A38)</f>
        <v>45413</v>
      </c>
      <c r="B227" s="290"/>
      <c r="C227" s="137" t="str">
        <f t="shared" ref="C227:X227" si="0">IF(C38="","",C38)</f>
        <v>Não</v>
      </c>
      <c r="D227" s="291" t="str">
        <f t="shared" si="0"/>
        <v>Porto Alegre / RS</v>
      </c>
      <c r="E227" s="292" t="str">
        <f t="shared" si="0"/>
        <v/>
      </c>
      <c r="F227" s="293" t="str">
        <f t="shared" si="0"/>
        <v/>
      </c>
      <c r="G227" s="291" t="str">
        <f t="shared" si="0"/>
        <v>RECUPERAÇÃO DE COMPLEXO ESPORTIVO DO DISTRITO DE SERTÃZINHO</v>
      </c>
      <c r="H227" s="292" t="str">
        <f t="shared" si="0"/>
        <v/>
      </c>
      <c r="I227" s="292" t="str">
        <f t="shared" si="0"/>
        <v/>
      </c>
      <c r="J227" s="292" t="str">
        <f t="shared" si="0"/>
        <v/>
      </c>
      <c r="K227" s="292" t="str">
        <f t="shared" si="0"/>
        <v/>
      </c>
      <c r="L227" s="292" t="str">
        <f t="shared" si="0"/>
        <v/>
      </c>
      <c r="M227" s="292" t="str">
        <f t="shared" si="0"/>
        <v/>
      </c>
      <c r="N227" s="292" t="str">
        <f t="shared" si="0"/>
        <v/>
      </c>
      <c r="O227" s="292" t="str">
        <f t="shared" si="0"/>
        <v/>
      </c>
      <c r="P227" s="292" t="str">
        <f t="shared" si="0"/>
        <v/>
      </c>
      <c r="Q227" s="292" t="str">
        <f t="shared" si="0"/>
        <v/>
      </c>
      <c r="R227" s="292" t="str">
        <f t="shared" si="0"/>
        <v/>
      </c>
      <c r="S227" s="293" t="str">
        <f t="shared" si="0"/>
        <v/>
      </c>
      <c r="T227" s="139">
        <f t="shared" ca="1" si="0"/>
        <v>0.2487</v>
      </c>
      <c r="U227" s="96">
        <f t="shared" ca="1" si="0"/>
        <v>0.15690000000000001</v>
      </c>
      <c r="V227" s="96" t="str">
        <f t="shared" ca="1" si="0"/>
        <v/>
      </c>
      <c r="W227" s="96" t="str">
        <f t="shared" ca="1" si="0"/>
        <v/>
      </c>
      <c r="X227" s="96" t="str">
        <f t="shared" ca="1" si="0"/>
        <v/>
      </c>
    </row>
    <row r="228" spans="1:24" ht="6" hidden="1" customHeight="1" x14ac:dyDescent="0.2">
      <c r="A228" s="2"/>
      <c r="B228" s="2"/>
      <c r="C228" s="2"/>
      <c r="D228" s="2"/>
      <c r="E228" s="2"/>
      <c r="F228" s="2"/>
      <c r="G228" s="2"/>
      <c r="H228" s="2"/>
      <c r="I228" s="2"/>
      <c r="J228" s="2"/>
      <c r="K228" s="2"/>
      <c r="L228" s="2"/>
      <c r="M228" s="2"/>
      <c r="N228" s="2"/>
      <c r="O228" s="2"/>
      <c r="P228" s="2"/>
      <c r="Q228" s="2"/>
      <c r="R228" s="2"/>
      <c r="S228" s="2"/>
      <c r="T228" s="2"/>
      <c r="U228" s="2"/>
      <c r="V228" s="2"/>
      <c r="W228" s="21"/>
      <c r="X228" s="21"/>
    </row>
    <row r="229" spans="1:24" ht="12.75" hidden="1" customHeight="1" x14ac:dyDescent="0.2">
      <c r="A229" s="249" t="s">
        <v>87</v>
      </c>
      <c r="B229" s="251"/>
      <c r="C229" s="249" t="s">
        <v>164</v>
      </c>
      <c r="D229" s="250"/>
      <c r="E229" s="250"/>
      <c r="F229" s="250"/>
      <c r="G229" s="250"/>
      <c r="H229" s="249" t="s">
        <v>16</v>
      </c>
      <c r="I229" s="250"/>
      <c r="J229" s="134" t="s">
        <v>91</v>
      </c>
      <c r="K229" s="249" t="s">
        <v>88</v>
      </c>
      <c r="L229" s="250"/>
      <c r="M229" s="251"/>
      <c r="N229" s="134" t="s">
        <v>92</v>
      </c>
      <c r="O229" s="249" t="s">
        <v>93</v>
      </c>
      <c r="P229" s="250"/>
      <c r="Q229" s="250"/>
      <c r="R229" s="250"/>
      <c r="S229" s="250"/>
      <c r="T229" s="251"/>
      <c r="U229" s="287" t="s">
        <v>89</v>
      </c>
      <c r="V229" s="288"/>
      <c r="W229" s="287" t="s">
        <v>90</v>
      </c>
      <c r="X229" s="288"/>
    </row>
    <row r="230" spans="1:24" s="21" customFormat="1" ht="12.75" hidden="1" customHeight="1" x14ac:dyDescent="0.2">
      <c r="A230" s="291" t="str">
        <f>IF(A43="","",A43)</f>
        <v/>
      </c>
      <c r="B230" s="293"/>
      <c r="C230" s="291" t="str">
        <f>IF(C43="","",C43)</f>
        <v/>
      </c>
      <c r="D230" s="292"/>
      <c r="E230" s="292" t="str">
        <f>IF(E43="","",E43)</f>
        <v/>
      </c>
      <c r="F230" s="292"/>
      <c r="G230" s="292" t="str">
        <f>IF(G43="","",G43)</f>
        <v/>
      </c>
      <c r="H230" s="308" t="str">
        <f>IF(H43="","",H43)</f>
        <v/>
      </c>
      <c r="I230" s="309" t="str">
        <f>IF(I43="","",I43)</f>
        <v/>
      </c>
      <c r="J230" s="138" t="str">
        <f>IF(J43="","",J43)</f>
        <v/>
      </c>
      <c r="K230" s="300" t="str">
        <f>IF(K43="","",K43)</f>
        <v/>
      </c>
      <c r="L230" s="302"/>
      <c r="M230" s="303" t="str">
        <f>IF(M43="","",M43)</f>
        <v/>
      </c>
      <c r="N230" s="140" t="str">
        <f>IF(N43="","",N43)</f>
        <v/>
      </c>
      <c r="O230" s="300" t="str">
        <f>IF(O43="","",O43)</f>
        <v/>
      </c>
      <c r="P230" s="301"/>
      <c r="Q230" s="301" t="str">
        <f>IF(Q43="","",Q43)</f>
        <v/>
      </c>
      <c r="R230" s="302"/>
      <c r="S230" s="302" t="str">
        <f>IF(S43="","",S43)</f>
        <v/>
      </c>
      <c r="T230" s="303"/>
      <c r="U230" s="306" t="str">
        <f>IF(U43="","",U43)</f>
        <v/>
      </c>
      <c r="V230" s="307"/>
      <c r="W230" s="304" t="str">
        <f>IF(W43="","",W43)</f>
        <v/>
      </c>
      <c r="X230" s="305"/>
    </row>
    <row r="231" spans="1:24" x14ac:dyDescent="0.2">
      <c r="A231" s="22"/>
      <c r="B231" s="22"/>
      <c r="C231" s="21"/>
      <c r="D231" s="21"/>
      <c r="E231" s="21"/>
      <c r="F231" s="23"/>
      <c r="G231" s="23"/>
      <c r="H231" s="23"/>
      <c r="I231" s="21"/>
      <c r="J231" s="21"/>
      <c r="K231" s="21"/>
      <c r="L231" s="21"/>
      <c r="M231" s="21"/>
      <c r="N231" s="21"/>
      <c r="O231" s="21"/>
      <c r="P231" s="21"/>
      <c r="Q231" s="21"/>
      <c r="R231" s="21"/>
      <c r="S231" s="21"/>
      <c r="T231" s="21"/>
      <c r="U231" s="21"/>
      <c r="V231" s="21"/>
      <c r="W231" s="21"/>
      <c r="X231" s="21"/>
    </row>
    <row r="232" spans="1:24" ht="6" customHeight="1" x14ac:dyDescent="0.2">
      <c r="A232" s="1"/>
      <c r="B232" s="1"/>
      <c r="F232" s="1"/>
      <c r="G232" s="1"/>
      <c r="H232" s="1"/>
    </row>
    <row r="233" spans="1:24" x14ac:dyDescent="0.2">
      <c r="A233" s="1"/>
      <c r="B233" s="1"/>
      <c r="F233" s="1"/>
      <c r="G233" s="1"/>
      <c r="H233" s="1"/>
    </row>
    <row r="234" spans="1:24" x14ac:dyDescent="0.2">
      <c r="A234" s="1"/>
      <c r="B234" s="1"/>
      <c r="F234" s="1"/>
      <c r="G234" s="1"/>
      <c r="H234" s="1"/>
    </row>
    <row r="235" spans="1:24" x14ac:dyDescent="0.2">
      <c r="A235" s="1"/>
      <c r="B235" s="1"/>
      <c r="F235" s="1"/>
      <c r="G235" s="1"/>
      <c r="H235" s="1"/>
    </row>
    <row r="236" spans="1:24" ht="12.75" hidden="1" customHeight="1" x14ac:dyDescent="0.2">
      <c r="A236" s="1"/>
      <c r="B236" s="1"/>
      <c r="F236" s="1"/>
      <c r="G236" s="1"/>
      <c r="H236" s="1"/>
    </row>
    <row r="237" spans="1:24" ht="6" hidden="1" customHeight="1" x14ac:dyDescent="0.2">
      <c r="A237" s="1"/>
      <c r="B237" s="1"/>
      <c r="F237" s="1"/>
      <c r="G237" s="1"/>
      <c r="H237" s="1"/>
    </row>
    <row r="238" spans="1:24" ht="12.75" hidden="1" customHeight="1" x14ac:dyDescent="0.2">
      <c r="A238" s="1"/>
      <c r="B238" s="1"/>
      <c r="F238" s="1"/>
      <c r="G238" s="1"/>
      <c r="H238" s="1"/>
    </row>
    <row r="239" spans="1:24" ht="12.75" hidden="1" customHeight="1" x14ac:dyDescent="0.2">
      <c r="A239" s="1"/>
      <c r="B239" s="1"/>
      <c r="F239" s="1"/>
      <c r="G239" s="1"/>
      <c r="H239" s="1"/>
    </row>
    <row r="240" spans="1:24" ht="6" hidden="1" customHeight="1" x14ac:dyDescent="0.2">
      <c r="A240" s="1"/>
      <c r="B240" s="1"/>
      <c r="F240" s="1"/>
      <c r="G240" s="1"/>
      <c r="H240" s="1"/>
    </row>
    <row r="241" spans="1:8" ht="12.75" hidden="1" customHeight="1" x14ac:dyDescent="0.2">
      <c r="A241" s="1"/>
      <c r="B241" s="1"/>
      <c r="F241" s="1"/>
      <c r="G241" s="1"/>
      <c r="H241" s="1"/>
    </row>
    <row r="242" spans="1:8" ht="12.75" hidden="1" customHeight="1" x14ac:dyDescent="0.2">
      <c r="A242" s="1"/>
      <c r="B242" s="1"/>
      <c r="F242" s="1"/>
      <c r="G242" s="1"/>
      <c r="H242" s="1"/>
    </row>
    <row r="243" spans="1:8" ht="12.75" hidden="1" customHeight="1" x14ac:dyDescent="0.2">
      <c r="A243" s="1"/>
      <c r="B243" s="1"/>
      <c r="F243" s="1"/>
      <c r="G243" s="1"/>
      <c r="H243" s="1"/>
    </row>
    <row r="244" spans="1:8" ht="12.75" customHeight="1" x14ac:dyDescent="0.2">
      <c r="A244" s="1"/>
      <c r="B244" s="1"/>
      <c r="F244" s="1"/>
      <c r="G244" s="1"/>
      <c r="H244" s="1"/>
    </row>
    <row r="245" spans="1:8" ht="6" customHeight="1" x14ac:dyDescent="0.2">
      <c r="A245" s="1"/>
      <c r="B245" s="1"/>
      <c r="F245" s="1"/>
      <c r="G245" s="1"/>
      <c r="H245" s="1"/>
    </row>
    <row r="246" spans="1:8" ht="12.75" customHeight="1" x14ac:dyDescent="0.2">
      <c r="A246" s="1"/>
      <c r="B246" s="1"/>
      <c r="F246" s="1"/>
      <c r="G246" s="1"/>
      <c r="H246" s="1"/>
    </row>
    <row r="247" spans="1:8" ht="12.75" customHeight="1" x14ac:dyDescent="0.2">
      <c r="A247" s="1"/>
      <c r="B247" s="1"/>
      <c r="F247" s="1"/>
      <c r="G247" s="1"/>
      <c r="H247" s="1"/>
    </row>
    <row r="248" spans="1:8" ht="12.75" customHeight="1" x14ac:dyDescent="0.2">
      <c r="A248" s="1"/>
      <c r="B248" s="1"/>
      <c r="F248" s="1"/>
      <c r="G248" s="1"/>
      <c r="H248" s="1"/>
    </row>
    <row r="249" spans="1:8" ht="12.75" customHeight="1" x14ac:dyDescent="0.2">
      <c r="A249" s="1"/>
      <c r="B249" s="1"/>
      <c r="F249" s="1"/>
      <c r="G249" s="1"/>
      <c r="H249" s="1"/>
    </row>
    <row r="250" spans="1:8" ht="6" customHeight="1" x14ac:dyDescent="0.2">
      <c r="A250" s="1"/>
      <c r="B250" s="1"/>
      <c r="F250" s="1"/>
      <c r="G250" s="1"/>
      <c r="H250" s="1"/>
    </row>
    <row r="251" spans="1:8" x14ac:dyDescent="0.2">
      <c r="A251" s="1"/>
      <c r="B251" s="1"/>
      <c r="F251" s="1"/>
      <c r="G251" s="1"/>
      <c r="H251" s="1"/>
    </row>
    <row r="252" spans="1:8" x14ac:dyDescent="0.2">
      <c r="A252" s="1"/>
      <c r="B252" s="1"/>
      <c r="F252" s="1"/>
      <c r="G252" s="1"/>
      <c r="H252" s="1"/>
    </row>
    <row r="253" spans="1:8" x14ac:dyDescent="0.2">
      <c r="A253" s="1"/>
      <c r="B253" s="1"/>
      <c r="F253" s="1"/>
      <c r="G253" s="1"/>
      <c r="H253" s="1"/>
    </row>
    <row r="254" spans="1:8" x14ac:dyDescent="0.2">
      <c r="A254" s="1"/>
      <c r="B254" s="1"/>
      <c r="F254" s="1"/>
      <c r="G254" s="1"/>
      <c r="H254" s="1"/>
    </row>
    <row r="255" spans="1:8" x14ac:dyDescent="0.2">
      <c r="A255" s="1"/>
      <c r="B255" s="1"/>
      <c r="F255" s="1"/>
      <c r="G255" s="1"/>
      <c r="H255" s="1"/>
    </row>
    <row r="256" spans="1:8" x14ac:dyDescent="0.2">
      <c r="A256" s="1"/>
      <c r="B256" s="1"/>
      <c r="F256" s="1"/>
      <c r="G256" s="1"/>
      <c r="H256" s="1"/>
    </row>
    <row r="257" spans="1:8" x14ac:dyDescent="0.2">
      <c r="A257" s="1"/>
      <c r="B257" s="1"/>
      <c r="F257" s="1"/>
      <c r="G257" s="1"/>
      <c r="H257" s="1"/>
    </row>
  </sheetData>
  <sheetProtection algorithmName="SHA-512" hashValue="/UahLrMj4FPHMJQBzGL47AUs2St2qs9a3oPg8x8G1NR5dklYFfT6G5a5wmJDkbvT7clhTrx9Pg89LrNkKYJjJA==" saltValue="P94Ae9GJ7s2OCfyFdopR3A==" spinCount="100000" sheet="1" objects="1" scenarios="1"/>
  <mergeCells count="136">
    <mergeCell ref="C221:E221"/>
    <mergeCell ref="F220:I220"/>
    <mergeCell ref="F221:I221"/>
    <mergeCell ref="P220:X220"/>
    <mergeCell ref="P221:X221"/>
    <mergeCell ref="J28:O28"/>
    <mergeCell ref="G32:J32"/>
    <mergeCell ref="K31:P31"/>
    <mergeCell ref="K32:P32"/>
    <mergeCell ref="P28:X28"/>
    <mergeCell ref="Q31:X31"/>
    <mergeCell ref="Q32:X32"/>
    <mergeCell ref="A31:F31"/>
    <mergeCell ref="C28:E28"/>
    <mergeCell ref="C29:E29"/>
    <mergeCell ref="F28:I28"/>
    <mergeCell ref="F29:I29"/>
    <mergeCell ref="A32:F32"/>
    <mergeCell ref="G31:J31"/>
    <mergeCell ref="P29:X29"/>
    <mergeCell ref="J29:O29"/>
    <mergeCell ref="A67:X67"/>
    <mergeCell ref="A88:X88"/>
    <mergeCell ref="K43:M43"/>
    <mergeCell ref="O230:T230"/>
    <mergeCell ref="H229:I229"/>
    <mergeCell ref="K229:M229"/>
    <mergeCell ref="O229:T229"/>
    <mergeCell ref="W230:X230"/>
    <mergeCell ref="Q224:X224"/>
    <mergeCell ref="K223:P223"/>
    <mergeCell ref="A80:X80"/>
    <mergeCell ref="A83:X83"/>
    <mergeCell ref="A230:B230"/>
    <mergeCell ref="U230:V230"/>
    <mergeCell ref="K230:M230"/>
    <mergeCell ref="J221:O221"/>
    <mergeCell ref="G227:S227"/>
    <mergeCell ref="A229:B229"/>
    <mergeCell ref="C229:G229"/>
    <mergeCell ref="C230:G230"/>
    <mergeCell ref="H230:I230"/>
    <mergeCell ref="K224:P224"/>
    <mergeCell ref="Q223:X223"/>
    <mergeCell ref="D226:F226"/>
    <mergeCell ref="A85:X85"/>
    <mergeCell ref="A221:B221"/>
    <mergeCell ref="A223:F223"/>
    <mergeCell ref="A224:F224"/>
    <mergeCell ref="G224:J224"/>
    <mergeCell ref="G223:J223"/>
    <mergeCell ref="C220:E220"/>
    <mergeCell ref="A87:X87"/>
    <mergeCell ref="W229:X229"/>
    <mergeCell ref="U229:V229"/>
    <mergeCell ref="H43:I43"/>
    <mergeCell ref="A227:B227"/>
    <mergeCell ref="G226:S226"/>
    <mergeCell ref="A226:B226"/>
    <mergeCell ref="A220:B220"/>
    <mergeCell ref="D227:F227"/>
    <mergeCell ref="A48:C48"/>
    <mergeCell ref="H57:K57"/>
    <mergeCell ref="B54:E54"/>
    <mergeCell ref="A65:X65"/>
    <mergeCell ref="H55:K55"/>
    <mergeCell ref="A45:X45"/>
    <mergeCell ref="A63:X63"/>
    <mergeCell ref="A50:X50"/>
    <mergeCell ref="B55:E55"/>
    <mergeCell ref="B57:E57"/>
    <mergeCell ref="H54:K54"/>
    <mergeCell ref="B1:X2"/>
    <mergeCell ref="H56:K56"/>
    <mergeCell ref="W42:X42"/>
    <mergeCell ref="A37:B37"/>
    <mergeCell ref="A42:B42"/>
    <mergeCell ref="W43:X43"/>
    <mergeCell ref="O43:T43"/>
    <mergeCell ref="C43:G43"/>
    <mergeCell ref="K42:M42"/>
    <mergeCell ref="U43:V43"/>
    <mergeCell ref="A35:X35"/>
    <mergeCell ref="G37:S37"/>
    <mergeCell ref="D37:F37"/>
    <mergeCell ref="A4:X4"/>
    <mergeCell ref="A6:X6"/>
    <mergeCell ref="A8:X8"/>
    <mergeCell ref="A24:X24"/>
    <mergeCell ref="A14:X14"/>
    <mergeCell ref="A10:X10"/>
    <mergeCell ref="A12:X12"/>
    <mergeCell ref="H42:I42"/>
    <mergeCell ref="B56:E56"/>
    <mergeCell ref="O42:T42"/>
    <mergeCell ref="A43:B43"/>
    <mergeCell ref="J220:O220"/>
    <mergeCell ref="A99:X99"/>
    <mergeCell ref="A98:X98"/>
    <mergeCell ref="A97:X97"/>
    <mergeCell ref="A26:X26"/>
    <mergeCell ref="A28:B28"/>
    <mergeCell ref="A29:B29"/>
    <mergeCell ref="A69:X69"/>
    <mergeCell ref="A60:X60"/>
    <mergeCell ref="A62:X62"/>
    <mergeCell ref="A101:X101"/>
    <mergeCell ref="A95:X95"/>
    <mergeCell ref="A96:X96"/>
    <mergeCell ref="A38:B38"/>
    <mergeCell ref="U42:V42"/>
    <mergeCell ref="A70:X70"/>
    <mergeCell ref="A40:X40"/>
    <mergeCell ref="A100:X100"/>
    <mergeCell ref="A74:X74"/>
    <mergeCell ref="A81:X81"/>
    <mergeCell ref="A90:X90"/>
    <mergeCell ref="A93:X93"/>
    <mergeCell ref="A94:X94"/>
    <mergeCell ref="A92:X92"/>
    <mergeCell ref="G38:S38"/>
    <mergeCell ref="A86:X86"/>
    <mergeCell ref="D38:F38"/>
    <mergeCell ref="C42:G42"/>
    <mergeCell ref="A68:X68"/>
    <mergeCell ref="A78:X78"/>
    <mergeCell ref="A71:X71"/>
    <mergeCell ref="A72:X72"/>
    <mergeCell ref="A16:X16"/>
    <mergeCell ref="A18:X18"/>
    <mergeCell ref="A22:I22"/>
    <mergeCell ref="A76:X76"/>
    <mergeCell ref="A84:X84"/>
    <mergeCell ref="A77:X77"/>
    <mergeCell ref="A79:X79"/>
    <mergeCell ref="A82:X82"/>
  </mergeCells>
  <phoneticPr fontId="25" type="noConversion"/>
  <conditionalFormatting sqref="B54:E55 B56 B57:E57">
    <cfRule type="expression" dxfId="366" priority="47" stopIfTrue="1">
      <formula>$B54&lt;&gt;""</formula>
    </cfRule>
  </conditionalFormatting>
  <conditionalFormatting sqref="A48 H57:K57 A29:C29 J29 F29 A32 P29 G32 K32">
    <cfRule type="expression" dxfId="365" priority="53" stopIfTrue="1">
      <formula>A29&lt;&gt;""</formula>
    </cfRule>
  </conditionalFormatting>
  <conditionalFormatting sqref="G53:K53 G57:K57 G54:G56">
    <cfRule type="expression" dxfId="364" priority="48" stopIfTrue="1">
      <formula>$K$52&lt;&gt;"SIM"</formula>
    </cfRule>
  </conditionalFormatting>
  <conditionalFormatting sqref="A40:X43">
    <cfRule type="expression" dxfId="363" priority="61" stopIfTrue="1">
      <formula>OR(TipoOrçamento="BASE",TipoOrçamento="REPROGRAMADONPL")</formula>
    </cfRule>
    <cfRule type="expression" dxfId="362" priority="62" stopIfTrue="1">
      <formula>A40&lt;&gt;""</formula>
    </cfRule>
  </conditionalFormatting>
  <conditionalFormatting sqref="A35:X38">
    <cfRule type="expression" dxfId="361" priority="63" stopIfTrue="1">
      <formula>OR(TipoOrçamento="LICITADO",TipoOrçamento="REPROGRAMADOAC")</formula>
    </cfRule>
    <cfRule type="expression" dxfId="360" priority="64" stopIfTrue="1">
      <formula>A35&lt;&gt;""</formula>
    </cfRule>
  </conditionalFormatting>
  <conditionalFormatting sqref="Q32">
    <cfRule type="expression" dxfId="359" priority="6" stopIfTrue="1">
      <formula>Q32&lt;&gt;""</formula>
    </cfRule>
  </conditionalFormatting>
  <conditionalFormatting sqref="H54:K54">
    <cfRule type="expression" dxfId="358" priority="5" stopIfTrue="1">
      <formula>H54&lt;&gt;""</formula>
    </cfRule>
  </conditionalFormatting>
  <conditionalFormatting sqref="H54:K54">
    <cfRule type="expression" dxfId="357" priority="4" stopIfTrue="1">
      <formula>$K$52&lt;&gt;"SIM"</formula>
    </cfRule>
  </conditionalFormatting>
  <conditionalFormatting sqref="H55:K55">
    <cfRule type="expression" dxfId="356" priority="3" stopIfTrue="1">
      <formula>$B55&lt;&gt;""</formula>
    </cfRule>
  </conditionalFormatting>
  <conditionalFormatting sqref="H56">
    <cfRule type="expression" dxfId="355" priority="2" stopIfTrue="1">
      <formula>H56&lt;&gt;""</formula>
    </cfRule>
  </conditionalFormatting>
  <conditionalFormatting sqref="H56">
    <cfRule type="expression" dxfId="354" priority="1" stopIfTrue="1">
      <formula>$K$52&lt;&gt;"SIM"</formula>
    </cfRule>
  </conditionalFormatting>
  <dataValidations count="7">
    <dataValidation type="list" allowBlank="1" showInputMessage="1" showErrorMessage="1" sqref="C227 J43 C38">
      <formula1>"Sim,Não"</formula1>
    </dataValidation>
    <dataValidation type="list" allowBlank="1" showInputMessage="1" showErrorMessage="1" sqref="K52">
      <formula1>"SIM,NÃO"</formula1>
    </dataValidation>
    <dataValidation type="list" allowBlank="1" showInputMessage="1" showErrorMessage="1" sqref="D38:F38">
      <formula1>Dados.Lista.Localidade</formula1>
    </dataValidation>
    <dataValidation type="list" allowBlank="1" showInputMessage="1" showErrorMessage="1" sqref="K43:M43">
      <formula1>Dados.Lista.RegimeExecução</formula1>
    </dataValidation>
    <dataValidation type="list" allowBlank="1" showInputMessage="1" showErrorMessage="1" sqref="N43">
      <formula1>Dados.Lista.Acompanhamento</formula1>
    </dataValidation>
    <dataValidation type="date" operator="greaterThan" allowBlank="1" showInputMessage="1" showErrorMessage="1" errorTitle="Erro de valor" error="Digite somente datas." sqref="A38:B38 H43:I43 A48:C48">
      <formula1>36526</formula1>
    </dataValidation>
    <dataValidation allowBlank="1" showInputMessage="1" showErrorMessage="1" promptTitle="Nº OPERAÇÃO:" prompt="nº do Contrato de Repasse ou Termo de Compromisso, firmado com a CAIXA._x000a_Formato 0.000.000-00/0000." sqref="A29:B29"/>
  </dataValidations>
  <pageMargins left="0.78740157480314998" right="0.78740157480314998" top="0.78740157480314998" bottom="0.78740157480314998" header="5.7086614173228396" footer="0.59055118110236204"/>
  <pageSetup paperSize="9" scale="41" orientation="portrait" horizontalDpi="4294967295" verticalDpi="4294967295" r:id="rId1"/>
  <headerFooter alignWithMargins="0">
    <oddHeader>&amp;L_</oddHeader>
    <oddFooter>&amp;R&amp;P&amp;L27.476 v008   micro</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4202" r:id="rId4" name="OptionPLQ-ON">
              <controlPr defaultSize="0" print="0" autoFill="0" autoLine="0" autoPict="0" macro="[0]!ShowPLQ" altText="Parcela 1">
                <anchor moveWithCells="1">
                  <from>
                    <xdr:col>0</xdr:col>
                    <xdr:colOff>381000</xdr:colOff>
                    <xdr:row>18</xdr:row>
                    <xdr:rowOff>85725</xdr:rowOff>
                  </from>
                  <to>
                    <xdr:col>5</xdr:col>
                    <xdr:colOff>228600</xdr:colOff>
                    <xdr:row>20</xdr:row>
                    <xdr:rowOff>47625</xdr:rowOff>
                  </to>
                </anchor>
              </controlPr>
            </control>
          </mc:Choice>
        </mc:AlternateContent>
        <mc:AlternateContent xmlns:mc="http://schemas.openxmlformats.org/markup-compatibility/2006">
          <mc:Choice Requires="x14">
            <control shapeId="34203" r:id="rId5" name="OptionPLQ-OFF">
              <controlPr defaultSize="0" print="0" autoFill="0" autoLine="0" autoPict="0" macro="[0]!HidePLQ" altText="Parcela 1">
                <anchor moveWithCells="1">
                  <from>
                    <xdr:col>5</xdr:col>
                    <xdr:colOff>228600</xdr:colOff>
                    <xdr:row>18</xdr:row>
                    <xdr:rowOff>85725</xdr:rowOff>
                  </from>
                  <to>
                    <xdr:col>11</xdr:col>
                    <xdr:colOff>142875</xdr:colOff>
                    <xdr:row>20</xdr:row>
                    <xdr:rowOff>47625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4">
    <tabColor rgb="FFFFFF00"/>
    <pageSetUpPr fitToPage="1"/>
  </sheetPr>
  <dimension ref="A1:AE60"/>
  <sheetViews>
    <sheetView showGridLines="0" topLeftCell="I1" zoomScaleNormal="100" zoomScaleSheetLayoutView="100" zoomScalePageLayoutView="70" workbookViewId="0">
      <selection activeCell="O42" sqref="O42:R42"/>
    </sheetView>
  </sheetViews>
  <sheetFormatPr defaultColWidth="0" defaultRowHeight="12.75"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1</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1" t="s">
        <v>151</v>
      </c>
      <c r="J4" s="252"/>
      <c r="K4" s="241" t="s">
        <v>174</v>
      </c>
      <c r="L4" s="242"/>
      <c r="M4" s="242"/>
      <c r="N4" s="242"/>
      <c r="O4" s="242"/>
      <c r="P4" s="242"/>
      <c r="Q4" s="242"/>
      <c r="R4" s="252"/>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5" t="str">
        <f>DADOS!A29</f>
        <v>941472/2023</v>
      </c>
      <c r="J5" s="346"/>
      <c r="K5" s="347" t="str">
        <f>DADOS!A32</f>
        <v>MUNICIPIO DE ALPESTRE</v>
      </c>
      <c r="L5" s="348"/>
      <c r="M5" s="348"/>
      <c r="N5" s="348"/>
      <c r="O5" s="348"/>
      <c r="P5" s="348"/>
      <c r="Q5" s="348"/>
      <c r="R5" s="349"/>
      <c r="S5" s="57"/>
    </row>
    <row r="6" spans="1:29" ht="6" customHeight="1" x14ac:dyDescent="0.2">
      <c r="A6" s="52" t="str">
        <f>A5</f>
        <v>Construção e Reforma de Edifícios</v>
      </c>
      <c r="B6" s="54" t="s">
        <v>165</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52"/>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50" t="str">
        <f>DADOS!P29</f>
        <v>RECUPERAÇÃO DE COMPLEXO ESPORTIVO DO DISTRITO DE SERTÃZINHO</v>
      </c>
      <c r="J8" s="350"/>
      <c r="K8" s="350"/>
      <c r="L8" s="350"/>
      <c r="M8" s="350"/>
      <c r="N8" s="350"/>
      <c r="O8" s="350"/>
      <c r="P8" s="350"/>
      <c r="Q8" s="350"/>
      <c r="R8" s="350"/>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52"/>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40" t="s">
        <v>28</v>
      </c>
      <c r="J11" s="341"/>
      <c r="K11" s="341"/>
      <c r="L11" s="341"/>
      <c r="M11" s="341"/>
      <c r="N11" s="341"/>
      <c r="O11" s="341"/>
      <c r="P11" s="342"/>
      <c r="Q11" s="343" t="str">
        <f>DADOS!$C$38</f>
        <v>Não</v>
      </c>
      <c r="R11" s="344"/>
    </row>
    <row r="12" spans="1:29" x14ac:dyDescent="0.2">
      <c r="A12" s="52" t="s">
        <v>34</v>
      </c>
      <c r="B12" s="54" t="s">
        <v>165</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5" t="s">
        <v>36</v>
      </c>
      <c r="J13" s="355"/>
      <c r="K13" s="355"/>
      <c r="L13" s="355"/>
      <c r="M13" s="355"/>
      <c r="N13" s="355"/>
      <c r="O13" s="355"/>
      <c r="P13" s="355"/>
      <c r="Q13" s="352">
        <v>1</v>
      </c>
      <c r="R13" s="352"/>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3" t="s">
        <v>38</v>
      </c>
      <c r="J14" s="353"/>
      <c r="K14" s="353"/>
      <c r="L14" s="353"/>
      <c r="M14" s="353"/>
      <c r="N14" s="353"/>
      <c r="O14" s="353"/>
      <c r="P14" s="353"/>
      <c r="Q14" s="352">
        <v>0.04</v>
      </c>
      <c r="R14" s="352"/>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4" t="s">
        <v>39</v>
      </c>
      <c r="J16" s="354"/>
      <c r="K16" s="354"/>
      <c r="L16" s="354"/>
      <c r="M16" s="354" t="s">
        <v>40</v>
      </c>
      <c r="N16" s="357" t="s">
        <v>41</v>
      </c>
      <c r="O16" s="357" t="s">
        <v>42</v>
      </c>
      <c r="P16" s="356" t="s">
        <v>43</v>
      </c>
      <c r="Q16" s="356" t="s">
        <v>44</v>
      </c>
      <c r="R16" s="334" t="s">
        <v>45</v>
      </c>
      <c r="T16" s="331" t="str">
        <f>IF(V27,"Para BDI fora do intervalo estatístico, deve ser apresentado Relatório Técnico Circunstanciado justificando a adoção do percentual de cada parcela do BDI.","")</f>
        <v/>
      </c>
      <c r="U16" s="331"/>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4"/>
      <c r="J17" s="354"/>
      <c r="K17" s="354"/>
      <c r="L17" s="354"/>
      <c r="M17" s="354"/>
      <c r="N17" s="357"/>
      <c r="O17" s="357"/>
      <c r="P17" s="356"/>
      <c r="Q17" s="356"/>
      <c r="R17" s="334"/>
      <c r="T17" s="331"/>
      <c r="U17" s="331"/>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9" t="str">
        <f>IF($I$11=$A$59,"Encargos Sociais incidentes sobre a mão de obra","Administração Central")</f>
        <v>Administração Central</v>
      </c>
      <c r="J18" s="319"/>
      <c r="K18" s="319"/>
      <c r="L18" s="319"/>
      <c r="M18" s="60" t="str">
        <f>IF($I$11=$A$59,"K1","AC")</f>
        <v>AC</v>
      </c>
      <c r="N18" s="61">
        <v>0.04</v>
      </c>
      <c r="O18" s="62" t="s">
        <v>46</v>
      </c>
      <c r="P18" s="63">
        <f>VLOOKUP(CONCATENATE(I$11,"-",M18),$C$2:$G$49,3,FALSE)</f>
        <v>0.03</v>
      </c>
      <c r="Q18" s="63">
        <f>VLOOKUP(CONCATENATE(I$11,"-",M18),$C$2:$G$49,4,FALSE)</f>
        <v>0.04</v>
      </c>
      <c r="R18" s="63">
        <f>VLOOKUP(CONCATENATE(I$11,"-",M18),$C$2:$G$49,5,FALSE)</f>
        <v>5.5E-2</v>
      </c>
      <c r="T18" s="331"/>
      <c r="U18" s="331"/>
      <c r="V18" s="108"/>
      <c r="W18" s="108"/>
      <c r="X18" s="108"/>
      <c r="Y18" s="108"/>
      <c r="Z18" s="108"/>
      <c r="AA18" s="108"/>
      <c r="AB18" s="108"/>
      <c r="AC18" s="108"/>
    </row>
    <row r="19" spans="1:31" ht="26.25" customHeight="1" x14ac:dyDescent="0.2">
      <c r="A19" s="52" t="str">
        <f>A18</f>
        <v>Construção de Redes de Abastecimento de Água, Coleta de Esgoto</v>
      </c>
      <c r="B19" s="54" t="s">
        <v>165</v>
      </c>
      <c r="C19" s="52" t="str">
        <f t="shared" si="0"/>
        <v>Construção de Redes de Abastecimento de Água, Coleta de Esgoto-L</v>
      </c>
      <c r="E19" s="55">
        <v>6.7400000000000002E-2</v>
      </c>
      <c r="F19" s="55">
        <v>8.0399999999999985E-2</v>
      </c>
      <c r="G19" s="55">
        <v>9.4E-2</v>
      </c>
      <c r="I19" s="319" t="str">
        <f>IF($I$11=$A$59,"Administração Central da empresa ou consultoria - overhead","Seguro e Garantia")</f>
        <v>Seguro e Garantia</v>
      </c>
      <c r="J19" s="319"/>
      <c r="K19" s="319"/>
      <c r="L19" s="319"/>
      <c r="M19" s="60" t="str">
        <f>IF($I$11=$A$59,"K2","SG")</f>
        <v>SG</v>
      </c>
      <c r="N19" s="61">
        <v>8.0000000000000002E-3</v>
      </c>
      <c r="O19" s="62" t="s">
        <v>46</v>
      </c>
      <c r="P19" s="63">
        <f>VLOOKUP(CONCATENATE(I$11,"-",M19),$C$2:$G$49,3,FALSE)</f>
        <v>8.0000000000000002E-3</v>
      </c>
      <c r="Q19" s="63">
        <f>VLOOKUP(CONCATENATE(I$11,"-",M19),$C$2:$G$49,4,FALSE)</f>
        <v>8.0000000000000002E-3</v>
      </c>
      <c r="R19" s="63">
        <f>VLOOKUP(CONCATENATE(I$11,"-",M19),$C$2:$G$49,5,FALSE)</f>
        <v>0.01</v>
      </c>
      <c r="T19" s="331"/>
      <c r="U19" s="331"/>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9" t="str">
        <f>IF($I$11=$A$59,"","Risco")</f>
        <v>Risco</v>
      </c>
      <c r="J20" s="319"/>
      <c r="K20" s="319"/>
      <c r="L20" s="319"/>
      <c r="M20" s="60" t="str">
        <f>IF($I$11=$A$59,"","R")</f>
        <v>R</v>
      </c>
      <c r="N20" s="61">
        <v>1.2699999999999999E-2</v>
      </c>
      <c r="O20" s="62" t="s">
        <v>46</v>
      </c>
      <c r="P20" s="63">
        <f>VLOOKUP(CONCATENATE(I$11,"-",M20),$C$2:$G$49,3,FALSE)</f>
        <v>9.7000000000000003E-3</v>
      </c>
      <c r="Q20" s="63">
        <f>VLOOKUP(CONCATENATE(I$11,"-",M20),$C$2:$G$49,4,FALSE)</f>
        <v>1.2699999999999999E-2</v>
      </c>
      <c r="R20" s="63">
        <f>VLOOKUP(CONCATENATE(I$11,"-",M20),$C$2:$G$49,5,FALSE)</f>
        <v>1.2699999999999999E-2</v>
      </c>
      <c r="T20" s="331"/>
      <c r="U20" s="331"/>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9" t="str">
        <f>IF($I$11=$A$59,"","Despesas Financeiras")</f>
        <v>Despesas Financeiras</v>
      </c>
      <c r="J21" s="319"/>
      <c r="K21" s="319"/>
      <c r="L21" s="319"/>
      <c r="M21" s="60" t="str">
        <f>IF($I$11=$A$59,"","DF")</f>
        <v>DF</v>
      </c>
      <c r="N21" s="61">
        <v>1.23E-2</v>
      </c>
      <c r="O21" s="62" t="s">
        <v>46</v>
      </c>
      <c r="P21" s="63">
        <f>VLOOKUP(CONCATENATE(I$11,"-",M21),$C$2:$G$49,3,FALSE)</f>
        <v>5.8999999999999999E-3</v>
      </c>
      <c r="Q21" s="63">
        <f>VLOOKUP(CONCATENATE(I$11,"-",M21),$C$2:$G$49,4,FALSE)</f>
        <v>1.23E-2</v>
      </c>
      <c r="R21" s="63">
        <f>VLOOKUP(CONCATENATE(I$11,"-",M21),$C$2:$G$49,5,FALSE)</f>
        <v>1.3899999999999999E-2</v>
      </c>
      <c r="T21" s="331"/>
      <c r="U21" s="331"/>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9" t="str">
        <f>IF($I$11=$A$59,"Margem bruta da empresa de consultoria","Lucro")</f>
        <v>Lucro</v>
      </c>
      <c r="J22" s="319"/>
      <c r="K22" s="319"/>
      <c r="L22" s="319"/>
      <c r="M22" s="60" t="str">
        <f>IF($I$11=$A$59,"K3","L")</f>
        <v>L</v>
      </c>
      <c r="N22" s="61">
        <v>7.3999999999999996E-2</v>
      </c>
      <c r="O22" s="62" t="s">
        <v>46</v>
      </c>
      <c r="P22" s="63">
        <f>VLOOKUP(CONCATENATE(I$11,"-",M22),$C$2:$G$49,3,FALSE)</f>
        <v>6.1600000000000002E-2</v>
      </c>
      <c r="Q22" s="63">
        <f>VLOOKUP(CONCATENATE(I$11,"-",M22),$C$2:$G$49,4,FALSE)</f>
        <v>7.400000000000001E-2</v>
      </c>
      <c r="R22" s="63">
        <f>VLOOKUP(CONCATENATE(I$11,"-",M22),$C$2:$G$49,5,FALSE)</f>
        <v>8.9600000000000013E-2</v>
      </c>
      <c r="T22" s="331"/>
      <c r="U22" s="331"/>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3" t="s">
        <v>48</v>
      </c>
      <c r="J23" s="333"/>
      <c r="K23" s="333"/>
      <c r="L23" s="333"/>
      <c r="M23" s="60" t="s">
        <v>49</v>
      </c>
      <c r="N23" s="61">
        <v>3.6499999999999998E-2</v>
      </c>
      <c r="O23" s="62" t="s">
        <v>46</v>
      </c>
      <c r="P23" s="63">
        <v>3.6499999999999998E-2</v>
      </c>
      <c r="Q23" s="63">
        <v>3.6499999999999998E-2</v>
      </c>
      <c r="R23" s="63">
        <v>3.6499999999999998E-2</v>
      </c>
      <c r="T23" s="331"/>
      <c r="U23" s="331"/>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9" t="s">
        <v>50</v>
      </c>
      <c r="J24" s="319"/>
      <c r="K24" s="319"/>
      <c r="L24" s="319"/>
      <c r="M24" s="60" t="s">
        <v>51</v>
      </c>
      <c r="N24" s="63">
        <f>IF($I$11&lt;&gt;$A$58,Q14*Q13,0)</f>
        <v>0.04</v>
      </c>
      <c r="O24" s="62" t="s">
        <v>46</v>
      </c>
      <c r="P24" s="63">
        <v>0</v>
      </c>
      <c r="Q24" s="63">
        <v>2.5000000000000001E-2</v>
      </c>
      <c r="R24" s="63">
        <v>0.05</v>
      </c>
      <c r="T24" s="331"/>
      <c r="U24" s="331"/>
    </row>
    <row r="25" spans="1:31" ht="26.25" customHeight="1" x14ac:dyDescent="0.2">
      <c r="A25" s="52" t="str">
        <f>A24</f>
        <v>Construção e Manutenção de Estações e Redes de Distribuição de Energia Elétrica</v>
      </c>
      <c r="B25" s="54" t="s">
        <v>165</v>
      </c>
      <c r="C25" s="52" t="str">
        <f t="shared" si="0"/>
        <v>Construção e Manutenção de Estações e Redes de Distribuição de Energia Elétrica-L</v>
      </c>
      <c r="E25" s="55">
        <v>0.08</v>
      </c>
      <c r="F25" s="55">
        <v>8.3100000000000007E-2</v>
      </c>
      <c r="G25" s="55">
        <v>9.5100000000000004E-2</v>
      </c>
      <c r="I25" s="319" t="s">
        <v>117</v>
      </c>
      <c r="J25" s="319"/>
      <c r="K25" s="319"/>
      <c r="L25" s="319"/>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9" t="s">
        <v>53</v>
      </c>
      <c r="J26" s="319"/>
      <c r="K26" s="319"/>
      <c r="L26" s="319"/>
      <c r="M26" s="65" t="s">
        <v>33</v>
      </c>
      <c r="N26" s="63">
        <f>IF($I$11=$A$58,0,ROUND((((1+N18+N19+N20)*(1+N21)*(1+N22)/(1-(N23+N24)))-1),4))</f>
        <v>0.2487</v>
      </c>
      <c r="O26" s="106" t="str">
        <f>IF(OR($I$11=$A$59,$I$11=$A$58,AND(N26&gt;=P26, N26&lt;=R26)), "OK", "FORA DO INTERVALO")</f>
        <v>OK</v>
      </c>
      <c r="P26" s="63">
        <f>IF($I$11=$A$58,0,VLOOKUP(CONCATENATE($I$11,"-",$M26),$C$2:$G$49,3,FALSE))</f>
        <v>0.2034</v>
      </c>
      <c r="Q26" s="63">
        <f>IF($I$11=$A$58,0,VLOOKUP(CONCATENATE($I$11,"-",$M26),$C$2:$G$49,4,FALSE))</f>
        <v>0.22120000000000001</v>
      </c>
      <c r="R26" s="63">
        <f>IF($I$11=$A$58,0,VLOOKUP(CONCATENATE($I$11,"-",$M26),$C$2:$G$49,5,FALSE))</f>
        <v>0.25</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20" t="s">
        <v>55</v>
      </c>
      <c r="J27" s="320"/>
      <c r="K27" s="320"/>
      <c r="L27" s="320"/>
      <c r="M27" s="66" t="s">
        <v>56</v>
      </c>
      <c r="N27" s="67">
        <f>IF($I$11=$A$58,0,ROUND((((1+N18+N19+N20)*(1+N21)*(1+N22)/(1-(N23+N24+N25)))-1),4))</f>
        <v>0.2487</v>
      </c>
      <c r="O27" s="110" t="str">
        <f>IF(Q11&lt;&gt;"Sim","",O26)</f>
        <v/>
      </c>
      <c r="P27" s="321"/>
      <c r="Q27" s="321"/>
      <c r="R27" s="321"/>
      <c r="T27" s="107"/>
      <c r="V27" s="111" t="b">
        <f>AND(COUNTA(N18:N23)=6,O26&lt;&gt;"ok",NOT(V29))</f>
        <v>0</v>
      </c>
      <c r="W27" s="52" t="s">
        <v>119</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8" t="s">
        <v>118</v>
      </c>
      <c r="K29" s="318"/>
      <c r="L29" s="318"/>
      <c r="M29" s="318"/>
      <c r="N29" s="318"/>
      <c r="O29" s="318"/>
      <c r="P29" s="318"/>
      <c r="Q29" s="318"/>
      <c r="R29" s="318"/>
      <c r="V29" s="111" t="b">
        <v>0</v>
      </c>
      <c r="W29" s="52" t="s">
        <v>120</v>
      </c>
    </row>
    <row r="30" spans="1:31" ht="7.5" customHeight="1" x14ac:dyDescent="0.2">
      <c r="B30" s="54"/>
      <c r="E30" s="55"/>
      <c r="F30" s="55"/>
      <c r="G30" s="55"/>
      <c r="V30" s="111"/>
    </row>
    <row r="31" spans="1:31" ht="18.75" customHeight="1" x14ac:dyDescent="0.2">
      <c r="B31" s="54"/>
      <c r="E31" s="55"/>
      <c r="F31" s="55"/>
      <c r="G31" s="55"/>
      <c r="I31" s="323" t="s">
        <v>61</v>
      </c>
      <c r="J31" s="323"/>
      <c r="K31" s="323"/>
      <c r="L31" s="323"/>
      <c r="M31" s="323"/>
      <c r="N31" s="323"/>
      <c r="O31" s="323"/>
      <c r="P31" s="323"/>
      <c r="Q31" s="323"/>
      <c r="R31" s="323"/>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9" t="str">
        <f>IF(Q11="Sim","BDI.DES =","BDI.PAD =")</f>
        <v>BDI.PAD =</v>
      </c>
      <c r="M32" s="337" t="str">
        <f>IF($I$11=$A$59,"(1+K1+K2)*(1+K3)","(1+AC + S + R + G)*(1 + DF)*(1+L)")</f>
        <v>(1+AC + S + R + G)*(1 + DF)*(1+L)</v>
      </c>
      <c r="N32" s="337"/>
      <c r="O32" s="337"/>
      <c r="P32" s="335" t="s">
        <v>109</v>
      </c>
      <c r="Q32" s="100"/>
      <c r="R32" s="100"/>
    </row>
    <row r="33" spans="1:18" ht="27" customHeight="1" x14ac:dyDescent="0.2">
      <c r="A33" s="52" t="str">
        <f>A32</f>
        <v>Obras Portuárias, Marítimas e Fluviais</v>
      </c>
      <c r="B33" s="54" t="s">
        <v>165</v>
      </c>
      <c r="C33" s="52" t="str">
        <f t="shared" si="0"/>
        <v>Obras Portuárias, Marítimas e Fluviais-L</v>
      </c>
      <c r="E33" s="55">
        <v>7.1399999999999991E-2</v>
      </c>
      <c r="F33" s="55">
        <v>8.4000000000000005E-2</v>
      </c>
      <c r="G33" s="55">
        <v>0.1043</v>
      </c>
      <c r="I33" s="100"/>
      <c r="J33" s="100"/>
      <c r="K33" s="100"/>
      <c r="L33" s="339"/>
      <c r="M33" s="338" t="str">
        <f>IF(Q11="Sim","(1-CP-ISS-CRPB)","(1-CP-ISS)")</f>
        <v>(1-CP-ISS)</v>
      </c>
      <c r="N33" s="338"/>
      <c r="O33" s="338"/>
      <c r="P33" s="336"/>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4" t="str">
        <f>CONCATENATE("Declaro para os devidos fins que, conforme legislação tributária municipal, a base de cálculo para ",I11,", é de ",Q13*100,"%, com a respectiva alíquota de ",Q14*100,"%.")</f>
        <v>Declaro para os devidos fins que, conforme legislação tributária municipal, a base de cálculo para Construção e Reforma de Edifícios, é de 100%, com a respectiva alíquota de 4%.</v>
      </c>
      <c r="J35" s="324"/>
      <c r="K35" s="324"/>
      <c r="L35" s="324"/>
      <c r="M35" s="324"/>
      <c r="N35" s="324"/>
      <c r="O35" s="324"/>
      <c r="P35" s="324"/>
      <c r="Q35" s="324"/>
      <c r="R35" s="324"/>
    </row>
    <row r="36" spans="1:18" ht="11.25" customHeight="1" x14ac:dyDescent="0.2">
      <c r="B36" s="59"/>
      <c r="E36" s="55"/>
      <c r="F36" s="55"/>
      <c r="G36" s="55"/>
    </row>
    <row r="37" spans="1:18" ht="52.5" customHeight="1" x14ac:dyDescent="0.2">
      <c r="B37" s="59"/>
      <c r="E37" s="55"/>
      <c r="F37" s="55"/>
      <c r="G37" s="55"/>
      <c r="I37" s="32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4"/>
      <c r="K37" s="324"/>
      <c r="L37" s="324"/>
      <c r="M37" s="324"/>
      <c r="N37" s="324"/>
      <c r="O37" s="324"/>
      <c r="P37" s="324"/>
      <c r="Q37" s="324"/>
      <c r="R37" s="324"/>
    </row>
    <row r="38" spans="1:18" ht="18" customHeight="1" x14ac:dyDescent="0.2">
      <c r="A38" s="52" t="s">
        <v>138</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6"/>
      <c r="J40" s="327"/>
      <c r="K40" s="327"/>
      <c r="L40" s="327"/>
      <c r="M40" s="327"/>
      <c r="N40" s="327"/>
      <c r="O40" s="327"/>
      <c r="P40" s="327"/>
      <c r="Q40" s="327"/>
      <c r="R40" s="328"/>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165</v>
      </c>
      <c r="C42" s="52" t="str">
        <f t="shared" si="0"/>
        <v>Fornecimento de Materiais e Equipamentos (aquisição indireta - em conjunto com licitação de obras)-L</v>
      </c>
      <c r="E42" s="55">
        <v>3.5000000000000003E-2</v>
      </c>
      <c r="F42" s="55">
        <v>5.1100000000000007E-2</v>
      </c>
      <c r="G42" s="55">
        <v>6.2199999999999998E-2</v>
      </c>
      <c r="I42" s="332" t="str">
        <f>PO!K150</f>
        <v>ALPESTRE/RS</v>
      </c>
      <c r="J42" s="332"/>
      <c r="K42" s="332"/>
      <c r="L42" s="332"/>
      <c r="O42" s="325" t="str">
        <f>PO!K153</f>
        <v>27 de maio de 2024</v>
      </c>
      <c r="P42" s="325"/>
      <c r="Q42" s="325"/>
      <c r="R42" s="325"/>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1" t="s">
        <v>121</v>
      </c>
      <c r="J43" s="351"/>
      <c r="K43" s="351"/>
      <c r="L43" s="351"/>
      <c r="N43" s="68"/>
      <c r="O43" s="144" t="s">
        <v>122</v>
      </c>
      <c r="P43" s="145"/>
      <c r="Q43" s="145"/>
      <c r="R43" s="145"/>
    </row>
    <row r="44" spans="1:18" x14ac:dyDescent="0.2">
      <c r="A44" s="52" t="s">
        <v>59</v>
      </c>
      <c r="B44" s="54" t="s">
        <v>105</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106</v>
      </c>
      <c r="C45" s="52" t="str">
        <f t="shared" si="0"/>
        <v>Estudos e Projetos, Planos e Gerenciamento e outros correlatos-K2</v>
      </c>
      <c r="E45" s="55" t="s">
        <v>46</v>
      </c>
      <c r="F45" s="55">
        <v>0.2</v>
      </c>
      <c r="G45" s="55" t="s">
        <v>46</v>
      </c>
      <c r="I45" s="322"/>
      <c r="J45" s="322"/>
      <c r="K45" s="322"/>
      <c r="L45" s="322"/>
      <c r="M45" s="69"/>
      <c r="N45" s="69"/>
      <c r="O45" s="322"/>
      <c r="P45" s="322"/>
      <c r="Q45" s="322"/>
      <c r="R45" s="322"/>
    </row>
    <row r="46" spans="1:18" x14ac:dyDescent="0.2">
      <c r="A46" s="52" t="str">
        <f>A45</f>
        <v>Estudos e Projetos, Planos e Gerenciamento e outros correlatos</v>
      </c>
      <c r="B46" s="54" t="s">
        <v>107</v>
      </c>
      <c r="C46" s="52" t="str">
        <f t="shared" si="0"/>
        <v>Estudos e Projetos, Planos e Gerenciamento e outros correlatos-</v>
      </c>
      <c r="E46" s="55" t="s">
        <v>46</v>
      </c>
      <c r="F46" s="55" t="s">
        <v>46</v>
      </c>
      <c r="G46" s="55" t="s">
        <v>46</v>
      </c>
      <c r="I46" s="329" t="s">
        <v>57</v>
      </c>
      <c r="J46" s="329"/>
      <c r="K46" s="329"/>
      <c r="L46" s="329"/>
      <c r="M46" s="70"/>
      <c r="N46" s="70"/>
      <c r="O46" s="329" t="s">
        <v>58</v>
      </c>
      <c r="P46" s="329"/>
      <c r="Q46" s="329"/>
      <c r="R46" s="329"/>
    </row>
    <row r="47" spans="1:18" ht="14.25" x14ac:dyDescent="0.2">
      <c r="A47" s="52" t="str">
        <f>A46</f>
        <v>Estudos e Projetos, Planos e Gerenciamento e outros correlatos</v>
      </c>
      <c r="B47" s="54" t="s">
        <v>107</v>
      </c>
      <c r="C47" s="52" t="str">
        <f t="shared" si="0"/>
        <v>Estudos e Projetos, Planos e Gerenciamento e outros correlatos-</v>
      </c>
      <c r="E47" s="55" t="s">
        <v>46</v>
      </c>
      <c r="F47" s="55" t="s">
        <v>46</v>
      </c>
      <c r="G47" s="55" t="s">
        <v>46</v>
      </c>
      <c r="I47" s="29" t="s">
        <v>141</v>
      </c>
      <c r="J47" s="317" t="str">
        <f>DADOS!B54</f>
        <v>DANIEL IANSSEN</v>
      </c>
      <c r="K47" s="317"/>
      <c r="L47" s="317"/>
      <c r="M47" s="71"/>
      <c r="N47" s="71"/>
      <c r="O47" s="29" t="s">
        <v>141</v>
      </c>
      <c r="P47" s="330" t="s">
        <v>273</v>
      </c>
      <c r="Q47" s="330"/>
      <c r="R47" s="330"/>
    </row>
    <row r="48" spans="1:18" ht="14.25" x14ac:dyDescent="0.2">
      <c r="A48" s="52" t="str">
        <f>A47</f>
        <v>Estudos e Projetos, Planos e Gerenciamento e outros correlatos</v>
      </c>
      <c r="B48" s="54" t="s">
        <v>108</v>
      </c>
      <c r="C48" s="52" t="str">
        <f t="shared" si="0"/>
        <v>Estudos e Projetos, Planos e Gerenciamento e outros correlatos-K3</v>
      </c>
      <c r="E48" s="55" t="s">
        <v>46</v>
      </c>
      <c r="F48" s="55">
        <v>0.12</v>
      </c>
      <c r="G48" s="55" t="s">
        <v>46</v>
      </c>
      <c r="I48" s="29" t="s">
        <v>17</v>
      </c>
      <c r="J48" s="317" t="str">
        <f>DADOS!B55</f>
        <v>ENGENHEIRO CIVIL</v>
      </c>
      <c r="K48" s="317"/>
      <c r="L48" s="317"/>
      <c r="M48" s="71"/>
      <c r="N48" s="71"/>
      <c r="O48" s="29" t="s">
        <v>60</v>
      </c>
      <c r="P48" s="330" t="s">
        <v>274</v>
      </c>
      <c r="Q48" s="330"/>
      <c r="R48" s="330"/>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9" t="str">
        <f>DADOS!A56</f>
        <v>CREA/CAU:</v>
      </c>
      <c r="J49" s="317" t="str">
        <f>DADOS!B56</f>
        <v>CREA RS 134510</v>
      </c>
      <c r="K49" s="317"/>
      <c r="L49" s="317"/>
      <c r="M49" s="71"/>
      <c r="N49" s="71"/>
      <c r="O49" s="71"/>
      <c r="P49" s="71"/>
      <c r="Q49" s="71"/>
      <c r="R49" s="71"/>
    </row>
    <row r="50" spans="1:18" x14ac:dyDescent="0.2">
      <c r="I50" s="29" t="str">
        <f>DADOS!A57</f>
        <v>ART/RRT:</v>
      </c>
      <c r="J50" s="317" t="str">
        <f>DADOS!B57</f>
        <v>13049753</v>
      </c>
      <c r="K50" s="317"/>
      <c r="L50" s="317"/>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138</v>
      </c>
    </row>
    <row r="58" spans="1:18" hidden="1" x14ac:dyDescent="0.2">
      <c r="A58" s="52" t="s">
        <v>139</v>
      </c>
    </row>
    <row r="59" spans="1:18" hidden="1" x14ac:dyDescent="0.2">
      <c r="A59" s="52" t="s">
        <v>59</v>
      </c>
    </row>
    <row r="60" spans="1:18" ht="14.25" hidden="1" x14ac:dyDescent="0.2">
      <c r="A60" s="72"/>
      <c r="B60" s="71"/>
      <c r="C60" s="71"/>
      <c r="D60" s="71"/>
      <c r="E60" s="71"/>
      <c r="F60" s="71"/>
      <c r="G60" s="71"/>
    </row>
  </sheetData>
  <sheetProtection algorithmName="SHA-512" hashValue="D/SnLlZZiJ7SmbHOk51mIClSfBtqymZ4+yz4q7p4oG9LJisgNBMVVQRrkV+c+azrjKh1X3qxmAqDE5mVZ8Cxbg==" saltValue="OG/OGPtrAtE3MIcZLkSq0g==" spinCount="100000" sheet="1" objects="1" scenarios="1"/>
  <mergeCells count="55">
    <mergeCell ref="P48:R48"/>
    <mergeCell ref="I45:L45"/>
    <mergeCell ref="I43:L43"/>
    <mergeCell ref="Q13:R13"/>
    <mergeCell ref="I14:P14"/>
    <mergeCell ref="Q14:R14"/>
    <mergeCell ref="M16:M17"/>
    <mergeCell ref="I13:P13"/>
    <mergeCell ref="P16:P17"/>
    <mergeCell ref="Q16:Q17"/>
    <mergeCell ref="N16:N17"/>
    <mergeCell ref="I16:L17"/>
    <mergeCell ref="O16:O17"/>
    <mergeCell ref="I11:P11"/>
    <mergeCell ref="Q11:R11"/>
    <mergeCell ref="I4:J4"/>
    <mergeCell ref="K4:R4"/>
    <mergeCell ref="I5:J5"/>
    <mergeCell ref="K5:R5"/>
    <mergeCell ref="I7:R7"/>
    <mergeCell ref="I8:R8"/>
    <mergeCell ref="I10:P10"/>
    <mergeCell ref="Q10:R10"/>
    <mergeCell ref="T16:U24"/>
    <mergeCell ref="I42:L42"/>
    <mergeCell ref="I18:L18"/>
    <mergeCell ref="I19:L19"/>
    <mergeCell ref="I20:L20"/>
    <mergeCell ref="I21:L21"/>
    <mergeCell ref="I22:L22"/>
    <mergeCell ref="I23:L23"/>
    <mergeCell ref="I24:L24"/>
    <mergeCell ref="I25:L25"/>
    <mergeCell ref="R16:R17"/>
    <mergeCell ref="I37:R37"/>
    <mergeCell ref="P32:P33"/>
    <mergeCell ref="M32:O32"/>
    <mergeCell ref="M33:O33"/>
    <mergeCell ref="L32:L33"/>
    <mergeCell ref="J50:L50"/>
    <mergeCell ref="J29:R29"/>
    <mergeCell ref="I26:L26"/>
    <mergeCell ref="I27:L27"/>
    <mergeCell ref="P27:R27"/>
    <mergeCell ref="O45:R45"/>
    <mergeCell ref="I31:R31"/>
    <mergeCell ref="I35:R35"/>
    <mergeCell ref="O42:R42"/>
    <mergeCell ref="J49:L49"/>
    <mergeCell ref="I40:R40"/>
    <mergeCell ref="I46:L46"/>
    <mergeCell ref="O46:R46"/>
    <mergeCell ref="J47:L47"/>
    <mergeCell ref="P47:R47"/>
    <mergeCell ref="J48:L48"/>
  </mergeCells>
  <phoneticPr fontId="43" type="noConversion"/>
  <conditionalFormatting sqref="O42">
    <cfRule type="expression" dxfId="353" priority="6" stopIfTrue="1">
      <formula>$O$42=""</formula>
    </cfRule>
  </conditionalFormatting>
  <conditionalFormatting sqref="O18:O27">
    <cfRule type="expression" dxfId="352" priority="11" stopIfTrue="1">
      <formula>AND(O18&lt;&gt;"OK",O18&lt;&gt;"-",O18&lt;&gt;"")</formula>
    </cfRule>
    <cfRule type="cellIs" dxfId="351" priority="12" stopIfTrue="1" operator="equal">
      <formula>"OK"</formula>
    </cfRule>
  </conditionalFormatting>
  <conditionalFormatting sqref="I26:N26">
    <cfRule type="expression" dxfId="350" priority="10" stopIfTrue="1">
      <formula>$Q$11="Não"</formula>
    </cfRule>
  </conditionalFormatting>
  <conditionalFormatting sqref="I27:N27">
    <cfRule type="expression" dxfId="349" priority="9" stopIfTrue="1">
      <formula>$Q$11="sim"</formula>
    </cfRule>
  </conditionalFormatting>
  <conditionalFormatting sqref="P27:R27">
    <cfRule type="expression" dxfId="348" priority="8" stopIfTrue="1">
      <formula>$Q$11="sim"</formula>
    </cfRule>
  </conditionalFormatting>
  <conditionalFormatting sqref="P47:R48">
    <cfRule type="expression" dxfId="347" priority="7" stopIfTrue="1">
      <formula>P47=""</formula>
    </cfRule>
  </conditionalFormatting>
  <conditionalFormatting sqref="I29:R29">
    <cfRule type="expression" dxfId="346" priority="3" stopIfTrue="1">
      <formula>AND(NOT($V$27),NOT($V$29))</formula>
    </cfRule>
  </conditionalFormatting>
  <conditionalFormatting sqref="P18:R26">
    <cfRule type="expression" dxfId="345" priority="2" stopIfTrue="1">
      <formula>$I$11=$A$58</formula>
    </cfRule>
  </conditionalFormatting>
  <dataValidations count="6">
    <dataValidation type="list" allowBlank="1" showInputMessage="1" showErrorMessage="1" sqref="I11:P11">
      <formula1>$A$52:$A$59</formula1>
    </dataValidation>
    <dataValidation operator="greaterThanOrEqual" allowBlank="1" showInputMessage="1" showErrorMessage="1" errorTitle="Erro de valores" error="Digite um valor igual a 0% ou 2%." sqref="N25"/>
    <dataValidation type="decimal" allowBlank="1" showInputMessage="1" showErrorMessage="1" errorTitle="Erro de valores" error="Digite um valor maior do que 0." sqref="N24">
      <formula1>0</formula1>
      <formula2>1</formula2>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Erro de valores" error="Digite um valor entre 0% e 100%" sqref="N18:N23">
      <formula1>0</formula1>
      <formula2>1</formula2>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ignoredErrors>
    <ignoredError sqref="V27" unlockedFormula="1"/>
    <ignoredError sqref="P32" numberStoredAsText="1"/>
  </ignoredErrors>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5">
    <tabColor rgb="FFFFFF00"/>
    <pageSetUpPr fitToPage="1"/>
  </sheetPr>
  <dimension ref="A1:AE60"/>
  <sheetViews>
    <sheetView showGridLines="0" topLeftCell="I28" zoomScaleNormal="100" zoomScaleSheetLayoutView="100" zoomScalePageLayoutView="70" workbookViewId="0">
      <selection activeCell="O42" sqref="O42:R42"/>
    </sheetView>
  </sheetViews>
  <sheetFormatPr defaultColWidth="0" defaultRowHeight="12.75" customHeight="1" zeroHeight="1" x14ac:dyDescent="0.2"/>
  <cols>
    <col min="1" max="1" width="30.28515625" style="52" hidden="1" customWidth="1"/>
    <col min="2" max="3" width="9.140625" style="52" hidden="1" customWidth="1"/>
    <col min="4" max="4" width="23.5703125" style="52" hidden="1" customWidth="1"/>
    <col min="5" max="8" width="9.140625" style="52" hidden="1" customWidth="1"/>
    <col min="9" max="14" width="10.7109375" style="52" customWidth="1"/>
    <col min="15" max="15" width="12.85546875" style="52" customWidth="1"/>
    <col min="16" max="18" width="10.7109375" style="52" customWidth="1"/>
    <col min="19" max="19" width="3.7109375" style="52" customWidth="1"/>
    <col min="20" max="20" width="29.5703125" style="52" customWidth="1"/>
    <col min="21" max="21" width="13.7109375" style="52" customWidth="1"/>
    <col min="22" max="16384" width="9.140625" style="52" hidden="1"/>
  </cols>
  <sheetData>
    <row r="1" spans="1:29" ht="15" customHeight="1" x14ac:dyDescent="0.25">
      <c r="E1" s="53" t="s">
        <v>25</v>
      </c>
      <c r="F1" s="53" t="s">
        <v>26</v>
      </c>
      <c r="G1" s="53" t="s">
        <v>27</v>
      </c>
      <c r="N1" s="56" t="str">
        <f ca="1">"Quadro de Composição do BDI "&amp;MID(CELL("nome.arquivo",N1),5+FIND("BDI (",CELL("nome.arquivo",N1)),1)</f>
        <v>Quadro de Composição do BDI 2</v>
      </c>
      <c r="Q1"/>
      <c r="R1"/>
    </row>
    <row r="2" spans="1:29" x14ac:dyDescent="0.2">
      <c r="A2" s="52" t="s">
        <v>28</v>
      </c>
      <c r="B2" s="54" t="s">
        <v>29</v>
      </c>
      <c r="C2" s="52" t="str">
        <f t="shared" ref="C2:C49" si="0">CONCATENATE(A2,"-",B2)</f>
        <v>Construção e Reforma de Edifícios-AC</v>
      </c>
      <c r="E2" s="55">
        <v>0.03</v>
      </c>
      <c r="F2" s="55">
        <v>0.04</v>
      </c>
      <c r="G2" s="55">
        <v>5.5E-2</v>
      </c>
      <c r="Q2"/>
      <c r="R2"/>
    </row>
    <row r="3" spans="1:29" x14ac:dyDescent="0.2">
      <c r="A3" s="52" t="str">
        <f>A2</f>
        <v>Construção e Reforma de Edifícios</v>
      </c>
      <c r="B3" s="54" t="s">
        <v>30</v>
      </c>
      <c r="C3" s="52" t="str">
        <f t="shared" si="0"/>
        <v>Construção e Reforma de Edifícios-SG</v>
      </c>
      <c r="E3" s="55">
        <v>8.0000000000000002E-3</v>
      </c>
      <c r="F3" s="55">
        <v>8.0000000000000002E-3</v>
      </c>
      <c r="G3" s="55">
        <v>0.01</v>
      </c>
    </row>
    <row r="4" spans="1:29" x14ac:dyDescent="0.2">
      <c r="A4" s="52" t="str">
        <f>A3</f>
        <v>Construção e Reforma de Edifícios</v>
      </c>
      <c r="B4" s="54" t="s">
        <v>31</v>
      </c>
      <c r="C4" s="52" t="str">
        <f t="shared" si="0"/>
        <v>Construção e Reforma de Edifícios-R</v>
      </c>
      <c r="E4" s="55">
        <v>9.7000000000000003E-3</v>
      </c>
      <c r="F4" s="55">
        <v>1.2699999999999999E-2</v>
      </c>
      <c r="G4" s="55">
        <v>1.2699999999999999E-2</v>
      </c>
      <c r="I4" s="241" t="s">
        <v>151</v>
      </c>
      <c r="J4" s="252"/>
      <c r="K4" s="241" t="s">
        <v>174</v>
      </c>
      <c r="L4" s="242"/>
      <c r="M4" s="242"/>
      <c r="N4" s="242"/>
      <c r="O4" s="242"/>
      <c r="P4" s="242"/>
      <c r="Q4" s="242"/>
      <c r="R4" s="252"/>
    </row>
    <row r="5" spans="1:29" ht="12.75" customHeight="1" x14ac:dyDescent="0.3">
      <c r="A5" s="52" t="str">
        <f>A4</f>
        <v>Construção e Reforma de Edifícios</v>
      </c>
      <c r="B5" s="54" t="s">
        <v>32</v>
      </c>
      <c r="C5" s="52" t="str">
        <f t="shared" si="0"/>
        <v>Construção e Reforma de Edifícios-DF</v>
      </c>
      <c r="E5" s="55">
        <v>5.8999999999999999E-3</v>
      </c>
      <c r="F5" s="55">
        <v>1.23E-2</v>
      </c>
      <c r="G5" s="55">
        <v>1.3899999999999999E-2</v>
      </c>
      <c r="I5" s="345" t="str">
        <f>DADOS!A29</f>
        <v>941472/2023</v>
      </c>
      <c r="J5" s="346"/>
      <c r="K5" s="347" t="str">
        <f>DADOS!A32</f>
        <v>MUNICIPIO DE ALPESTRE</v>
      </c>
      <c r="L5" s="348"/>
      <c r="M5" s="348"/>
      <c r="N5" s="348"/>
      <c r="O5" s="348"/>
      <c r="P5" s="348"/>
      <c r="Q5" s="348"/>
      <c r="R5" s="349"/>
      <c r="S5" s="57"/>
    </row>
    <row r="6" spans="1:29" ht="6" customHeight="1" x14ac:dyDescent="0.2">
      <c r="A6" s="52" t="str">
        <f>A5</f>
        <v>Construção e Reforma de Edifícios</v>
      </c>
      <c r="B6" s="54" t="s">
        <v>165</v>
      </c>
      <c r="C6" s="52" t="str">
        <f t="shared" si="0"/>
        <v>Construção e Reforma de Edifícios-L</v>
      </c>
      <c r="E6" s="55">
        <v>6.1600000000000002E-2</v>
      </c>
      <c r="F6" s="55">
        <v>7.400000000000001E-2</v>
      </c>
      <c r="G6" s="55">
        <v>8.9600000000000013E-2</v>
      </c>
      <c r="I6" s="58"/>
      <c r="J6" s="58"/>
      <c r="K6" s="58"/>
      <c r="L6" s="58"/>
      <c r="M6" s="58"/>
      <c r="N6" s="58"/>
      <c r="O6" s="58"/>
      <c r="P6" s="58"/>
      <c r="Q6" s="58"/>
      <c r="R6" s="58"/>
    </row>
    <row r="7" spans="1:29" ht="13.5" customHeight="1" x14ac:dyDescent="0.2">
      <c r="A7" s="52" t="str">
        <f>A6</f>
        <v>Construção e Reforma de Edifícios</v>
      </c>
      <c r="B7" s="59" t="s">
        <v>33</v>
      </c>
      <c r="C7" s="52" t="str">
        <f t="shared" si="0"/>
        <v>Construção e Reforma de Edifícios-BDI PAD</v>
      </c>
      <c r="E7" s="55">
        <v>0.2034</v>
      </c>
      <c r="F7" s="55">
        <v>0.22120000000000001</v>
      </c>
      <c r="G7" s="55">
        <v>0.25</v>
      </c>
      <c r="I7" s="241" t="s">
        <v>0</v>
      </c>
      <c r="J7" s="242"/>
      <c r="K7" s="242"/>
      <c r="L7" s="242"/>
      <c r="M7" s="242"/>
      <c r="N7" s="242"/>
      <c r="O7" s="242"/>
      <c r="P7" s="242"/>
      <c r="Q7" s="242"/>
      <c r="R7" s="252"/>
    </row>
    <row r="8" spans="1:29" ht="24.75" customHeight="1" x14ac:dyDescent="0.2">
      <c r="A8" s="52" t="s">
        <v>34</v>
      </c>
      <c r="B8" s="54" t="s">
        <v>29</v>
      </c>
      <c r="C8" s="52" t="str">
        <f t="shared" si="0"/>
        <v>Construção de Praças Urbanas, Rodovias, Ferrovias e recapeamento e pavimentação de vias urbanas-AC</v>
      </c>
      <c r="E8" s="55">
        <v>3.7999999999999999E-2</v>
      </c>
      <c r="F8" s="55">
        <v>4.0099999999999997E-2</v>
      </c>
      <c r="G8" s="55">
        <v>4.6699999999999998E-2</v>
      </c>
      <c r="I8" s="350" t="str">
        <f>DADOS!P29</f>
        <v>RECUPERAÇÃO DE COMPLEXO ESPORTIVO DO DISTRITO DE SERTÃZINHO</v>
      </c>
      <c r="J8" s="350"/>
      <c r="K8" s="350"/>
      <c r="L8" s="350"/>
      <c r="M8" s="350"/>
      <c r="N8" s="350"/>
      <c r="O8" s="350"/>
      <c r="P8" s="350"/>
      <c r="Q8" s="350"/>
      <c r="R8" s="350"/>
    </row>
    <row r="9" spans="1:29" ht="6" customHeight="1" x14ac:dyDescent="0.2">
      <c r="A9" s="52" t="s">
        <v>34</v>
      </c>
      <c r="B9" s="54" t="s">
        <v>30</v>
      </c>
      <c r="C9" s="52" t="str">
        <f t="shared" si="0"/>
        <v>Construção de Praças Urbanas, Rodovias, Ferrovias e recapeamento e pavimentação de vias urbanas-SG</v>
      </c>
      <c r="E9" s="55">
        <v>3.2000000000000002E-3</v>
      </c>
      <c r="F9" s="55">
        <v>4.0000000000000001E-3</v>
      </c>
      <c r="G9" s="55">
        <v>7.4000000000000003E-3</v>
      </c>
      <c r="I9" s="58"/>
      <c r="J9" s="58"/>
      <c r="K9" s="58"/>
      <c r="L9" s="58"/>
      <c r="M9" s="58"/>
      <c r="N9" s="58"/>
      <c r="O9" s="58"/>
      <c r="P9" s="58"/>
      <c r="Q9" s="58"/>
      <c r="R9" s="58"/>
    </row>
    <row r="10" spans="1:29" x14ac:dyDescent="0.2">
      <c r="A10" s="52" t="s">
        <v>34</v>
      </c>
      <c r="B10" s="54" t="s">
        <v>31</v>
      </c>
      <c r="C10" s="52" t="str">
        <f t="shared" si="0"/>
        <v>Construção de Praças Urbanas, Rodovias, Ferrovias e recapeamento e pavimentação de vias urbanas-R</v>
      </c>
      <c r="E10" s="55">
        <v>5.0000000000000001E-3</v>
      </c>
      <c r="F10" s="55">
        <v>5.6000000000000008E-3</v>
      </c>
      <c r="G10" s="55">
        <v>9.7000000000000003E-3</v>
      </c>
      <c r="I10" s="241" t="s">
        <v>35</v>
      </c>
      <c r="J10" s="242"/>
      <c r="K10" s="242"/>
      <c r="L10" s="242"/>
      <c r="M10" s="242"/>
      <c r="N10" s="242"/>
      <c r="O10" s="242"/>
      <c r="P10" s="242"/>
      <c r="Q10" s="241" t="s">
        <v>13</v>
      </c>
      <c r="R10" s="252"/>
    </row>
    <row r="11" spans="1:29" x14ac:dyDescent="0.2">
      <c r="A11" s="52" t="s">
        <v>34</v>
      </c>
      <c r="B11" s="54" t="s">
        <v>32</v>
      </c>
      <c r="C11" s="52" t="str">
        <f t="shared" si="0"/>
        <v>Construção de Praças Urbanas, Rodovias, Ferrovias e recapeamento e pavimentação de vias urbanas-DF</v>
      </c>
      <c r="E11" s="55">
        <v>1.0200000000000001E-2</v>
      </c>
      <c r="F11" s="55">
        <v>1.11E-2</v>
      </c>
      <c r="G11" s="55">
        <v>1.21E-2</v>
      </c>
      <c r="I11" s="340" t="s">
        <v>138</v>
      </c>
      <c r="J11" s="341"/>
      <c r="K11" s="341"/>
      <c r="L11" s="341"/>
      <c r="M11" s="341"/>
      <c r="N11" s="341"/>
      <c r="O11" s="341"/>
      <c r="P11" s="342"/>
      <c r="Q11" s="343" t="str">
        <f>DADOS!$C$38</f>
        <v>Não</v>
      </c>
      <c r="R11" s="344"/>
    </row>
    <row r="12" spans="1:29" x14ac:dyDescent="0.2">
      <c r="A12" s="52" t="s">
        <v>34</v>
      </c>
      <c r="B12" s="54" t="s">
        <v>165</v>
      </c>
      <c r="C12" s="52" t="str">
        <f t="shared" si="0"/>
        <v>Construção de Praças Urbanas, Rodovias, Ferrovias e recapeamento e pavimentação de vias urbanas-L</v>
      </c>
      <c r="E12" s="55">
        <v>6.6400000000000001E-2</v>
      </c>
      <c r="F12" s="55">
        <v>7.2999999999999995E-2</v>
      </c>
      <c r="G12" s="55">
        <v>8.6899999999999991E-2</v>
      </c>
    </row>
    <row r="13" spans="1:29" ht="15" customHeight="1" x14ac:dyDescent="0.2">
      <c r="A13" s="52" t="s">
        <v>34</v>
      </c>
      <c r="B13" s="59" t="s">
        <v>33</v>
      </c>
      <c r="C13" s="52" t="str">
        <f t="shared" si="0"/>
        <v>Construção de Praças Urbanas, Rodovias, Ferrovias e recapeamento e pavimentação de vias urbanas-BDI PAD</v>
      </c>
      <c r="E13" s="55">
        <v>0.19600000000000001</v>
      </c>
      <c r="F13" s="55">
        <v>0.2097</v>
      </c>
      <c r="G13" s="55">
        <v>0.24230000000000002</v>
      </c>
      <c r="I13" s="355" t="s">
        <v>36</v>
      </c>
      <c r="J13" s="355"/>
      <c r="K13" s="355"/>
      <c r="L13" s="355"/>
      <c r="M13" s="355"/>
      <c r="N13" s="355"/>
      <c r="O13" s="355"/>
      <c r="P13" s="355"/>
      <c r="Q13" s="352">
        <v>1</v>
      </c>
      <c r="R13" s="352"/>
    </row>
    <row r="14" spans="1:29" ht="15" customHeight="1" x14ac:dyDescent="0.2">
      <c r="A14" s="52" t="s">
        <v>37</v>
      </c>
      <c r="B14" s="54" t="s">
        <v>29</v>
      </c>
      <c r="C14" s="52" t="str">
        <f t="shared" si="0"/>
        <v>Construção de Redes de Abastecimento de Água, Coleta de Esgoto-AC</v>
      </c>
      <c r="E14" s="55">
        <v>3.4300000000000004E-2</v>
      </c>
      <c r="F14" s="55">
        <v>4.9299999999999997E-2</v>
      </c>
      <c r="G14" s="55">
        <v>6.7099999999999993E-2</v>
      </c>
      <c r="I14" s="353" t="s">
        <v>38</v>
      </c>
      <c r="J14" s="353"/>
      <c r="K14" s="353"/>
      <c r="L14" s="353"/>
      <c r="M14" s="353"/>
      <c r="N14" s="353"/>
      <c r="O14" s="353"/>
      <c r="P14" s="353"/>
      <c r="Q14" s="352">
        <v>0.04</v>
      </c>
      <c r="R14" s="352"/>
    </row>
    <row r="15" spans="1:29" x14ac:dyDescent="0.2">
      <c r="A15" s="52" t="str">
        <f>A14</f>
        <v>Construção de Redes de Abastecimento de Água, Coleta de Esgoto</v>
      </c>
      <c r="B15" s="54" t="s">
        <v>30</v>
      </c>
      <c r="C15" s="52" t="str">
        <f t="shared" si="0"/>
        <v>Construção de Redes de Abastecimento de Água, Coleta de Esgoto-SG</v>
      </c>
      <c r="E15" s="55">
        <v>2.8000000000000004E-3</v>
      </c>
      <c r="F15" s="55">
        <v>4.8999999999999998E-3</v>
      </c>
      <c r="G15" s="55">
        <v>7.4999999999999997E-3</v>
      </c>
    </row>
    <row r="16" spans="1:29" ht="12.75" customHeight="1" x14ac:dyDescent="0.2">
      <c r="B16" s="54"/>
      <c r="E16" s="55"/>
      <c r="F16" s="55"/>
      <c r="G16" s="55"/>
      <c r="I16" s="354" t="s">
        <v>39</v>
      </c>
      <c r="J16" s="354"/>
      <c r="K16" s="354"/>
      <c r="L16" s="354"/>
      <c r="M16" s="354" t="s">
        <v>40</v>
      </c>
      <c r="N16" s="357" t="s">
        <v>41</v>
      </c>
      <c r="O16" s="357" t="s">
        <v>42</v>
      </c>
      <c r="P16" s="356" t="s">
        <v>43</v>
      </c>
      <c r="Q16" s="356" t="s">
        <v>44</v>
      </c>
      <c r="R16" s="334" t="s">
        <v>45</v>
      </c>
      <c r="T16" s="331" t="str">
        <f>IF(V27,"Para BDI fora do intervalo estatístico, deve ser apresentado Relatório Técnico Circunstanciado justificando a adoção do percentual de cada parcela do BDI.","")</f>
        <v/>
      </c>
      <c r="U16" s="331"/>
      <c r="V16" s="108"/>
      <c r="W16" s="108"/>
      <c r="X16" s="108"/>
      <c r="Y16" s="108"/>
      <c r="Z16" s="108"/>
      <c r="AA16" s="108"/>
      <c r="AB16" s="108"/>
      <c r="AC16" s="108"/>
    </row>
    <row r="17" spans="1:31" ht="15.75" customHeight="1" x14ac:dyDescent="0.2">
      <c r="A17" s="52" t="str">
        <f>A15</f>
        <v>Construção de Redes de Abastecimento de Água, Coleta de Esgoto</v>
      </c>
      <c r="B17" s="54" t="s">
        <v>31</v>
      </c>
      <c r="C17" s="52" t="str">
        <f t="shared" si="0"/>
        <v>Construção de Redes de Abastecimento de Água, Coleta de Esgoto-R</v>
      </c>
      <c r="E17" s="55">
        <v>0.01</v>
      </c>
      <c r="F17" s="55">
        <v>1.3899999999999999E-2</v>
      </c>
      <c r="G17" s="55">
        <v>1.7399999999999999E-2</v>
      </c>
      <c r="I17" s="354"/>
      <c r="J17" s="354"/>
      <c r="K17" s="354"/>
      <c r="L17" s="354"/>
      <c r="M17" s="354"/>
      <c r="N17" s="357"/>
      <c r="O17" s="357"/>
      <c r="P17" s="356"/>
      <c r="Q17" s="356"/>
      <c r="R17" s="334"/>
      <c r="T17" s="331"/>
      <c r="U17" s="331"/>
      <c r="V17" s="108"/>
      <c r="W17" s="108"/>
      <c r="X17" s="108"/>
      <c r="Y17" s="108"/>
      <c r="Z17" s="108"/>
      <c r="AA17" s="108"/>
      <c r="AB17" s="108"/>
      <c r="AC17" s="108"/>
    </row>
    <row r="18" spans="1:31" ht="26.25" customHeight="1" x14ac:dyDescent="0.2">
      <c r="A18" s="52" t="str">
        <f>A17</f>
        <v>Construção de Redes de Abastecimento de Água, Coleta de Esgoto</v>
      </c>
      <c r="B18" s="54" t="s">
        <v>32</v>
      </c>
      <c r="C18" s="52" t="str">
        <f t="shared" si="0"/>
        <v>Construção de Redes de Abastecimento de Água, Coleta de Esgoto-DF</v>
      </c>
      <c r="E18" s="55">
        <v>9.3999999999999986E-3</v>
      </c>
      <c r="F18" s="55">
        <v>9.8999999999999991E-3</v>
      </c>
      <c r="G18" s="55">
        <v>1.1699999999999999E-2</v>
      </c>
      <c r="I18" s="319" t="str">
        <f>IF($I$11=$A$59,"Encargos Sociais incidentes sobre a mão de obra","Administração Central")</f>
        <v>Administração Central</v>
      </c>
      <c r="J18" s="319"/>
      <c r="K18" s="319"/>
      <c r="L18" s="319"/>
      <c r="M18" s="60" t="str">
        <f>IF($I$11=$A$59,"K1","AC")</f>
        <v>AC</v>
      </c>
      <c r="N18" s="61">
        <v>1.4999999999999999E-2</v>
      </c>
      <c r="O18" s="62" t="s">
        <v>46</v>
      </c>
      <c r="P18" s="63">
        <f>VLOOKUP(CONCATENATE(I$11,"-",M18),$C$2:$G$49,3,FALSE)</f>
        <v>1.4999999999999999E-2</v>
      </c>
      <c r="Q18" s="63">
        <f>VLOOKUP(CONCATENATE(I$11,"-",M18),$C$2:$G$49,4,FALSE)</f>
        <v>3.4500000000000003E-2</v>
      </c>
      <c r="R18" s="63">
        <f>VLOOKUP(CONCATENATE(I$11,"-",M18),$C$2:$G$49,5,FALSE)</f>
        <v>4.4900000000000002E-2</v>
      </c>
      <c r="T18" s="331"/>
      <c r="U18" s="331"/>
      <c r="V18" s="108"/>
      <c r="W18" s="108"/>
      <c r="X18" s="108"/>
      <c r="Y18" s="108"/>
      <c r="Z18" s="108"/>
      <c r="AA18" s="108"/>
      <c r="AB18" s="108"/>
      <c r="AC18" s="108"/>
    </row>
    <row r="19" spans="1:31" ht="26.25" customHeight="1" x14ac:dyDescent="0.2">
      <c r="A19" s="52" t="str">
        <f>A18</f>
        <v>Construção de Redes de Abastecimento de Água, Coleta de Esgoto</v>
      </c>
      <c r="B19" s="54" t="s">
        <v>165</v>
      </c>
      <c r="C19" s="52" t="str">
        <f t="shared" si="0"/>
        <v>Construção de Redes de Abastecimento de Água, Coleta de Esgoto-L</v>
      </c>
      <c r="E19" s="55">
        <v>6.7400000000000002E-2</v>
      </c>
      <c r="F19" s="55">
        <v>8.0399999999999985E-2</v>
      </c>
      <c r="G19" s="55">
        <v>9.4E-2</v>
      </c>
      <c r="I19" s="319" t="str">
        <f>IF($I$11=$A$59,"Administração Central da empresa ou consultoria - overhead","Seguro e Garantia")</f>
        <v>Seguro e Garantia</v>
      </c>
      <c r="J19" s="319"/>
      <c r="K19" s="319"/>
      <c r="L19" s="319"/>
      <c r="M19" s="60" t="str">
        <f>IF($I$11=$A$59,"K2","SG")</f>
        <v>SG</v>
      </c>
      <c r="N19" s="61">
        <v>3.0000000000000001E-3</v>
      </c>
      <c r="O19" s="62" t="s">
        <v>46</v>
      </c>
      <c r="P19" s="63">
        <f>VLOOKUP(CONCATENATE(I$11,"-",M19),$C$2:$G$49,3,FALSE)</f>
        <v>3.0000000000000001E-3</v>
      </c>
      <c r="Q19" s="63">
        <f>VLOOKUP(CONCATENATE(I$11,"-",M19),$C$2:$G$49,4,FALSE)</f>
        <v>4.7999999999999996E-3</v>
      </c>
      <c r="R19" s="63">
        <f>VLOOKUP(CONCATENATE(I$11,"-",M19),$C$2:$G$49,5,FALSE)</f>
        <v>8.199999999999999E-3</v>
      </c>
      <c r="T19" s="331"/>
      <c r="U19" s="331"/>
      <c r="V19" s="108"/>
      <c r="W19" s="108"/>
      <c r="X19" s="108"/>
      <c r="Y19" s="108"/>
      <c r="Z19" s="108"/>
      <c r="AA19" s="108"/>
      <c r="AB19" s="108"/>
      <c r="AC19" s="108"/>
    </row>
    <row r="20" spans="1:31" ht="26.25" customHeight="1" x14ac:dyDescent="0.2">
      <c r="A20" s="52" t="str">
        <f>A19</f>
        <v>Construção de Redes de Abastecimento de Água, Coleta de Esgoto</v>
      </c>
      <c r="B20" s="59" t="s">
        <v>33</v>
      </c>
      <c r="C20" s="52" t="str">
        <f t="shared" si="0"/>
        <v>Construção de Redes de Abastecimento de Água, Coleta de Esgoto-BDI PAD</v>
      </c>
      <c r="E20" s="55">
        <v>0.20760000000000001</v>
      </c>
      <c r="F20" s="55">
        <v>0.24179999999999999</v>
      </c>
      <c r="G20" s="55">
        <v>0.26440000000000002</v>
      </c>
      <c r="I20" s="319" t="str">
        <f>IF($I$11=$A$59,"","Risco")</f>
        <v>Risco</v>
      </c>
      <c r="J20" s="319"/>
      <c r="K20" s="319"/>
      <c r="L20" s="319"/>
      <c r="M20" s="60" t="str">
        <f>IF($I$11=$A$59,"","R")</f>
        <v>R</v>
      </c>
      <c r="N20" s="61">
        <v>5.5999999999999999E-3</v>
      </c>
      <c r="O20" s="62" t="s">
        <v>46</v>
      </c>
      <c r="P20" s="63">
        <f>VLOOKUP(CONCATENATE(I$11,"-",M20),$C$2:$G$49,3,FALSE)</f>
        <v>5.6000000000000008E-3</v>
      </c>
      <c r="Q20" s="63">
        <f>VLOOKUP(CONCATENATE(I$11,"-",M20),$C$2:$G$49,4,FALSE)</f>
        <v>8.5000000000000006E-3</v>
      </c>
      <c r="R20" s="63">
        <f>VLOOKUP(CONCATENATE(I$11,"-",M20),$C$2:$G$49,5,FALSE)</f>
        <v>8.8999999999999999E-3</v>
      </c>
      <c r="T20" s="331"/>
      <c r="U20" s="331"/>
      <c r="V20" s="108"/>
      <c r="W20" s="108"/>
      <c r="X20" s="108"/>
      <c r="Y20" s="108"/>
      <c r="Z20" s="108"/>
      <c r="AA20" s="108"/>
      <c r="AB20" s="108"/>
      <c r="AC20" s="108"/>
    </row>
    <row r="21" spans="1:31" ht="26.25" customHeight="1" x14ac:dyDescent="0.2">
      <c r="A21" s="52" t="s">
        <v>47</v>
      </c>
      <c r="B21" s="54" t="s">
        <v>29</v>
      </c>
      <c r="C21" s="52" t="str">
        <f t="shared" si="0"/>
        <v>Construção e Manutenção de Estações e Redes de Distribuição de Energia Elétrica-AC</v>
      </c>
      <c r="E21" s="55">
        <v>5.2900000000000003E-2</v>
      </c>
      <c r="F21" s="55">
        <v>5.9200000000000003E-2</v>
      </c>
      <c r="G21" s="55">
        <v>7.9299999999999995E-2</v>
      </c>
      <c r="I21" s="319" t="str">
        <f>IF($I$11=$A$59,"","Despesas Financeiras")</f>
        <v>Despesas Financeiras</v>
      </c>
      <c r="J21" s="319"/>
      <c r="K21" s="319"/>
      <c r="L21" s="319"/>
      <c r="M21" s="60" t="str">
        <f>IF($I$11=$A$59,"","DF")</f>
        <v>DF</v>
      </c>
      <c r="N21" s="61">
        <v>8.5000000000000006E-3</v>
      </c>
      <c r="O21" s="62" t="s">
        <v>46</v>
      </c>
      <c r="P21" s="63">
        <f>VLOOKUP(CONCATENATE(I$11,"-",M21),$C$2:$G$49,3,FALSE)</f>
        <v>8.5000000000000006E-3</v>
      </c>
      <c r="Q21" s="63">
        <f>VLOOKUP(CONCATENATE(I$11,"-",M21),$C$2:$G$49,4,FALSE)</f>
        <v>8.5000000000000006E-3</v>
      </c>
      <c r="R21" s="63">
        <f>VLOOKUP(CONCATENATE(I$11,"-",M21),$C$2:$G$49,5,FALSE)</f>
        <v>1.11E-2</v>
      </c>
      <c r="T21" s="331"/>
      <c r="U21" s="331"/>
    </row>
    <row r="22" spans="1:31" ht="26.25" customHeight="1" x14ac:dyDescent="0.2">
      <c r="A22" s="52" t="str">
        <f>A21</f>
        <v>Construção e Manutenção de Estações e Redes de Distribuição de Energia Elétrica</v>
      </c>
      <c r="B22" s="54" t="s">
        <v>30</v>
      </c>
      <c r="C22" s="52" t="str">
        <f t="shared" si="0"/>
        <v>Construção e Manutenção de Estações e Redes de Distribuição de Energia Elétrica-SG</v>
      </c>
      <c r="E22" s="55">
        <v>2.5000000000000001E-3</v>
      </c>
      <c r="F22" s="55">
        <v>5.1000000000000004E-3</v>
      </c>
      <c r="G22" s="55">
        <v>5.6000000000000008E-3</v>
      </c>
      <c r="I22" s="319" t="str">
        <f>IF($I$11=$A$59,"Margem bruta da empresa de consultoria","Lucro")</f>
        <v>Lucro</v>
      </c>
      <c r="J22" s="319"/>
      <c r="K22" s="319"/>
      <c r="L22" s="319"/>
      <c r="M22" s="60" t="str">
        <f>IF($I$11=$A$59,"K3","L")</f>
        <v>L</v>
      </c>
      <c r="N22" s="61">
        <v>3.5000000000000003E-2</v>
      </c>
      <c r="O22" s="62" t="s">
        <v>46</v>
      </c>
      <c r="P22" s="63">
        <f>VLOOKUP(CONCATENATE(I$11,"-",M22),$C$2:$G$49,3,FALSE)</f>
        <v>3.5000000000000003E-2</v>
      </c>
      <c r="Q22" s="63">
        <f>VLOOKUP(CONCATENATE(I$11,"-",M22),$C$2:$G$49,4,FALSE)</f>
        <v>5.1100000000000007E-2</v>
      </c>
      <c r="R22" s="63">
        <f>VLOOKUP(CONCATENATE(I$11,"-",M22),$C$2:$G$49,5,FALSE)</f>
        <v>6.2199999999999998E-2</v>
      </c>
      <c r="T22" s="331"/>
      <c r="U22" s="331"/>
    </row>
    <row r="23" spans="1:31" ht="26.25" customHeight="1" x14ac:dyDescent="0.2">
      <c r="A23" s="52" t="str">
        <f>A22</f>
        <v>Construção e Manutenção de Estações e Redes de Distribuição de Energia Elétrica</v>
      </c>
      <c r="B23" s="54" t="s">
        <v>31</v>
      </c>
      <c r="C23" s="52" t="str">
        <f t="shared" si="0"/>
        <v>Construção e Manutenção de Estações e Redes de Distribuição de Energia Elétrica-R</v>
      </c>
      <c r="E23" s="55">
        <v>0.01</v>
      </c>
      <c r="F23" s="55">
        <v>1.4800000000000001E-2</v>
      </c>
      <c r="G23" s="55">
        <v>1.9699999999999999E-2</v>
      </c>
      <c r="I23" s="333" t="s">
        <v>48</v>
      </c>
      <c r="J23" s="333"/>
      <c r="K23" s="333"/>
      <c r="L23" s="333"/>
      <c r="M23" s="60" t="s">
        <v>49</v>
      </c>
      <c r="N23" s="61">
        <v>3.6499999999999998E-2</v>
      </c>
      <c r="O23" s="62" t="s">
        <v>46</v>
      </c>
      <c r="P23" s="63">
        <v>3.6499999999999998E-2</v>
      </c>
      <c r="Q23" s="63">
        <v>3.6499999999999998E-2</v>
      </c>
      <c r="R23" s="63">
        <v>3.6499999999999998E-2</v>
      </c>
      <c r="T23" s="331"/>
      <c r="U23" s="331"/>
    </row>
    <row r="24" spans="1:31" ht="26.25" customHeight="1" x14ac:dyDescent="0.2">
      <c r="A24" s="52" t="str">
        <f>A23</f>
        <v>Construção e Manutenção de Estações e Redes de Distribuição de Energia Elétrica</v>
      </c>
      <c r="B24" s="54" t="s">
        <v>32</v>
      </c>
      <c r="C24" s="52" t="str">
        <f t="shared" si="0"/>
        <v>Construção e Manutenção de Estações e Redes de Distribuição de Energia Elétrica-DF</v>
      </c>
      <c r="E24" s="55">
        <v>1.01E-2</v>
      </c>
      <c r="F24" s="55">
        <v>1.0700000000000001E-2</v>
      </c>
      <c r="G24" s="55">
        <v>1.11E-2</v>
      </c>
      <c r="I24" s="319" t="s">
        <v>50</v>
      </c>
      <c r="J24" s="319"/>
      <c r="K24" s="319"/>
      <c r="L24" s="319"/>
      <c r="M24" s="60" t="s">
        <v>51</v>
      </c>
      <c r="N24" s="63">
        <f>IF($I$11&lt;&gt;$A$58,Q14*Q13,0)</f>
        <v>0.04</v>
      </c>
      <c r="O24" s="62" t="s">
        <v>46</v>
      </c>
      <c r="P24" s="63">
        <v>0</v>
      </c>
      <c r="Q24" s="63">
        <v>2.5000000000000001E-2</v>
      </c>
      <c r="R24" s="63">
        <v>0.05</v>
      </c>
      <c r="T24" s="331"/>
      <c r="U24" s="331"/>
    </row>
    <row r="25" spans="1:31" ht="26.25" customHeight="1" x14ac:dyDescent="0.2">
      <c r="A25" s="52" t="str">
        <f>A24</f>
        <v>Construção e Manutenção de Estações e Redes de Distribuição de Energia Elétrica</v>
      </c>
      <c r="B25" s="54" t="s">
        <v>165</v>
      </c>
      <c r="C25" s="52" t="str">
        <f t="shared" si="0"/>
        <v>Construção e Manutenção de Estações e Redes de Distribuição de Energia Elétrica-L</v>
      </c>
      <c r="E25" s="55">
        <v>0.08</v>
      </c>
      <c r="F25" s="55">
        <v>8.3100000000000007E-2</v>
      </c>
      <c r="G25" s="55">
        <v>9.5100000000000004E-2</v>
      </c>
      <c r="I25" s="319" t="s">
        <v>117</v>
      </c>
      <c r="J25" s="319"/>
      <c r="K25" s="319"/>
      <c r="L25" s="319"/>
      <c r="M25" s="60" t="s">
        <v>52</v>
      </c>
      <c r="N25" s="63">
        <f>IF(AND($I$11&lt;&gt;$A$58,Q11="Sim"),4.5%,0%)</f>
        <v>0</v>
      </c>
      <c r="O25" s="62" t="str">
        <f>IF(AND(N25&gt;=P25, N25&lt;=R25), "OK", "Não OK")</f>
        <v>OK</v>
      </c>
      <c r="P25" s="64">
        <v>0</v>
      </c>
      <c r="Q25" s="64">
        <v>4.4999999999999998E-2</v>
      </c>
      <c r="R25" s="64">
        <v>4.4999999999999998E-2</v>
      </c>
    </row>
    <row r="26" spans="1:31" ht="30.75" customHeight="1" x14ac:dyDescent="0.25">
      <c r="A26" s="52" t="str">
        <f>A25</f>
        <v>Construção e Manutenção de Estações e Redes de Distribuição de Energia Elétrica</v>
      </c>
      <c r="B26" s="59" t="s">
        <v>33</v>
      </c>
      <c r="C26" s="52" t="str">
        <f t="shared" si="0"/>
        <v>Construção e Manutenção de Estações e Redes de Distribuição de Energia Elétrica-BDI PAD</v>
      </c>
      <c r="E26" s="55">
        <v>0.24</v>
      </c>
      <c r="F26" s="55">
        <v>0.25840000000000002</v>
      </c>
      <c r="G26" s="55">
        <v>0.27860000000000001</v>
      </c>
      <c r="I26" s="319" t="s">
        <v>53</v>
      </c>
      <c r="J26" s="319"/>
      <c r="K26" s="319"/>
      <c r="L26" s="319"/>
      <c r="M26" s="65" t="s">
        <v>33</v>
      </c>
      <c r="N26" s="63">
        <f>IF($I$11=$A$58,0,ROUND((((1+N18+N19+N20)*(1+N21)*(1+N22)/(1-(N23+N24)))-1),4))</f>
        <v>0.15690000000000001</v>
      </c>
      <c r="O26" s="235" t="str">
        <f>IF(OR($I$11=$A$59,$I$11=$A$58,AND(N26&gt;=P26, N26&lt;=R26)), "OK", "FORA DO INTERVALO")</f>
        <v>OK</v>
      </c>
      <c r="P26" s="63">
        <f>IF($I$11=$A$58,0,VLOOKUP(CONCATENATE($I$11,"-",$M26),$C$2:$G$49,3,FALSE))</f>
        <v>0.111</v>
      </c>
      <c r="Q26" s="63">
        <f>IF($I$11=$A$58,0,VLOOKUP(CONCATENATE($I$11,"-",$M26),$C$2:$G$49,4,FALSE))</f>
        <v>0.14019999999999999</v>
      </c>
      <c r="R26" s="63">
        <f>IF($I$11=$A$58,0,VLOOKUP(CONCATENATE($I$11,"-",$M26),$C$2:$G$49,5,FALSE))</f>
        <v>0.16800000000000001</v>
      </c>
      <c r="T26" s="107"/>
      <c r="V26" s="108"/>
      <c r="W26" s="108"/>
      <c r="X26" s="108"/>
      <c r="Y26" s="108"/>
      <c r="Z26" s="108"/>
      <c r="AA26" s="108"/>
      <c r="AB26" s="108"/>
      <c r="AC26" s="108"/>
      <c r="AD26" s="108"/>
      <c r="AE26" s="108"/>
    </row>
    <row r="27" spans="1:31" ht="30" customHeight="1" x14ac:dyDescent="0.25">
      <c r="A27" s="52" t="s">
        <v>54</v>
      </c>
      <c r="B27" s="54" t="s">
        <v>29</v>
      </c>
      <c r="C27" s="52" t="str">
        <f t="shared" si="0"/>
        <v>Obras Portuárias, Marítimas e Fluviais-AC</v>
      </c>
      <c r="E27" s="55">
        <v>0.04</v>
      </c>
      <c r="F27" s="55">
        <v>5.5199999999999999E-2</v>
      </c>
      <c r="G27" s="55">
        <v>7.85E-2</v>
      </c>
      <c r="I27" s="320" t="s">
        <v>55</v>
      </c>
      <c r="J27" s="320"/>
      <c r="K27" s="320"/>
      <c r="L27" s="320"/>
      <c r="M27" s="66" t="s">
        <v>56</v>
      </c>
      <c r="N27" s="67">
        <f>IF($I$11=$A$58,0,ROUND((((1+N18+N19+N20)*(1+N21)*(1+N22)/(1-(N23+N24+N25)))-1),4))</f>
        <v>0.15690000000000001</v>
      </c>
      <c r="O27" s="110" t="str">
        <f>IF(Q11&lt;&gt;"Sim","",O26)</f>
        <v/>
      </c>
      <c r="P27" s="321"/>
      <c r="Q27" s="321"/>
      <c r="R27" s="321"/>
      <c r="T27" s="107"/>
      <c r="V27" s="111" t="b">
        <f>AND(COUNTA(N18:N23)=6,O26&lt;&gt;"ok",NOT(V29))</f>
        <v>0</v>
      </c>
      <c r="W27" s="52" t="s">
        <v>119</v>
      </c>
    </row>
    <row r="28" spans="1:31" ht="7.5" customHeight="1" x14ac:dyDescent="0.2">
      <c r="A28" s="52" t="str">
        <f>A27</f>
        <v>Obras Portuárias, Marítimas e Fluviais</v>
      </c>
      <c r="B28" s="54" t="s">
        <v>30</v>
      </c>
      <c r="C28" s="52" t="str">
        <f t="shared" si="0"/>
        <v>Obras Portuárias, Marítimas e Fluviais-SG</v>
      </c>
      <c r="E28" s="55">
        <v>8.1000000000000013E-3</v>
      </c>
      <c r="F28" s="55">
        <v>1.2199999999999999E-2</v>
      </c>
      <c r="G28" s="55">
        <v>1.9900000000000001E-2</v>
      </c>
      <c r="V28" s="111"/>
    </row>
    <row r="29" spans="1:31" ht="21.75" customHeight="1" x14ac:dyDescent="0.2">
      <c r="A29" s="52" t="str">
        <f>A28</f>
        <v>Obras Portuárias, Marítimas e Fluviais</v>
      </c>
      <c r="B29" s="54" t="s">
        <v>31</v>
      </c>
      <c r="C29" s="52" t="str">
        <f t="shared" si="0"/>
        <v>Obras Portuárias, Marítimas e Fluviais-R</v>
      </c>
      <c r="E29" s="55">
        <v>1.46E-2</v>
      </c>
      <c r="F29" s="55">
        <v>2.3199999999999998E-2</v>
      </c>
      <c r="G29" s="55">
        <v>3.1600000000000003E-2</v>
      </c>
      <c r="I29" s="109" t="str">
        <f>IF(V29,"X","")</f>
        <v/>
      </c>
      <c r="J29" s="318" t="s">
        <v>118</v>
      </c>
      <c r="K29" s="318"/>
      <c r="L29" s="318"/>
      <c r="M29" s="318"/>
      <c r="N29" s="318"/>
      <c r="O29" s="318"/>
      <c r="P29" s="318"/>
      <c r="Q29" s="318"/>
      <c r="R29" s="318"/>
      <c r="V29" s="111" t="b">
        <v>0</v>
      </c>
      <c r="W29" s="52" t="s">
        <v>120</v>
      </c>
    </row>
    <row r="30" spans="1:31" ht="7.5" customHeight="1" x14ac:dyDescent="0.2">
      <c r="B30" s="54"/>
      <c r="E30" s="55"/>
      <c r="F30" s="55"/>
      <c r="G30" s="55"/>
      <c r="V30" s="111"/>
    </row>
    <row r="31" spans="1:31" ht="18.75" customHeight="1" x14ac:dyDescent="0.2">
      <c r="B31" s="54"/>
      <c r="E31" s="55"/>
      <c r="F31" s="55"/>
      <c r="G31" s="55"/>
      <c r="I31" s="323" t="s">
        <v>61</v>
      </c>
      <c r="J31" s="323"/>
      <c r="K31" s="323"/>
      <c r="L31" s="323"/>
      <c r="M31" s="323"/>
      <c r="N31" s="323"/>
      <c r="O31" s="323"/>
      <c r="P31" s="323"/>
      <c r="Q31" s="323"/>
      <c r="R31" s="323"/>
    </row>
    <row r="32" spans="1:31" ht="30" customHeight="1" x14ac:dyDescent="0.25">
      <c r="A32" s="52" t="str">
        <f>A29</f>
        <v>Obras Portuárias, Marítimas e Fluviais</v>
      </c>
      <c r="B32" s="54" t="s">
        <v>32</v>
      </c>
      <c r="C32" s="52" t="str">
        <f t="shared" si="0"/>
        <v>Obras Portuárias, Marítimas e Fluviais-DF</v>
      </c>
      <c r="E32" s="55">
        <v>9.3999999999999986E-3</v>
      </c>
      <c r="F32" s="55">
        <v>1.0200000000000001E-2</v>
      </c>
      <c r="G32" s="55">
        <v>1.3300000000000001E-2</v>
      </c>
      <c r="I32" s="100"/>
      <c r="J32" s="100"/>
      <c r="K32" s="100"/>
      <c r="L32" s="339" t="str">
        <f>IF(Q11="Sim","BDI.DES =","BDI.PAD =")</f>
        <v>BDI.PAD =</v>
      </c>
      <c r="M32" s="337" t="str">
        <f>IF($I$11=$A$59,"(1+K1+K2)*(1+K3)","(1+AC + S + R + G)*(1 + DF)*(1+L)")</f>
        <v>(1+AC + S + R + G)*(1 + DF)*(1+L)</v>
      </c>
      <c r="N32" s="337"/>
      <c r="O32" s="337"/>
      <c r="P32" s="335" t="s">
        <v>109</v>
      </c>
      <c r="Q32" s="100"/>
      <c r="R32" s="100"/>
    </row>
    <row r="33" spans="1:18" ht="27" customHeight="1" x14ac:dyDescent="0.2">
      <c r="A33" s="52" t="str">
        <f>A32</f>
        <v>Obras Portuárias, Marítimas e Fluviais</v>
      </c>
      <c r="B33" s="54" t="s">
        <v>165</v>
      </c>
      <c r="C33" s="52" t="str">
        <f t="shared" si="0"/>
        <v>Obras Portuárias, Marítimas e Fluviais-L</v>
      </c>
      <c r="E33" s="55">
        <v>7.1399999999999991E-2</v>
      </c>
      <c r="F33" s="55">
        <v>8.4000000000000005E-2</v>
      </c>
      <c r="G33" s="55">
        <v>0.1043</v>
      </c>
      <c r="I33" s="100"/>
      <c r="J33" s="100"/>
      <c r="K33" s="100"/>
      <c r="L33" s="339"/>
      <c r="M33" s="338" t="str">
        <f>IF(Q11="Sim","(1-CP-ISS-CRPB)","(1-CP-ISS)")</f>
        <v>(1-CP-ISS)</v>
      </c>
      <c r="N33" s="338"/>
      <c r="O33" s="338"/>
      <c r="P33" s="336"/>
      <c r="Q33" s="100"/>
      <c r="R33" s="100"/>
    </row>
    <row r="34" spans="1:18" ht="7.5" customHeight="1" x14ac:dyDescent="0.2">
      <c r="A34" s="52" t="str">
        <f>A33</f>
        <v>Obras Portuárias, Marítimas e Fluviais</v>
      </c>
      <c r="B34" s="59" t="s">
        <v>33</v>
      </c>
      <c r="C34" s="52" t="str">
        <f t="shared" si="0"/>
        <v>Obras Portuárias, Marítimas e Fluviais-BDI PAD</v>
      </c>
      <c r="E34" s="55">
        <v>0.22800000000000001</v>
      </c>
      <c r="F34" s="55">
        <v>0.27479999999999999</v>
      </c>
      <c r="G34" s="55">
        <v>0.3095</v>
      </c>
      <c r="I34" s="73"/>
      <c r="J34" s="73"/>
      <c r="K34" s="73"/>
      <c r="L34" s="73"/>
      <c r="M34" s="73"/>
      <c r="N34" s="73"/>
      <c r="O34" s="73"/>
      <c r="P34" s="73"/>
      <c r="Q34" s="73"/>
      <c r="R34" s="73"/>
    </row>
    <row r="35" spans="1:18" ht="45" customHeight="1" x14ac:dyDescent="0.2">
      <c r="B35" s="59"/>
      <c r="E35" s="55"/>
      <c r="F35" s="55"/>
      <c r="G35" s="55"/>
      <c r="I35" s="324" t="str">
        <f>CONCATENATE("Declaro para os devidos fins que, conforme legislação tributária municipal, a base de cálculo para ",I11,", é de ",Q13*100,"%, com a respectiva alíquota de ",Q14*100,"%.")</f>
        <v>Declaro para os devidos fins que, conforme legislação tributária municipal, a base de cálculo para Fornecimento de Materiais e Equipamentos (aquisição indireta - em conjunto com licitação de obras), é de 100%, com a respectiva alíquota de 4%.</v>
      </c>
      <c r="J35" s="324"/>
      <c r="K35" s="324"/>
      <c r="L35" s="324"/>
      <c r="M35" s="324"/>
      <c r="N35" s="324"/>
      <c r="O35" s="324"/>
      <c r="P35" s="324"/>
      <c r="Q35" s="324"/>
      <c r="R35" s="324"/>
    </row>
    <row r="36" spans="1:18" ht="11.25" customHeight="1" x14ac:dyDescent="0.2">
      <c r="B36" s="59"/>
      <c r="E36" s="55"/>
      <c r="F36" s="55"/>
      <c r="G36" s="55"/>
    </row>
    <row r="37" spans="1:18" ht="52.5" customHeight="1" x14ac:dyDescent="0.2">
      <c r="B37" s="59"/>
      <c r="E37" s="55"/>
      <c r="F37" s="55"/>
      <c r="G37" s="55"/>
      <c r="I37" s="324" t="str">
        <f>CONCATENATE("Declaro para os devidos fins que o regime de Contribuição Previdenciária sobre a Receita Bruta adotado para elaboração do orçamento foi ",IF(Q11="Sim","COM","SEM")," Desoneração, e que esta é a alternativa mais adequada para a Administração Pública.")</f>
        <v>Declaro para os devidos fins que o regime de Contribuição Previdenciária sobre a Receita Bruta adotado para elaboração do orçamento foi SEM Desoneração, e que esta é a alternativa mais adequada para a Administração Pública.</v>
      </c>
      <c r="J37" s="324"/>
      <c r="K37" s="324"/>
      <c r="L37" s="324"/>
      <c r="M37" s="324"/>
      <c r="N37" s="324"/>
      <c r="O37" s="324"/>
      <c r="P37" s="324"/>
      <c r="Q37" s="324"/>
      <c r="R37" s="324"/>
    </row>
    <row r="38" spans="1:18" ht="18" customHeight="1" x14ac:dyDescent="0.2">
      <c r="A38" s="52" t="s">
        <v>138</v>
      </c>
      <c r="B38" s="54" t="s">
        <v>29</v>
      </c>
      <c r="C38" s="52" t="str">
        <f t="shared" si="0"/>
        <v>Fornecimento de Materiais e Equipamentos (aquisição indireta - em conjunto com licitação de obras)-AC</v>
      </c>
      <c r="E38" s="55">
        <v>1.4999999999999999E-2</v>
      </c>
      <c r="F38" s="55">
        <v>3.4500000000000003E-2</v>
      </c>
      <c r="G38" s="55">
        <v>4.4900000000000002E-2</v>
      </c>
    </row>
    <row r="39" spans="1:18" x14ac:dyDescent="0.2">
      <c r="A39" s="52" t="str">
        <f>A38</f>
        <v>Fornecimento de Materiais e Equipamentos (aquisição indireta - em conjunto com licitação de obras)</v>
      </c>
      <c r="B39" s="54" t="s">
        <v>30</v>
      </c>
      <c r="C39" s="52" t="str">
        <f t="shared" si="0"/>
        <v>Fornecimento de Materiais e Equipamentos (aquisição indireta - em conjunto com licitação de obras)-SG</v>
      </c>
      <c r="E39" s="55">
        <v>3.0000000000000001E-3</v>
      </c>
      <c r="F39" s="55">
        <v>4.7999999999999996E-3</v>
      </c>
      <c r="G39" s="55">
        <v>8.199999999999999E-3</v>
      </c>
      <c r="I39" s="52" t="s">
        <v>21</v>
      </c>
    </row>
    <row r="40" spans="1:18" ht="42.75" customHeight="1" x14ac:dyDescent="0.2">
      <c r="A40" s="52" t="str">
        <f>A39</f>
        <v>Fornecimento de Materiais e Equipamentos (aquisição indireta - em conjunto com licitação de obras)</v>
      </c>
      <c r="B40" s="54" t="s">
        <v>31</v>
      </c>
      <c r="C40" s="52" t="str">
        <f t="shared" si="0"/>
        <v>Fornecimento de Materiais e Equipamentos (aquisição indireta - em conjunto com licitação de obras)-R</v>
      </c>
      <c r="E40" s="55">
        <v>5.6000000000000008E-3</v>
      </c>
      <c r="F40" s="55">
        <v>8.5000000000000006E-3</v>
      </c>
      <c r="G40" s="55">
        <v>8.8999999999999999E-3</v>
      </c>
      <c r="I40" s="326"/>
      <c r="J40" s="327"/>
      <c r="K40" s="327"/>
      <c r="L40" s="327"/>
      <c r="M40" s="327"/>
      <c r="N40" s="327"/>
      <c r="O40" s="327"/>
      <c r="P40" s="327"/>
      <c r="Q40" s="327"/>
      <c r="R40" s="328"/>
    </row>
    <row r="41" spans="1:18" ht="16.5" customHeight="1" x14ac:dyDescent="0.2">
      <c r="A41" s="52" t="str">
        <f>A40</f>
        <v>Fornecimento de Materiais e Equipamentos (aquisição indireta - em conjunto com licitação de obras)</v>
      </c>
      <c r="B41" s="54" t="s">
        <v>32</v>
      </c>
      <c r="C41" s="52" t="str">
        <f t="shared" si="0"/>
        <v>Fornecimento de Materiais e Equipamentos (aquisição indireta - em conjunto com licitação de obras)-DF</v>
      </c>
      <c r="E41" s="55">
        <v>8.5000000000000006E-3</v>
      </c>
      <c r="F41" s="55">
        <v>8.5000000000000006E-3</v>
      </c>
      <c r="G41" s="55">
        <v>1.11E-2</v>
      </c>
    </row>
    <row r="42" spans="1:18" x14ac:dyDescent="0.2">
      <c r="A42" s="52" t="str">
        <f>A41</f>
        <v>Fornecimento de Materiais e Equipamentos (aquisição indireta - em conjunto com licitação de obras)</v>
      </c>
      <c r="B42" s="54" t="s">
        <v>165</v>
      </c>
      <c r="C42" s="52" t="str">
        <f t="shared" si="0"/>
        <v>Fornecimento de Materiais e Equipamentos (aquisição indireta - em conjunto com licitação de obras)-L</v>
      </c>
      <c r="E42" s="55">
        <v>3.5000000000000003E-2</v>
      </c>
      <c r="F42" s="55">
        <v>5.1100000000000007E-2</v>
      </c>
      <c r="G42" s="55">
        <v>6.2199999999999998E-2</v>
      </c>
      <c r="I42" s="332" t="str">
        <f>PO!K150</f>
        <v>ALPESTRE/RS</v>
      </c>
      <c r="J42" s="332"/>
      <c r="K42" s="332"/>
      <c r="L42" s="332"/>
      <c r="O42" s="325" t="str">
        <f>PO!K153</f>
        <v>27 de maio de 2024</v>
      </c>
      <c r="P42" s="325"/>
      <c r="Q42" s="325"/>
      <c r="R42" s="325"/>
    </row>
    <row r="43" spans="1:18" ht="15" customHeight="1" x14ac:dyDescent="0.2">
      <c r="A43" s="52" t="str">
        <f>A42</f>
        <v>Fornecimento de Materiais e Equipamentos (aquisição indireta - em conjunto com licitação de obras)</v>
      </c>
      <c r="B43" s="59" t="s">
        <v>33</v>
      </c>
      <c r="C43" s="52" t="str">
        <f t="shared" si="0"/>
        <v>Fornecimento de Materiais e Equipamentos (aquisição indireta - em conjunto com licitação de obras)-BDI PAD</v>
      </c>
      <c r="E43" s="55">
        <v>0.111</v>
      </c>
      <c r="F43" s="55">
        <v>0.14019999999999999</v>
      </c>
      <c r="G43" s="55">
        <v>0.16800000000000001</v>
      </c>
      <c r="I43" s="351" t="s">
        <v>121</v>
      </c>
      <c r="J43" s="351"/>
      <c r="K43" s="351"/>
      <c r="L43" s="351"/>
      <c r="N43" s="68"/>
      <c r="O43" s="144" t="s">
        <v>122</v>
      </c>
      <c r="P43" s="145"/>
      <c r="Q43" s="145"/>
      <c r="R43" s="145"/>
    </row>
    <row r="44" spans="1:18" x14ac:dyDescent="0.2">
      <c r="A44" s="52" t="s">
        <v>59</v>
      </c>
      <c r="B44" s="54" t="s">
        <v>105</v>
      </c>
      <c r="C44" s="52" t="str">
        <f t="shared" si="0"/>
        <v>Estudos e Projetos, Planos e Gerenciamento e outros correlatos-K1</v>
      </c>
      <c r="E44" s="55" t="s">
        <v>46</v>
      </c>
      <c r="F44" s="55" t="s">
        <v>46</v>
      </c>
      <c r="G44" s="55" t="s">
        <v>46</v>
      </c>
    </row>
    <row r="45" spans="1:18" ht="30" customHeight="1" x14ac:dyDescent="0.2">
      <c r="A45" s="52" t="str">
        <f>A44</f>
        <v>Estudos e Projetos, Planos e Gerenciamento e outros correlatos</v>
      </c>
      <c r="B45" s="54" t="s">
        <v>106</v>
      </c>
      <c r="C45" s="52" t="str">
        <f t="shared" si="0"/>
        <v>Estudos e Projetos, Planos e Gerenciamento e outros correlatos-K2</v>
      </c>
      <c r="E45" s="55" t="s">
        <v>46</v>
      </c>
      <c r="F45" s="55">
        <v>0.2</v>
      </c>
      <c r="G45" s="55" t="s">
        <v>46</v>
      </c>
      <c r="I45" s="322"/>
      <c r="J45" s="322"/>
      <c r="K45" s="322"/>
      <c r="L45" s="322"/>
      <c r="M45" s="69"/>
      <c r="N45" s="69"/>
      <c r="O45" s="322"/>
      <c r="P45" s="322"/>
      <c r="Q45" s="322"/>
      <c r="R45" s="322"/>
    </row>
    <row r="46" spans="1:18" x14ac:dyDescent="0.2">
      <c r="A46" s="52" t="str">
        <f>A45</f>
        <v>Estudos e Projetos, Planos e Gerenciamento e outros correlatos</v>
      </c>
      <c r="B46" s="54" t="s">
        <v>107</v>
      </c>
      <c r="C46" s="52" t="str">
        <f t="shared" si="0"/>
        <v>Estudos e Projetos, Planos e Gerenciamento e outros correlatos-</v>
      </c>
      <c r="E46" s="55" t="s">
        <v>46</v>
      </c>
      <c r="F46" s="55" t="s">
        <v>46</v>
      </c>
      <c r="G46" s="55" t="s">
        <v>46</v>
      </c>
      <c r="I46" s="329" t="s">
        <v>57</v>
      </c>
      <c r="J46" s="329"/>
      <c r="K46" s="329"/>
      <c r="L46" s="329"/>
      <c r="M46" s="70"/>
      <c r="N46" s="70"/>
      <c r="O46" s="329" t="s">
        <v>58</v>
      </c>
      <c r="P46" s="329"/>
      <c r="Q46" s="329"/>
      <c r="R46" s="329"/>
    </row>
    <row r="47" spans="1:18" ht="14.25" x14ac:dyDescent="0.2">
      <c r="A47" s="52" t="str">
        <f>A46</f>
        <v>Estudos e Projetos, Planos e Gerenciamento e outros correlatos</v>
      </c>
      <c r="B47" s="54" t="s">
        <v>107</v>
      </c>
      <c r="C47" s="52" t="str">
        <f t="shared" si="0"/>
        <v>Estudos e Projetos, Planos e Gerenciamento e outros correlatos-</v>
      </c>
      <c r="E47" s="55" t="s">
        <v>46</v>
      </c>
      <c r="F47" s="55" t="s">
        <v>46</v>
      </c>
      <c r="G47" s="55" t="s">
        <v>46</v>
      </c>
      <c r="I47" s="234" t="s">
        <v>141</v>
      </c>
      <c r="J47" s="317" t="str">
        <f>DADOS!B54</f>
        <v>DANIEL IANSSEN</v>
      </c>
      <c r="K47" s="317"/>
      <c r="L47" s="317"/>
      <c r="M47" s="71"/>
      <c r="N47" s="71"/>
      <c r="O47" s="234" t="s">
        <v>141</v>
      </c>
      <c r="P47" s="330" t="s">
        <v>273</v>
      </c>
      <c r="Q47" s="330"/>
      <c r="R47" s="330"/>
    </row>
    <row r="48" spans="1:18" ht="14.25" x14ac:dyDescent="0.2">
      <c r="A48" s="52" t="str">
        <f>A47</f>
        <v>Estudos e Projetos, Planos e Gerenciamento e outros correlatos</v>
      </c>
      <c r="B48" s="54" t="s">
        <v>108</v>
      </c>
      <c r="C48" s="52" t="str">
        <f t="shared" si="0"/>
        <v>Estudos e Projetos, Planos e Gerenciamento e outros correlatos-K3</v>
      </c>
      <c r="E48" s="55" t="s">
        <v>46</v>
      </c>
      <c r="F48" s="55">
        <v>0.12</v>
      </c>
      <c r="G48" s="55" t="s">
        <v>46</v>
      </c>
      <c r="I48" s="234" t="s">
        <v>17</v>
      </c>
      <c r="J48" s="317" t="str">
        <f>DADOS!B55</f>
        <v>ENGENHEIRO CIVIL</v>
      </c>
      <c r="K48" s="317"/>
      <c r="L48" s="317"/>
      <c r="M48" s="71"/>
      <c r="N48" s="71"/>
      <c r="O48" s="234" t="s">
        <v>60</v>
      </c>
      <c r="P48" s="330" t="s">
        <v>274</v>
      </c>
      <c r="Q48" s="330"/>
      <c r="R48" s="330"/>
    </row>
    <row r="49" spans="1:18" ht="14.25" x14ac:dyDescent="0.2">
      <c r="A49" s="52" t="str">
        <f>A48</f>
        <v>Estudos e Projetos, Planos e Gerenciamento e outros correlatos</v>
      </c>
      <c r="B49" s="59" t="s">
        <v>33</v>
      </c>
      <c r="C49" s="52" t="str">
        <f t="shared" si="0"/>
        <v>Estudos e Projetos, Planos e Gerenciamento e outros correlatos-BDI PAD</v>
      </c>
      <c r="E49" s="55" t="s">
        <v>46</v>
      </c>
      <c r="F49" s="55" t="s">
        <v>46</v>
      </c>
      <c r="G49" s="55" t="s">
        <v>46</v>
      </c>
      <c r="I49" s="234" t="str">
        <f>DADOS!A56</f>
        <v>CREA/CAU:</v>
      </c>
      <c r="J49" s="317" t="str">
        <f>DADOS!B56</f>
        <v>CREA RS 134510</v>
      </c>
      <c r="K49" s="317"/>
      <c r="L49" s="317"/>
      <c r="M49" s="71"/>
      <c r="N49" s="71"/>
      <c r="O49" s="71"/>
      <c r="P49" s="71"/>
      <c r="Q49" s="71"/>
      <c r="R49" s="71"/>
    </row>
    <row r="50" spans="1:18" x14ac:dyDescent="0.2">
      <c r="I50" s="234" t="str">
        <f>DADOS!A57</f>
        <v>ART/RRT:</v>
      </c>
      <c r="J50" s="317" t="str">
        <f>DADOS!B57</f>
        <v>13049753</v>
      </c>
      <c r="K50" s="317"/>
      <c r="L50" s="317"/>
    </row>
    <row r="51" spans="1:18" x14ac:dyDescent="0.2"/>
    <row r="52" spans="1:18" hidden="1" x14ac:dyDescent="0.2">
      <c r="A52" s="52" t="s">
        <v>28</v>
      </c>
    </row>
    <row r="53" spans="1:18" hidden="1" x14ac:dyDescent="0.2">
      <c r="A53" s="52" t="s">
        <v>34</v>
      </c>
    </row>
    <row r="54" spans="1:18" hidden="1" x14ac:dyDescent="0.2">
      <c r="A54" s="52" t="s">
        <v>37</v>
      </c>
    </row>
    <row r="55" spans="1:18" hidden="1" x14ac:dyDescent="0.2">
      <c r="A55" s="52" t="s">
        <v>47</v>
      </c>
    </row>
    <row r="56" spans="1:18" hidden="1" x14ac:dyDescent="0.2">
      <c r="A56" s="52" t="s">
        <v>54</v>
      </c>
    </row>
    <row r="57" spans="1:18" hidden="1" x14ac:dyDescent="0.2">
      <c r="A57" s="52" t="s">
        <v>138</v>
      </c>
    </row>
    <row r="58" spans="1:18" hidden="1" x14ac:dyDescent="0.2">
      <c r="A58" s="52" t="s">
        <v>139</v>
      </c>
    </row>
    <row r="59" spans="1:18" hidden="1" x14ac:dyDescent="0.2">
      <c r="A59" s="52" t="s">
        <v>59</v>
      </c>
    </row>
    <row r="60" spans="1:18" ht="14.25" hidden="1" x14ac:dyDescent="0.2">
      <c r="A60" s="72"/>
      <c r="B60" s="71"/>
      <c r="C60" s="71"/>
      <c r="D60" s="71"/>
      <c r="E60" s="71"/>
      <c r="F60" s="71"/>
      <c r="G60" s="71"/>
    </row>
  </sheetData>
  <sheetProtection algorithmName="SHA-512" hashValue="D/SnLlZZiJ7SmbHOk51mIClSfBtqymZ4+yz4q7p4oG9LJisgNBMVVQRrkV+c+azrjKh1X3qxmAqDE5mVZ8Cxbg==" saltValue="OG/OGPtrAtE3MIcZLkSq0g==" spinCount="100000" sheet="1" objects="1" scenarios="1"/>
  <mergeCells count="55">
    <mergeCell ref="J49:L49"/>
    <mergeCell ref="J50:L50"/>
    <mergeCell ref="I46:L46"/>
    <mergeCell ref="O46:R46"/>
    <mergeCell ref="J47:L47"/>
    <mergeCell ref="P47:R47"/>
    <mergeCell ref="J48:L48"/>
    <mergeCell ref="P48:R48"/>
    <mergeCell ref="I40:R40"/>
    <mergeCell ref="I42:L42"/>
    <mergeCell ref="O42:R42"/>
    <mergeCell ref="I43:L43"/>
    <mergeCell ref="I45:L45"/>
    <mergeCell ref="O45:R45"/>
    <mergeCell ref="I37:R37"/>
    <mergeCell ref="I25:L25"/>
    <mergeCell ref="I26:L26"/>
    <mergeCell ref="I27:L27"/>
    <mergeCell ref="P27:R27"/>
    <mergeCell ref="J29:R29"/>
    <mergeCell ref="I31:R31"/>
    <mergeCell ref="L32:L33"/>
    <mergeCell ref="M32:O32"/>
    <mergeCell ref="P32:P33"/>
    <mergeCell ref="M33:O33"/>
    <mergeCell ref="I35:R35"/>
    <mergeCell ref="T16:U24"/>
    <mergeCell ref="I18:L18"/>
    <mergeCell ref="I19:L19"/>
    <mergeCell ref="I20:L20"/>
    <mergeCell ref="I21:L21"/>
    <mergeCell ref="I22:L22"/>
    <mergeCell ref="I23:L23"/>
    <mergeCell ref="I24:L24"/>
    <mergeCell ref="I14:P14"/>
    <mergeCell ref="Q14:R14"/>
    <mergeCell ref="I16:L17"/>
    <mergeCell ref="M16:M17"/>
    <mergeCell ref="N16:N17"/>
    <mergeCell ref="O16:O17"/>
    <mergeCell ref="P16:P17"/>
    <mergeCell ref="Q16:Q17"/>
    <mergeCell ref="R16:R17"/>
    <mergeCell ref="I10:P10"/>
    <mergeCell ref="Q10:R10"/>
    <mergeCell ref="I11:P11"/>
    <mergeCell ref="Q11:R11"/>
    <mergeCell ref="I13:P13"/>
    <mergeCell ref="Q13:R13"/>
    <mergeCell ref="I8:R8"/>
    <mergeCell ref="I4:J4"/>
    <mergeCell ref="K4:R4"/>
    <mergeCell ref="I5:J5"/>
    <mergeCell ref="K5:R5"/>
    <mergeCell ref="I7:R7"/>
  </mergeCells>
  <conditionalFormatting sqref="O42">
    <cfRule type="expression" dxfId="344" priority="3" stopIfTrue="1">
      <formula>$O$42=""</formula>
    </cfRule>
  </conditionalFormatting>
  <conditionalFormatting sqref="O18:O27">
    <cfRule type="expression" dxfId="343" priority="8" stopIfTrue="1">
      <formula>AND(O18&lt;&gt;"OK",O18&lt;&gt;"-",O18&lt;&gt;"")</formula>
    </cfRule>
    <cfRule type="cellIs" dxfId="342" priority="9" stopIfTrue="1" operator="equal">
      <formula>"OK"</formula>
    </cfRule>
  </conditionalFormatting>
  <conditionalFormatting sqref="I26:N26">
    <cfRule type="expression" dxfId="341" priority="7" stopIfTrue="1">
      <formula>$Q$11="Não"</formula>
    </cfRule>
  </conditionalFormatting>
  <conditionalFormatting sqref="I27:N27">
    <cfRule type="expression" dxfId="340" priority="6" stopIfTrue="1">
      <formula>$Q$11="sim"</formula>
    </cfRule>
  </conditionalFormatting>
  <conditionalFormatting sqref="P27:R27">
    <cfRule type="expression" dxfId="339" priority="5" stopIfTrue="1">
      <formula>$Q$11="sim"</formula>
    </cfRule>
  </conditionalFormatting>
  <conditionalFormatting sqref="P47:R48">
    <cfRule type="expression" dxfId="338" priority="4" stopIfTrue="1">
      <formula>P47=""</formula>
    </cfRule>
  </conditionalFormatting>
  <conditionalFormatting sqref="I29:R29">
    <cfRule type="expression" dxfId="337" priority="2" stopIfTrue="1">
      <formula>AND(NOT($V$27),NOT($V$29))</formula>
    </cfRule>
  </conditionalFormatting>
  <conditionalFormatting sqref="P18:R26">
    <cfRule type="expression" dxfId="336" priority="1" stopIfTrue="1">
      <formula>$I$11=$A$58</formula>
    </cfRule>
  </conditionalFormatting>
  <dataValidations count="6">
    <dataValidation type="decimal" allowBlank="1" showInputMessage="1" showErrorMessage="1" errorTitle="Erro de valores" error="Digite um valor entre 0% e 100%" sqref="N18:N23">
      <formula1>0</formula1>
      <formula2>1</formula2>
    </dataValidation>
    <dataValidation type="decimal" operator="greaterThanOrEqual" allowBlank="1" showInputMessage="1" showErrorMessage="1" errorTitle="Valor não permitido" error="Digite um percentual entre 0% e 100%." promptTitle="Valores comuns:" prompt="Normalmente entre 2 e 5%." sqref="Q14:R14">
      <formula1>0</formula1>
    </dataValidation>
    <dataValidation type="decimal" allowBlank="1" showInputMessage="1" showErrorMessage="1" errorTitle="Valor não permitido" error="Digite um percentual entre 0% e 100%." promptTitle="Valores admissíveis:" prompt="Insira valores entre 0 e 100%." sqref="Q13:R13">
      <formula1>0</formula1>
      <formula2>1</formula2>
    </dataValidation>
    <dataValidation type="decimal" allowBlank="1" showInputMessage="1" showErrorMessage="1" errorTitle="Erro de valores" error="Digite um valor maior do que 0." sqref="N24">
      <formula1>0</formula1>
      <formula2>1</formula2>
    </dataValidation>
    <dataValidation operator="greaterThanOrEqual" allowBlank="1" showInputMessage="1" showErrorMessage="1" errorTitle="Erro de valores" error="Digite um valor igual a 0% ou 2%." sqref="N25"/>
    <dataValidation type="list" allowBlank="1" showInputMessage="1" showErrorMessage="1" sqref="I11:P11">
      <formula1>$A$52:$A$59</formula1>
    </dataValidation>
  </dataValidations>
  <pageMargins left="0.78740157480314998" right="0.78740157480314998" top="0.78740157480314998" bottom="0.78740157480314998" header="0.59055118110236204" footer="0.59055118110236204"/>
  <pageSetup paperSize="9" scale="78" orientation="portrait" r:id="rId1"/>
  <headerFooter alignWithMargins="0">
    <oddHeader>&amp;C&amp;14I</oddHeader>
    <oddFooter>&amp;R&amp;P&amp;L27.476 v008   micro</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1">
    <tabColor rgb="FFFFFF00"/>
    <pageSetUpPr fitToPage="1"/>
  </sheetPr>
  <dimension ref="A1:AA154"/>
  <sheetViews>
    <sheetView showGridLines="0" tabSelected="1" topLeftCell="J1" zoomScaleNormal="100" zoomScaleSheetLayoutView="100" workbookViewId="0">
      <pane ySplit="12" topLeftCell="A13" activePane="bottomLeft" state="frozen"/>
      <selection pane="bottomLeft" activeCell="K102" sqref="K102"/>
    </sheetView>
  </sheetViews>
  <sheetFormatPr defaultRowHeight="12.75" x14ac:dyDescent="0.2"/>
  <cols>
    <col min="1" max="2" width="6.7109375" hidden="1" customWidth="1"/>
    <col min="3" max="7" width="5.7109375" hidden="1" customWidth="1"/>
    <col min="8" max="9" width="6.7109375" hidden="1" customWidth="1"/>
    <col min="10" max="10" width="8.7109375" customWidth="1"/>
    <col min="11" max="11" width="12.7109375" customWidth="1"/>
    <col min="12" max="13" width="15.7109375" customWidth="1"/>
    <col min="14" max="14" width="80.7109375" customWidth="1"/>
    <col min="15" max="15" width="10.7109375" customWidth="1"/>
    <col min="16" max="17" width="15.7109375" customWidth="1"/>
    <col min="18" max="18" width="10.7109375" customWidth="1"/>
    <col min="19" max="21" width="15.7109375" customWidth="1"/>
    <col min="22" max="22" width="9.140625" hidden="1" customWidth="1"/>
    <col min="23" max="23" width="15.7109375" hidden="1" customWidth="1"/>
    <col min="24" max="24" width="20.7109375" hidden="1" customWidth="1"/>
    <col min="25" max="25" width="15.7109375" customWidth="1"/>
  </cols>
  <sheetData>
    <row r="1" spans="1:27" ht="12.95" customHeight="1" x14ac:dyDescent="0.2">
      <c r="A1" s="79"/>
      <c r="B1" s="79"/>
      <c r="D1" s="117"/>
      <c r="E1" s="118"/>
      <c r="F1" s="79"/>
      <c r="G1" s="79"/>
      <c r="H1" s="79"/>
      <c r="I1" s="79"/>
      <c r="J1" s="80"/>
      <c r="K1" s="79"/>
      <c r="L1" s="79"/>
      <c r="M1" s="79"/>
      <c r="N1" s="99" t="s">
        <v>168</v>
      </c>
      <c r="O1" s="79"/>
      <c r="P1" s="81"/>
      <c r="Q1" s="79"/>
      <c r="R1" s="79"/>
      <c r="S1" s="79"/>
      <c r="T1" s="77" t="s">
        <v>166</v>
      </c>
      <c r="U1" s="4"/>
      <c r="V1" s="4"/>
      <c r="W1" s="4"/>
      <c r="X1" s="4"/>
      <c r="Y1" s="4"/>
      <c r="Z1" s="4"/>
      <c r="AA1" s="4"/>
    </row>
    <row r="2" spans="1:27" ht="12.75" customHeight="1" x14ac:dyDescent="0.2">
      <c r="A2" s="4"/>
      <c r="B2" s="20" t="s">
        <v>158</v>
      </c>
      <c r="C2" s="20" t="s">
        <v>99</v>
      </c>
      <c r="D2" s="20" t="s">
        <v>100</v>
      </c>
      <c r="E2" s="20" t="s">
        <v>101</v>
      </c>
      <c r="F2" s="20" t="s">
        <v>102</v>
      </c>
      <c r="G2" s="20" t="s">
        <v>103</v>
      </c>
      <c r="H2" s="4"/>
      <c r="I2" s="4"/>
      <c r="J2" s="4"/>
      <c r="K2" s="4"/>
      <c r="L2" s="4"/>
      <c r="M2" s="4"/>
      <c r="N2" s="102" t="str">
        <f>CHOOSE(1+LOG(1+2*(TipoOrçamento="BASE")+4*(TipoOrçamento="LICITADO")+8*(TipoOrçamento="REPROGRAMADOAC")+16*(TipoOrçamento="REPROGRAMADONPL"),2),"nada","Orçamento Base para Licitação","Orçamento Licitado","Orçamento Licitado Reprogramado","Orçamento Base para Licitação - Reprogramado")</f>
        <v>Orçamento Base para Licitação</v>
      </c>
      <c r="O2" s="4"/>
      <c r="P2" s="4"/>
      <c r="Q2" s="4"/>
      <c r="R2" s="4"/>
      <c r="S2" s="4"/>
      <c r="T2" s="78" t="s">
        <v>167</v>
      </c>
      <c r="U2" s="4"/>
      <c r="V2" s="4"/>
      <c r="W2" s="358" t="s">
        <v>182</v>
      </c>
      <c r="X2" s="358"/>
      <c r="Y2" s="4"/>
      <c r="Z2" s="4"/>
      <c r="AA2" s="4"/>
    </row>
    <row r="3" spans="1:27" ht="12.75" customHeight="1" x14ac:dyDescent="0.2">
      <c r="A3" s="4"/>
      <c r="B3" s="4"/>
      <c r="D3" s="117"/>
      <c r="F3" s="5"/>
      <c r="G3" s="4"/>
      <c r="H3" s="4"/>
      <c r="I3" s="4"/>
      <c r="J3" s="4"/>
      <c r="K3" s="4"/>
      <c r="L3" s="4"/>
      <c r="M3" s="4"/>
      <c r="N3" s="131"/>
      <c r="O3" s="4"/>
      <c r="P3" s="4"/>
      <c r="Q3" s="4"/>
      <c r="R3" s="4"/>
      <c r="S3" s="4"/>
      <c r="T3" s="4"/>
      <c r="U3" s="4"/>
      <c r="V3" s="4"/>
      <c r="W3" s="211" t="s">
        <v>149</v>
      </c>
      <c r="X3" s="214" t="b">
        <v>1</v>
      </c>
      <c r="Y3" s="4"/>
      <c r="Z3" s="4"/>
      <c r="AA3" s="4"/>
    </row>
    <row r="4" spans="1:27" ht="24.95" customHeight="1" x14ac:dyDescent="0.2">
      <c r="A4" s="4" t="s">
        <v>127</v>
      </c>
      <c r="B4" s="4"/>
      <c r="D4" s="117"/>
      <c r="F4" s="5"/>
      <c r="G4" s="4"/>
      <c r="H4" s="4"/>
      <c r="I4" s="4"/>
      <c r="J4" s="4"/>
      <c r="K4" s="4"/>
      <c r="L4" s="4"/>
      <c r="M4" s="4"/>
      <c r="N4" s="4"/>
      <c r="O4" s="4"/>
      <c r="P4" s="4"/>
      <c r="Q4" s="4"/>
      <c r="R4" s="4"/>
      <c r="S4" s="4"/>
      <c r="T4" s="4"/>
      <c r="U4" s="153" t="s">
        <v>189</v>
      </c>
      <c r="W4" s="211" t="s">
        <v>183</v>
      </c>
      <c r="X4" s="214" t="b">
        <v>1</v>
      </c>
      <c r="Y4" s="4"/>
      <c r="Z4" s="4"/>
      <c r="AA4" s="4"/>
    </row>
    <row r="5" spans="1:27" ht="24.95" customHeight="1" x14ac:dyDescent="0.2">
      <c r="A5" s="9">
        <f>MAX($A$12:$A$139)</f>
        <v>3</v>
      </c>
      <c r="B5" s="4"/>
      <c r="D5" s="117"/>
      <c r="F5" s="5"/>
      <c r="G5" s="4"/>
      <c r="H5" s="4"/>
      <c r="I5" s="4"/>
      <c r="J5" s="4"/>
      <c r="K5" s="4"/>
      <c r="L5" s="4"/>
      <c r="M5" s="4"/>
      <c r="N5" s="4"/>
      <c r="O5" s="4"/>
      <c r="P5" s="4"/>
      <c r="Q5" s="4"/>
      <c r="R5" s="4"/>
      <c r="S5" s="4"/>
      <c r="T5" s="4"/>
      <c r="U5" s="119" t="str">
        <f ca="1">IF(COUNTIF($U$12:OFFSET($U$139,-1,0),"DESCRIÇÃO")+COUNTIF($U$12:OFFSET($U$139,-1,0),"UNIDADE")+COUNTIF($U$12:OFFSET($U$139,-1,0),"SEM VALOR")&gt;0,"NÃO OK","OK")</f>
        <v>OK</v>
      </c>
      <c r="V5" s="212" t="s">
        <v>107</v>
      </c>
      <c r="W5" s="211" t="s">
        <v>184</v>
      </c>
      <c r="X5" s="214" t="b">
        <v>1</v>
      </c>
      <c r="Y5" s="4"/>
      <c r="Z5" s="4"/>
      <c r="AA5" s="4"/>
    </row>
    <row r="6" spans="1:27" ht="24.95" customHeight="1" x14ac:dyDescent="0.2">
      <c r="A6" s="4"/>
      <c r="B6" s="4"/>
      <c r="D6" s="117"/>
      <c r="F6" s="5"/>
      <c r="G6" s="4"/>
      <c r="H6" s="4"/>
      <c r="I6" s="4"/>
      <c r="J6" s="4"/>
      <c r="K6" s="82"/>
      <c r="L6" s="4"/>
      <c r="M6" s="4"/>
      <c r="N6" s="4"/>
      <c r="O6" s="4"/>
      <c r="P6" s="4"/>
      <c r="Q6" s="4"/>
      <c r="R6" s="4"/>
      <c r="S6" s="4"/>
      <c r="T6" s="4"/>
      <c r="U6" s="4"/>
      <c r="V6" s="4"/>
      <c r="W6" s="211" t="s">
        <v>185</v>
      </c>
      <c r="X6" s="214" t="b">
        <v>1</v>
      </c>
      <c r="Y6" s="4"/>
      <c r="Z6" s="4"/>
      <c r="AA6" s="4"/>
    </row>
    <row r="7" spans="1:27" ht="24.95" customHeight="1" x14ac:dyDescent="0.2">
      <c r="A7" s="4"/>
      <c r="B7" s="4"/>
      <c r="C7" s="20"/>
      <c r="D7" s="117"/>
      <c r="E7" s="5"/>
      <c r="F7" s="5"/>
      <c r="G7" s="4"/>
      <c r="H7" s="4"/>
      <c r="I7" s="4"/>
      <c r="J7" s="4"/>
      <c r="K7" s="82"/>
      <c r="L7" s="4"/>
      <c r="M7" s="4"/>
      <c r="N7" s="4"/>
      <c r="O7" s="4"/>
      <c r="P7" s="4"/>
      <c r="Q7" s="4"/>
      <c r="R7" s="4"/>
      <c r="S7" s="4"/>
      <c r="T7" s="4"/>
      <c r="U7" s="4"/>
      <c r="V7" s="4"/>
      <c r="W7" s="211" t="s">
        <v>186</v>
      </c>
      <c r="X7" s="214" t="b">
        <v>1</v>
      </c>
      <c r="Y7" s="4"/>
      <c r="Z7" s="4"/>
      <c r="AA7" s="4"/>
    </row>
    <row r="8" spans="1:27" ht="30" customHeight="1" x14ac:dyDescent="0.2">
      <c r="A8" s="4"/>
      <c r="B8" s="4"/>
      <c r="C8" s="20"/>
      <c r="D8" s="20"/>
      <c r="E8" s="5"/>
      <c r="F8" s="5"/>
      <c r="G8" s="4"/>
      <c r="H8" s="4"/>
      <c r="I8" s="4"/>
      <c r="J8" s="4"/>
      <c r="K8" s="4"/>
      <c r="L8" s="4"/>
      <c r="M8" s="4"/>
      <c r="N8" s="4"/>
      <c r="O8" s="4"/>
      <c r="P8" s="4"/>
      <c r="Q8" s="4"/>
      <c r="R8" s="4"/>
      <c r="S8" s="4"/>
      <c r="T8" s="4"/>
      <c r="U8" s="4"/>
      <c r="V8" s="4"/>
      <c r="W8" s="4"/>
      <c r="X8" s="4"/>
      <c r="Y8" s="4"/>
      <c r="Z8" s="4"/>
      <c r="AA8" s="4"/>
    </row>
    <row r="9" spans="1:27" ht="12.75" hidden="1" customHeight="1" x14ac:dyDescent="0.2">
      <c r="A9" s="4"/>
      <c r="B9" s="4"/>
      <c r="C9" s="20"/>
      <c r="D9" s="20"/>
      <c r="E9" s="5"/>
      <c r="F9" s="5"/>
      <c r="G9" s="4"/>
      <c r="H9" s="4"/>
      <c r="I9" s="4"/>
      <c r="J9" s="4"/>
      <c r="K9" s="4"/>
      <c r="L9" s="4"/>
      <c r="M9" s="4"/>
      <c r="N9" s="4"/>
      <c r="O9" s="4"/>
      <c r="P9" s="224" t="str">
        <f ca="1">OFFSET(PLQ!$E$12,ROW($P9)-ROW(P$12),0)</f>
        <v>-</v>
      </c>
      <c r="Q9" s="4"/>
      <c r="R9" s="4"/>
      <c r="S9" s="4"/>
      <c r="T9" s="4"/>
      <c r="U9" s="4"/>
      <c r="V9" s="4"/>
      <c r="W9" s="4"/>
      <c r="X9" s="4"/>
      <c r="Y9" s="4"/>
      <c r="Z9" s="4"/>
      <c r="AA9" s="4"/>
    </row>
    <row r="10" spans="1:27" ht="30" customHeight="1" x14ac:dyDescent="0.2">
      <c r="A10" s="74" t="s">
        <v>3</v>
      </c>
      <c r="B10" s="74" t="s">
        <v>124</v>
      </c>
      <c r="C10" s="74" t="s">
        <v>153</v>
      </c>
      <c r="D10" s="74" t="s">
        <v>154</v>
      </c>
      <c r="E10" s="74" t="s">
        <v>155</v>
      </c>
      <c r="F10" s="74" t="s">
        <v>156</v>
      </c>
      <c r="G10" s="74" t="s">
        <v>157</v>
      </c>
      <c r="H10" s="74" t="s">
        <v>125</v>
      </c>
      <c r="I10" s="74" t="s">
        <v>126</v>
      </c>
      <c r="J10" s="74" t="s">
        <v>3</v>
      </c>
      <c r="K10" s="74" t="s">
        <v>148</v>
      </c>
      <c r="L10" s="74" t="s">
        <v>147</v>
      </c>
      <c r="M10" s="74" t="s">
        <v>4</v>
      </c>
      <c r="N10" s="74" t="s">
        <v>143</v>
      </c>
      <c r="O10" s="75" t="s">
        <v>150</v>
      </c>
      <c r="P10" s="74" t="s">
        <v>149</v>
      </c>
      <c r="Q10" s="74" t="str">
        <f>IF(OR(TipoOrçamento="LICITADO",TipoOrçamento="REPROGRAMADOAC"),"Preço Unitário (R$)","Custo Unitário (R$)")</f>
        <v>Custo Unitário (R$)</v>
      </c>
      <c r="R10" s="74" t="s">
        <v>5</v>
      </c>
      <c r="S10" s="74" t="s">
        <v>152</v>
      </c>
      <c r="T10" s="74" t="s">
        <v>6</v>
      </c>
      <c r="U10" s="74" t="s">
        <v>160</v>
      </c>
      <c r="V10" s="116" t="s">
        <v>162</v>
      </c>
      <c r="W10" s="116" t="s">
        <v>123</v>
      </c>
      <c r="X10" s="116" t="s">
        <v>131</v>
      </c>
      <c r="Y10" s="115" t="str">
        <f>IF(TipoOrçamento="LICITADO","Preço Unitário Edital (R$)","Custo Unitário Referência (R$)")</f>
        <v>Custo Unitário Referência (R$)</v>
      </c>
      <c r="Z10" s="147" t="str">
        <f>IF(TipoOrçamento="LICITADO","Valor BDI Edital","Valor BDI")</f>
        <v>Valor BDI</v>
      </c>
      <c r="AA10" s="4"/>
    </row>
    <row r="11" spans="1:27" hidden="1" x14ac:dyDescent="0.2">
      <c r="A11" t="str">
        <f>CHOOSE(1+LOG(1+2*(J11="Meta")+4*(J11="Nível 2")+8*(J11="Nível 3")+16*(J11="Nível 4")+32*(J11="Serviço"),2),0,1,2,3,4,"S")</f>
        <v>S</v>
      </c>
      <c r="B11">
        <f>IF(OR(A11="S",A11=0),0,IF(ISERROR(I11),H11,SMALL(H11:I11,1)))</f>
        <v>0</v>
      </c>
      <c r="C11" t="str">
        <f ca="1">IF($A11=1,OFFSET(C11,-1,0)+1,OFFSET(C11,-1,0))</f>
        <v>n1</v>
      </c>
      <c r="D11" t="str">
        <f ca="1">IF($A11=1,0,IF($A11=2,OFFSET(D11,-1,0)+1,OFFSET(D11,-1,0)))</f>
        <v>n2</v>
      </c>
      <c r="E11" t="str">
        <f ca="1">IF(AND($A11&lt;=2,$A11&lt;&gt;0),0,IF($A11=3,OFFSET(E11,-1,0)+1,OFFSET(E11,-1,0)))</f>
        <v>n3</v>
      </c>
      <c r="F11" t="str">
        <f ca="1">IF(AND($A11&lt;=3,$A11&lt;&gt;0),0,IF($A11=4,OFFSET(F11,-1,0)+1,OFFSET(F11,-1,0)))</f>
        <v>n4</v>
      </c>
      <c r="G11" t="e">
        <f ca="1">IF(AND($A11&lt;=4,$A11&lt;&gt;0),0,IF($A11="S",OFFSET(G11,-1,0)+1,OFFSET(G11,-1,0)))</f>
        <v>#VALUE!</v>
      </c>
      <c r="H11">
        <f ca="1">IF(OR($A11="S",$A11=0),0,MATCH(0,OFFSET($B11,1,$A11,ROW($A$139)-ROW($A11)),0))</f>
        <v>0</v>
      </c>
      <c r="I11">
        <f ca="1">IF(OR($A11="S",$A11=0),0,MATCH(OFFSET($B11,0,$A11)+1,OFFSET($B11,1,$A11,ROW($A$139)-ROW($A11)),0))</f>
        <v>0</v>
      </c>
      <c r="J11" s="120" t="s">
        <v>103</v>
      </c>
      <c r="K11" s="162" t="e">
        <f ca="1">IF($A11=0,"-",CONCATENATE(C11&amp;".",IF(AND($A$5&gt;=2,$A11&gt;=2),D11&amp;".",""),IF(AND($A$5&gt;=3,$A11&gt;=3),E11&amp;".",""),IF(AND($A$5&gt;=4,$A11&gt;=4),F11&amp;".",""),IF($A11="S",G11&amp;".","")))</f>
        <v>#VALUE!</v>
      </c>
      <c r="L11" s="209"/>
      <c r="M11" s="209"/>
      <c r="N11" s="230" t="str">
        <f ca="1">IF($A11="S",Referencia.Descricao,"(digite a descrição aqui)")</f>
        <v/>
      </c>
      <c r="O11" s="229" t="str">
        <f ca="1">Referencia.Unidade</f>
        <v/>
      </c>
      <c r="P11" s="233"/>
      <c r="Q11" s="228"/>
      <c r="R11" s="231" t="s">
        <v>7</v>
      </c>
      <c r="S11" s="121">
        <f ca="1">IF($A11="S",IF($Q$10="Preço Unitário (R$)",PO.CustoUnitario,ROUND(PO.CustoUnitario*(1+$Z11),15-13*$X$6)),0)</f>
        <v>0</v>
      </c>
      <c r="T11" s="98">
        <f ca="1">IF($A11="S",VTOTAL1,IF($A11=0,0,ROUND(SomaAgrup,15-13*$X$7)))</f>
        <v>0</v>
      </c>
      <c r="U11" s="13" t="str">
        <f ca="1">IF($J11="","",IF($N11="","DESCRIÇÃO",IF(AND($J11="Serviço",$O11=""),"UNIDADE",IF($T11&lt;=0,"SEM VALOR",IF(AND($Y11&lt;&gt;"",$Q11&gt;$Y11),"ACIMA REF.","")))))</f>
        <v>DESCRIÇÃO</v>
      </c>
      <c r="V11" s="4" t="str">
        <f ca="1">IF(OR($A11=0,$A11="S",$A11&gt;CFF!$A$9),"",MAX(V$12:OFFSET(V11,-1,0))+1)</f>
        <v/>
      </c>
      <c r="W11" s="9" t="b">
        <f>IF(AND($J11="Serviço",$M11&lt;&gt;""),IF($L11="",$M11,CONCATENATE($L11,"-",$M11)))</f>
        <v>0</v>
      </c>
      <c r="X11" s="4" t="str">
        <f ca="1">IF(AND(Fonte&lt;&gt;"",Código&lt;&gt;""),MATCH(Fonte&amp;" "&amp;IF(Fonte="sinapi",SUBSTITUTE(SUBSTITUTE(Código,"/00","/"),"/0","/"),Código),INDIRECT("'[Referência "&amp;_xlnm.Database&amp;".xls]Banco'!$a:$a"),0),"X")</f>
        <v>X</v>
      </c>
      <c r="Y11" s="121">
        <f ca="1">IF(Import.Desoneracao="sim",Referencia.Desonerado,Referencia.NaoDesonerado)</f>
        <v>0</v>
      </c>
      <c r="Z11" s="132">
        <f ca="1">ROUND(IF(ISNUMBER(R11),R11,IF(LEFT(R11,3)="BDI",HLOOKUP(R11,DADOS!$T$37:$X$38,2,FALSE),0)),15-11*$X$5)</f>
        <v>0.2487</v>
      </c>
      <c r="AA11" s="4"/>
    </row>
    <row r="12" spans="1:27" x14ac:dyDescent="0.2">
      <c r="A12">
        <v>0</v>
      </c>
      <c r="B12">
        <f ca="1">COUNTA(OFFSET(B12,1,0):B$139)</f>
        <v>126</v>
      </c>
      <c r="J12" s="76" t="str">
        <f>IF(OR(TipoOrçamento="LICITADO",TipoOrçamento="REPROGRAMADOAC"),"CTEF","LOTE")</f>
        <v>LOTE</v>
      </c>
      <c r="K12" s="163">
        <v>0</v>
      </c>
      <c r="L12" s="10"/>
      <c r="M12" s="10"/>
      <c r="N12" s="87" t="str">
        <f>IF(TipoOrçamento="LICITADO",DADOS!O43,DADOS!G38)</f>
        <v>RECUPERAÇÃO DE COMPLEXO ESPORTIVO DO DISTRITO DE SERTÃZINHO</v>
      </c>
      <c r="O12" s="10"/>
      <c r="P12" s="11"/>
      <c r="Q12" s="11"/>
      <c r="R12" s="12"/>
      <c r="S12" s="11"/>
      <c r="T12" s="97">
        <f ca="1">SUMIF(OFFSET($J12,1,0,ROW(T139)-ROW(T12)-1),"Serviço",OFFSET(T12,1,0,ROW(T139)-ROW(T12)-1))</f>
        <v>373964.07</v>
      </c>
      <c r="U12" s="13" t="str">
        <f>IF($N12=0,"DESCRIÇÃO","")</f>
        <v/>
      </c>
      <c r="V12" s="4">
        <v>0</v>
      </c>
      <c r="W12" s="4"/>
      <c r="X12" s="4"/>
      <c r="Y12" s="11"/>
      <c r="Z12" s="133"/>
      <c r="AA12" s="4"/>
    </row>
    <row r="13" spans="1:27" x14ac:dyDescent="0.2">
      <c r="A13">
        <f t="shared" ref="A13" si="0">CHOOSE(1+LOG(1+2*(J13="Meta")+4*(J13="Nível 2")+8*(J13="Nível 3")+16*(J13="Nível 4")+32*(J13="Serviço"),2),0,1,2,3,4,"S")</f>
        <v>1</v>
      </c>
      <c r="B13">
        <f t="shared" ref="B13" ca="1" si="1">IF(OR(A13="S",A13=0),0,IF(ISERROR(I13),H13,SMALL(H13:I13,1)))</f>
        <v>126</v>
      </c>
      <c r="C13">
        <f t="shared" ref="C13" ca="1" si="2">IF($A13=1,OFFSET(C13,-1,0)+1,OFFSET(C13,-1,0))</f>
        <v>1</v>
      </c>
      <c r="D13">
        <f t="shared" ref="D13" ca="1" si="3">IF($A13=1,0,IF($A13=2,OFFSET(D13,-1,0)+1,OFFSET(D13,-1,0)))</f>
        <v>0</v>
      </c>
      <c r="E13">
        <f t="shared" ref="E13" ca="1" si="4">IF(AND($A13&lt;=2,$A13&lt;&gt;0),0,IF($A13=3,OFFSET(E13,-1,0)+1,OFFSET(E13,-1,0)))</f>
        <v>0</v>
      </c>
      <c r="F13">
        <f t="shared" ref="F13" ca="1" si="5">IF(AND($A13&lt;=3,$A13&lt;&gt;0),0,IF($A13=4,OFFSET(F13,-1,0)+1,OFFSET(F13,-1,0)))</f>
        <v>0</v>
      </c>
      <c r="G13">
        <f t="shared" ref="G13" ca="1" si="6">IF(AND($A13&lt;=4,$A13&lt;&gt;0),0,IF($A13="S",OFFSET(G13,-1,0)+1,OFFSET(G13,-1,0)))</f>
        <v>0</v>
      </c>
      <c r="H13">
        <f ca="1">IF(OR($A13="S",$A13=0),0,MATCH(0,OFFSET($B13,1,$A13,ROW($A$139)-ROW($A13)),0))</f>
        <v>126</v>
      </c>
      <c r="I13" t="e">
        <f ca="1">IF(OR($A13="S",$A13=0),0,MATCH(OFFSET($B13,0,$A13)+1,OFFSET($B13,1,$A13,ROW($A$139)-ROW($A13)),0))</f>
        <v>#N/A</v>
      </c>
      <c r="J13" s="164" t="s">
        <v>99</v>
      </c>
      <c r="K13" s="162" t="str">
        <f t="shared" ref="K13" ca="1" si="7">IF($A13=0,"-",CONCATENATE(C13&amp;".",IF(AND($A$5&gt;=2,$A13&gt;=2),D13&amp;".",""),IF(AND($A$5&gt;=3,$A13&gt;=3),E13&amp;".",""),IF(AND($A$5&gt;=4,$A13&gt;=4),F13&amp;".",""),IF($A13="S",G13&amp;".","")))</f>
        <v>1.</v>
      </c>
      <c r="L13" s="209"/>
      <c r="M13" s="209"/>
      <c r="N13" s="230" t="s">
        <v>461</v>
      </c>
      <c r="O13" s="229" t="s">
        <v>107</v>
      </c>
      <c r="P13" s="233">
        <v>0</v>
      </c>
      <c r="Q13" s="228"/>
      <c r="R13" s="231" t="s">
        <v>7</v>
      </c>
      <c r="S13" s="121">
        <f t="shared" ref="S13" si="8">IF($A13="S",IF($Q$10="Preço Unitário (R$)",PO.CustoUnitario,ROUND(PO.CustoUnitario*(1+$Z13),15-13*$X$6)),0)</f>
        <v>0</v>
      </c>
      <c r="T13" s="98">
        <f t="shared" ref="T13" ca="1" si="9">IF($A13="S",VTOTAL1,IF($A13=0,0,ROUND(SomaAgrup,15-13*$X$7)))</f>
        <v>373964.07</v>
      </c>
      <c r="U13" s="13" t="str">
        <f t="shared" ref="U13" ca="1" si="10">IF($J13="","",IF($N13="","DESCRIÇÃO",IF(AND($J13="Serviço",$O13=""),"UNIDADE",IF($T13&lt;=0,"SEM VALOR",IF(AND($Y13&lt;&gt;"",$Q13&gt;$Y13),"ACIMA REF.","")))))</f>
        <v/>
      </c>
      <c r="V13" s="4">
        <f ca="1">IF(OR($A13=0,$A13="S",$A13&gt;CFF!$A$9),"",MAX(V$12:OFFSET(V13,-1,0))+1)</f>
        <v>1</v>
      </c>
      <c r="W13" s="9" t="b">
        <f t="shared" ref="W13" si="11">IF(AND($J13="Serviço",$M13&lt;&gt;""),IF($L13="",$M13,CONCATENATE($L13,"-",$M13)))</f>
        <v>0</v>
      </c>
      <c r="X13" s="4" t="str">
        <f t="shared" ref="X13" ca="1" si="12">IF(AND(Fonte&lt;&gt;"",Código&lt;&gt;""),MATCH(Fonte&amp;" "&amp;IF(Fonte="sinapi",SUBSTITUTE(SUBSTITUTE(Código,"/00","/"),"/0","/"),Código),INDIRECT("'[Referência "&amp;_xlnm.Database&amp;".xls]Banco'!$a:$a"),0),"X")</f>
        <v>X</v>
      </c>
      <c r="Y13" s="121">
        <f t="shared" ref="Y13" ca="1" si="13">IF(Import.Desoneracao="sim",Referencia.Desonerado,Referencia.NaoDesonerado)</f>
        <v>0</v>
      </c>
      <c r="Z13" s="132">
        <f ca="1">ROUND(IF(ISNUMBER(R13),R13,IF(LEFT(R13,3)="BDI",HLOOKUP(R13,DADOS!$T$37:$X$38,2,FALSE),0)),15-11*$X$5)</f>
        <v>0.2487</v>
      </c>
      <c r="AA13" s="4"/>
    </row>
    <row r="14" spans="1:27" x14ac:dyDescent="0.2">
      <c r="A14">
        <f>CHOOSE(1+LOG(1+2*(J14="Meta")+4*(J14="Nível 2")+8*(J14="Nível 3")+16*(J14="Nível 4")+32*(J14="Serviço"),2),0,1,2,3,4,"S")</f>
        <v>2</v>
      </c>
      <c r="B14">
        <f ca="1">IF(OR(A14="S",A14=0),0,IF(ISERROR(I14),H14,SMALL(H14:I14,1)))</f>
        <v>3</v>
      </c>
      <c r="C14">
        <f ca="1">IF($A14=1,OFFSET(C14,-1,0)+1,OFFSET(C14,-1,0))</f>
        <v>1</v>
      </c>
      <c r="D14">
        <f ca="1">IF($A14=1,0,IF($A14=2,OFFSET(D14,-1,0)+1,OFFSET(D14,-1,0)))</f>
        <v>1</v>
      </c>
      <c r="E14">
        <f ca="1">IF(AND($A14&lt;=2,$A14&lt;&gt;0),0,IF($A14=3,OFFSET(E14,-1,0)+1,OFFSET(E14,-1,0)))</f>
        <v>0</v>
      </c>
      <c r="F14">
        <f ca="1">IF(AND($A14&lt;=3,$A14&lt;&gt;0),0,IF($A14=4,OFFSET(F14,-1,0)+1,OFFSET(F14,-1,0)))</f>
        <v>0</v>
      </c>
      <c r="G14">
        <f ca="1">IF(AND($A14&lt;=4,$A14&lt;&gt;0),0,IF($A14="S",OFFSET(G14,-1,0)+1,OFFSET(G14,-1,0)))</f>
        <v>0</v>
      </c>
      <c r="H14">
        <f ca="1">IF(OR($A14="S",$A14=0),0,MATCH(0,OFFSET($B14,1,$A14,ROW($A$139)-ROW($A14)),0))</f>
        <v>125</v>
      </c>
      <c r="I14">
        <f ca="1">IF(OR($A14="S",$A14=0),0,MATCH(OFFSET($B14,0,$A14)+1,OFFSET($B14,1,$A14,ROW($A$139)-ROW($A14)),0))</f>
        <v>3</v>
      </c>
      <c r="J14" s="120" t="s">
        <v>100</v>
      </c>
      <c r="K14" s="162" t="str">
        <f ca="1">IF($A14=0,"-",CONCATENATE(C14&amp;".",IF(AND($A$5&gt;=2,$A14&gt;=2),D14&amp;".",""),IF(AND($A$5&gt;=3,$A14&gt;=3),E14&amp;".",""),IF(AND($A$5&gt;=4,$A14&gt;=4),F14&amp;".",""),IF($A14="S",G14&amp;".","")))</f>
        <v>1.1.</v>
      </c>
      <c r="L14" s="209"/>
      <c r="M14" s="209"/>
      <c r="N14" s="230" t="s">
        <v>230</v>
      </c>
      <c r="O14" s="229" t="str">
        <f ca="1">Referencia.Unidade</f>
        <v/>
      </c>
      <c r="P14" s="233"/>
      <c r="Q14" s="228"/>
      <c r="R14" s="231" t="s">
        <v>7</v>
      </c>
      <c r="S14" s="121">
        <f>IF($A14="S",IF($Q$10="Preço Unitário (R$)",PO.CustoUnitario,ROUND(PO.CustoUnitario*(1+$Z14),15-13*$X$6)),0)</f>
        <v>0</v>
      </c>
      <c r="T14" s="98">
        <f ca="1">IF($A14="S",VTOTAL1,IF($A14=0,0,ROUND(SomaAgrup,15-13*$X$7)))</f>
        <v>5722.49</v>
      </c>
      <c r="U14" s="13" t="str">
        <f ca="1">IF($J14="","",IF($N14="","DESCRIÇÃO",IF(AND($J14="Serviço",$O14=""),"UNIDADE",IF($T14&lt;=0,"SEM VALOR",IF(AND($Y14&lt;&gt;"",$Q14&gt;$Y14),"ACIMA REF.","")))))</f>
        <v/>
      </c>
      <c r="V14" s="4">
        <f ca="1">IF(OR($A14=0,$A14="S",$A14&gt;CFF!$A$9),"",MAX(V$12:OFFSET(V14,-1,0))+1)</f>
        <v>2</v>
      </c>
      <c r="W14" s="9" t="b">
        <f>IF(AND($J14="Serviço",$M14&lt;&gt;""),IF($L14="",$M14,CONCATENATE($L14,"-",$M14)))</f>
        <v>0</v>
      </c>
      <c r="X14" s="4" t="str">
        <f ca="1">IF(AND(Fonte&lt;&gt;"",Código&lt;&gt;""),MATCH(Fonte&amp;" "&amp;IF(Fonte="sinapi",SUBSTITUTE(SUBSTITUTE(Código,"/00","/"),"/0","/"),Código),INDIRECT("'[Referência "&amp;_xlnm.Database&amp;".xls]Banco'!$a:$a"),0),"X")</f>
        <v>X</v>
      </c>
      <c r="Y14" s="121">
        <f ca="1">IF(Import.Desoneracao="sim",Referencia.Desonerado,Referencia.NaoDesonerado)</f>
        <v>0</v>
      </c>
      <c r="Z14" s="132">
        <f ca="1">ROUND(IF(ISNUMBER(R14),R14,IF(LEFT(R14,3)="BDI",HLOOKUP(R14,DADOS!$T$37:$X$38,2,FALSE),0)),15-11*$X$5)</f>
        <v>0.2487</v>
      </c>
      <c r="AA14" s="4"/>
    </row>
    <row r="15" spans="1:27" ht="25.5" x14ac:dyDescent="0.2">
      <c r="A15" t="str">
        <f>CHOOSE(1+LOG(1+2*(J15="Meta")+4*(J15="Nível 2")+8*(J15="Nível 3")+16*(J15="Nível 4")+32*(J15="Serviço"),2),0,1,2,3,4,"S")</f>
        <v>S</v>
      </c>
      <c r="B15">
        <f>IF(OR(A15="S",A15=0),0,IF(ISERROR(I15),H15,SMALL(H15:I15,1)))</f>
        <v>0</v>
      </c>
      <c r="C15">
        <f ca="1">IF($A15=1,OFFSET(C15,-1,0)+1,OFFSET(C15,-1,0))</f>
        <v>1</v>
      </c>
      <c r="D15">
        <f ca="1">IF($A15=1,0,IF($A15=2,OFFSET(D15,-1,0)+1,OFFSET(D15,-1,0)))</f>
        <v>1</v>
      </c>
      <c r="E15">
        <f ca="1">IF(AND($A15&lt;=2,$A15&lt;&gt;0),0,IF($A15=3,OFFSET(E15,-1,0)+1,OFFSET(E15,-1,0)))</f>
        <v>0</v>
      </c>
      <c r="F15">
        <f ca="1">IF(AND($A15&lt;=3,$A15&lt;&gt;0),0,IF($A15=4,OFFSET(F15,-1,0)+1,OFFSET(F15,-1,0)))</f>
        <v>0</v>
      </c>
      <c r="G15">
        <f ca="1">IF(AND($A15&lt;=4,$A15&lt;&gt;0),0,IF($A15="S",OFFSET(G15,-1,0)+1,OFFSET(G15,-1,0)))</f>
        <v>1</v>
      </c>
      <c r="H15">
        <f ca="1">IF(OR($A15="S",$A15=0),0,MATCH(0,OFFSET($B15,1,$A15,ROW($A$139)-ROW($A15)),0))</f>
        <v>0</v>
      </c>
      <c r="I15">
        <f ca="1">IF(OR($A15="S",$A15=0),0,MATCH(OFFSET($B15,0,$A15)+1,OFFSET($B15,1,$A15,ROW($A$139)-ROW($A15)),0))</f>
        <v>0</v>
      </c>
      <c r="J15" s="120" t="s">
        <v>103</v>
      </c>
      <c r="K15" s="162" t="str">
        <f ca="1">IF($A15=0,"-",CONCATENATE(C15&amp;".",IF(AND($A$5&gt;=2,$A15&gt;=2),D15&amp;".",""),IF(AND($A$5&gt;=3,$A15&gt;=3),E15&amp;".",""),IF(AND($A$5&gt;=4,$A15&gt;=4),F15&amp;".",""),IF($A15="S",G15&amp;".","")))</f>
        <v>1.1.0.1.</v>
      </c>
      <c r="L15" s="209" t="s">
        <v>231</v>
      </c>
      <c r="M15" s="209" t="s">
        <v>232</v>
      </c>
      <c r="N15" s="230" t="s">
        <v>367</v>
      </c>
      <c r="O15" s="229" t="s">
        <v>368</v>
      </c>
      <c r="P15" s="233">
        <v>4.5</v>
      </c>
      <c r="Q15" s="228">
        <v>250</v>
      </c>
      <c r="R15" s="231" t="s">
        <v>7</v>
      </c>
      <c r="S15" s="121">
        <f ca="1">IF($A15="S",IF($Q$10="Preço Unitário (R$)",PO.CustoUnitario,ROUND(PO.CustoUnitario*(1+$Z15),15-13*$X$6)),0)</f>
        <v>312.18</v>
      </c>
      <c r="T15" s="98">
        <f ca="1">IF($A15="S",VTOTAL1,IF($A15=0,0,ROUND(SomaAgrup,15-13*$X$7)))</f>
        <v>1404.81</v>
      </c>
      <c r="U15" s="13" t="str">
        <f ca="1">IF($J15="","",IF($N15="","DESCRIÇÃO",IF(AND($J15="Serviço",$O15=""),"UNIDADE",IF($T15&lt;=0,"SEM VALOR",IF(AND($Y15&lt;&gt;"",$Q15&gt;$Y15),"ACIMA REF.","")))))</f>
        <v/>
      </c>
      <c r="V15" s="4" t="str">
        <f ca="1">IF(OR($A15=0,$A15="S",$A15&gt;CFF!$A$9),"",MAX(V$12:OFFSET(V15,-1,0))+1)</f>
        <v/>
      </c>
      <c r="W15" s="9" t="str">
        <f>IF(AND($J15="Serviço",$M15&lt;&gt;""),IF($L15="",$M15,CONCATENATE($L15,"-",$M15)))</f>
        <v>SINAPI-I-4813</v>
      </c>
      <c r="X15" s="4">
        <f ca="1">IF(AND(Fonte&lt;&gt;"",Código&lt;&gt;""),MATCH(Fonte&amp;" "&amp;IF(Fonte="sinapi",SUBSTITUTE(SUBSTITUTE(Código,"/00","/"),"/0","/"),Código),INDIRECT("'[Referência "&amp;_xlnm.Database&amp;".xls]Banco'!$a:$a"),0),"X")</f>
        <v>11070</v>
      </c>
      <c r="Y15" s="121">
        <f ca="1">IF(Import.Desoneracao="sim",Referencia.Desonerado,Referencia.NaoDesonerado)</f>
        <v>250</v>
      </c>
      <c r="Z15" s="132">
        <f ca="1">ROUND(IF(ISNUMBER(R15),R15,IF(LEFT(R15,3)="BDI",HLOOKUP(R15,DADOS!$T$37:$X$38,2,FALSE),0)),15-11*$X$5)</f>
        <v>0.2487</v>
      </c>
      <c r="AA15" s="4"/>
    </row>
    <row r="16" spans="1:27" ht="25.5" x14ac:dyDescent="0.2">
      <c r="A16" t="str">
        <f t="shared" ref="A16:A52" si="14">CHOOSE(1+LOG(1+2*(J16="Meta")+4*(J16="Nível 2")+8*(J16="Nível 3")+16*(J16="Nível 4")+32*(J16="Serviço"),2),0,1,2,3,4,"S")</f>
        <v>S</v>
      </c>
      <c r="B16">
        <f t="shared" ref="B16:B52" si="15">IF(OR(A16="S",A16=0),0,IF(ISERROR(I16),H16,SMALL(H16:I16,1)))</f>
        <v>0</v>
      </c>
      <c r="C16">
        <f t="shared" ref="C16:C52" ca="1" si="16">IF($A16=1,OFFSET(C16,-1,0)+1,OFFSET(C16,-1,0))</f>
        <v>1</v>
      </c>
      <c r="D16">
        <f t="shared" ref="D16:D52" ca="1" si="17">IF($A16=1,0,IF($A16=2,OFFSET(D16,-1,0)+1,OFFSET(D16,-1,0)))</f>
        <v>1</v>
      </c>
      <c r="E16">
        <f t="shared" ref="E16:E52" ca="1" si="18">IF(AND($A16&lt;=2,$A16&lt;&gt;0),0,IF($A16=3,OFFSET(E16,-1,0)+1,OFFSET(E16,-1,0)))</f>
        <v>0</v>
      </c>
      <c r="F16">
        <f t="shared" ref="F16:F52" ca="1" si="19">IF(AND($A16&lt;=3,$A16&lt;&gt;0),0,IF($A16=4,OFFSET(F16,-1,0)+1,OFFSET(F16,-1,0)))</f>
        <v>0</v>
      </c>
      <c r="G16">
        <f t="shared" ref="G16:G52" ca="1" si="20">IF(AND($A16&lt;=4,$A16&lt;&gt;0),0,IF($A16="S",OFFSET(G16,-1,0)+1,OFFSET(G16,-1,0)))</f>
        <v>2</v>
      </c>
      <c r="H16">
        <f ca="1">IF(OR($A16="S",$A16=0),0,MATCH(0,OFFSET($B16,1,$A16,ROW($A$139)-ROW($A16)),0))</f>
        <v>0</v>
      </c>
      <c r="I16">
        <f ca="1">IF(OR($A16="S",$A16=0),0,MATCH(OFFSET($B16,0,$A16)+1,OFFSET($B16,1,$A16,ROW($A$139)-ROW($A16)),0))</f>
        <v>0</v>
      </c>
      <c r="J16" s="120" t="s">
        <v>103</v>
      </c>
      <c r="K16" s="162" t="str">
        <f t="shared" ref="K16:K52" ca="1" si="21">IF($A16=0,"-",CONCATENATE(C16&amp;".",IF(AND($A$5&gt;=2,$A16&gt;=2),D16&amp;".",""),IF(AND($A$5&gt;=3,$A16&gt;=3),E16&amp;".",""),IF(AND($A$5&gt;=4,$A16&gt;=4),F16&amp;".",""),IF($A16="S",G16&amp;".","")))</f>
        <v>1.1.0.2.</v>
      </c>
      <c r="L16" s="232" t="s">
        <v>233</v>
      </c>
      <c r="M16" s="232" t="s">
        <v>276</v>
      </c>
      <c r="N16" s="230" t="s">
        <v>369</v>
      </c>
      <c r="O16" s="229" t="s">
        <v>370</v>
      </c>
      <c r="P16" s="233">
        <v>62</v>
      </c>
      <c r="Q16" s="228">
        <v>55.77</v>
      </c>
      <c r="R16" s="231" t="s">
        <v>7</v>
      </c>
      <c r="S16" s="121">
        <f t="shared" ref="S16:S52" ca="1" si="22">IF($A16="S",IF($Q$10="Preço Unitário (R$)",PO.CustoUnitario,ROUND(PO.CustoUnitario*(1+$Z16),15-13*$X$6)),0)</f>
        <v>69.64</v>
      </c>
      <c r="T16" s="98">
        <f t="shared" ref="T16:T52" ca="1" si="23">IF($A16="S",VTOTAL1,IF($A16=0,0,ROUND(SomaAgrup,15-13*$X$7)))</f>
        <v>4317.68</v>
      </c>
      <c r="U16" s="13" t="str">
        <f t="shared" ref="U16:U52" ca="1" si="24">IF($J16="","",IF($N16="","DESCRIÇÃO",IF(AND($J16="Serviço",$O16=""),"UNIDADE",IF($T16&lt;=0,"SEM VALOR",IF(AND($Y16&lt;&gt;"",$Q16&gt;$Y16),"ACIMA REF.","")))))</f>
        <v/>
      </c>
      <c r="V16" s="4" t="str">
        <f ca="1">IF(OR($A16=0,$A16="S",$A16&gt;CFF!$A$9),"",MAX(V$12:OFFSET(V16,-1,0))+1)</f>
        <v/>
      </c>
      <c r="W16" s="9" t="str">
        <f t="shared" ref="W16:W52" si="25">IF(AND($J16="Serviço",$M16&lt;&gt;""),IF($L16="",$M16,CONCATENATE($L16,"-",$M16)))</f>
        <v>SINAPI-99059</v>
      </c>
      <c r="X16" s="4">
        <f t="shared" ref="X16:X52" ca="1" si="26">IF(AND(Fonte&lt;&gt;"",Código&lt;&gt;""),MATCH(Fonte&amp;" "&amp;IF(Fonte="sinapi",SUBSTITUTE(SUBSTITUTE(Código,"/00","/"),"/0","/"),Código),INDIRECT("'[Referência "&amp;_xlnm.Database&amp;".xls]Banco'!$a:$a"),0),"X")</f>
        <v>7124</v>
      </c>
      <c r="Y16" s="121">
        <f ca="1">IF(Import.Desoneracao="sim",Referencia.Desonerado,Referencia.NaoDesonerado)</f>
        <v>55.77</v>
      </c>
      <c r="Z16" s="132">
        <f ca="1">ROUND(IF(ISNUMBER(R16),R16,IF(LEFT(R16,3)="BDI",HLOOKUP(R16,DADOS!$T$37:$X$38,2,FALSE),0)),15-11*$X$5)</f>
        <v>0.2487</v>
      </c>
      <c r="AA16" s="4"/>
    </row>
    <row r="17" spans="1:27" x14ac:dyDescent="0.2">
      <c r="A17">
        <f t="shared" si="14"/>
        <v>2</v>
      </c>
      <c r="B17">
        <f t="shared" ca="1" si="15"/>
        <v>6</v>
      </c>
      <c r="C17">
        <f t="shared" ca="1" si="16"/>
        <v>1</v>
      </c>
      <c r="D17">
        <f t="shared" ca="1" si="17"/>
        <v>2</v>
      </c>
      <c r="E17">
        <f t="shared" ca="1" si="18"/>
        <v>0</v>
      </c>
      <c r="F17">
        <f t="shared" ca="1" si="19"/>
        <v>0</v>
      </c>
      <c r="G17">
        <f t="shared" ca="1" si="20"/>
        <v>0</v>
      </c>
      <c r="H17">
        <f ca="1">IF(OR($A17="S",$A17=0),0,MATCH(0,OFFSET($B17,1,$A17,ROW($A$139)-ROW($A17)),0))</f>
        <v>122</v>
      </c>
      <c r="I17">
        <f ca="1">IF(OR($A17="S",$A17=0),0,MATCH(OFFSET($B17,0,$A17)+1,OFFSET($B17,1,$A17,ROW($A$139)-ROW($A17)),0))</f>
        <v>6</v>
      </c>
      <c r="J17" s="120" t="s">
        <v>100</v>
      </c>
      <c r="K17" s="162" t="str">
        <f t="shared" ca="1" si="21"/>
        <v>1.2.</v>
      </c>
      <c r="L17" s="209"/>
      <c r="M17" s="209"/>
      <c r="N17" s="230" t="s">
        <v>281</v>
      </c>
      <c r="O17" s="229" t="str">
        <f ca="1">Referencia.Unidade</f>
        <v/>
      </c>
      <c r="P17" s="233"/>
      <c r="Q17" s="228">
        <v>0</v>
      </c>
      <c r="R17" s="231" t="s">
        <v>7</v>
      </c>
      <c r="S17" s="121">
        <f t="shared" si="22"/>
        <v>0</v>
      </c>
      <c r="T17" s="98">
        <f t="shared" ca="1" si="23"/>
        <v>2300.4299999999998</v>
      </c>
      <c r="U17" s="13" t="str">
        <f t="shared" ca="1" si="24"/>
        <v/>
      </c>
      <c r="V17" s="4">
        <f ca="1">IF(OR($A17=0,$A17="S",$A17&gt;CFF!$A$9),"",MAX(V$12:OFFSET(V17,-1,0))+1)</f>
        <v>3</v>
      </c>
      <c r="W17" s="9" t="b">
        <f t="shared" si="25"/>
        <v>0</v>
      </c>
      <c r="X17" s="4" t="str">
        <f t="shared" ca="1" si="26"/>
        <v>X</v>
      </c>
      <c r="Y17" s="121">
        <f ca="1">IF(Import.Desoneracao="sim",Referencia.Desonerado,Referencia.NaoDesonerado)</f>
        <v>0</v>
      </c>
      <c r="Z17" s="132">
        <f ca="1">ROUND(IF(ISNUMBER(R17),R17,IF(LEFT(R17,3)="BDI",HLOOKUP(R17,DADOS!$T$37:$X$38,2,FALSE),0)),15-11*$X$5)</f>
        <v>0.2487</v>
      </c>
      <c r="AA17" s="4"/>
    </row>
    <row r="18" spans="1:27" x14ac:dyDescent="0.2">
      <c r="A18">
        <f t="shared" si="14"/>
        <v>3</v>
      </c>
      <c r="B18">
        <f t="shared" ca="1" si="15"/>
        <v>3</v>
      </c>
      <c r="C18">
        <f t="shared" ca="1" si="16"/>
        <v>1</v>
      </c>
      <c r="D18">
        <f t="shared" ca="1" si="17"/>
        <v>2</v>
      </c>
      <c r="E18">
        <f t="shared" ca="1" si="18"/>
        <v>1</v>
      </c>
      <c r="F18">
        <f t="shared" ca="1" si="19"/>
        <v>0</v>
      </c>
      <c r="G18">
        <f t="shared" ca="1" si="20"/>
        <v>0</v>
      </c>
      <c r="H18">
        <f ca="1">IF(OR($A18="S",$A18=0),0,MATCH(0,OFFSET($B18,1,$A18,ROW($A$139)-ROW($A18)),0))</f>
        <v>5</v>
      </c>
      <c r="I18">
        <f ca="1">IF(OR($A18="S",$A18=0),0,MATCH(OFFSET($B18,0,$A18)+1,OFFSET($B18,1,$A18,ROW($A$139)-ROW($A18)),0))</f>
        <v>3</v>
      </c>
      <c r="J18" s="120" t="s">
        <v>101</v>
      </c>
      <c r="K18" s="162" t="str">
        <f t="shared" ca="1" si="21"/>
        <v>1.2.1.</v>
      </c>
      <c r="L18" s="209"/>
      <c r="M18" s="209"/>
      <c r="N18" s="230" t="s">
        <v>282</v>
      </c>
      <c r="O18" s="229" t="str">
        <f ca="1">Referencia.Unidade</f>
        <v/>
      </c>
      <c r="P18" s="233"/>
      <c r="Q18" s="228">
        <v>0</v>
      </c>
      <c r="R18" s="231" t="s">
        <v>7</v>
      </c>
      <c r="S18" s="121">
        <f t="shared" si="22"/>
        <v>0</v>
      </c>
      <c r="T18" s="98">
        <f t="shared" ca="1" si="23"/>
        <v>1844.33</v>
      </c>
      <c r="U18" s="13" t="str">
        <f t="shared" ca="1" si="24"/>
        <v/>
      </c>
      <c r="V18" s="4" t="str">
        <f ca="1">IF(OR($A18=0,$A18="S",$A18&gt;CFF!$A$9),"",MAX(V$12:OFFSET(V18,-1,0))+1)</f>
        <v/>
      </c>
      <c r="W18" s="9" t="b">
        <f t="shared" si="25"/>
        <v>0</v>
      </c>
      <c r="X18" s="4" t="str">
        <f t="shared" ca="1" si="26"/>
        <v>X</v>
      </c>
      <c r="Y18" s="121">
        <f ca="1">IF(Import.Desoneracao="sim",Referencia.Desonerado,Referencia.NaoDesonerado)</f>
        <v>0</v>
      </c>
      <c r="Z18" s="132">
        <f ca="1">ROUND(IF(ISNUMBER(R18),R18,IF(LEFT(R18,3)="BDI",HLOOKUP(R18,DADOS!$T$37:$X$38,2,FALSE),0)),15-11*$X$5)</f>
        <v>0.2487</v>
      </c>
      <c r="AA18" s="4"/>
    </row>
    <row r="19" spans="1:27" ht="38.25" x14ac:dyDescent="0.2">
      <c r="A19" t="str">
        <f t="shared" si="14"/>
        <v>S</v>
      </c>
      <c r="B19">
        <f t="shared" si="15"/>
        <v>0</v>
      </c>
      <c r="C19">
        <f t="shared" ca="1" si="16"/>
        <v>1</v>
      </c>
      <c r="D19">
        <f t="shared" ca="1" si="17"/>
        <v>2</v>
      </c>
      <c r="E19">
        <f t="shared" ca="1" si="18"/>
        <v>1</v>
      </c>
      <c r="F19">
        <f t="shared" ca="1" si="19"/>
        <v>0</v>
      </c>
      <c r="G19">
        <f t="shared" ca="1" si="20"/>
        <v>1</v>
      </c>
      <c r="H19">
        <f ca="1">IF(OR($A19="S",$A19=0),0,MATCH(0,OFFSET($B19,1,$A19,ROW($A$139)-ROW($A19)),0))</f>
        <v>0</v>
      </c>
      <c r="I19">
        <f ca="1">IF(OR($A19="S",$A19=0),0,MATCH(OFFSET($B19,0,$A19)+1,OFFSET($B19,1,$A19,ROW($A$139)-ROW($A19)),0))</f>
        <v>0</v>
      </c>
      <c r="J19" s="120" t="s">
        <v>103</v>
      </c>
      <c r="K19" s="162" t="str">
        <f t="shared" ca="1" si="21"/>
        <v>1.2.1.1.</v>
      </c>
      <c r="L19" s="209" t="s">
        <v>233</v>
      </c>
      <c r="M19" s="209" t="s">
        <v>299</v>
      </c>
      <c r="N19" s="230" t="s">
        <v>371</v>
      </c>
      <c r="O19" s="229" t="s">
        <v>372</v>
      </c>
      <c r="P19" s="233">
        <v>12.37</v>
      </c>
      <c r="Q19" s="228">
        <v>92.9</v>
      </c>
      <c r="R19" s="231" t="s">
        <v>7</v>
      </c>
      <c r="S19" s="121">
        <f t="shared" ca="1" si="22"/>
        <v>116</v>
      </c>
      <c r="T19" s="98">
        <f t="shared" ca="1" si="23"/>
        <v>1434.92</v>
      </c>
      <c r="U19" s="13" t="str">
        <f t="shared" ca="1" si="24"/>
        <v/>
      </c>
      <c r="V19" s="4" t="str">
        <f ca="1">IF(OR($A19=0,$A19="S",$A19&gt;CFF!$A$9),"",MAX(V$12:OFFSET(V19,-1,0))+1)</f>
        <v/>
      </c>
      <c r="W19" s="9" t="str">
        <f t="shared" si="25"/>
        <v>SINAPI-96520</v>
      </c>
      <c r="X19" s="4">
        <f t="shared" ca="1" si="26"/>
        <v>5727</v>
      </c>
      <c r="Y19" s="121">
        <f ca="1">IF(Import.Desoneracao="sim",Referencia.Desonerado,Referencia.NaoDesonerado)</f>
        <v>92.9</v>
      </c>
      <c r="Z19" s="132">
        <f ca="1">ROUND(IF(ISNUMBER(R19),R19,IF(LEFT(R19,3)="BDI",HLOOKUP(R19,DADOS!$T$37:$X$38,2,FALSE),0)),15-11*$X$5)</f>
        <v>0.2487</v>
      </c>
      <c r="AA19" s="4"/>
    </row>
    <row r="20" spans="1:27" ht="25.5" x14ac:dyDescent="0.2">
      <c r="A20" t="str">
        <f>CHOOSE(1+LOG(1+2*(J20="Meta")+4*(J20="Nível 2")+8*(J20="Nível 3")+16*(J20="Nível 4")+32*(J20="Serviço"),2),0,1,2,3,4,"S")</f>
        <v>S</v>
      </c>
      <c r="B20">
        <f>IF(OR(A20="S",A20=0),0,IF(ISERROR(I20),H20,SMALL(H20:I20,1)))</f>
        <v>0</v>
      </c>
      <c r="C20">
        <f ca="1">IF($A20=1,OFFSET(C20,-1,0)+1,OFFSET(C20,-1,0))</f>
        <v>1</v>
      </c>
      <c r="D20">
        <f ca="1">IF($A20=1,0,IF($A20=2,OFFSET(D20,-1,0)+1,OFFSET(D20,-1,0)))</f>
        <v>2</v>
      </c>
      <c r="E20">
        <f ca="1">IF(AND($A20&lt;=2,$A20&lt;&gt;0),0,IF($A20=3,OFFSET(E20,-1,0)+1,OFFSET(E20,-1,0)))</f>
        <v>1</v>
      </c>
      <c r="F20">
        <f ca="1">IF(AND($A20&lt;=3,$A20&lt;&gt;0),0,IF($A20=4,OFFSET(F20,-1,0)+1,OFFSET(F20,-1,0)))</f>
        <v>0</v>
      </c>
      <c r="G20">
        <f ca="1">IF(AND($A20&lt;=4,$A20&lt;&gt;0),0,IF($A20="S",OFFSET(G20,-1,0)+1,OFFSET(G20,-1,0)))</f>
        <v>2</v>
      </c>
      <c r="H20">
        <f ca="1">IF(OR($A20="S",$A20=0),0,MATCH(0,OFFSET($B20,1,$A20,ROW($A$139)-ROW($A20)),0))</f>
        <v>0</v>
      </c>
      <c r="I20">
        <f ca="1">IF(OR($A20="S",$A20=0),0,MATCH(OFFSET($B20,0,$A20)+1,OFFSET($B20,1,$A20,ROW($A$139)-ROW($A20)),0))</f>
        <v>0</v>
      </c>
      <c r="J20" s="120" t="s">
        <v>103</v>
      </c>
      <c r="K20" s="162" t="str">
        <f ca="1">IF($A20=0,"-",CONCATENATE(C20&amp;".",IF(AND($A$5&gt;=2,$A20&gt;=2),D20&amp;".",""),IF(AND($A$5&gt;=3,$A20&gt;=3),E20&amp;".",""),IF(AND($A$5&gt;=4,$A20&gt;=4),F20&amp;".",""),IF($A20="S",G20&amp;".","")))</f>
        <v>1.2.1.2.</v>
      </c>
      <c r="L20" s="209" t="s">
        <v>233</v>
      </c>
      <c r="M20" s="209" t="s">
        <v>275</v>
      </c>
      <c r="N20" s="230" t="s">
        <v>373</v>
      </c>
      <c r="O20" s="229" t="s">
        <v>372</v>
      </c>
      <c r="P20" s="233">
        <v>3.7</v>
      </c>
      <c r="Q20" s="228">
        <v>88.61</v>
      </c>
      <c r="R20" s="231" t="s">
        <v>7</v>
      </c>
      <c r="S20" s="121">
        <f ca="1">IF($A20="S",IF($Q$10="Preço Unitário (R$)",PO.CustoUnitario,ROUND(PO.CustoUnitario*(1+$Z20),15-13*$X$6)),0)</f>
        <v>110.65</v>
      </c>
      <c r="T20" s="98">
        <f ca="1">IF($A20="S",VTOTAL1,IF($A20=0,0,ROUND(SomaAgrup,15-13*$X$7)))</f>
        <v>409.41</v>
      </c>
      <c r="U20" s="13" t="str">
        <f ca="1">IF($J20="","",IF($N20="","DESCRIÇÃO",IF(AND($J20="Serviço",$O20=""),"UNIDADE",IF($T20&lt;=0,"SEM VALOR",IF(AND($Y20&lt;&gt;"",$Q20&gt;$Y20),"ACIMA REF.","")))))</f>
        <v/>
      </c>
      <c r="V20" s="4" t="str">
        <f ca="1">IF(OR($A20=0,$A20="S",$A20&gt;CFF!$A$9),"",MAX(V$12:OFFSET(V20,-1,0))+1)</f>
        <v/>
      </c>
      <c r="W20" s="9" t="str">
        <f>IF(AND($J20="Serviço",$M20&lt;&gt;""),IF($L20="",$M20,CONCATENATE($L20,"-",$M20)))</f>
        <v>SINAPI-93358</v>
      </c>
      <c r="X20" s="4">
        <f ca="1">IF(AND(Fonte&lt;&gt;"",Código&lt;&gt;""),MATCH(Fonte&amp;" "&amp;IF(Fonte="sinapi",SUBSTITUTE(SUBSTITUTE(Código,"/00","/"),"/0","/"),Código),INDIRECT("'[Referência "&amp;_xlnm.Database&amp;".xls]Banco'!$a:$a"),0),"X")</f>
        <v>5870</v>
      </c>
      <c r="Y20" s="121">
        <f ca="1">IF(Import.Desoneracao="sim",Referencia.Desonerado,Referencia.NaoDesonerado)</f>
        <v>88.61</v>
      </c>
      <c r="Z20" s="132">
        <f ca="1">ROUND(IF(ISNUMBER(R20),R20,IF(LEFT(R20,3)="BDI",HLOOKUP(R20,DADOS!$T$37:$X$38,2,FALSE),0)),15-11*$X$5)</f>
        <v>0.2487</v>
      </c>
      <c r="AA20" s="4"/>
    </row>
    <row r="21" spans="1:27" x14ac:dyDescent="0.2">
      <c r="A21">
        <f t="shared" si="14"/>
        <v>3</v>
      </c>
      <c r="B21">
        <f t="shared" ca="1" si="15"/>
        <v>2</v>
      </c>
      <c r="C21">
        <f t="shared" ca="1" si="16"/>
        <v>1</v>
      </c>
      <c r="D21">
        <f t="shared" ca="1" si="17"/>
        <v>2</v>
      </c>
      <c r="E21">
        <f t="shared" ca="1" si="18"/>
        <v>2</v>
      </c>
      <c r="F21">
        <f t="shared" ca="1" si="19"/>
        <v>0</v>
      </c>
      <c r="G21">
        <f t="shared" ca="1" si="20"/>
        <v>0</v>
      </c>
      <c r="H21">
        <f ca="1">IF(OR($A21="S",$A21=0),0,MATCH(0,OFFSET($B21,1,$A21,ROW($A$139)-ROW($A21)),0))</f>
        <v>2</v>
      </c>
      <c r="I21">
        <f ca="1">IF(OR($A21="S",$A21=0),0,MATCH(OFFSET($B21,0,$A21)+1,OFFSET($B21,1,$A21,ROW($A$139)-ROW($A21)),0))</f>
        <v>70</v>
      </c>
      <c r="J21" s="120" t="s">
        <v>101</v>
      </c>
      <c r="K21" s="162" t="str">
        <f t="shared" ca="1" si="21"/>
        <v>1.2.2.</v>
      </c>
      <c r="L21" s="209"/>
      <c r="M21" s="209"/>
      <c r="N21" s="230" t="s">
        <v>283</v>
      </c>
      <c r="O21" s="229" t="str">
        <f ca="1">Referencia.Unidade</f>
        <v/>
      </c>
      <c r="P21" s="233"/>
      <c r="Q21" s="228">
        <v>0</v>
      </c>
      <c r="R21" s="231" t="s">
        <v>7</v>
      </c>
      <c r="S21" s="121">
        <f t="shared" si="22"/>
        <v>0</v>
      </c>
      <c r="T21" s="98">
        <f t="shared" ca="1" si="23"/>
        <v>456.1</v>
      </c>
      <c r="U21" s="13" t="str">
        <f t="shared" ca="1" si="24"/>
        <v/>
      </c>
      <c r="V21" s="4" t="str">
        <f ca="1">IF(OR($A21=0,$A21="S",$A21&gt;CFF!$A$9),"",MAX(V$12:OFFSET(V21,-1,0))+1)</f>
        <v/>
      </c>
      <c r="W21" s="9" t="b">
        <f t="shared" si="25"/>
        <v>0</v>
      </c>
      <c r="X21" s="4" t="str">
        <f t="shared" ca="1" si="26"/>
        <v>X</v>
      </c>
      <c r="Y21" s="121">
        <f ca="1">IF(Import.Desoneracao="sim",Referencia.Desonerado,Referencia.NaoDesonerado)</f>
        <v>0</v>
      </c>
      <c r="Z21" s="132">
        <f ca="1">ROUND(IF(ISNUMBER(R21),R21,IF(LEFT(R21,3)="BDI",HLOOKUP(R21,DADOS!$T$37:$X$38,2,FALSE),0)),15-11*$X$5)</f>
        <v>0.2487</v>
      </c>
      <c r="AA21" s="4"/>
    </row>
    <row r="22" spans="1:27" ht="38.25" x14ac:dyDescent="0.2">
      <c r="A22" t="str">
        <f t="shared" si="14"/>
        <v>S</v>
      </c>
      <c r="B22">
        <f t="shared" si="15"/>
        <v>0</v>
      </c>
      <c r="C22">
        <f t="shared" ca="1" si="16"/>
        <v>1</v>
      </c>
      <c r="D22">
        <f t="shared" ca="1" si="17"/>
        <v>2</v>
      </c>
      <c r="E22">
        <f t="shared" ca="1" si="18"/>
        <v>2</v>
      </c>
      <c r="F22">
        <f t="shared" ca="1" si="19"/>
        <v>0</v>
      </c>
      <c r="G22">
        <f t="shared" ca="1" si="20"/>
        <v>1</v>
      </c>
      <c r="H22">
        <f ca="1">IF(OR($A22="S",$A22=0),0,MATCH(0,OFFSET($B22,1,$A22,ROW($A$139)-ROW($A22)),0))</f>
        <v>0</v>
      </c>
      <c r="I22">
        <f ca="1">IF(OR($A22="S",$A22=0),0,MATCH(OFFSET($B22,0,$A22)+1,OFFSET($B22,1,$A22,ROW($A$139)-ROW($A22)),0))</f>
        <v>0</v>
      </c>
      <c r="J22" s="120" t="s">
        <v>103</v>
      </c>
      <c r="K22" s="162" t="str">
        <f t="shared" ca="1" si="21"/>
        <v>1.2.2.1.</v>
      </c>
      <c r="L22" s="209" t="s">
        <v>233</v>
      </c>
      <c r="M22" s="209" t="s">
        <v>297</v>
      </c>
      <c r="N22" s="230" t="s">
        <v>374</v>
      </c>
      <c r="O22" s="229" t="s">
        <v>372</v>
      </c>
      <c r="P22" s="233">
        <v>5.07</v>
      </c>
      <c r="Q22" s="228">
        <v>72.040000000000006</v>
      </c>
      <c r="R22" s="231" t="s">
        <v>7</v>
      </c>
      <c r="S22" s="121">
        <f t="shared" ca="1" si="22"/>
        <v>89.96</v>
      </c>
      <c r="T22" s="98">
        <f t="shared" ca="1" si="23"/>
        <v>456.1</v>
      </c>
      <c r="U22" s="13" t="str">
        <f t="shared" ca="1" si="24"/>
        <v/>
      </c>
      <c r="V22" s="4" t="str">
        <f ca="1">IF(OR($A22=0,$A22="S",$A22&gt;CFF!$A$9),"",MAX(V$12:OFFSET(V22,-1,0))+1)</f>
        <v/>
      </c>
      <c r="W22" s="9" t="str">
        <f t="shared" si="25"/>
        <v>SINAPI-94316</v>
      </c>
      <c r="X22" s="4">
        <f t="shared" ca="1" si="26"/>
        <v>5928</v>
      </c>
      <c r="Y22" s="121">
        <f ca="1">IF(Import.Desoneracao="sim",Referencia.Desonerado,Referencia.NaoDesonerado)</f>
        <v>72.040000000000006</v>
      </c>
      <c r="Z22" s="132">
        <f ca="1">ROUND(IF(ISNUMBER(R22),R22,IF(LEFT(R22,3)="BDI",HLOOKUP(R22,DADOS!$T$37:$X$38,2,FALSE),0)),15-11*$X$5)</f>
        <v>0.2487</v>
      </c>
      <c r="AA22" s="4"/>
    </row>
    <row r="23" spans="1:27" x14ac:dyDescent="0.2">
      <c r="A23">
        <f t="shared" si="14"/>
        <v>2</v>
      </c>
      <c r="B23">
        <f t="shared" ca="1" si="15"/>
        <v>7</v>
      </c>
      <c r="C23">
        <f t="shared" ca="1" si="16"/>
        <v>1</v>
      </c>
      <c r="D23">
        <f t="shared" ca="1" si="17"/>
        <v>3</v>
      </c>
      <c r="E23">
        <f t="shared" ca="1" si="18"/>
        <v>0</v>
      </c>
      <c r="F23">
        <f t="shared" ca="1" si="19"/>
        <v>0</v>
      </c>
      <c r="G23">
        <f t="shared" ca="1" si="20"/>
        <v>0</v>
      </c>
      <c r="H23">
        <f ca="1">IF(OR($A23="S",$A23=0),0,MATCH(0,OFFSET($B23,1,$A23,ROW($A$139)-ROW($A23)),0))</f>
        <v>116</v>
      </c>
      <c r="I23">
        <f ca="1">IF(OR($A23="S",$A23=0),0,MATCH(OFFSET($B23,0,$A23)+1,OFFSET($B23,1,$A23,ROW($A$139)-ROW($A23)),0))</f>
        <v>7</v>
      </c>
      <c r="J23" s="120" t="s">
        <v>100</v>
      </c>
      <c r="K23" s="162" t="str">
        <f t="shared" ca="1" si="21"/>
        <v>1.3.</v>
      </c>
      <c r="L23" s="209"/>
      <c r="M23" s="209"/>
      <c r="N23" s="230" t="s">
        <v>258</v>
      </c>
      <c r="O23" s="229" t="str">
        <f ca="1">Referencia.Unidade</f>
        <v/>
      </c>
      <c r="P23" s="233"/>
      <c r="Q23" s="228">
        <v>0</v>
      </c>
      <c r="R23" s="231" t="s">
        <v>7</v>
      </c>
      <c r="S23" s="121">
        <f t="shared" si="22"/>
        <v>0</v>
      </c>
      <c r="T23" s="98">
        <f t="shared" ca="1" si="23"/>
        <v>14204.19</v>
      </c>
      <c r="U23" s="13" t="str">
        <f t="shared" ca="1" si="24"/>
        <v/>
      </c>
      <c r="V23" s="4">
        <f ca="1">IF(OR($A23=0,$A23="S",$A23&gt;CFF!$A$9),"",MAX(V$12:OFFSET(V23,-1,0))+1)</f>
        <v>4</v>
      </c>
      <c r="W23" s="9" t="b">
        <f t="shared" si="25"/>
        <v>0</v>
      </c>
      <c r="X23" s="4" t="str">
        <f t="shared" ca="1" si="26"/>
        <v>X</v>
      </c>
      <c r="Y23" s="121">
        <f ca="1">IF(Import.Desoneracao="sim",Referencia.Desonerado,Referencia.NaoDesonerado)</f>
        <v>0</v>
      </c>
      <c r="Z23" s="132">
        <f ca="1">ROUND(IF(ISNUMBER(R23),R23,IF(LEFT(R23,3)="BDI",HLOOKUP(R23,DADOS!$T$37:$X$38,2,FALSE),0)),15-11*$X$5)</f>
        <v>0.2487</v>
      </c>
      <c r="AA23" s="4"/>
    </row>
    <row r="24" spans="1:27" x14ac:dyDescent="0.2">
      <c r="A24">
        <f t="shared" si="14"/>
        <v>3</v>
      </c>
      <c r="B24">
        <f t="shared" ca="1" si="15"/>
        <v>6</v>
      </c>
      <c r="C24">
        <f t="shared" ca="1" si="16"/>
        <v>1</v>
      </c>
      <c r="D24">
        <f t="shared" ca="1" si="17"/>
        <v>3</v>
      </c>
      <c r="E24">
        <f t="shared" ca="1" si="18"/>
        <v>1</v>
      </c>
      <c r="F24">
        <f t="shared" ca="1" si="19"/>
        <v>0</v>
      </c>
      <c r="G24">
        <f t="shared" ca="1" si="20"/>
        <v>0</v>
      </c>
      <c r="H24">
        <f ca="1">IF(OR($A24="S",$A24=0),0,MATCH(0,OFFSET($B24,1,$A24,ROW($A$139)-ROW($A24)),0))</f>
        <v>6</v>
      </c>
      <c r="I24">
        <f ca="1">IF(OR($A24="S",$A24=0),0,MATCH(OFFSET($B24,0,$A24)+1,OFFSET($B24,1,$A24,ROW($A$139)-ROW($A24)),0))</f>
        <v>15</v>
      </c>
      <c r="J24" s="120" t="s">
        <v>101</v>
      </c>
      <c r="K24" s="162" t="str">
        <f t="shared" ca="1" si="21"/>
        <v>1.3.1.</v>
      </c>
      <c r="L24" s="209"/>
      <c r="M24" s="209"/>
      <c r="N24" s="230" t="s">
        <v>300</v>
      </c>
      <c r="O24" s="229" t="str">
        <f ca="1">Referencia.Unidade</f>
        <v/>
      </c>
      <c r="P24" s="233"/>
      <c r="Q24" s="228">
        <v>0</v>
      </c>
      <c r="R24" s="231" t="s">
        <v>7</v>
      </c>
      <c r="S24" s="121">
        <f t="shared" si="22"/>
        <v>0</v>
      </c>
      <c r="T24" s="98">
        <f t="shared" ca="1" si="23"/>
        <v>14204.19</v>
      </c>
      <c r="U24" s="13" t="str">
        <f t="shared" ca="1" si="24"/>
        <v/>
      </c>
      <c r="V24" s="4" t="str">
        <f ca="1">IF(OR($A24=0,$A24="S",$A24&gt;CFF!$A$9),"",MAX(V$12:OFFSET(V24,-1,0))+1)</f>
        <v/>
      </c>
      <c r="W24" s="9" t="b">
        <f t="shared" si="25"/>
        <v>0</v>
      </c>
      <c r="X24" s="4" t="str">
        <f t="shared" ca="1" si="26"/>
        <v>X</v>
      </c>
      <c r="Y24" s="121">
        <f ca="1">IF(Import.Desoneracao="sim",Referencia.Desonerado,Referencia.NaoDesonerado)</f>
        <v>0</v>
      </c>
      <c r="Z24" s="132">
        <f ca="1">ROUND(IF(ISNUMBER(R24),R24,IF(LEFT(R24,3)="BDI",HLOOKUP(R24,DADOS!$T$37:$X$38,2,FALSE),0)),15-11*$X$5)</f>
        <v>0.2487</v>
      </c>
      <c r="AA24" s="4"/>
    </row>
    <row r="25" spans="1:27" ht="25.5" x14ac:dyDescent="0.2">
      <c r="A25" t="str">
        <f t="shared" si="14"/>
        <v>S</v>
      </c>
      <c r="B25">
        <f t="shared" si="15"/>
        <v>0</v>
      </c>
      <c r="C25">
        <f t="shared" ca="1" si="16"/>
        <v>1</v>
      </c>
      <c r="D25">
        <f t="shared" ca="1" si="17"/>
        <v>3</v>
      </c>
      <c r="E25">
        <f t="shared" ca="1" si="18"/>
        <v>1</v>
      </c>
      <c r="F25">
        <f t="shared" ca="1" si="19"/>
        <v>0</v>
      </c>
      <c r="G25">
        <f t="shared" ca="1" si="20"/>
        <v>1</v>
      </c>
      <c r="H25">
        <f ca="1">IF(OR($A25="S",$A25=0),0,MATCH(0,OFFSET($B25,1,$A25,ROW($A$139)-ROW($A25)),0))</f>
        <v>0</v>
      </c>
      <c r="I25">
        <f ca="1">IF(OR($A25="S",$A25=0),0,MATCH(OFFSET($B25,0,$A25)+1,OFFSET($B25,1,$A25,ROW($A$139)-ROW($A25)),0))</f>
        <v>0</v>
      </c>
      <c r="J25" s="120" t="s">
        <v>103</v>
      </c>
      <c r="K25" s="162" t="str">
        <f t="shared" ca="1" si="21"/>
        <v>1.3.1.1.</v>
      </c>
      <c r="L25" s="232" t="s">
        <v>233</v>
      </c>
      <c r="M25" s="232" t="s">
        <v>260</v>
      </c>
      <c r="N25" s="230" t="s">
        <v>375</v>
      </c>
      <c r="O25" s="229" t="s">
        <v>376</v>
      </c>
      <c r="P25" s="233">
        <v>8.5</v>
      </c>
      <c r="Q25" s="228">
        <v>39</v>
      </c>
      <c r="R25" s="231" t="s">
        <v>7</v>
      </c>
      <c r="S25" s="121">
        <f t="shared" ca="1" si="22"/>
        <v>48.7</v>
      </c>
      <c r="T25" s="98">
        <f t="shared" ca="1" si="23"/>
        <v>413.95</v>
      </c>
      <c r="U25" s="13" t="str">
        <f t="shared" ca="1" si="24"/>
        <v/>
      </c>
      <c r="V25" s="4" t="str">
        <f ca="1">IF(OR($A25=0,$A25="S",$A25&gt;CFF!$A$9),"",MAX(V$12:OFFSET(V25,-1,0))+1)</f>
        <v/>
      </c>
      <c r="W25" s="9" t="str">
        <f t="shared" si="25"/>
        <v>SINAPI-96619</v>
      </c>
      <c r="X25" s="4">
        <f t="shared" ca="1" si="26"/>
        <v>2360</v>
      </c>
      <c r="Y25" s="121">
        <f ca="1">IF(Import.Desoneracao="sim",Referencia.Desonerado,Referencia.NaoDesonerado)</f>
        <v>39</v>
      </c>
      <c r="Z25" s="132">
        <f ca="1">ROUND(IF(ISNUMBER(R25),R25,IF(LEFT(R25,3)="BDI",HLOOKUP(R25,DADOS!$T$37:$X$38,2,FALSE),0)),15-11*$X$5)</f>
        <v>0.2487</v>
      </c>
      <c r="AA25" s="4"/>
    </row>
    <row r="26" spans="1:27" ht="25.5" x14ac:dyDescent="0.2">
      <c r="A26" t="str">
        <f t="shared" si="14"/>
        <v>S</v>
      </c>
      <c r="B26">
        <f t="shared" si="15"/>
        <v>0</v>
      </c>
      <c r="C26">
        <f t="shared" ca="1" si="16"/>
        <v>1</v>
      </c>
      <c r="D26">
        <f t="shared" ca="1" si="17"/>
        <v>3</v>
      </c>
      <c r="E26">
        <f t="shared" ca="1" si="18"/>
        <v>1</v>
      </c>
      <c r="F26">
        <f t="shared" ca="1" si="19"/>
        <v>0</v>
      </c>
      <c r="G26">
        <f t="shared" ca="1" si="20"/>
        <v>2</v>
      </c>
      <c r="H26">
        <f ca="1">IF(OR($A26="S",$A26=0),0,MATCH(0,OFFSET($B26,1,$A26,ROW($A$139)-ROW($A26)),0))</f>
        <v>0</v>
      </c>
      <c r="I26">
        <f ca="1">IF(OR($A26="S",$A26=0),0,MATCH(OFFSET($B26,0,$A26)+1,OFFSET($B26,1,$A26,ROW($A$139)-ROW($A26)),0))</f>
        <v>0</v>
      </c>
      <c r="J26" s="120" t="s">
        <v>103</v>
      </c>
      <c r="K26" s="162" t="str">
        <f t="shared" ca="1" si="21"/>
        <v>1.3.1.2.</v>
      </c>
      <c r="L26" s="232" t="s">
        <v>233</v>
      </c>
      <c r="M26" s="232" t="s">
        <v>262</v>
      </c>
      <c r="N26" s="230" t="s">
        <v>377</v>
      </c>
      <c r="O26" s="229" t="s">
        <v>378</v>
      </c>
      <c r="P26" s="233">
        <v>42.15</v>
      </c>
      <c r="Q26" s="228">
        <v>19.64</v>
      </c>
      <c r="R26" s="231" t="s">
        <v>7</v>
      </c>
      <c r="S26" s="121">
        <f t="shared" ca="1" si="22"/>
        <v>24.52</v>
      </c>
      <c r="T26" s="98">
        <f t="shared" ca="1" si="23"/>
        <v>1033.52</v>
      </c>
      <c r="U26" s="13" t="str">
        <f t="shared" ca="1" si="24"/>
        <v/>
      </c>
      <c r="V26" s="4" t="str">
        <f ca="1">IF(OR($A26=0,$A26="S",$A26&gt;CFF!$A$9),"",MAX(V$12:OFFSET(V26,-1,0))+1)</f>
        <v/>
      </c>
      <c r="W26" s="9" t="str">
        <f t="shared" si="25"/>
        <v>SINAPI-96543</v>
      </c>
      <c r="X26" s="4">
        <f t="shared" ca="1" si="26"/>
        <v>2504</v>
      </c>
      <c r="Y26" s="121">
        <f ca="1">IF(Import.Desoneracao="sim",Referencia.Desonerado,Referencia.NaoDesonerado)</f>
        <v>19.64</v>
      </c>
      <c r="Z26" s="132">
        <f ca="1">ROUND(IF(ISNUMBER(R26),R26,IF(LEFT(R26,3)="BDI",HLOOKUP(R26,DADOS!$T$37:$X$38,2,FALSE),0)),15-11*$X$5)</f>
        <v>0.2487</v>
      </c>
      <c r="AA26" s="4"/>
    </row>
    <row r="27" spans="1:27" ht="25.5" x14ac:dyDescent="0.2">
      <c r="A27" t="str">
        <f>CHOOSE(1+LOG(1+2*(J27="Meta")+4*(J27="Nível 2")+8*(J27="Nível 3")+16*(J27="Nível 4")+32*(J27="Serviço"),2),0,1,2,3,4,"S")</f>
        <v>S</v>
      </c>
      <c r="B27">
        <f>IF(OR(A27="S",A27=0),0,IF(ISERROR(I27),H27,SMALL(H27:I27,1)))</f>
        <v>0</v>
      </c>
      <c r="C27">
        <f ca="1">IF($A27=1,OFFSET(C27,-1,0)+1,OFFSET(C27,-1,0))</f>
        <v>1</v>
      </c>
      <c r="D27">
        <f ca="1">IF($A27=1,0,IF($A27=2,OFFSET(D27,-1,0)+1,OFFSET(D27,-1,0)))</f>
        <v>3</v>
      </c>
      <c r="E27">
        <f ca="1">IF(AND($A27&lt;=2,$A27&lt;&gt;0),0,IF($A27=3,OFFSET(E27,-1,0)+1,OFFSET(E27,-1,0)))</f>
        <v>1</v>
      </c>
      <c r="F27">
        <f ca="1">IF(AND($A27&lt;=3,$A27&lt;&gt;0),0,IF($A27=4,OFFSET(F27,-1,0)+1,OFFSET(F27,-1,0)))</f>
        <v>0</v>
      </c>
      <c r="G27">
        <f ca="1">IF(AND($A27&lt;=4,$A27&lt;&gt;0),0,IF($A27="S",OFFSET(G27,-1,0)+1,OFFSET(G27,-1,0)))</f>
        <v>3</v>
      </c>
      <c r="H27">
        <f ca="1">IF(OR($A27="S",$A27=0),0,MATCH(0,OFFSET($B27,1,$A27,ROW($A$139)-ROW($A27)),0))</f>
        <v>0</v>
      </c>
      <c r="I27">
        <f ca="1">IF(OR($A27="S",$A27=0),0,MATCH(OFFSET($B27,0,$A27)+1,OFFSET($B27,1,$A27,ROW($A$139)-ROW($A27)),0))</f>
        <v>0</v>
      </c>
      <c r="J27" s="120" t="s">
        <v>103</v>
      </c>
      <c r="K27" s="162" t="str">
        <f ca="1">IF($A27=0,"-",CONCATENATE(C27&amp;".",IF(AND($A$5&gt;=2,$A27&gt;=2),D27&amp;".",""),IF(AND($A$5&gt;=3,$A27&gt;=3),E27&amp;".",""),IF(AND($A$5&gt;=4,$A27&gt;=4),F27&amp;".",""),IF($A27="S",G27&amp;".","")))</f>
        <v>1.3.1.3.</v>
      </c>
      <c r="L27" s="232" t="s">
        <v>233</v>
      </c>
      <c r="M27" s="232" t="s">
        <v>263</v>
      </c>
      <c r="N27" s="230" t="s">
        <v>379</v>
      </c>
      <c r="O27" s="229" t="s">
        <v>378</v>
      </c>
      <c r="P27" s="233">
        <v>246.49</v>
      </c>
      <c r="Q27" s="228">
        <v>13.91</v>
      </c>
      <c r="R27" s="231" t="s">
        <v>7</v>
      </c>
      <c r="S27" s="121">
        <f ca="1">IF($A27="S",IF($Q$10="Preço Unitário (R$)",PO.CustoUnitario,ROUND(PO.CustoUnitario*(1+$Z27),15-13*$X$6)),0)</f>
        <v>17.37</v>
      </c>
      <c r="T27" s="98">
        <f ca="1">IF($A27="S",VTOTAL1,IF($A27=0,0,ROUND(SomaAgrup,15-13*$X$7)))</f>
        <v>4281.53</v>
      </c>
      <c r="U27" s="13" t="str">
        <f ca="1">IF($J27="","",IF($N27="","DESCRIÇÃO",IF(AND($J27="Serviço",$O27=""),"UNIDADE",IF($T27&lt;=0,"SEM VALOR",IF(AND($Y27&lt;&gt;"",$Q27&gt;$Y27),"ACIMA REF.","")))))</f>
        <v/>
      </c>
      <c r="V27" s="4" t="str">
        <f ca="1">IF(OR($A27=0,$A27="S",$A27&gt;CFF!$A$9),"",MAX(V$12:OFFSET(V27,-1,0))+1)</f>
        <v/>
      </c>
      <c r="W27" s="9" t="str">
        <f>IF(AND($J27="Serviço",$M27&lt;&gt;""),IF($L27="",$M27,CONCATENATE($L27,"-",$M27)))</f>
        <v>SINAPI-96546</v>
      </c>
      <c r="X27" s="4">
        <f ca="1">IF(AND(Fonte&lt;&gt;"",Código&lt;&gt;""),MATCH(Fonte&amp;" "&amp;IF(Fonte="sinapi",SUBSTITUTE(SUBSTITUTE(Código,"/00","/"),"/0","/"),Código),INDIRECT("'[Referência "&amp;_xlnm.Database&amp;".xls]Banco'!$a:$a"),0),"X")</f>
        <v>2690</v>
      </c>
      <c r="Y27" s="121">
        <f ca="1">IF(Import.Desoneracao="sim",Referencia.Desonerado,Referencia.NaoDesonerado)</f>
        <v>13.91</v>
      </c>
      <c r="Z27" s="132">
        <f ca="1">ROUND(IF(ISNUMBER(R27),R27,IF(LEFT(R27,3)="BDI",HLOOKUP(R27,DADOS!$T$37:$X$38,2,FALSE),0)),15-11*$X$5)</f>
        <v>0.2487</v>
      </c>
      <c r="AA27" s="4"/>
    </row>
    <row r="28" spans="1:27" ht="25.5" x14ac:dyDescent="0.2">
      <c r="A28" t="str">
        <f t="shared" si="14"/>
        <v>S</v>
      </c>
      <c r="B28">
        <f t="shared" si="15"/>
        <v>0</v>
      </c>
      <c r="C28">
        <f t="shared" ca="1" si="16"/>
        <v>1</v>
      </c>
      <c r="D28">
        <f t="shared" ca="1" si="17"/>
        <v>3</v>
      </c>
      <c r="E28">
        <f t="shared" ca="1" si="18"/>
        <v>1</v>
      </c>
      <c r="F28">
        <f t="shared" ca="1" si="19"/>
        <v>0</v>
      </c>
      <c r="G28">
        <f t="shared" ca="1" si="20"/>
        <v>4</v>
      </c>
      <c r="H28">
        <f ca="1">IF(OR($A28="S",$A28=0),0,MATCH(0,OFFSET($B28,1,$A28,ROW($A$139)-ROW($A28)),0))</f>
        <v>0</v>
      </c>
      <c r="I28">
        <f ca="1">IF(OR($A28="S",$A28=0),0,MATCH(OFFSET($B28,0,$A28)+1,OFFSET($B28,1,$A28,ROW($A$139)-ROW($A28)),0))</f>
        <v>0</v>
      </c>
      <c r="J28" s="120" t="s">
        <v>103</v>
      </c>
      <c r="K28" s="162" t="str">
        <f t="shared" ca="1" si="21"/>
        <v>1.3.1.4.</v>
      </c>
      <c r="L28" s="232" t="s">
        <v>233</v>
      </c>
      <c r="M28" s="232" t="s">
        <v>277</v>
      </c>
      <c r="N28" s="230" t="s">
        <v>380</v>
      </c>
      <c r="O28" s="229" t="s">
        <v>372</v>
      </c>
      <c r="P28" s="233">
        <v>8.33</v>
      </c>
      <c r="Q28" s="228">
        <v>299.45999999999998</v>
      </c>
      <c r="R28" s="231" t="s">
        <v>7</v>
      </c>
      <c r="S28" s="121">
        <f t="shared" ca="1" si="22"/>
        <v>373.94</v>
      </c>
      <c r="T28" s="98">
        <f t="shared" ca="1" si="23"/>
        <v>3114.92</v>
      </c>
      <c r="U28" s="13" t="str">
        <f t="shared" ca="1" si="24"/>
        <v/>
      </c>
      <c r="V28" s="4" t="str">
        <f ca="1">IF(OR($A28=0,$A28="S",$A28&gt;CFF!$A$9),"",MAX(V$12:OFFSET(V28,-1,0))+1)</f>
        <v/>
      </c>
      <c r="W28" s="9" t="str">
        <f t="shared" si="25"/>
        <v>SINAPI-103670</v>
      </c>
      <c r="X28" s="4">
        <f t="shared" ca="1" si="26"/>
        <v>2772</v>
      </c>
      <c r="Y28" s="121">
        <f ca="1">IF(Import.Desoneracao="sim",Referencia.Desonerado,Referencia.NaoDesonerado)</f>
        <v>299.45999999999998</v>
      </c>
      <c r="Z28" s="132">
        <f ca="1">ROUND(IF(ISNUMBER(R28),R28,IF(LEFT(R28,3)="BDI",HLOOKUP(R28,DADOS!$T$37:$X$38,2,FALSE),0)),15-11*$X$5)</f>
        <v>0.2487</v>
      </c>
      <c r="AA28" s="4"/>
    </row>
    <row r="29" spans="1:27" ht="25.5" x14ac:dyDescent="0.2">
      <c r="A29" t="str">
        <f t="shared" si="14"/>
        <v>S</v>
      </c>
      <c r="B29">
        <f t="shared" si="15"/>
        <v>0</v>
      </c>
      <c r="C29">
        <f t="shared" ca="1" si="16"/>
        <v>1</v>
      </c>
      <c r="D29">
        <f t="shared" ca="1" si="17"/>
        <v>3</v>
      </c>
      <c r="E29">
        <f t="shared" ca="1" si="18"/>
        <v>1</v>
      </c>
      <c r="F29">
        <f t="shared" ca="1" si="19"/>
        <v>0</v>
      </c>
      <c r="G29">
        <f t="shared" ca="1" si="20"/>
        <v>5</v>
      </c>
      <c r="H29">
        <f ca="1">IF(OR($A29="S",$A29=0),0,MATCH(0,OFFSET($B29,1,$A29,ROW($A$139)-ROW($A29)),0))</f>
        <v>0</v>
      </c>
      <c r="I29">
        <f ca="1">IF(OR($A29="S",$A29=0),0,MATCH(OFFSET($B29,0,$A29)+1,OFFSET($B29,1,$A29,ROW($A$139)-ROW($A29)),0))</f>
        <v>0</v>
      </c>
      <c r="J29" s="120" t="s">
        <v>103</v>
      </c>
      <c r="K29" s="162" t="str">
        <f t="shared" ca="1" si="21"/>
        <v>1.3.1.5.</v>
      </c>
      <c r="L29" s="232" t="s">
        <v>233</v>
      </c>
      <c r="M29" s="232" t="s">
        <v>278</v>
      </c>
      <c r="N29" s="230" t="s">
        <v>381</v>
      </c>
      <c r="O29" s="229" t="s">
        <v>372</v>
      </c>
      <c r="P29" s="233">
        <v>8.33</v>
      </c>
      <c r="Q29" s="228">
        <v>515.33000000000004</v>
      </c>
      <c r="R29" s="231" t="s">
        <v>7</v>
      </c>
      <c r="S29" s="121">
        <f t="shared" ca="1" si="22"/>
        <v>643.49</v>
      </c>
      <c r="T29" s="98">
        <f t="shared" ca="1" si="23"/>
        <v>5360.27</v>
      </c>
      <c r="U29" s="13" t="str">
        <f t="shared" ca="1" si="24"/>
        <v/>
      </c>
      <c r="V29" s="4" t="str">
        <f ca="1">IF(OR($A29=0,$A29="S",$A29&gt;CFF!$A$9),"",MAX(V$12:OFFSET(V29,-1,0))+1)</f>
        <v/>
      </c>
      <c r="W29" s="9" t="str">
        <f t="shared" si="25"/>
        <v>SINAPI-94965</v>
      </c>
      <c r="X29" s="4">
        <f t="shared" ca="1" si="26"/>
        <v>2729</v>
      </c>
      <c r="Y29" s="121">
        <f ca="1">IF(Import.Desoneracao="sim",Referencia.Desonerado,Referencia.NaoDesonerado)</f>
        <v>515.33000000000004</v>
      </c>
      <c r="Z29" s="132">
        <f ca="1">ROUND(IF(ISNUMBER(R29),R29,IF(LEFT(R29,3)="BDI",HLOOKUP(R29,DADOS!$T$37:$X$38,2,FALSE),0)),15-11*$X$5)</f>
        <v>0.2487</v>
      </c>
      <c r="AA29" s="4"/>
    </row>
    <row r="30" spans="1:27" x14ac:dyDescent="0.2">
      <c r="A30">
        <f t="shared" si="14"/>
        <v>2</v>
      </c>
      <c r="B30">
        <f t="shared" ca="1" si="15"/>
        <v>5</v>
      </c>
      <c r="C30">
        <f t="shared" ca="1" si="16"/>
        <v>1</v>
      </c>
      <c r="D30">
        <f t="shared" ca="1" si="17"/>
        <v>4</v>
      </c>
      <c r="E30">
        <f t="shared" ca="1" si="18"/>
        <v>0</v>
      </c>
      <c r="F30">
        <f t="shared" ca="1" si="19"/>
        <v>0</v>
      </c>
      <c r="G30">
        <f t="shared" ca="1" si="20"/>
        <v>0</v>
      </c>
      <c r="H30">
        <f ca="1">IF(OR($A30="S",$A30=0),0,MATCH(0,OFFSET($B30,1,$A30,ROW($A$139)-ROW($A30)),0))</f>
        <v>109</v>
      </c>
      <c r="I30">
        <f ca="1">IF(OR($A30="S",$A30=0),0,MATCH(OFFSET($B30,0,$A30)+1,OFFSET($B30,1,$A30,ROW($A$139)-ROW($A30)),0))</f>
        <v>5</v>
      </c>
      <c r="J30" s="120" t="s">
        <v>100</v>
      </c>
      <c r="K30" s="162" t="str">
        <f t="shared" ca="1" si="21"/>
        <v>1.4.</v>
      </c>
      <c r="L30" s="209" t="s">
        <v>233</v>
      </c>
      <c r="M30" s="209"/>
      <c r="N30" s="230" t="s">
        <v>259</v>
      </c>
      <c r="O30" s="229" t="str">
        <f ca="1">Referencia.Unidade</f>
        <v/>
      </c>
      <c r="P30" s="233"/>
      <c r="Q30" s="228">
        <v>0</v>
      </c>
      <c r="R30" s="231" t="s">
        <v>7</v>
      </c>
      <c r="S30" s="121">
        <f t="shared" si="22"/>
        <v>0</v>
      </c>
      <c r="T30" s="98">
        <f t="shared" ca="1" si="23"/>
        <v>9580.81</v>
      </c>
      <c r="U30" s="13" t="str">
        <f t="shared" ca="1" si="24"/>
        <v/>
      </c>
      <c r="V30" s="4">
        <f ca="1">IF(OR($A30=0,$A30="S",$A30&gt;CFF!$A$9),"",MAX(V$12:OFFSET(V30,-1,0))+1)</f>
        <v>5</v>
      </c>
      <c r="W30" s="9" t="b">
        <f t="shared" si="25"/>
        <v>0</v>
      </c>
      <c r="X30" s="4" t="str">
        <f t="shared" ca="1" si="26"/>
        <v>X</v>
      </c>
      <c r="Y30" s="121">
        <f ca="1">IF(Import.Desoneracao="sim",Referencia.Desonerado,Referencia.NaoDesonerado)</f>
        <v>0</v>
      </c>
      <c r="Z30" s="132">
        <f ca="1">ROUND(IF(ISNUMBER(R30),R30,IF(LEFT(R30,3)="BDI",HLOOKUP(R30,DADOS!$T$37:$X$38,2,FALSE),0)),15-11*$X$5)</f>
        <v>0.2487</v>
      </c>
      <c r="AA30" s="4"/>
    </row>
    <row r="31" spans="1:27" ht="25.5" x14ac:dyDescent="0.2">
      <c r="A31" t="str">
        <f t="shared" si="14"/>
        <v>S</v>
      </c>
      <c r="B31">
        <f t="shared" si="15"/>
        <v>0</v>
      </c>
      <c r="C31">
        <f t="shared" ca="1" si="16"/>
        <v>1</v>
      </c>
      <c r="D31">
        <f t="shared" ca="1" si="17"/>
        <v>4</v>
      </c>
      <c r="E31">
        <f t="shared" ca="1" si="18"/>
        <v>0</v>
      </c>
      <c r="F31">
        <f t="shared" ca="1" si="19"/>
        <v>0</v>
      </c>
      <c r="G31">
        <f t="shared" ca="1" si="20"/>
        <v>1</v>
      </c>
      <c r="H31">
        <f ca="1">IF(OR($A31="S",$A31=0),0,MATCH(0,OFFSET($B31,1,$A31,ROW($A$139)-ROW($A31)),0))</f>
        <v>0</v>
      </c>
      <c r="I31">
        <f ca="1">IF(OR($A31="S",$A31=0),0,MATCH(OFFSET($B31,0,$A31)+1,OFFSET($B31,1,$A31,ROW($A$139)-ROW($A31)),0))</f>
        <v>0</v>
      </c>
      <c r="J31" s="120" t="s">
        <v>103</v>
      </c>
      <c r="K31" s="162" t="str">
        <f t="shared" ca="1" si="21"/>
        <v>1.4.0.1.</v>
      </c>
      <c r="L31" s="232" t="s">
        <v>233</v>
      </c>
      <c r="M31" s="232" t="s">
        <v>261</v>
      </c>
      <c r="N31" s="230" t="s">
        <v>382</v>
      </c>
      <c r="O31" s="229" t="s">
        <v>376</v>
      </c>
      <c r="P31" s="233">
        <v>35.229999999999997</v>
      </c>
      <c r="Q31" s="228">
        <v>62.51</v>
      </c>
      <c r="R31" s="231" t="s">
        <v>7</v>
      </c>
      <c r="S31" s="121">
        <f t="shared" ca="1" si="22"/>
        <v>78.06</v>
      </c>
      <c r="T31" s="98">
        <f t="shared" ca="1" si="23"/>
        <v>2750.05</v>
      </c>
      <c r="U31" s="13" t="str">
        <f t="shared" ca="1" si="24"/>
        <v/>
      </c>
      <c r="V31" s="4" t="str">
        <f ca="1">IF(OR($A31=0,$A31="S",$A31&gt;CFF!$A$9),"",MAX(V$12:OFFSET(V31,-1,0))+1)</f>
        <v/>
      </c>
      <c r="W31" s="9" t="str">
        <f t="shared" si="25"/>
        <v>SINAPI-96536</v>
      </c>
      <c r="X31" s="4">
        <f t="shared" ca="1" si="26"/>
        <v>2497</v>
      </c>
      <c r="Y31" s="121">
        <f ca="1">IF(Import.Desoneracao="sim",Referencia.Desonerado,Referencia.NaoDesonerado)</f>
        <v>62.51</v>
      </c>
      <c r="Z31" s="132">
        <f ca="1">ROUND(IF(ISNUMBER(R31),R31,IF(LEFT(R31,3)="BDI",HLOOKUP(R31,DADOS!$T$37:$X$38,2,FALSE),0)),15-11*$X$5)</f>
        <v>0.2487</v>
      </c>
      <c r="AA31" s="4"/>
    </row>
    <row r="32" spans="1:27" ht="25.5" x14ac:dyDescent="0.2">
      <c r="A32" t="str">
        <f t="shared" si="14"/>
        <v>S</v>
      </c>
      <c r="B32">
        <f t="shared" si="15"/>
        <v>0</v>
      </c>
      <c r="C32">
        <f t="shared" ca="1" si="16"/>
        <v>1</v>
      </c>
      <c r="D32">
        <f t="shared" ca="1" si="17"/>
        <v>4</v>
      </c>
      <c r="E32">
        <f t="shared" ca="1" si="18"/>
        <v>0</v>
      </c>
      <c r="F32">
        <f t="shared" ca="1" si="19"/>
        <v>0</v>
      </c>
      <c r="G32">
        <f t="shared" ca="1" si="20"/>
        <v>2</v>
      </c>
      <c r="H32">
        <f ca="1">IF(OR($A32="S",$A32=0),0,MATCH(0,OFFSET($B32,1,$A32,ROW($A$139)-ROW($A32)),0))</f>
        <v>0</v>
      </c>
      <c r="I32">
        <f ca="1">IF(OR($A32="S",$A32=0),0,MATCH(OFFSET($B32,0,$A32)+1,OFFSET($B32,1,$A32,ROW($A$139)-ROW($A32)),0))</f>
        <v>0</v>
      </c>
      <c r="J32" s="120" t="s">
        <v>103</v>
      </c>
      <c r="K32" s="162" t="str">
        <f t="shared" ca="1" si="21"/>
        <v>1.4.0.2.</v>
      </c>
      <c r="L32" s="232" t="s">
        <v>233</v>
      </c>
      <c r="M32" s="232" t="s">
        <v>262</v>
      </c>
      <c r="N32" s="230" t="s">
        <v>377</v>
      </c>
      <c r="O32" s="229" t="s">
        <v>378</v>
      </c>
      <c r="P32" s="233">
        <v>53.08</v>
      </c>
      <c r="Q32" s="228">
        <v>19.64</v>
      </c>
      <c r="R32" s="231" t="s">
        <v>7</v>
      </c>
      <c r="S32" s="121">
        <f t="shared" ca="1" si="22"/>
        <v>24.52</v>
      </c>
      <c r="T32" s="98">
        <f t="shared" ca="1" si="23"/>
        <v>1301.52</v>
      </c>
      <c r="U32" s="13" t="str">
        <f t="shared" ca="1" si="24"/>
        <v/>
      </c>
      <c r="V32" s="4" t="str">
        <f ca="1">IF(OR($A32=0,$A32="S",$A32&gt;CFF!$A$9),"",MAX(V$12:OFFSET(V32,-1,0))+1)</f>
        <v/>
      </c>
      <c r="W32" s="9" t="str">
        <f t="shared" si="25"/>
        <v>SINAPI-96543</v>
      </c>
      <c r="X32" s="4">
        <f t="shared" ca="1" si="26"/>
        <v>2504</v>
      </c>
      <c r="Y32" s="121">
        <f ca="1">IF(Import.Desoneracao="sim",Referencia.Desonerado,Referencia.NaoDesonerado)</f>
        <v>19.64</v>
      </c>
      <c r="Z32" s="132">
        <f ca="1">ROUND(IF(ISNUMBER(R32),R32,IF(LEFT(R32,3)="BDI",HLOOKUP(R32,DADOS!$T$37:$X$38,2,FALSE),0)),15-11*$X$5)</f>
        <v>0.2487</v>
      </c>
      <c r="AA32" s="4"/>
    </row>
    <row r="33" spans="1:27" ht="25.5" x14ac:dyDescent="0.2">
      <c r="A33" t="str">
        <f>CHOOSE(1+LOG(1+2*(J33="Meta")+4*(J33="Nível 2")+8*(J33="Nível 3")+16*(J33="Nível 4")+32*(J33="Serviço"),2),0,1,2,3,4,"S")</f>
        <v>S</v>
      </c>
      <c r="B33">
        <f>IF(OR(A33="S",A33=0),0,IF(ISERROR(I33),H33,SMALL(H33:I33,1)))</f>
        <v>0</v>
      </c>
      <c r="C33">
        <f ca="1">IF($A33=1,OFFSET(C33,-1,0)+1,OFFSET(C33,-1,0))</f>
        <v>1</v>
      </c>
      <c r="D33">
        <f ca="1">IF($A33=1,0,IF($A33=2,OFFSET(D33,-1,0)+1,OFFSET(D33,-1,0)))</f>
        <v>4</v>
      </c>
      <c r="E33">
        <f ca="1">IF(AND($A33&lt;=2,$A33&lt;&gt;0),0,IF($A33=3,OFFSET(E33,-1,0)+1,OFFSET(E33,-1,0)))</f>
        <v>0</v>
      </c>
      <c r="F33">
        <f ca="1">IF(AND($A33&lt;=3,$A33&lt;&gt;0),0,IF($A33=4,OFFSET(F33,-1,0)+1,OFFSET(F33,-1,0)))</f>
        <v>0</v>
      </c>
      <c r="G33">
        <f ca="1">IF(AND($A33&lt;=4,$A33&lt;&gt;0),0,IF($A33="S",OFFSET(G33,-1,0)+1,OFFSET(G33,-1,0)))</f>
        <v>3</v>
      </c>
      <c r="H33">
        <f ca="1">IF(OR($A33="S",$A33=0),0,MATCH(0,OFFSET($B33,1,$A33,ROW($A$139)-ROW($A33)),0))</f>
        <v>0</v>
      </c>
      <c r="I33">
        <f ca="1">IF(OR($A33="S",$A33=0),0,MATCH(OFFSET($B33,0,$A33)+1,OFFSET($B33,1,$A33,ROW($A$139)-ROW($A33)),0))</f>
        <v>0</v>
      </c>
      <c r="J33" s="120" t="s">
        <v>103</v>
      </c>
      <c r="K33" s="162" t="str">
        <f ca="1">IF($A33=0,"-",CONCATENATE(C33&amp;".",IF(AND($A$5&gt;=2,$A33&gt;=2),D33&amp;".",""),IF(AND($A$5&gt;=3,$A33&gt;=3),E33&amp;".",""),IF(AND($A$5&gt;=4,$A33&gt;=4),F33&amp;".",""),IF($A33="S",G33&amp;".","")))</f>
        <v>1.4.0.3.</v>
      </c>
      <c r="L33" s="232" t="s">
        <v>233</v>
      </c>
      <c r="M33" s="209" t="s">
        <v>470</v>
      </c>
      <c r="N33" s="230" t="s">
        <v>473</v>
      </c>
      <c r="O33" s="229" t="s">
        <v>378</v>
      </c>
      <c r="P33" s="233">
        <v>228.53</v>
      </c>
      <c r="Q33" s="228">
        <v>10.72</v>
      </c>
      <c r="R33" s="231" t="s">
        <v>7</v>
      </c>
      <c r="S33" s="121">
        <f ca="1">IF($A33="S",IF($Q$10="Preço Unitário (R$)",PO.CustoUnitario,ROUND(PO.CustoUnitario*(1+$Z33),15-13*$X$6)),0)</f>
        <v>13.39</v>
      </c>
      <c r="T33" s="98">
        <f ca="1">IF($A33="S",VTOTAL1,IF($A33=0,0,ROUND(SomaAgrup,15-13*$X$7)))</f>
        <v>3060.02</v>
      </c>
      <c r="U33" s="13" t="str">
        <f ca="1">IF($J33="","",IF($N33="","DESCRIÇÃO",IF(AND($J33="Serviço",$O33=""),"UNIDADE",IF($T33&lt;=0,"SEM VALOR",IF(AND($Y33&lt;&gt;"",$Q33&gt;$Y33),"ACIMA REF.","")))))</f>
        <v/>
      </c>
      <c r="V33" s="4" t="str">
        <f ca="1">IF(OR($A33=0,$A33="S",$A33&gt;CFF!$A$9),"",MAX(V$12:OFFSET(V33,-1,0))+1)</f>
        <v/>
      </c>
      <c r="W33" s="9" t="str">
        <f>IF(AND($J33="Serviço",$M33&lt;&gt;""),IF($L33="",$M33,CONCATENATE($L33,"-",$M33)))</f>
        <v>SINAPI-104920</v>
      </c>
      <c r="X33" s="4">
        <f ca="1">IF(AND(Fonte&lt;&gt;"",Código&lt;&gt;""),MATCH(Fonte&amp;" "&amp;IF(Fonte="sinapi",SUBSTITUTE(SUBSTITUTE(Código,"/00","/"),"/0","/"),Código),INDIRECT("'[Referência "&amp;_xlnm.Database&amp;".xls]Banco'!$a:$a"),0),"X")</f>
        <v>2712</v>
      </c>
      <c r="Y33" s="121">
        <f ca="1">IF(Import.Desoneracao="sim",Referencia.Desonerado,Referencia.NaoDesonerado)</f>
        <v>10.72</v>
      </c>
      <c r="Z33" s="132">
        <f ca="1">ROUND(IF(ISNUMBER(R33),R33,IF(LEFT(R33,3)="BDI",HLOOKUP(R33,DADOS!$T$37:$X$38,2,FALSE),0)),15-11*$X$5)</f>
        <v>0.2487</v>
      </c>
      <c r="AA33" s="4"/>
    </row>
    <row r="34" spans="1:27" ht="25.5" x14ac:dyDescent="0.2">
      <c r="A34" t="str">
        <f>CHOOSE(1+LOG(1+2*(J34="Meta")+4*(J34="Nível 2")+8*(J34="Nível 3")+16*(J34="Nível 4")+32*(J34="Serviço"),2),0,1,2,3,4,"S")</f>
        <v>S</v>
      </c>
      <c r="B34">
        <f>IF(OR(A34="S",A34=0),0,IF(ISERROR(I34),H34,SMALL(H34:I34,1)))</f>
        <v>0</v>
      </c>
      <c r="C34">
        <f ca="1">IF($A34=1,OFFSET(C34,-1,0)+1,OFFSET(C34,-1,0))</f>
        <v>1</v>
      </c>
      <c r="D34">
        <f ca="1">IF($A34=1,0,IF($A34=2,OFFSET(D34,-1,0)+1,OFFSET(D34,-1,0)))</f>
        <v>4</v>
      </c>
      <c r="E34">
        <f ca="1">IF(AND($A34&lt;=2,$A34&lt;&gt;0),0,IF($A34=3,OFFSET(E34,-1,0)+1,OFFSET(E34,-1,0)))</f>
        <v>0</v>
      </c>
      <c r="F34">
        <f ca="1">IF(AND($A34&lt;=3,$A34&lt;&gt;0),0,IF($A34=4,OFFSET(F34,-1,0)+1,OFFSET(F34,-1,0)))</f>
        <v>0</v>
      </c>
      <c r="G34">
        <f ca="1">IF(AND($A34&lt;=4,$A34&lt;&gt;0),0,IF($A34="S",OFFSET(G34,-1,0)+1,OFFSET(G34,-1,0)))</f>
        <v>4</v>
      </c>
      <c r="H34">
        <f ca="1">IF(OR($A34="S",$A34=0),0,MATCH(0,OFFSET($B34,1,$A34,ROW($A$139)-ROW($A34)),0))</f>
        <v>0</v>
      </c>
      <c r="I34">
        <f ca="1">IF(OR($A34="S",$A34=0),0,MATCH(OFFSET($B34,0,$A34)+1,OFFSET($B34,1,$A34,ROW($A$139)-ROW($A34)),0))</f>
        <v>0</v>
      </c>
      <c r="J34" s="120" t="s">
        <v>103</v>
      </c>
      <c r="K34" s="162" t="str">
        <f ca="1">IF($A34=0,"-",CONCATENATE(C34&amp;".",IF(AND($A$5&gt;=2,$A34&gt;=2),D34&amp;".",""),IF(AND($A$5&gt;=3,$A34&gt;=3),E34&amp;".",""),IF(AND($A$5&gt;=4,$A34&gt;=4),F34&amp;".",""),IF($A34="S",G34&amp;".","")))</f>
        <v>1.4.0.4.</v>
      </c>
      <c r="L34" s="209" t="s">
        <v>233</v>
      </c>
      <c r="M34" s="209" t="s">
        <v>472</v>
      </c>
      <c r="N34" s="230" t="s">
        <v>474</v>
      </c>
      <c r="O34" s="229" t="s">
        <v>372</v>
      </c>
      <c r="P34" s="233">
        <v>2.67</v>
      </c>
      <c r="Q34" s="228">
        <v>740.61</v>
      </c>
      <c r="R34" s="231" t="s">
        <v>7</v>
      </c>
      <c r="S34" s="121">
        <f ca="1">IF($A34="S",IF($Q$10="Preço Unitário (R$)",PO.CustoUnitario,ROUND(PO.CustoUnitario*(1+$Z34),15-13*$X$6)),0)</f>
        <v>924.8</v>
      </c>
      <c r="T34" s="98">
        <f ca="1">IF($A34="S",VTOTAL1,IF($A34=0,0,ROUND(SomaAgrup,15-13*$X$7)))</f>
        <v>2469.2199999999998</v>
      </c>
      <c r="U34" s="13" t="str">
        <f ca="1">IF($J34="","",IF($N34="","DESCRIÇÃO",IF(AND($J34="Serviço",$O34=""),"UNIDADE",IF($T34&lt;=0,"SEM VALOR",IF(AND($Y34&lt;&gt;"",$Q34&gt;$Y34),"ACIMA REF.","")))))</f>
        <v/>
      </c>
      <c r="V34" s="4" t="str">
        <f ca="1">IF(OR($A34=0,$A34="S",$A34&gt;CFF!$A$9),"",MAX(V$12:OFFSET(V34,-1,0))+1)</f>
        <v/>
      </c>
      <c r="W34" s="9" t="str">
        <f>IF(AND($J34="Serviço",$M34&lt;&gt;""),IF($L34="",$M34,CONCATENATE($L34,"-",$M34)))</f>
        <v>SINAPI-96555</v>
      </c>
      <c r="X34" s="4">
        <f ca="1">IF(AND(Fonte&lt;&gt;"",Código&lt;&gt;""),MATCH(Fonte&amp;" "&amp;IF(Fonte="sinapi",SUBSTITUTE(SUBSTITUTE(Código,"/00","/"),"/0","/"),Código),INDIRECT("'[Referência "&amp;_xlnm.Database&amp;".xls]Banco'!$a:$a"),0),"X")</f>
        <v>2740</v>
      </c>
      <c r="Y34" s="121">
        <f ca="1">IF(Import.Desoneracao="sim",Referencia.Desonerado,Referencia.NaoDesonerado)</f>
        <v>740.61</v>
      </c>
      <c r="Z34" s="132">
        <f ca="1">ROUND(IF(ISNUMBER(R34),R34,IF(LEFT(R34,3)="BDI",HLOOKUP(R34,DADOS!$T$37:$X$38,2,FALSE),0)),15-11*$X$5)</f>
        <v>0.2487</v>
      </c>
      <c r="AA34" s="4"/>
    </row>
    <row r="35" spans="1:27" x14ac:dyDescent="0.2">
      <c r="A35">
        <f t="shared" si="14"/>
        <v>2</v>
      </c>
      <c r="B35">
        <f t="shared" ca="1" si="15"/>
        <v>8</v>
      </c>
      <c r="C35">
        <f t="shared" ca="1" si="16"/>
        <v>1</v>
      </c>
      <c r="D35">
        <f t="shared" ca="1" si="17"/>
        <v>5</v>
      </c>
      <c r="E35">
        <f t="shared" ca="1" si="18"/>
        <v>0</v>
      </c>
      <c r="F35">
        <f t="shared" ca="1" si="19"/>
        <v>0</v>
      </c>
      <c r="G35">
        <f t="shared" ca="1" si="20"/>
        <v>0</v>
      </c>
      <c r="H35">
        <f ca="1">IF(OR($A35="S",$A35=0),0,MATCH(0,OFFSET($B35,1,$A35,ROW($A$139)-ROW($A35)),0))</f>
        <v>104</v>
      </c>
      <c r="I35">
        <f ca="1">IF(OR($A35="S",$A35=0),0,MATCH(OFFSET($B35,0,$A35)+1,OFFSET($B35,1,$A35,ROW($A$139)-ROW($A35)),0))</f>
        <v>8</v>
      </c>
      <c r="J35" s="120" t="s">
        <v>100</v>
      </c>
      <c r="K35" s="162" t="str">
        <f t="shared" ca="1" si="21"/>
        <v>1.5.</v>
      </c>
      <c r="L35" s="209"/>
      <c r="M35" s="209"/>
      <c r="N35" s="230" t="s">
        <v>284</v>
      </c>
      <c r="O35" s="229" t="str">
        <f ca="1">Referencia.Unidade</f>
        <v/>
      </c>
      <c r="P35" s="233"/>
      <c r="Q35" s="228">
        <v>0</v>
      </c>
      <c r="R35" s="231" t="s">
        <v>7</v>
      </c>
      <c r="S35" s="121">
        <f t="shared" si="22"/>
        <v>0</v>
      </c>
      <c r="T35" s="98">
        <f t="shared" ca="1" si="23"/>
        <v>46579.65</v>
      </c>
      <c r="U35" s="13" t="str">
        <f t="shared" ca="1" si="24"/>
        <v/>
      </c>
      <c r="V35" s="4">
        <f ca="1">IF(OR($A35=0,$A35="S",$A35&gt;CFF!$A$9),"",MAX(V$12:OFFSET(V35,-1,0))+1)</f>
        <v>6</v>
      </c>
      <c r="W35" s="9" t="b">
        <f t="shared" si="25"/>
        <v>0</v>
      </c>
      <c r="X35" s="4" t="str">
        <f t="shared" ca="1" si="26"/>
        <v>X</v>
      </c>
      <c r="Y35" s="121">
        <f ca="1">IF(Import.Desoneracao="sim",Referencia.Desonerado,Referencia.NaoDesonerado)</f>
        <v>0</v>
      </c>
      <c r="Z35" s="132">
        <f ca="1">ROUND(IF(ISNUMBER(R35),R35,IF(LEFT(R35,3)="BDI",HLOOKUP(R35,DADOS!$T$37:$X$38,2,FALSE),0)),15-11*$X$5)</f>
        <v>0.2487</v>
      </c>
      <c r="AA35" s="4"/>
    </row>
    <row r="36" spans="1:27" x14ac:dyDescent="0.2">
      <c r="A36">
        <f t="shared" si="14"/>
        <v>3</v>
      </c>
      <c r="B36">
        <f t="shared" ca="1" si="15"/>
        <v>3</v>
      </c>
      <c r="C36">
        <f t="shared" ca="1" si="16"/>
        <v>1</v>
      </c>
      <c r="D36">
        <f t="shared" ca="1" si="17"/>
        <v>5</v>
      </c>
      <c r="E36">
        <f t="shared" ca="1" si="18"/>
        <v>1</v>
      </c>
      <c r="F36">
        <f t="shared" ca="1" si="19"/>
        <v>0</v>
      </c>
      <c r="G36">
        <f t="shared" ca="1" si="20"/>
        <v>0</v>
      </c>
      <c r="H36">
        <f ca="1">IF(OR($A36="S",$A36=0),0,MATCH(0,OFFSET($B36,1,$A36,ROW($A$139)-ROW($A36)),0))</f>
        <v>7</v>
      </c>
      <c r="I36">
        <f ca="1">IF(OR($A36="S",$A36=0),0,MATCH(OFFSET($B36,0,$A36)+1,OFFSET($B36,1,$A36,ROW($A$139)-ROW($A36)),0))</f>
        <v>3</v>
      </c>
      <c r="J36" s="120" t="s">
        <v>101</v>
      </c>
      <c r="K36" s="162" t="str">
        <f t="shared" ca="1" si="21"/>
        <v>1.5.1.</v>
      </c>
      <c r="L36" s="209"/>
      <c r="M36" s="209"/>
      <c r="N36" s="230" t="s">
        <v>301</v>
      </c>
      <c r="O36" s="229" t="str">
        <f ca="1">Referencia.Unidade</f>
        <v/>
      </c>
      <c r="P36" s="233"/>
      <c r="Q36" s="228">
        <v>0</v>
      </c>
      <c r="R36" s="231" t="s">
        <v>7</v>
      </c>
      <c r="S36" s="121">
        <f t="shared" si="22"/>
        <v>0</v>
      </c>
      <c r="T36" s="98">
        <f t="shared" ca="1" si="23"/>
        <v>33695.629999999997</v>
      </c>
      <c r="U36" s="13" t="str">
        <f t="shared" ca="1" si="24"/>
        <v/>
      </c>
      <c r="V36" s="4" t="str">
        <f ca="1">IF(OR($A36=0,$A36="S",$A36&gt;CFF!$A$9),"",MAX(V$12:OFFSET(V36,-1,0))+1)</f>
        <v/>
      </c>
      <c r="W36" s="9" t="b">
        <f t="shared" si="25"/>
        <v>0</v>
      </c>
      <c r="X36" s="4" t="str">
        <f t="shared" ca="1" si="26"/>
        <v>X</v>
      </c>
      <c r="Y36" s="121">
        <f ca="1">IF(Import.Desoneracao="sim",Referencia.Desonerado,Referencia.NaoDesonerado)</f>
        <v>0</v>
      </c>
      <c r="Z36" s="132">
        <f ca="1">ROUND(IF(ISNUMBER(R36),R36,IF(LEFT(R36,3)="BDI",HLOOKUP(R36,DADOS!$T$37:$X$38,2,FALSE),0)),15-11*$X$5)</f>
        <v>0.2487</v>
      </c>
      <c r="AA36" s="4"/>
    </row>
    <row r="37" spans="1:27" x14ac:dyDescent="0.2">
      <c r="A37" t="str">
        <f t="shared" si="14"/>
        <v>S</v>
      </c>
      <c r="B37">
        <f t="shared" si="15"/>
        <v>0</v>
      </c>
      <c r="C37">
        <f t="shared" ca="1" si="16"/>
        <v>1</v>
      </c>
      <c r="D37">
        <f t="shared" ca="1" si="17"/>
        <v>5</v>
      </c>
      <c r="E37">
        <f t="shared" ca="1" si="18"/>
        <v>1</v>
      </c>
      <c r="F37">
        <f t="shared" ca="1" si="19"/>
        <v>0</v>
      </c>
      <c r="G37">
        <f t="shared" ca="1" si="20"/>
        <v>1</v>
      </c>
      <c r="H37">
        <f ca="1">IF(OR($A37="S",$A37=0),0,MATCH(0,OFFSET($B37,1,$A37,ROW($A$139)-ROW($A37)),0))</f>
        <v>0</v>
      </c>
      <c r="I37">
        <f ca="1">IF(OR($A37="S",$A37=0),0,MATCH(OFFSET($B37,0,$A37)+1,OFFSET($B37,1,$A37,ROW($A$139)-ROW($A37)),0))</f>
        <v>0</v>
      </c>
      <c r="J37" s="120" t="s">
        <v>103</v>
      </c>
      <c r="K37" s="162" t="str">
        <f t="shared" ca="1" si="21"/>
        <v>1.5.1.1.</v>
      </c>
      <c r="L37" s="232" t="s">
        <v>243</v>
      </c>
      <c r="M37" s="232" t="s">
        <v>325</v>
      </c>
      <c r="N37" s="230" t="s">
        <v>383</v>
      </c>
      <c r="O37" s="229" t="s">
        <v>384</v>
      </c>
      <c r="P37" s="233">
        <v>15</v>
      </c>
      <c r="Q37" s="228">
        <v>1695</v>
      </c>
      <c r="R37" s="231" t="s">
        <v>8</v>
      </c>
      <c r="S37" s="121">
        <f t="shared" ca="1" si="22"/>
        <v>1960.95</v>
      </c>
      <c r="T37" s="98">
        <f t="shared" ca="1" si="23"/>
        <v>29414.25</v>
      </c>
      <c r="U37" s="13" t="str">
        <f t="shared" ca="1" si="24"/>
        <v/>
      </c>
      <c r="V37" s="4" t="str">
        <f ca="1">IF(OR($A37=0,$A37="S",$A37&gt;CFF!$A$9),"",MAX(V$12:OFFSET(V37,-1,0))+1)</f>
        <v/>
      </c>
      <c r="W37" s="9" t="str">
        <f t="shared" si="25"/>
        <v>COTAÇÃO-COT 01</v>
      </c>
      <c r="X37" s="4">
        <f t="shared" ca="1" si="26"/>
        <v>14</v>
      </c>
      <c r="Y37" s="121">
        <f ca="1">IF(Import.Desoneracao="sim",Referencia.Desonerado,Referencia.NaoDesonerado)</f>
        <v>1695</v>
      </c>
      <c r="Z37" s="132">
        <f ca="1">ROUND(IF(ISNUMBER(R37),R37,IF(LEFT(R37,3)="BDI",HLOOKUP(R37,DADOS!$T$37:$X$38,2,FALSE),0)),15-11*$X$5)</f>
        <v>0.15690000000000001</v>
      </c>
      <c r="AA37" s="4"/>
    </row>
    <row r="38" spans="1:27" x14ac:dyDescent="0.2">
      <c r="A38" t="str">
        <f t="shared" si="14"/>
        <v>S</v>
      </c>
      <c r="B38">
        <f t="shared" si="15"/>
        <v>0</v>
      </c>
      <c r="C38">
        <f t="shared" ca="1" si="16"/>
        <v>1</v>
      </c>
      <c r="D38">
        <f t="shared" ca="1" si="17"/>
        <v>5</v>
      </c>
      <c r="E38">
        <f t="shared" ca="1" si="18"/>
        <v>1</v>
      </c>
      <c r="F38">
        <f t="shared" ca="1" si="19"/>
        <v>0</v>
      </c>
      <c r="G38">
        <f t="shared" ca="1" si="20"/>
        <v>2</v>
      </c>
      <c r="H38">
        <f ca="1">IF(OR($A38="S",$A38=0),0,MATCH(0,OFFSET($B38,1,$A38,ROW($A$139)-ROW($A38)),0))</f>
        <v>0</v>
      </c>
      <c r="I38">
        <f ca="1">IF(OR($A38="S",$A38=0),0,MATCH(OFFSET($B38,0,$A38)+1,OFFSET($B38,1,$A38,ROW($A$139)-ROW($A38)),0))</f>
        <v>0</v>
      </c>
      <c r="J38" s="120" t="s">
        <v>103</v>
      </c>
      <c r="K38" s="162" t="str">
        <f t="shared" ca="1" si="21"/>
        <v>1.5.1.2.</v>
      </c>
      <c r="L38" s="232" t="s">
        <v>243</v>
      </c>
      <c r="M38" s="232" t="s">
        <v>296</v>
      </c>
      <c r="N38" s="230" t="s">
        <v>385</v>
      </c>
      <c r="O38" s="229" t="s">
        <v>384</v>
      </c>
      <c r="P38" s="233">
        <v>2</v>
      </c>
      <c r="Q38" s="228">
        <v>1850.37</v>
      </c>
      <c r="R38" s="231" t="s">
        <v>8</v>
      </c>
      <c r="S38" s="121">
        <f t="shared" ca="1" si="22"/>
        <v>2140.69</v>
      </c>
      <c r="T38" s="98">
        <f t="shared" ca="1" si="23"/>
        <v>4281.38</v>
      </c>
      <c r="U38" s="13" t="str">
        <f t="shared" ca="1" si="24"/>
        <v/>
      </c>
      <c r="V38" s="4" t="str">
        <f ca="1">IF(OR($A38=0,$A38="S",$A38&gt;CFF!$A$9),"",MAX(V$12:OFFSET(V38,-1,0))+1)</f>
        <v/>
      </c>
      <c r="W38" s="9" t="str">
        <f t="shared" si="25"/>
        <v>COTAÇÃO-COT 02</v>
      </c>
      <c r="X38" s="4">
        <f t="shared" ca="1" si="26"/>
        <v>15</v>
      </c>
      <c r="Y38" s="121">
        <f ca="1">IF(Import.Desoneracao="sim",Referencia.Desonerado,Referencia.NaoDesonerado)</f>
        <v>1850.37</v>
      </c>
      <c r="Z38" s="132">
        <f ca="1">ROUND(IF(ISNUMBER(R38),R38,IF(LEFT(R38,3)="BDI",HLOOKUP(R38,DADOS!$T$37:$X$38,2,FALSE),0)),15-11*$X$5)</f>
        <v>0.15690000000000001</v>
      </c>
      <c r="AA38" s="4"/>
    </row>
    <row r="39" spans="1:27" x14ac:dyDescent="0.2">
      <c r="A39">
        <f t="shared" si="14"/>
        <v>3</v>
      </c>
      <c r="B39">
        <f t="shared" ca="1" si="15"/>
        <v>4</v>
      </c>
      <c r="C39">
        <f t="shared" ca="1" si="16"/>
        <v>1</v>
      </c>
      <c r="D39">
        <f t="shared" ca="1" si="17"/>
        <v>5</v>
      </c>
      <c r="E39">
        <f t="shared" ca="1" si="18"/>
        <v>2</v>
      </c>
      <c r="F39">
        <f t="shared" ca="1" si="19"/>
        <v>0</v>
      </c>
      <c r="G39">
        <f t="shared" ca="1" si="20"/>
        <v>0</v>
      </c>
      <c r="H39">
        <f ca="1">IF(OR($A39="S",$A39=0),0,MATCH(0,OFFSET($B39,1,$A39,ROW($A$139)-ROW($A39)),0))</f>
        <v>4</v>
      </c>
      <c r="I39">
        <f ca="1">IF(OR($A39="S",$A39=0),0,MATCH(OFFSET($B39,0,$A39)+1,OFFSET($B39,1,$A39,ROW($A$139)-ROW($A39)),0))</f>
        <v>52</v>
      </c>
      <c r="J39" s="120" t="s">
        <v>101</v>
      </c>
      <c r="K39" s="162" t="str">
        <f t="shared" ca="1" si="21"/>
        <v>1.5.2.</v>
      </c>
      <c r="L39" s="209"/>
      <c r="M39" s="209"/>
      <c r="N39" s="230" t="s">
        <v>302</v>
      </c>
      <c r="O39" s="229" t="str">
        <f ca="1">Referencia.Unidade</f>
        <v/>
      </c>
      <c r="P39" s="233"/>
      <c r="Q39" s="228">
        <v>0</v>
      </c>
      <c r="R39" s="231" t="s">
        <v>7</v>
      </c>
      <c r="S39" s="121">
        <f t="shared" si="22"/>
        <v>0</v>
      </c>
      <c r="T39" s="98">
        <f t="shared" ca="1" si="23"/>
        <v>12884.02</v>
      </c>
      <c r="U39" s="13" t="str">
        <f t="shared" ca="1" si="24"/>
        <v/>
      </c>
      <c r="V39" s="4" t="str">
        <f ca="1">IF(OR($A39=0,$A39="S",$A39&gt;CFF!$A$9),"",MAX(V$12:OFFSET(V39,-1,0))+1)</f>
        <v/>
      </c>
      <c r="W39" s="9" t="b">
        <f t="shared" si="25"/>
        <v>0</v>
      </c>
      <c r="X39" s="4" t="str">
        <f t="shared" ca="1" si="26"/>
        <v>X</v>
      </c>
      <c r="Y39" s="121">
        <f ca="1">IF(Import.Desoneracao="sim",Referencia.Desonerado,Referencia.NaoDesonerado)</f>
        <v>0</v>
      </c>
      <c r="Z39" s="132">
        <f ca="1">ROUND(IF(ISNUMBER(R39),R39,IF(LEFT(R39,3)="BDI",HLOOKUP(R39,DADOS!$T$37:$X$38,2,FALSE),0)),15-11*$X$5)</f>
        <v>0.2487</v>
      </c>
      <c r="AA39" s="4"/>
    </row>
    <row r="40" spans="1:27" ht="25.5" x14ac:dyDescent="0.2">
      <c r="A40" t="str">
        <f t="shared" si="14"/>
        <v>S</v>
      </c>
      <c r="B40">
        <f t="shared" si="15"/>
        <v>0</v>
      </c>
      <c r="C40">
        <f t="shared" ca="1" si="16"/>
        <v>1</v>
      </c>
      <c r="D40">
        <f t="shared" ca="1" si="17"/>
        <v>5</v>
      </c>
      <c r="E40">
        <f t="shared" ca="1" si="18"/>
        <v>2</v>
      </c>
      <c r="F40">
        <f t="shared" ca="1" si="19"/>
        <v>0</v>
      </c>
      <c r="G40">
        <f t="shared" ca="1" si="20"/>
        <v>1</v>
      </c>
      <c r="H40">
        <f ca="1">IF(OR($A40="S",$A40=0),0,MATCH(0,OFFSET($B40,1,$A40,ROW($A$139)-ROW($A40)),0))</f>
        <v>0</v>
      </c>
      <c r="I40">
        <f ca="1">IF(OR($A40="S",$A40=0),0,MATCH(OFFSET($B40,0,$A40)+1,OFFSET($B40,1,$A40,ROW($A$139)-ROW($A40)),0))</f>
        <v>0</v>
      </c>
      <c r="J40" s="120" t="s">
        <v>103</v>
      </c>
      <c r="K40" s="162" t="str">
        <f t="shared" ca="1" si="21"/>
        <v>1.5.2.1.</v>
      </c>
      <c r="L40" s="232" t="s">
        <v>243</v>
      </c>
      <c r="M40" s="232" t="s">
        <v>244</v>
      </c>
      <c r="N40" s="230" t="s">
        <v>386</v>
      </c>
      <c r="O40" s="229" t="s">
        <v>384</v>
      </c>
      <c r="P40" s="233">
        <v>3</v>
      </c>
      <c r="Q40" s="228">
        <v>590</v>
      </c>
      <c r="R40" s="231" t="s">
        <v>8</v>
      </c>
      <c r="S40" s="121">
        <f t="shared" ca="1" si="22"/>
        <v>682.57</v>
      </c>
      <c r="T40" s="98">
        <f t="shared" ca="1" si="23"/>
        <v>2047.71</v>
      </c>
      <c r="U40" s="13" t="str">
        <f t="shared" ca="1" si="24"/>
        <v/>
      </c>
      <c r="V40" s="4" t="str">
        <f ca="1">IF(OR($A40=0,$A40="S",$A40&gt;CFF!$A$9),"",MAX(V$12:OFFSET(V40,-1,0))+1)</f>
        <v/>
      </c>
      <c r="W40" s="9" t="str">
        <f t="shared" si="25"/>
        <v>COTAÇÃO-COT 03</v>
      </c>
      <c r="X40" s="4">
        <f t="shared" ca="1" si="26"/>
        <v>16</v>
      </c>
      <c r="Y40" s="121">
        <f ca="1">IF(Import.Desoneracao="sim",Referencia.Desonerado,Referencia.NaoDesonerado)</f>
        <v>590</v>
      </c>
      <c r="Z40" s="132">
        <f ca="1">ROUND(IF(ISNUMBER(R40),R40,IF(LEFT(R40,3)="BDI",HLOOKUP(R40,DADOS!$T$37:$X$38,2,FALSE),0)),15-11*$X$5)</f>
        <v>0.15690000000000001</v>
      </c>
      <c r="AA40" s="4"/>
    </row>
    <row r="41" spans="1:27" ht="25.5" x14ac:dyDescent="0.2">
      <c r="A41" t="str">
        <f t="shared" si="14"/>
        <v>S</v>
      </c>
      <c r="B41">
        <f t="shared" si="15"/>
        <v>0</v>
      </c>
      <c r="C41">
        <f t="shared" ca="1" si="16"/>
        <v>1</v>
      </c>
      <c r="D41">
        <f t="shared" ca="1" si="17"/>
        <v>5</v>
      </c>
      <c r="E41">
        <f t="shared" ca="1" si="18"/>
        <v>2</v>
      </c>
      <c r="F41">
        <f t="shared" ca="1" si="19"/>
        <v>0</v>
      </c>
      <c r="G41">
        <f t="shared" ca="1" si="20"/>
        <v>2</v>
      </c>
      <c r="H41">
        <f ca="1">IF(OR($A41="S",$A41=0),0,MATCH(0,OFFSET($B41,1,$A41,ROW($A$139)-ROW($A41)),0))</f>
        <v>0</v>
      </c>
      <c r="I41">
        <f ca="1">IF(OR($A41="S",$A41=0),0,MATCH(OFFSET($B41,0,$A41)+1,OFFSET($B41,1,$A41,ROW($A$139)-ROW($A41)),0))</f>
        <v>0</v>
      </c>
      <c r="J41" s="120" t="s">
        <v>103</v>
      </c>
      <c r="K41" s="162" t="str">
        <f t="shared" ca="1" si="21"/>
        <v>1.5.2.2.</v>
      </c>
      <c r="L41" s="232" t="s">
        <v>243</v>
      </c>
      <c r="M41" s="232" t="s">
        <v>326</v>
      </c>
      <c r="N41" s="230" t="s">
        <v>387</v>
      </c>
      <c r="O41" s="229" t="s">
        <v>384</v>
      </c>
      <c r="P41" s="233">
        <v>12</v>
      </c>
      <c r="Q41" s="228">
        <v>681.39</v>
      </c>
      <c r="R41" s="231" t="s">
        <v>8</v>
      </c>
      <c r="S41" s="121">
        <f t="shared" ca="1" si="22"/>
        <v>788.3</v>
      </c>
      <c r="T41" s="98">
        <f t="shared" ca="1" si="23"/>
        <v>9459.6</v>
      </c>
      <c r="U41" s="13" t="str">
        <f t="shared" ca="1" si="24"/>
        <v/>
      </c>
      <c r="V41" s="4" t="str">
        <f ca="1">IF(OR($A41=0,$A41="S",$A41&gt;CFF!$A$9),"",MAX(V$12:OFFSET(V41,-1,0))+1)</f>
        <v/>
      </c>
      <c r="W41" s="9" t="str">
        <f t="shared" si="25"/>
        <v>COTAÇÃO-COT 04</v>
      </c>
      <c r="X41" s="4">
        <f t="shared" ca="1" si="26"/>
        <v>17</v>
      </c>
      <c r="Y41" s="121">
        <f ca="1">IF(Import.Desoneracao="sim",Referencia.Desonerado,Referencia.NaoDesonerado)</f>
        <v>681.39</v>
      </c>
      <c r="Z41" s="132">
        <f ca="1">ROUND(IF(ISNUMBER(R41),R41,IF(LEFT(R41,3)="BDI",HLOOKUP(R41,DADOS!$T$37:$X$38,2,FALSE),0)),15-11*$X$5)</f>
        <v>0.15690000000000001</v>
      </c>
      <c r="AA41" s="4"/>
    </row>
    <row r="42" spans="1:27" ht="25.5" x14ac:dyDescent="0.2">
      <c r="A42" t="str">
        <f>CHOOSE(1+LOG(1+2*(J42="Meta")+4*(J42="Nível 2")+8*(J42="Nível 3")+16*(J42="Nível 4")+32*(J42="Serviço"),2),0,1,2,3,4,"S")</f>
        <v>S</v>
      </c>
      <c r="B42">
        <f>IF(OR(A42="S",A42=0),0,IF(ISERROR(I42),H42,SMALL(H42:I42,1)))</f>
        <v>0</v>
      </c>
      <c r="C42">
        <f ca="1">IF($A42=1,OFFSET(C42,-1,0)+1,OFFSET(C42,-1,0))</f>
        <v>1</v>
      </c>
      <c r="D42">
        <f ca="1">IF($A42=1,0,IF($A42=2,OFFSET(D42,-1,0)+1,OFFSET(D42,-1,0)))</f>
        <v>5</v>
      </c>
      <c r="E42">
        <f ca="1">IF(AND($A42&lt;=2,$A42&lt;&gt;0),0,IF($A42=3,OFFSET(E42,-1,0)+1,OFFSET(E42,-1,0)))</f>
        <v>2</v>
      </c>
      <c r="F42">
        <f ca="1">IF(AND($A42&lt;=3,$A42&lt;&gt;0),0,IF($A42=4,OFFSET(F42,-1,0)+1,OFFSET(F42,-1,0)))</f>
        <v>0</v>
      </c>
      <c r="G42">
        <f ca="1">IF(AND($A42&lt;=4,$A42&lt;&gt;0),0,IF($A42="S",OFFSET(G42,-1,0)+1,OFFSET(G42,-1,0)))</f>
        <v>3</v>
      </c>
      <c r="H42">
        <f ca="1">IF(OR($A42="S",$A42=0),0,MATCH(0,OFFSET($B42,1,$A42,ROW($A$139)-ROW($A42)),0))</f>
        <v>0</v>
      </c>
      <c r="I42">
        <f ca="1">IF(OR($A42="S",$A42=0),0,MATCH(OFFSET($B42,0,$A42)+1,OFFSET($B42,1,$A42,ROW($A$139)-ROW($A42)),0))</f>
        <v>0</v>
      </c>
      <c r="J42" s="120" t="s">
        <v>103</v>
      </c>
      <c r="K42" s="162" t="str">
        <f ca="1">IF($A42=0,"-",CONCATENATE(C42&amp;".",IF(AND($A$5&gt;=2,$A42&gt;=2),D42&amp;".",""),IF(AND($A$5&gt;=3,$A42&gt;=3),E42&amp;".",""),IF(AND($A$5&gt;=4,$A42&gt;=4),F42&amp;".",""),IF($A42="S",G42&amp;".","")))</f>
        <v>1.5.2.3.</v>
      </c>
      <c r="L42" s="232" t="s">
        <v>243</v>
      </c>
      <c r="M42" s="232" t="s">
        <v>329</v>
      </c>
      <c r="N42" s="230" t="s">
        <v>388</v>
      </c>
      <c r="O42" s="229" t="s">
        <v>384</v>
      </c>
      <c r="P42" s="233">
        <v>1</v>
      </c>
      <c r="Q42" s="228">
        <v>1190</v>
      </c>
      <c r="R42" s="231" t="s">
        <v>8</v>
      </c>
      <c r="S42" s="121">
        <f ca="1">IF($A42="S",IF($Q$10="Preço Unitário (R$)",PO.CustoUnitario,ROUND(PO.CustoUnitario*(1+$Z42),15-13*$X$6)),0)</f>
        <v>1376.71</v>
      </c>
      <c r="T42" s="98">
        <f ca="1">IF($A42="S",VTOTAL1,IF($A42=0,0,ROUND(SomaAgrup,15-13*$X$7)))</f>
        <v>1376.71</v>
      </c>
      <c r="U42" s="13" t="str">
        <f ca="1">IF($J42="","",IF($N42="","DESCRIÇÃO",IF(AND($J42="Serviço",$O42=""),"UNIDADE",IF($T42&lt;=0,"SEM VALOR",IF(AND($Y42&lt;&gt;"",$Q42&gt;$Y42),"ACIMA REF.","")))))</f>
        <v/>
      </c>
      <c r="V42" s="4" t="str">
        <f ca="1">IF(OR($A42=0,$A42="S",$A42&gt;CFF!$A$9),"",MAX(V$12:OFFSET(V42,-1,0))+1)</f>
        <v/>
      </c>
      <c r="W42" s="9" t="str">
        <f>IF(AND($J42="Serviço",$M42&lt;&gt;""),IF($L42="",$M42,CONCATENATE($L42,"-",$M42)))</f>
        <v>COTAÇÃO-COT 05</v>
      </c>
      <c r="X42" s="4">
        <f ca="1">IF(AND(Fonte&lt;&gt;"",Código&lt;&gt;""),MATCH(Fonte&amp;" "&amp;IF(Fonte="sinapi",SUBSTITUTE(SUBSTITUTE(Código,"/00","/"),"/0","/"),Código),INDIRECT("'[Referência "&amp;_xlnm.Database&amp;".xls]Banco'!$a:$a"),0),"X")</f>
        <v>18</v>
      </c>
      <c r="Y42" s="121">
        <f ca="1">IF(Import.Desoneracao="sim",Referencia.Desonerado,Referencia.NaoDesonerado)</f>
        <v>1190</v>
      </c>
      <c r="Z42" s="132">
        <f ca="1">ROUND(IF(ISNUMBER(R42),R42,IF(LEFT(R42,3)="BDI",HLOOKUP(R42,DADOS!$T$37:$X$38,2,FALSE),0)),15-11*$X$5)</f>
        <v>0.15690000000000001</v>
      </c>
      <c r="AA42" s="4"/>
    </row>
    <row r="43" spans="1:27" x14ac:dyDescent="0.2">
      <c r="A43">
        <f t="shared" si="14"/>
        <v>2</v>
      </c>
      <c r="B43">
        <f t="shared" ca="1" si="15"/>
        <v>2</v>
      </c>
      <c r="C43">
        <f t="shared" ca="1" si="16"/>
        <v>1</v>
      </c>
      <c r="D43">
        <f t="shared" ca="1" si="17"/>
        <v>6</v>
      </c>
      <c r="E43">
        <f t="shared" ca="1" si="18"/>
        <v>0</v>
      </c>
      <c r="F43">
        <f t="shared" ca="1" si="19"/>
        <v>0</v>
      </c>
      <c r="G43">
        <f t="shared" ca="1" si="20"/>
        <v>0</v>
      </c>
      <c r="H43">
        <f ca="1">IF(OR($A43="S",$A43=0),0,MATCH(0,OFFSET($B43,1,$A43,ROW($A$139)-ROW($A43)),0))</f>
        <v>96</v>
      </c>
      <c r="I43">
        <f ca="1">IF(OR($A43="S",$A43=0),0,MATCH(OFFSET($B43,0,$A43)+1,OFFSET($B43,1,$A43,ROW($A$139)-ROW($A43)),0))</f>
        <v>2</v>
      </c>
      <c r="J43" s="120" t="s">
        <v>100</v>
      </c>
      <c r="K43" s="162" t="str">
        <f t="shared" ca="1" si="21"/>
        <v>1.6.</v>
      </c>
      <c r="L43" s="209"/>
      <c r="M43" s="209"/>
      <c r="N43" s="230" t="s">
        <v>256</v>
      </c>
      <c r="O43" s="229" t="str">
        <f ca="1">Referencia.Unidade</f>
        <v/>
      </c>
      <c r="P43" s="233"/>
      <c r="Q43" s="228">
        <v>0</v>
      </c>
      <c r="R43" s="231" t="s">
        <v>7</v>
      </c>
      <c r="S43" s="121">
        <f t="shared" si="22"/>
        <v>0</v>
      </c>
      <c r="T43" s="98">
        <f t="shared" ca="1" si="23"/>
        <v>2911.94</v>
      </c>
      <c r="U43" s="13" t="str">
        <f t="shared" ca="1" si="24"/>
        <v/>
      </c>
      <c r="V43" s="4">
        <f ca="1">IF(OR($A43=0,$A43="S",$A43&gt;CFF!$A$9),"",MAX(V$12:OFFSET(V43,-1,0))+1)</f>
        <v>7</v>
      </c>
      <c r="W43" s="9" t="b">
        <f t="shared" si="25"/>
        <v>0</v>
      </c>
      <c r="X43" s="4" t="str">
        <f t="shared" ca="1" si="26"/>
        <v>X</v>
      </c>
      <c r="Y43" s="121">
        <f ca="1">IF(Import.Desoneracao="sim",Referencia.Desonerado,Referencia.NaoDesonerado)</f>
        <v>0</v>
      </c>
      <c r="Z43" s="132">
        <f ca="1">ROUND(IF(ISNUMBER(R43),R43,IF(LEFT(R43,3)="BDI",HLOOKUP(R43,DADOS!$T$37:$X$38,2,FALSE),0)),15-11*$X$5)</f>
        <v>0.2487</v>
      </c>
      <c r="AA43" s="4"/>
    </row>
    <row r="44" spans="1:27" ht="25.5" x14ac:dyDescent="0.2">
      <c r="A44" t="str">
        <f t="shared" si="14"/>
        <v>S</v>
      </c>
      <c r="B44">
        <f t="shared" si="15"/>
        <v>0</v>
      </c>
      <c r="C44">
        <f t="shared" ca="1" si="16"/>
        <v>1</v>
      </c>
      <c r="D44">
        <f t="shared" ca="1" si="17"/>
        <v>6</v>
      </c>
      <c r="E44">
        <f t="shared" ca="1" si="18"/>
        <v>0</v>
      </c>
      <c r="F44">
        <f t="shared" ca="1" si="19"/>
        <v>0</v>
      </c>
      <c r="G44">
        <f t="shared" ca="1" si="20"/>
        <v>1</v>
      </c>
      <c r="H44">
        <f ca="1">IF(OR($A44="S",$A44=0),0,MATCH(0,OFFSET($B44,1,$A44,ROW($A$139)-ROW($A44)),0))</f>
        <v>0</v>
      </c>
      <c r="I44">
        <f ca="1">IF(OR($A44="S",$A44=0),0,MATCH(OFFSET($B44,0,$A44)+1,OFFSET($B44,1,$A44,ROW($A$139)-ROW($A44)),0))</f>
        <v>0</v>
      </c>
      <c r="J44" s="120" t="s">
        <v>103</v>
      </c>
      <c r="K44" s="162" t="str">
        <f t="shared" ca="1" si="21"/>
        <v>1.6.0.1.</v>
      </c>
      <c r="L44" s="209" t="s">
        <v>233</v>
      </c>
      <c r="M44" s="209" t="s">
        <v>257</v>
      </c>
      <c r="N44" s="230" t="s">
        <v>389</v>
      </c>
      <c r="O44" s="229" t="s">
        <v>376</v>
      </c>
      <c r="P44" s="233">
        <v>46.17</v>
      </c>
      <c r="Q44" s="228">
        <v>50.51</v>
      </c>
      <c r="R44" s="231" t="s">
        <v>7</v>
      </c>
      <c r="S44" s="121">
        <f t="shared" ca="1" si="22"/>
        <v>63.07</v>
      </c>
      <c r="T44" s="98">
        <f t="shared" ca="1" si="23"/>
        <v>2911.94</v>
      </c>
      <c r="U44" s="13" t="str">
        <f t="shared" ca="1" si="24"/>
        <v/>
      </c>
      <c r="V44" s="4" t="str">
        <f ca="1">IF(OR($A44=0,$A44="S",$A44&gt;CFF!$A$9),"",MAX(V$12:OFFSET(V44,-1,0))+1)</f>
        <v/>
      </c>
      <c r="W44" s="9" t="str">
        <f t="shared" si="25"/>
        <v>SINAPI-98557</v>
      </c>
      <c r="X44" s="4">
        <f t="shared" ca="1" si="26"/>
        <v>2936</v>
      </c>
      <c r="Y44" s="121">
        <f ca="1">IF(Import.Desoneracao="sim",Referencia.Desonerado,Referencia.NaoDesonerado)</f>
        <v>50.51</v>
      </c>
      <c r="Z44" s="132">
        <f ca="1">ROUND(IF(ISNUMBER(R44),R44,IF(LEFT(R44,3)="BDI",HLOOKUP(R44,DADOS!$T$37:$X$38,2,FALSE),0)),15-11*$X$5)</f>
        <v>0.2487</v>
      </c>
      <c r="AA44" s="4"/>
    </row>
    <row r="45" spans="1:27" x14ac:dyDescent="0.2">
      <c r="A45">
        <f t="shared" si="14"/>
        <v>2</v>
      </c>
      <c r="B45">
        <f t="shared" ca="1" si="15"/>
        <v>6</v>
      </c>
      <c r="C45">
        <f t="shared" ca="1" si="16"/>
        <v>1</v>
      </c>
      <c r="D45">
        <f t="shared" ca="1" si="17"/>
        <v>7</v>
      </c>
      <c r="E45">
        <f t="shared" ca="1" si="18"/>
        <v>0</v>
      </c>
      <c r="F45">
        <f t="shared" ca="1" si="19"/>
        <v>0</v>
      </c>
      <c r="G45">
        <f t="shared" ca="1" si="20"/>
        <v>0</v>
      </c>
      <c r="H45">
        <f ca="1">IF(OR($A45="S",$A45=0),0,MATCH(0,OFFSET($B45,1,$A45,ROW($A$139)-ROW($A45)),0))</f>
        <v>94</v>
      </c>
      <c r="I45">
        <f ca="1">IF(OR($A45="S",$A45=0),0,MATCH(OFFSET($B45,0,$A45)+1,OFFSET($B45,1,$A45,ROW($A$139)-ROW($A45)),0))</f>
        <v>6</v>
      </c>
      <c r="J45" s="120" t="s">
        <v>100</v>
      </c>
      <c r="K45" s="162" t="str">
        <f t="shared" ca="1" si="21"/>
        <v>1.7.</v>
      </c>
      <c r="L45" s="209"/>
      <c r="M45" s="209"/>
      <c r="N45" s="230" t="s">
        <v>234</v>
      </c>
      <c r="O45" s="229" t="str">
        <f ca="1">Referencia.Unidade</f>
        <v/>
      </c>
      <c r="P45" s="233"/>
      <c r="Q45" s="228">
        <v>0</v>
      </c>
      <c r="R45" s="231" t="s">
        <v>7</v>
      </c>
      <c r="S45" s="121">
        <f t="shared" si="22"/>
        <v>0</v>
      </c>
      <c r="T45" s="98">
        <f t="shared" ca="1" si="23"/>
        <v>46672.33</v>
      </c>
      <c r="U45" s="13" t="str">
        <f t="shared" ca="1" si="24"/>
        <v/>
      </c>
      <c r="V45" s="4">
        <f ca="1">IF(OR($A45=0,$A45="S",$A45&gt;CFF!$A$9),"",MAX(V$12:OFFSET(V45,-1,0))+1)</f>
        <v>8</v>
      </c>
      <c r="W45" s="9" t="b">
        <f t="shared" si="25"/>
        <v>0</v>
      </c>
      <c r="X45" s="4" t="str">
        <f t="shared" ca="1" si="26"/>
        <v>X</v>
      </c>
      <c r="Y45" s="121">
        <f ca="1">IF(Import.Desoneracao="sim",Referencia.Desonerado,Referencia.NaoDesonerado)</f>
        <v>0</v>
      </c>
      <c r="Z45" s="132">
        <f ca="1">ROUND(IF(ISNUMBER(R45),R45,IF(LEFT(R45,3)="BDI",HLOOKUP(R45,DADOS!$T$37:$X$38,2,FALSE),0)),15-11*$X$5)</f>
        <v>0.2487</v>
      </c>
      <c r="AA45" s="4"/>
    </row>
    <row r="46" spans="1:27" ht="38.25" x14ac:dyDescent="0.2">
      <c r="A46" t="str">
        <f t="shared" si="14"/>
        <v>S</v>
      </c>
      <c r="B46">
        <f t="shared" si="15"/>
        <v>0</v>
      </c>
      <c r="C46">
        <f t="shared" ca="1" si="16"/>
        <v>1</v>
      </c>
      <c r="D46">
        <f t="shared" ca="1" si="17"/>
        <v>7</v>
      </c>
      <c r="E46">
        <f t="shared" ca="1" si="18"/>
        <v>0</v>
      </c>
      <c r="F46">
        <f t="shared" ca="1" si="19"/>
        <v>0</v>
      </c>
      <c r="G46">
        <f t="shared" ca="1" si="20"/>
        <v>1</v>
      </c>
      <c r="H46">
        <f ca="1">IF(OR($A46="S",$A46=0),0,MATCH(0,OFFSET($B46,1,$A46,ROW($A$139)-ROW($A46)),0))</f>
        <v>0</v>
      </c>
      <c r="I46">
        <f ca="1">IF(OR($A46="S",$A46=0),0,MATCH(OFFSET($B46,0,$A46)+1,OFFSET($B46,1,$A46,ROW($A$139)-ROW($A46)),0))</f>
        <v>0</v>
      </c>
      <c r="J46" s="120" t="s">
        <v>103</v>
      </c>
      <c r="K46" s="162" t="str">
        <f t="shared" ca="1" si="21"/>
        <v>1.7.0.1.</v>
      </c>
      <c r="L46" s="209" t="s">
        <v>233</v>
      </c>
      <c r="M46" s="209" t="s">
        <v>303</v>
      </c>
      <c r="N46" s="230" t="s">
        <v>390</v>
      </c>
      <c r="O46" s="229" t="s">
        <v>376</v>
      </c>
      <c r="P46" s="233">
        <v>204.21</v>
      </c>
      <c r="Q46" s="228">
        <v>116.28</v>
      </c>
      <c r="R46" s="231" t="s">
        <v>7</v>
      </c>
      <c r="S46" s="121">
        <f t="shared" ca="1" si="22"/>
        <v>145.19999999999999</v>
      </c>
      <c r="T46" s="98">
        <f t="shared" ca="1" si="23"/>
        <v>29651.29</v>
      </c>
      <c r="U46" s="13" t="str">
        <f t="shared" ca="1" si="24"/>
        <v/>
      </c>
      <c r="V46" s="4" t="str">
        <f ca="1">IF(OR($A46=0,$A46="S",$A46&gt;CFF!$A$9),"",MAX(V$12:OFFSET(V46,-1,0))+1)</f>
        <v/>
      </c>
      <c r="W46" s="9" t="str">
        <f t="shared" si="25"/>
        <v>SINAPI-103338</v>
      </c>
      <c r="X46" s="4">
        <f t="shared" ca="1" si="26"/>
        <v>6016</v>
      </c>
      <c r="Y46" s="121">
        <f ca="1">IF(Import.Desoneracao="sim",Referencia.Desonerado,Referencia.NaoDesonerado)</f>
        <v>116.28</v>
      </c>
      <c r="Z46" s="132">
        <f ca="1">ROUND(IF(ISNUMBER(R46),R46,IF(LEFT(R46,3)="BDI",HLOOKUP(R46,DADOS!$T$37:$X$38,2,FALSE),0)),15-11*$X$5)</f>
        <v>0.2487</v>
      </c>
      <c r="AA46" s="4"/>
    </row>
    <row r="47" spans="1:27" ht="38.25" x14ac:dyDescent="0.2">
      <c r="A47" t="str">
        <f t="shared" si="14"/>
        <v>S</v>
      </c>
      <c r="B47">
        <f t="shared" si="15"/>
        <v>0</v>
      </c>
      <c r="C47">
        <f t="shared" ca="1" si="16"/>
        <v>1</v>
      </c>
      <c r="D47">
        <f t="shared" ca="1" si="17"/>
        <v>7</v>
      </c>
      <c r="E47">
        <f t="shared" ca="1" si="18"/>
        <v>0</v>
      </c>
      <c r="F47">
        <f t="shared" ca="1" si="19"/>
        <v>0</v>
      </c>
      <c r="G47">
        <f t="shared" ca="1" si="20"/>
        <v>2</v>
      </c>
      <c r="H47">
        <f ca="1">IF(OR($A47="S",$A47=0),0,MATCH(0,OFFSET($B47,1,$A47,ROW($A$139)-ROW($A47)),0))</f>
        <v>0</v>
      </c>
      <c r="I47">
        <f ca="1">IF(OR($A47="S",$A47=0),0,MATCH(OFFSET($B47,0,$A47)+1,OFFSET($B47,1,$A47,ROW($A$139)-ROW($A47)),0))</f>
        <v>0</v>
      </c>
      <c r="J47" s="120" t="s">
        <v>103</v>
      </c>
      <c r="K47" s="162" t="str">
        <f t="shared" ca="1" si="21"/>
        <v>1.7.0.2.</v>
      </c>
      <c r="L47" s="209" t="s">
        <v>233</v>
      </c>
      <c r="M47" s="209" t="s">
        <v>304</v>
      </c>
      <c r="N47" s="230" t="s">
        <v>391</v>
      </c>
      <c r="O47" s="229" t="s">
        <v>376</v>
      </c>
      <c r="P47" s="233">
        <v>37.44</v>
      </c>
      <c r="Q47" s="228">
        <v>238.99</v>
      </c>
      <c r="R47" s="231" t="s">
        <v>7</v>
      </c>
      <c r="S47" s="121">
        <f t="shared" ca="1" si="22"/>
        <v>298.43</v>
      </c>
      <c r="T47" s="98">
        <f t="shared" ca="1" si="23"/>
        <v>11173.22</v>
      </c>
      <c r="U47" s="13" t="str">
        <f t="shared" ca="1" si="24"/>
        <v/>
      </c>
      <c r="V47" s="4" t="str">
        <f ca="1">IF(OR($A47=0,$A47="S",$A47&gt;CFF!$A$9),"",MAX(V$12:OFFSET(V47,-1,0))+1)</f>
        <v/>
      </c>
      <c r="W47" s="9" t="str">
        <f t="shared" si="25"/>
        <v>SINAPI-101161</v>
      </c>
      <c r="X47" s="4">
        <f t="shared" ca="1" si="26"/>
        <v>6030</v>
      </c>
      <c r="Y47" s="121">
        <f ca="1">IF(Import.Desoneracao="sim",Referencia.Desonerado,Referencia.NaoDesonerado)</f>
        <v>238.99</v>
      </c>
      <c r="Z47" s="132">
        <f ca="1">ROUND(IF(ISNUMBER(R47),R47,IF(LEFT(R47,3)="BDI",HLOOKUP(R47,DADOS!$T$37:$X$38,2,FALSE),0)),15-11*$X$5)</f>
        <v>0.2487</v>
      </c>
      <c r="AA47" s="4"/>
    </row>
    <row r="48" spans="1:27" ht="25.5" x14ac:dyDescent="0.2">
      <c r="A48" t="str">
        <f>CHOOSE(1+LOG(1+2*(J48="Meta")+4*(J48="Nível 2")+8*(J48="Nível 3")+16*(J48="Nível 4")+32*(J48="Serviço"),2),0,1,2,3,4,"S")</f>
        <v>S</v>
      </c>
      <c r="B48">
        <f>IF(OR(A48="S",A48=0),0,IF(ISERROR(I48),H48,SMALL(H48:I48,1)))</f>
        <v>0</v>
      </c>
      <c r="C48">
        <f ca="1">IF($A48=1,OFFSET(C48,-1,0)+1,OFFSET(C48,-1,0))</f>
        <v>1</v>
      </c>
      <c r="D48">
        <f ca="1">IF($A48=1,0,IF($A48=2,OFFSET(D48,-1,0)+1,OFFSET(D48,-1,0)))</f>
        <v>7</v>
      </c>
      <c r="E48">
        <f ca="1">IF(AND($A48&lt;=2,$A48&lt;&gt;0),0,IF($A48=3,OFFSET(E48,-1,0)+1,OFFSET(E48,-1,0)))</f>
        <v>0</v>
      </c>
      <c r="F48">
        <f ca="1">IF(AND($A48&lt;=3,$A48&lt;&gt;0),0,IF($A48=4,OFFSET(F48,-1,0)+1,OFFSET(F48,-1,0)))</f>
        <v>0</v>
      </c>
      <c r="G48">
        <f ca="1">IF(AND($A48&lt;=4,$A48&lt;&gt;0),0,IF($A48="S",OFFSET(G48,-1,0)+1,OFFSET(G48,-1,0)))</f>
        <v>3</v>
      </c>
      <c r="H48">
        <f ca="1">IF(OR($A48="S",$A48=0),0,MATCH(0,OFFSET($B48,1,$A48,ROW($A$139)-ROW($A48)),0))</f>
        <v>0</v>
      </c>
      <c r="I48">
        <f ca="1">IF(OR($A48="S",$A48=0),0,MATCH(OFFSET($B48,0,$A48)+1,OFFSET($B48,1,$A48,ROW($A$139)-ROW($A48)),0))</f>
        <v>0</v>
      </c>
      <c r="J48" s="120" t="s">
        <v>103</v>
      </c>
      <c r="K48" s="162" t="str">
        <f ca="1">IF($A48=0,"-",CONCATENATE(C48&amp;".",IF(AND($A$5&gt;=2,$A48&gt;=2),D48&amp;".",""),IF(AND($A$5&gt;=3,$A48&gt;=3),E48&amp;".",""),IF(AND($A$5&gt;=4,$A48&gt;=4),F48&amp;".",""),IF($A48="S",G48&amp;".","")))</f>
        <v>1.7.0.3.</v>
      </c>
      <c r="L48" s="209" t="s">
        <v>233</v>
      </c>
      <c r="M48" s="209" t="s">
        <v>365</v>
      </c>
      <c r="N48" s="230" t="s">
        <v>392</v>
      </c>
      <c r="O48" s="229" t="s">
        <v>372</v>
      </c>
      <c r="P48" s="233">
        <v>1.62</v>
      </c>
      <c r="Q48" s="228">
        <v>58.76</v>
      </c>
      <c r="R48" s="231" t="s">
        <v>7</v>
      </c>
      <c r="S48" s="121">
        <f ca="1">IF($A48="S",IF($Q$10="Preço Unitário (R$)",PO.CustoUnitario,ROUND(PO.CustoUnitario*(1+$Z48),15-13*$X$6)),0)</f>
        <v>73.37</v>
      </c>
      <c r="T48" s="98">
        <f ca="1">IF($A48="S",VTOTAL1,IF($A48=0,0,ROUND(SomaAgrup,15-13*$X$7)))</f>
        <v>118.86</v>
      </c>
      <c r="U48" s="13" t="str">
        <f ca="1">IF($J48="","",IF($N48="","DESCRIÇÃO",IF(AND($J48="Serviço",$O48=""),"UNIDADE",IF($T48&lt;=0,"SEM VALOR",IF(AND($Y48&lt;&gt;"",$Q48&gt;$Y48),"ACIMA REF.","")))))</f>
        <v/>
      </c>
      <c r="V48" s="4" t="str">
        <f ca="1">IF(OR($A48=0,$A48="S",$A48&gt;CFF!$A$9),"",MAX(V$12:OFFSET(V48,-1,0))+1)</f>
        <v/>
      </c>
      <c r="W48" s="9" t="str">
        <f>IF(AND($J48="Serviço",$M48&lt;&gt;""),IF($L48="",$M48,CONCATENATE($L48,"-",$M48)))</f>
        <v>SINAPI-97622</v>
      </c>
      <c r="X48" s="4">
        <f ca="1">IF(AND(Fonte&lt;&gt;"",Código&lt;&gt;""),MATCH(Fonte&amp;" "&amp;IF(Fonte="sinapi",SUBSTITUTE(SUBSTITUTE(Código,"/00","/"),"/0","/"),Código),INDIRECT("'[Referência "&amp;_xlnm.Database&amp;".xls]Banco'!$a:$a"),0),"X")</f>
        <v>7065</v>
      </c>
      <c r="Y48" s="121">
        <f ca="1">IF(Import.Desoneracao="sim",Referencia.Desonerado,Referencia.NaoDesonerado)</f>
        <v>58.76</v>
      </c>
      <c r="Z48" s="132">
        <f ca="1">ROUND(IF(ISNUMBER(R48),R48,IF(LEFT(R48,3)="BDI",HLOOKUP(R48,DADOS!$T$37:$X$38,2,FALSE),0)),15-11*$X$5)</f>
        <v>0.2487</v>
      </c>
      <c r="AA48" s="4"/>
    </row>
    <row r="49" spans="1:27" ht="25.5" x14ac:dyDescent="0.2">
      <c r="A49" t="str">
        <f t="shared" ref="A49:A50" si="27">CHOOSE(1+LOG(1+2*(J49="Meta")+4*(J49="Nível 2")+8*(J49="Nível 3")+16*(J49="Nível 4")+32*(J49="Serviço"),2),0,1,2,3,4,"S")</f>
        <v>S</v>
      </c>
      <c r="B49">
        <f t="shared" ref="B49:B50" si="28">IF(OR(A49="S",A49=0),0,IF(ISERROR(I49),H49,SMALL(H49:I49,1)))</f>
        <v>0</v>
      </c>
      <c r="C49">
        <f t="shared" ref="C49:C50" ca="1" si="29">IF($A49=1,OFFSET(C49,-1,0)+1,OFFSET(C49,-1,0))</f>
        <v>1</v>
      </c>
      <c r="D49">
        <f t="shared" ref="D49:D50" ca="1" si="30">IF($A49=1,0,IF($A49=2,OFFSET(D49,-1,0)+1,OFFSET(D49,-1,0)))</f>
        <v>7</v>
      </c>
      <c r="E49">
        <f t="shared" ref="E49:E50" ca="1" si="31">IF(AND($A49&lt;=2,$A49&lt;&gt;0),0,IF($A49=3,OFFSET(E49,-1,0)+1,OFFSET(E49,-1,0)))</f>
        <v>0</v>
      </c>
      <c r="F49">
        <f t="shared" ref="F49:F50" ca="1" si="32">IF(AND($A49&lt;=3,$A49&lt;&gt;0),0,IF($A49=4,OFFSET(F49,-1,0)+1,OFFSET(F49,-1,0)))</f>
        <v>0</v>
      </c>
      <c r="G49">
        <f t="shared" ref="G49:G50" ca="1" si="33">IF(AND($A49&lt;=4,$A49&lt;&gt;0),0,IF($A49="S",OFFSET(G49,-1,0)+1,OFFSET(G49,-1,0)))</f>
        <v>4</v>
      </c>
      <c r="H49">
        <f ca="1">IF(OR($A49="S",$A49=0),0,MATCH(0,OFFSET($B49,1,$A49,ROW($A$139)-ROW($A49)),0))</f>
        <v>0</v>
      </c>
      <c r="I49">
        <f ca="1">IF(OR($A49="S",$A49=0),0,MATCH(OFFSET($B49,0,$A49)+1,OFFSET($B49,1,$A49,ROW($A$139)-ROW($A49)),0))</f>
        <v>0</v>
      </c>
      <c r="J49" s="120" t="s">
        <v>103</v>
      </c>
      <c r="K49" s="162" t="str">
        <f t="shared" ref="K49:K50" ca="1" si="34">IF($A49=0,"-",CONCATENATE(C49&amp;".",IF(AND($A$5&gt;=2,$A49&gt;=2),D49&amp;".",""),IF(AND($A$5&gt;=3,$A49&gt;=3),E49&amp;".",""),IF(AND($A$5&gt;=4,$A49&gt;=4),F49&amp;".",""),IF($A49="S",G49&amp;".","")))</f>
        <v>1.7.0.4.</v>
      </c>
      <c r="L49" s="209" t="s">
        <v>233</v>
      </c>
      <c r="M49" s="209" t="s">
        <v>279</v>
      </c>
      <c r="N49" s="230" t="s">
        <v>466</v>
      </c>
      <c r="O49" s="229" t="s">
        <v>370</v>
      </c>
      <c r="P49" s="233">
        <v>56.16</v>
      </c>
      <c r="Q49" s="228">
        <v>52.17</v>
      </c>
      <c r="R49" s="231" t="s">
        <v>7</v>
      </c>
      <c r="S49" s="121">
        <f ca="1">IF($A49="S",IF($Q$10="Preço Unitário (R$)",PO.CustoUnitario,ROUND(PO.CustoUnitario*(1+$Z49),15-13*$X$6)),0)</f>
        <v>65.14</v>
      </c>
      <c r="T49" s="98">
        <f ca="1">IF($A49="S",VTOTAL1,IF($A49=0,0,ROUND(SomaAgrup,15-13*$X$7)))</f>
        <v>3658.26</v>
      </c>
      <c r="U49" s="13" t="str">
        <f t="shared" ref="U49:U50" ca="1" si="35">IF($J49="","",IF($N49="","DESCRIÇÃO",IF(AND($J49="Serviço",$O49=""),"UNIDADE",IF($T49&lt;=0,"SEM VALOR",IF(AND($Y49&lt;&gt;"",$Q49&gt;$Y49),"ACIMA REF.","")))))</f>
        <v/>
      </c>
      <c r="V49" s="4" t="str">
        <f ca="1">IF(OR($A49=0,$A49="S",$A49&gt;CFF!$A$9),"",MAX(V$12:OFFSET(V49,-1,0))+1)</f>
        <v/>
      </c>
      <c r="W49" s="9" t="str">
        <f t="shared" ref="W49:W50" si="36">IF(AND($J49="Serviço",$M49&lt;&gt;""),IF($L49="",$M49,CONCATENATE($L49,"-",$M49)))</f>
        <v>SINAPI-93197</v>
      </c>
      <c r="X49" s="4">
        <f ca="1">IF(AND(Fonte&lt;&gt;"",Código&lt;&gt;""),MATCH(Fonte&amp;" "&amp;IF(Fonte="sinapi",SUBSTITUTE(SUBSTITUTE(Código,"/00","/"),"/0","/"),Código),INDIRECT("'[Referência "&amp;_xlnm.Database&amp;".xls]Banco'!$a:$a"),0),"X")</f>
        <v>2805</v>
      </c>
      <c r="Y49" s="121">
        <f ca="1">IF(Import.Desoneracao="sim",Referencia.Desonerado,Referencia.NaoDesonerado)</f>
        <v>52.17</v>
      </c>
      <c r="Z49" s="132">
        <f ca="1">ROUND(IF(ISNUMBER(R49),R49,IF(LEFT(R49,3)="BDI",HLOOKUP(R49,DADOS!$T$37:$X$38,2,FALSE),0)),15-11*$X$5)</f>
        <v>0.2487</v>
      </c>
      <c r="AA49" s="4"/>
    </row>
    <row r="50" spans="1:27" ht="25.5" x14ac:dyDescent="0.2">
      <c r="A50" t="str">
        <f t="shared" si="27"/>
        <v>S</v>
      </c>
      <c r="B50">
        <f t="shared" si="28"/>
        <v>0</v>
      </c>
      <c r="C50">
        <f t="shared" ca="1" si="29"/>
        <v>1</v>
      </c>
      <c r="D50">
        <f t="shared" ca="1" si="30"/>
        <v>7</v>
      </c>
      <c r="E50">
        <f t="shared" ca="1" si="31"/>
        <v>0</v>
      </c>
      <c r="F50">
        <f t="shared" ca="1" si="32"/>
        <v>0</v>
      </c>
      <c r="G50">
        <f t="shared" ca="1" si="33"/>
        <v>5</v>
      </c>
      <c r="H50">
        <f ca="1">IF(OR($A50="S",$A50=0),0,MATCH(0,OFFSET($B50,1,$A50,ROW($A$139)-ROW($A50)),0))</f>
        <v>0</v>
      </c>
      <c r="I50">
        <f ca="1">IF(OR($A50="S",$A50=0),0,MATCH(OFFSET($B50,0,$A50)+1,OFFSET($B50,1,$A50,ROW($A$139)-ROW($A50)),0))</f>
        <v>0</v>
      </c>
      <c r="J50" s="120" t="s">
        <v>103</v>
      </c>
      <c r="K50" s="162" t="str">
        <f t="shared" ca="1" si="34"/>
        <v>1.7.0.5.</v>
      </c>
      <c r="L50" s="209" t="s">
        <v>233</v>
      </c>
      <c r="M50" s="209" t="s">
        <v>280</v>
      </c>
      <c r="N50" s="230" t="s">
        <v>467</v>
      </c>
      <c r="O50" s="229" t="s">
        <v>370</v>
      </c>
      <c r="P50" s="233">
        <v>24.12</v>
      </c>
      <c r="Q50" s="228">
        <v>68.75</v>
      </c>
      <c r="R50" s="231" t="s">
        <v>7</v>
      </c>
      <c r="S50" s="121">
        <f ca="1">IF($A50="S",IF($Q$10="Preço Unitário (R$)",PO.CustoUnitario,ROUND(PO.CustoUnitario*(1+$Z50),15-13*$X$6)),0)</f>
        <v>85.85</v>
      </c>
      <c r="T50" s="98">
        <f ca="1">IF($A50="S",VTOTAL1,IF($A50=0,0,ROUND(SomaAgrup,15-13*$X$7)))</f>
        <v>2070.6999999999998</v>
      </c>
      <c r="U50" s="13" t="str">
        <f t="shared" ca="1" si="35"/>
        <v/>
      </c>
      <c r="V50" s="4" t="str">
        <f ca="1">IF(OR($A50=0,$A50="S",$A50&gt;CFF!$A$9),"",MAX(V$12:OFFSET(V50,-1,0))+1)</f>
        <v/>
      </c>
      <c r="W50" s="9" t="str">
        <f t="shared" si="36"/>
        <v>SINAPI-93187</v>
      </c>
      <c r="X50" s="4">
        <f ca="1">IF(AND(Fonte&lt;&gt;"",Código&lt;&gt;""),MATCH(Fonte&amp;" "&amp;IF(Fonte="sinapi",SUBSTITUTE(SUBSTITUTE(Código,"/00","/"),"/0","/"),Código),INDIRECT("'[Referência "&amp;_xlnm.Database&amp;".xls]Banco'!$a:$a"),0),"X")</f>
        <v>2802</v>
      </c>
      <c r="Y50" s="121">
        <f ca="1">IF(Import.Desoneracao="sim",Referencia.Desonerado,Referencia.NaoDesonerado)</f>
        <v>68.75</v>
      </c>
      <c r="Z50" s="132">
        <f ca="1">ROUND(IF(ISNUMBER(R50),R50,IF(LEFT(R50,3)="BDI",HLOOKUP(R50,DADOS!$T$37:$X$38,2,FALSE),0)),15-11*$X$5)</f>
        <v>0.2487</v>
      </c>
      <c r="AA50" s="4"/>
    </row>
    <row r="51" spans="1:27" x14ac:dyDescent="0.2">
      <c r="A51">
        <f t="shared" si="14"/>
        <v>2</v>
      </c>
      <c r="B51">
        <f t="shared" ca="1" si="15"/>
        <v>9</v>
      </c>
      <c r="C51">
        <f t="shared" ca="1" si="16"/>
        <v>1</v>
      </c>
      <c r="D51">
        <f t="shared" ca="1" si="17"/>
        <v>8</v>
      </c>
      <c r="E51">
        <f t="shared" ca="1" si="18"/>
        <v>0</v>
      </c>
      <c r="F51">
        <f t="shared" ca="1" si="19"/>
        <v>0</v>
      </c>
      <c r="G51">
        <f t="shared" ca="1" si="20"/>
        <v>0</v>
      </c>
      <c r="H51">
        <f ca="1">IF(OR($A51="S",$A51=0),0,MATCH(0,OFFSET($B51,1,$A51,ROW($A$139)-ROW($A51)),0))</f>
        <v>88</v>
      </c>
      <c r="I51">
        <f ca="1">IF(OR($A51="S",$A51=0),0,MATCH(OFFSET($B51,0,$A51)+1,OFFSET($B51,1,$A51,ROW($A$139)-ROW($A51)),0))</f>
        <v>9</v>
      </c>
      <c r="J51" s="120" t="s">
        <v>100</v>
      </c>
      <c r="K51" s="162" t="str">
        <f t="shared" ca="1" si="21"/>
        <v>1.8.</v>
      </c>
      <c r="L51" s="209"/>
      <c r="M51" s="209"/>
      <c r="N51" s="230" t="s">
        <v>235</v>
      </c>
      <c r="O51" s="229" t="str">
        <f ca="1">Referencia.Unidade</f>
        <v/>
      </c>
      <c r="P51" s="233"/>
      <c r="Q51" s="228">
        <v>0</v>
      </c>
      <c r="R51" s="231" t="s">
        <v>7</v>
      </c>
      <c r="S51" s="121">
        <f t="shared" si="22"/>
        <v>0</v>
      </c>
      <c r="T51" s="98">
        <f t="shared" ca="1" si="23"/>
        <v>65315.01</v>
      </c>
      <c r="U51" s="13" t="str">
        <f t="shared" ca="1" si="24"/>
        <v/>
      </c>
      <c r="V51" s="4">
        <f ca="1">IF(OR($A51=0,$A51="S",$A51&gt;CFF!$A$9),"",MAX(V$12:OFFSET(V51,-1,0))+1)</f>
        <v>9</v>
      </c>
      <c r="W51" s="9" t="b">
        <f t="shared" si="25"/>
        <v>0</v>
      </c>
      <c r="X51" s="4" t="str">
        <f t="shared" ca="1" si="26"/>
        <v>X</v>
      </c>
      <c r="Y51" s="121">
        <f ca="1">IF(Import.Desoneracao="sim",Referencia.Desonerado,Referencia.NaoDesonerado)</f>
        <v>0</v>
      </c>
      <c r="Z51" s="132">
        <f ca="1">ROUND(IF(ISNUMBER(R51),R51,IF(LEFT(R51,3)="BDI",HLOOKUP(R51,DADOS!$T$37:$X$38,2,FALSE),0)),15-11*$X$5)</f>
        <v>0.2487</v>
      </c>
      <c r="AA51" s="4"/>
    </row>
    <row r="52" spans="1:27" x14ac:dyDescent="0.2">
      <c r="A52">
        <f t="shared" si="14"/>
        <v>3</v>
      </c>
      <c r="B52">
        <f t="shared" ca="1" si="15"/>
        <v>4</v>
      </c>
      <c r="C52">
        <f t="shared" ca="1" si="16"/>
        <v>1</v>
      </c>
      <c r="D52">
        <f t="shared" ca="1" si="17"/>
        <v>8</v>
      </c>
      <c r="E52">
        <f t="shared" ca="1" si="18"/>
        <v>1</v>
      </c>
      <c r="F52">
        <f t="shared" ca="1" si="19"/>
        <v>0</v>
      </c>
      <c r="G52">
        <f t="shared" ca="1" si="20"/>
        <v>0</v>
      </c>
      <c r="H52">
        <f ca="1">IF(OR($A52="S",$A52=0),0,MATCH(0,OFFSET($B52,1,$A52,ROW($A$139)-ROW($A52)),0))</f>
        <v>8</v>
      </c>
      <c r="I52">
        <f ca="1">IF(OR($A52="S",$A52=0),0,MATCH(OFFSET($B52,0,$A52)+1,OFFSET($B52,1,$A52,ROW($A$139)-ROW($A52)),0))</f>
        <v>4</v>
      </c>
      <c r="J52" s="120" t="s">
        <v>101</v>
      </c>
      <c r="K52" s="162" t="str">
        <f t="shared" ca="1" si="21"/>
        <v>1.8.1.</v>
      </c>
      <c r="L52" s="209"/>
      <c r="M52" s="209"/>
      <c r="N52" s="230" t="s">
        <v>293</v>
      </c>
      <c r="O52" s="229" t="str">
        <f ca="1">Referencia.Unidade</f>
        <v/>
      </c>
      <c r="P52" s="233"/>
      <c r="Q52" s="228">
        <v>0</v>
      </c>
      <c r="R52" s="231" t="s">
        <v>7</v>
      </c>
      <c r="S52" s="121">
        <f t="shared" si="22"/>
        <v>0</v>
      </c>
      <c r="T52" s="98">
        <f t="shared" ca="1" si="23"/>
        <v>59434.73</v>
      </c>
      <c r="U52" s="13" t="str">
        <f t="shared" ca="1" si="24"/>
        <v/>
      </c>
      <c r="V52" s="4" t="str">
        <f ca="1">IF(OR($A52=0,$A52="S",$A52&gt;CFF!$A$9),"",MAX(V$12:OFFSET(V52,-1,0))+1)</f>
        <v/>
      </c>
      <c r="W52" s="9" t="b">
        <f t="shared" si="25"/>
        <v>0</v>
      </c>
      <c r="X52" s="4" t="str">
        <f t="shared" ca="1" si="26"/>
        <v>X</v>
      </c>
      <c r="Y52" s="121">
        <f ca="1">IF(Import.Desoneracao="sim",Referencia.Desonerado,Referencia.NaoDesonerado)</f>
        <v>0</v>
      </c>
      <c r="Z52" s="132">
        <f ca="1">ROUND(IF(ISNUMBER(R52),R52,IF(LEFT(R52,3)="BDI",HLOOKUP(R52,DADOS!$T$37:$X$38,2,FALSE),0)),15-11*$X$5)</f>
        <v>0.2487</v>
      </c>
      <c r="AA52" s="4"/>
    </row>
    <row r="53" spans="1:27" ht="38.25" x14ac:dyDescent="0.2">
      <c r="A53" t="str">
        <f>CHOOSE(1+LOG(1+2*(J53="Meta")+4*(J53="Nível 2")+8*(J53="Nível 3")+16*(J53="Nível 4")+32*(J53="Serviço"),2),0,1,2,3,4,"S")</f>
        <v>S</v>
      </c>
      <c r="B53">
        <f>IF(OR(A53="S",A53=0),0,IF(ISERROR(I53),H53,SMALL(H53:I53,1)))</f>
        <v>0</v>
      </c>
      <c r="C53">
        <f ca="1">IF($A53=1,OFFSET(C53,-1,0)+1,OFFSET(C53,-1,0))</f>
        <v>1</v>
      </c>
      <c r="D53">
        <f ca="1">IF($A53=1,0,IF($A53=2,OFFSET(D53,-1,0)+1,OFFSET(D53,-1,0)))</f>
        <v>8</v>
      </c>
      <c r="E53">
        <f ca="1">IF(AND($A53&lt;=2,$A53&lt;&gt;0),0,IF($A53=3,OFFSET(E53,-1,0)+1,OFFSET(E53,-1,0)))</f>
        <v>1</v>
      </c>
      <c r="F53">
        <f ca="1">IF(AND($A53&lt;=3,$A53&lt;&gt;0),0,IF($A53=4,OFFSET(F53,-1,0)+1,OFFSET(F53,-1,0)))</f>
        <v>0</v>
      </c>
      <c r="G53">
        <f ca="1">IF(AND($A53&lt;=4,$A53&lt;&gt;0),0,IF($A53="S",OFFSET(G53,-1,0)+1,OFFSET(G53,-1,0)))</f>
        <v>1</v>
      </c>
      <c r="H53">
        <f ca="1">IF(OR($A53="S",$A53=0),0,MATCH(0,OFFSET($B53,1,$A53,ROW($A$139)-ROW($A53)),0))</f>
        <v>0</v>
      </c>
      <c r="I53">
        <f ca="1">IF(OR($A53="S",$A53=0),0,MATCH(OFFSET($B53,0,$A53)+1,OFFSET($B53,1,$A53,ROW($A$139)-ROW($A53)),0))</f>
        <v>0</v>
      </c>
      <c r="J53" s="120" t="s">
        <v>103</v>
      </c>
      <c r="K53" s="162" t="str">
        <f ca="1">IF($A53=0,"-",CONCATENATE(C53&amp;".",IF(AND($A$5&gt;=2,$A53&gt;=2),D53&amp;".",""),IF(AND($A$5&gt;=3,$A53&gt;=3),E53&amp;".",""),IF(AND($A$5&gt;=4,$A53&gt;=4),F53&amp;".",""),IF($A53="S",G53&amp;".","")))</f>
        <v>1.8.1.1.</v>
      </c>
      <c r="L53" s="209" t="s">
        <v>233</v>
      </c>
      <c r="M53" s="209" t="s">
        <v>324</v>
      </c>
      <c r="N53" s="230" t="s">
        <v>393</v>
      </c>
      <c r="O53" s="229" t="s">
        <v>394</v>
      </c>
      <c r="P53" s="233">
        <v>8</v>
      </c>
      <c r="Q53" s="228">
        <v>2075.81</v>
      </c>
      <c r="R53" s="231" t="s">
        <v>7</v>
      </c>
      <c r="S53" s="121">
        <f ca="1">IF($A53="S",IF($Q$10="Preço Unitário (R$)",PO.CustoUnitario,ROUND(PO.CustoUnitario*(1+$Z53),15-13*$X$6)),0)</f>
        <v>2592.06</v>
      </c>
      <c r="T53" s="98">
        <f ca="1">IF($A53="S",VTOTAL1,IF($A53=0,0,ROUND(SomaAgrup,15-13*$X$7)))</f>
        <v>20736.48</v>
      </c>
      <c r="U53" s="13" t="str">
        <f ca="1">IF($J53="","",IF($N53="","DESCRIÇÃO",IF(AND($J53="Serviço",$O53=""),"UNIDADE",IF($T53&lt;=0,"SEM VALOR",IF(AND($Y53&lt;&gt;"",$Q53&gt;$Y53),"ACIMA REF.","")))))</f>
        <v/>
      </c>
      <c r="V53" s="4" t="str">
        <f ca="1">IF(OR($A53=0,$A53="S",$A53&gt;CFF!$A$9),"",MAX(V$12:OFFSET(V53,-1,0))+1)</f>
        <v/>
      </c>
      <c r="W53" s="9" t="str">
        <f>IF(AND($J53="Serviço",$M53&lt;&gt;""),IF($L53="",$M53,CONCATENATE($L53,"-",$M53)))</f>
        <v>SINAPI-92614</v>
      </c>
      <c r="X53" s="4">
        <f ca="1">IF(AND(Fonte&lt;&gt;"",Código&lt;&gt;""),MATCH(Fonte&amp;" "&amp;IF(Fonte="sinapi",SUBSTITUTE(SUBSTITUTE(Código,"/00","/"),"/0","/"),Código),INDIRECT("'[Referência "&amp;_xlnm.Database&amp;".xls]Banco'!$a:$a"),0),"X")</f>
        <v>1588</v>
      </c>
      <c r="Y53" s="121">
        <f ca="1">IF(Import.Desoneracao="sim",Referencia.Desonerado,Referencia.NaoDesonerado)</f>
        <v>2075.81</v>
      </c>
      <c r="Z53" s="132">
        <f ca="1">ROUND(IF(ISNUMBER(R53),R53,IF(LEFT(R53,3)="BDI",HLOOKUP(R53,DADOS!$T$37:$X$38,2,FALSE),0)),15-11*$X$5)</f>
        <v>0.2487</v>
      </c>
      <c r="AA53" s="4"/>
    </row>
    <row r="54" spans="1:27" ht="38.25" x14ac:dyDescent="0.2">
      <c r="A54" t="str">
        <f>CHOOSE(1+LOG(1+2*(J54="Meta")+4*(J54="Nível 2")+8*(J54="Nível 3")+16*(J54="Nível 4")+32*(J54="Serviço"),2),0,1,2,3,4,"S")</f>
        <v>S</v>
      </c>
      <c r="B54">
        <f>IF(OR(A54="S",A54=0),0,IF(ISERROR(I54),H54,SMALL(H54:I54,1)))</f>
        <v>0</v>
      </c>
      <c r="C54">
        <f ca="1">IF($A54=1,OFFSET(C54,-1,0)+1,OFFSET(C54,-1,0))</f>
        <v>1</v>
      </c>
      <c r="D54">
        <f ca="1">IF($A54=1,0,IF($A54=2,OFFSET(D54,-1,0)+1,OFFSET(D54,-1,0)))</f>
        <v>8</v>
      </c>
      <c r="E54">
        <f ca="1">IF(AND($A54&lt;=2,$A54&lt;&gt;0),0,IF($A54=3,OFFSET(E54,-1,0)+1,OFFSET(E54,-1,0)))</f>
        <v>1</v>
      </c>
      <c r="F54">
        <f ca="1">IF(AND($A54&lt;=3,$A54&lt;&gt;0),0,IF($A54=4,OFFSET(F54,-1,0)+1,OFFSET(F54,-1,0)))</f>
        <v>0</v>
      </c>
      <c r="G54">
        <f ca="1">IF(AND($A54&lt;=4,$A54&lt;&gt;0),0,IF($A54="S",OFFSET(G54,-1,0)+1,OFFSET(G54,-1,0)))</f>
        <v>2</v>
      </c>
      <c r="H54">
        <f ca="1">IF(OR($A54="S",$A54=0),0,MATCH(0,OFFSET($B54,1,$A54,ROW($A$139)-ROW($A54)),0))</f>
        <v>0</v>
      </c>
      <c r="I54">
        <f ca="1">IF(OR($A54="S",$A54=0),0,MATCH(OFFSET($B54,0,$A54)+1,OFFSET($B54,1,$A54,ROW($A$139)-ROW($A54)),0))</f>
        <v>0</v>
      </c>
      <c r="J54" s="120" t="s">
        <v>103</v>
      </c>
      <c r="K54" s="162" t="str">
        <f ca="1">IF($A54=0,"-",CONCATENATE(C54&amp;".",IF(AND($A$5&gt;=2,$A54&gt;=2),D54&amp;".",""),IF(AND($A$5&gt;=3,$A54&gt;=3),E54&amp;".",""),IF(AND($A$5&gt;=4,$A54&gt;=4),F54&amp;".",""),IF($A54="S",G54&amp;".","")))</f>
        <v>1.8.1.2.</v>
      </c>
      <c r="L54" s="209" t="s">
        <v>233</v>
      </c>
      <c r="M54" s="209" t="s">
        <v>305</v>
      </c>
      <c r="N54" s="230" t="s">
        <v>395</v>
      </c>
      <c r="O54" s="229" t="s">
        <v>376</v>
      </c>
      <c r="P54" s="233">
        <v>257.08</v>
      </c>
      <c r="Q54" s="228">
        <v>62.58</v>
      </c>
      <c r="R54" s="231" t="s">
        <v>7</v>
      </c>
      <c r="S54" s="121">
        <f t="shared" ref="S54:S70" ca="1" si="37">IF($A54="S",IF($Q$10="Preço Unitário (R$)",PO.CustoUnitario,ROUND(PO.CustoUnitario*(1+$Z54),15-13*$X$6)),0)</f>
        <v>78.14</v>
      </c>
      <c r="T54" s="98">
        <f t="shared" ref="T54:T70" ca="1" si="38">IF($A54="S",VTOTAL1,IF($A54=0,0,ROUND(SomaAgrup,15-13*$X$7)))</f>
        <v>20088.23</v>
      </c>
      <c r="U54" s="13" t="str">
        <f ca="1">IF($J54="","",IF($N54="","DESCRIÇÃO",IF(AND($J54="Serviço",$O54=""),"UNIDADE",IF($T54&lt;=0,"SEM VALOR",IF(AND($Y54&lt;&gt;"",$Q54&gt;$Y54),"ACIMA REF.","")))))</f>
        <v/>
      </c>
      <c r="V54" s="4" t="str">
        <f ca="1">IF(OR($A54=0,$A54="S",$A54&gt;CFF!$A$9),"",MAX(V$12:OFFSET(V54,-1,0))+1)</f>
        <v/>
      </c>
      <c r="W54" s="9" t="str">
        <f>IF(AND($J54="Serviço",$M54&lt;&gt;""),IF($L54="",$M54,CONCATENATE($L54,"-",$M54)))</f>
        <v>SINAPI-92580</v>
      </c>
      <c r="X54" s="4">
        <f t="shared" ref="X54:X70" ca="1" si="39">IF(AND(Fonte&lt;&gt;"",Código&lt;&gt;""),MATCH(Fonte&amp;" "&amp;IF(Fonte="sinapi",SUBSTITUTE(SUBSTITUTE(Código,"/00","/"),"/0","/"),Código),INDIRECT("'[Referência "&amp;_xlnm.Database&amp;".xls]Banco'!$a:$a"),0),"X")</f>
        <v>1570</v>
      </c>
      <c r="Y54" s="121">
        <f ca="1">IF(Import.Desoneracao="sim",Referencia.Desonerado,Referencia.NaoDesonerado)</f>
        <v>62.58</v>
      </c>
      <c r="Z54" s="132">
        <f ca="1">ROUND(IF(ISNUMBER(R54),R54,IF(LEFT(R54,3)="BDI",HLOOKUP(R54,DADOS!$T$37:$X$38,2,FALSE),0)),15-11*$X$5)</f>
        <v>0.2487</v>
      </c>
      <c r="AA54" s="4"/>
    </row>
    <row r="55" spans="1:27" ht="25.5" x14ac:dyDescent="0.2">
      <c r="A55" t="str">
        <f t="shared" ref="A55:A138" si="40">CHOOSE(1+LOG(1+2*(J55="Meta")+4*(J55="Nível 2")+8*(J55="Nível 3")+16*(J55="Nível 4")+32*(J55="Serviço"),2),0,1,2,3,4,"S")</f>
        <v>S</v>
      </c>
      <c r="B55">
        <f t="shared" ref="B55:B138" si="41">IF(OR(A55="S",A55=0),0,IF(ISERROR(I55),H55,SMALL(H55:I55,1)))</f>
        <v>0</v>
      </c>
      <c r="C55">
        <f t="shared" ref="C55:C138" ca="1" si="42">IF($A55=1,OFFSET(C55,-1,0)+1,OFFSET(C55,-1,0))</f>
        <v>1</v>
      </c>
      <c r="D55">
        <f t="shared" ref="D55:D138" ca="1" si="43">IF($A55=1,0,IF($A55=2,OFFSET(D55,-1,0)+1,OFFSET(D55,-1,0)))</f>
        <v>8</v>
      </c>
      <c r="E55">
        <f t="shared" ref="E55:E138" ca="1" si="44">IF(AND($A55&lt;=2,$A55&lt;&gt;0),0,IF($A55=3,OFFSET(E55,-1,0)+1,OFFSET(E55,-1,0)))</f>
        <v>1</v>
      </c>
      <c r="F55">
        <f t="shared" ref="F55:F138" ca="1" si="45">IF(AND($A55&lt;=3,$A55&lt;&gt;0),0,IF($A55=4,OFFSET(F55,-1,0)+1,OFFSET(F55,-1,0)))</f>
        <v>0</v>
      </c>
      <c r="G55">
        <f t="shared" ref="G55:G138" ca="1" si="46">IF(AND($A55&lt;=4,$A55&lt;&gt;0),0,IF($A55="S",OFFSET(G55,-1,0)+1,OFFSET(G55,-1,0)))</f>
        <v>3</v>
      </c>
      <c r="H55">
        <f ca="1">IF(OR($A55="S",$A55=0),0,MATCH(0,OFFSET($B55,1,$A55,ROW($A$139)-ROW($A55)),0))</f>
        <v>0</v>
      </c>
      <c r="I55">
        <f ca="1">IF(OR($A55="S",$A55=0),0,MATCH(OFFSET($B55,0,$A55)+1,OFFSET($B55,1,$A55,ROW($A$139)-ROW($A55)),0))</f>
        <v>0</v>
      </c>
      <c r="J55" s="120" t="s">
        <v>103</v>
      </c>
      <c r="K55" s="162" t="str">
        <f t="shared" ref="K55:K138" ca="1" si="47">IF($A55=0,"-",CONCATENATE(C55&amp;".",IF(AND($A$5&gt;=2,$A55&gt;=2),D55&amp;".",""),IF(AND($A$5&gt;=3,$A55&gt;=3),E55&amp;".",""),IF(AND($A$5&gt;=4,$A55&gt;=4),F55&amp;".",""),IF($A55="S",G55&amp;".","")))</f>
        <v>1.8.1.3.</v>
      </c>
      <c r="L55" s="209" t="s">
        <v>233</v>
      </c>
      <c r="M55" s="209" t="s">
        <v>306</v>
      </c>
      <c r="N55" s="230" t="s">
        <v>396</v>
      </c>
      <c r="O55" s="229" t="s">
        <v>376</v>
      </c>
      <c r="P55" s="233">
        <v>257.08</v>
      </c>
      <c r="Q55" s="228">
        <v>57.97</v>
      </c>
      <c r="R55" s="231" t="s">
        <v>7</v>
      </c>
      <c r="S55" s="121">
        <f t="shared" ca="1" si="37"/>
        <v>72.39</v>
      </c>
      <c r="T55" s="98">
        <f t="shared" ca="1" si="38"/>
        <v>18610.02</v>
      </c>
      <c r="U55" s="13" t="str">
        <f t="shared" ref="U55:U138" ca="1" si="48">IF($J55="","",IF($N55="","DESCRIÇÃO",IF(AND($J55="Serviço",$O55=""),"UNIDADE",IF($T55&lt;=0,"SEM VALOR",IF(AND($Y55&lt;&gt;"",$Q55&gt;$Y55),"ACIMA REF.","")))))</f>
        <v/>
      </c>
      <c r="V55" s="4" t="str">
        <f ca="1">IF(OR($A55=0,$A55="S",$A55&gt;CFF!$A$9),"",MAX(V$12:OFFSET(V55,-1,0))+1)</f>
        <v/>
      </c>
      <c r="W55" s="9" t="str">
        <f t="shared" ref="W55:W138" si="49">IF(AND($J55="Serviço",$M55&lt;&gt;""),IF($L55="",$M55,CONCATENATE($L55,"-",$M55)))</f>
        <v>SINAPI-94213</v>
      </c>
      <c r="X55" s="4">
        <f t="shared" ca="1" si="39"/>
        <v>1533</v>
      </c>
      <c r="Y55" s="121">
        <f ca="1">IF(Import.Desoneracao="sim",Referencia.Desonerado,Referencia.NaoDesonerado)</f>
        <v>57.97</v>
      </c>
      <c r="Z55" s="132">
        <f ca="1">ROUND(IF(ISNUMBER(R55),R55,IF(LEFT(R55,3)="BDI",HLOOKUP(R55,DADOS!$T$37:$X$38,2,FALSE),0)),15-11*$X$5)</f>
        <v>0.2487</v>
      </c>
      <c r="AA55" s="4"/>
    </row>
    <row r="56" spans="1:27" x14ac:dyDescent="0.2">
      <c r="A56">
        <f t="shared" si="40"/>
        <v>3</v>
      </c>
      <c r="B56">
        <f t="shared" ca="1" si="41"/>
        <v>4</v>
      </c>
      <c r="C56">
        <f t="shared" ca="1" si="42"/>
        <v>1</v>
      </c>
      <c r="D56">
        <f t="shared" ca="1" si="43"/>
        <v>8</v>
      </c>
      <c r="E56">
        <f t="shared" ca="1" si="44"/>
        <v>2</v>
      </c>
      <c r="F56">
        <f t="shared" ca="1" si="45"/>
        <v>0</v>
      </c>
      <c r="G56">
        <f t="shared" ca="1" si="46"/>
        <v>0</v>
      </c>
      <c r="H56">
        <f ca="1">IF(OR($A56="S",$A56=0),0,MATCH(0,OFFSET($B56,1,$A56,ROW($A$139)-ROW($A56)),0))</f>
        <v>4</v>
      </c>
      <c r="I56">
        <f ca="1">IF(OR($A56="S",$A56=0),0,MATCH(OFFSET($B56,0,$A56)+1,OFFSET($B56,1,$A56,ROW($A$139)-ROW($A56)),0))</f>
        <v>35</v>
      </c>
      <c r="J56" s="120" t="s">
        <v>101</v>
      </c>
      <c r="K56" s="162" t="str">
        <f t="shared" ca="1" si="47"/>
        <v>1.8.2.</v>
      </c>
      <c r="L56" s="209"/>
      <c r="M56" s="209"/>
      <c r="N56" s="230" t="s">
        <v>294</v>
      </c>
      <c r="O56" s="229" t="str">
        <f ca="1">Referencia.Unidade</f>
        <v/>
      </c>
      <c r="P56" s="233"/>
      <c r="Q56" s="228">
        <v>0</v>
      </c>
      <c r="R56" s="231" t="s">
        <v>7</v>
      </c>
      <c r="S56" s="121">
        <f t="shared" si="37"/>
        <v>0</v>
      </c>
      <c r="T56" s="98">
        <f t="shared" ca="1" si="38"/>
        <v>5880.28</v>
      </c>
      <c r="U56" s="13" t="str">
        <f t="shared" ca="1" si="48"/>
        <v/>
      </c>
      <c r="V56" s="4" t="str">
        <f ca="1">IF(OR($A56=0,$A56="S",$A56&gt;CFF!$A$9),"",MAX(V$12:OFFSET(V56,-1,0))+1)</f>
        <v/>
      </c>
      <c r="W56" s="9" t="b">
        <f t="shared" si="49"/>
        <v>0</v>
      </c>
      <c r="X56" s="4" t="str">
        <f t="shared" ca="1" si="39"/>
        <v>X</v>
      </c>
      <c r="Y56" s="121">
        <f ca="1">IF(Import.Desoneracao="sim",Referencia.Desonerado,Referencia.NaoDesonerado)</f>
        <v>0</v>
      </c>
      <c r="Z56" s="132">
        <f ca="1">ROUND(IF(ISNUMBER(R56),R56,IF(LEFT(R56,3)="BDI",HLOOKUP(R56,DADOS!$T$37:$X$38,2,FALSE),0)),15-11*$X$5)</f>
        <v>0.2487</v>
      </c>
      <c r="AA56" s="4"/>
    </row>
    <row r="57" spans="1:27" ht="25.5" x14ac:dyDescent="0.2">
      <c r="A57" t="str">
        <f t="shared" si="40"/>
        <v>S</v>
      </c>
      <c r="B57">
        <f t="shared" si="41"/>
        <v>0</v>
      </c>
      <c r="C57">
        <f t="shared" ca="1" si="42"/>
        <v>1</v>
      </c>
      <c r="D57">
        <f t="shared" ca="1" si="43"/>
        <v>8</v>
      </c>
      <c r="E57">
        <f t="shared" ca="1" si="44"/>
        <v>2</v>
      </c>
      <c r="F57">
        <f t="shared" ca="1" si="45"/>
        <v>0</v>
      </c>
      <c r="G57">
        <f t="shared" ca="1" si="46"/>
        <v>1</v>
      </c>
      <c r="H57">
        <f ca="1">IF(OR($A57="S",$A57=0),0,MATCH(0,OFFSET($B57,1,$A57,ROW($A$139)-ROW($A57)),0))</f>
        <v>0</v>
      </c>
      <c r="I57">
        <f ca="1">IF(OR($A57="S",$A57=0),0,MATCH(OFFSET($B57,0,$A57)+1,OFFSET($B57,1,$A57,ROW($A$139)-ROW($A57)),0))</f>
        <v>0</v>
      </c>
      <c r="J57" s="120" t="s">
        <v>103</v>
      </c>
      <c r="K57" s="162" t="str">
        <f t="shared" ca="1" si="47"/>
        <v>1.8.2.1.</v>
      </c>
      <c r="L57" s="209" t="s">
        <v>233</v>
      </c>
      <c r="M57" s="209" t="s">
        <v>236</v>
      </c>
      <c r="N57" s="230" t="s">
        <v>397</v>
      </c>
      <c r="O57" s="229" t="s">
        <v>370</v>
      </c>
      <c r="P57" s="233">
        <v>26.1</v>
      </c>
      <c r="Q57" s="228">
        <v>67.290000000000006</v>
      </c>
      <c r="R57" s="231" t="s">
        <v>7</v>
      </c>
      <c r="S57" s="121">
        <f t="shared" ca="1" si="37"/>
        <v>84.03</v>
      </c>
      <c r="T57" s="98">
        <f t="shared" ca="1" si="38"/>
        <v>2193.1799999999998</v>
      </c>
      <c r="U57" s="13" t="str">
        <f t="shared" ca="1" si="48"/>
        <v/>
      </c>
      <c r="V57" s="4" t="str">
        <f ca="1">IF(OR($A57=0,$A57="S",$A57&gt;CFF!$A$9),"",MAX(V$12:OFFSET(V57,-1,0))+1)</f>
        <v/>
      </c>
      <c r="W57" s="9" t="str">
        <f t="shared" si="49"/>
        <v>SINAPI-94227</v>
      </c>
      <c r="X57" s="4">
        <f t="shared" ca="1" si="39"/>
        <v>1549</v>
      </c>
      <c r="Y57" s="121">
        <f ca="1">IF(Import.Desoneracao="sim",Referencia.Desonerado,Referencia.NaoDesonerado)</f>
        <v>67.290000000000006</v>
      </c>
      <c r="Z57" s="132">
        <f ca="1">ROUND(IF(ISNUMBER(R57),R57,IF(LEFT(R57,3)="BDI",HLOOKUP(R57,DADOS!$T$37:$X$38,2,FALSE),0)),15-11*$X$5)</f>
        <v>0.2487</v>
      </c>
      <c r="AA57" s="4"/>
    </row>
    <row r="58" spans="1:27" ht="25.5" x14ac:dyDescent="0.2">
      <c r="A58" t="str">
        <f t="shared" si="40"/>
        <v>S</v>
      </c>
      <c r="B58">
        <f t="shared" si="41"/>
        <v>0</v>
      </c>
      <c r="C58">
        <f t="shared" ca="1" si="42"/>
        <v>1</v>
      </c>
      <c r="D58">
        <f t="shared" ca="1" si="43"/>
        <v>8</v>
      </c>
      <c r="E58">
        <f t="shared" ca="1" si="44"/>
        <v>2</v>
      </c>
      <c r="F58">
        <f t="shared" ca="1" si="45"/>
        <v>0</v>
      </c>
      <c r="G58">
        <f t="shared" ca="1" si="46"/>
        <v>2</v>
      </c>
      <c r="H58">
        <f ca="1">IF(OR($A58="S",$A58=0),0,MATCH(0,OFFSET($B58,1,$A58,ROW($A$139)-ROW($A58)),0))</f>
        <v>0</v>
      </c>
      <c r="I58">
        <f ca="1">IF(OR($A58="S",$A58=0),0,MATCH(OFFSET($B58,0,$A58)+1,OFFSET($B58,1,$A58,ROW($A$139)-ROW($A58)),0))</f>
        <v>0</v>
      </c>
      <c r="J58" s="120" t="s">
        <v>103</v>
      </c>
      <c r="K58" s="162" t="str">
        <f t="shared" ca="1" si="47"/>
        <v>1.8.2.2.</v>
      </c>
      <c r="L58" s="209" t="s">
        <v>233</v>
      </c>
      <c r="M58" s="209" t="s">
        <v>237</v>
      </c>
      <c r="N58" s="230" t="s">
        <v>398</v>
      </c>
      <c r="O58" s="229" t="s">
        <v>370</v>
      </c>
      <c r="P58" s="233">
        <v>20</v>
      </c>
      <c r="Q58" s="228">
        <v>33.75</v>
      </c>
      <c r="R58" s="231" t="s">
        <v>7</v>
      </c>
      <c r="S58" s="121">
        <f t="shared" ca="1" si="37"/>
        <v>42.14</v>
      </c>
      <c r="T58" s="98">
        <f t="shared" ca="1" si="38"/>
        <v>842.8</v>
      </c>
      <c r="U58" s="13" t="str">
        <f t="shared" ca="1" si="48"/>
        <v/>
      </c>
      <c r="V58" s="4" t="str">
        <f ca="1">IF(OR($A58=0,$A58="S",$A58&gt;CFF!$A$9),"",MAX(V$12:OFFSET(V58,-1,0))+1)</f>
        <v/>
      </c>
      <c r="W58" s="9" t="str">
        <f t="shared" si="49"/>
        <v>SINAPI-89578</v>
      </c>
      <c r="X58" s="4">
        <f t="shared" ca="1" si="39"/>
        <v>3632</v>
      </c>
      <c r="Y58" s="121">
        <f ca="1">IF(Import.Desoneracao="sim",Referencia.Desonerado,Referencia.NaoDesonerado)</f>
        <v>33.75</v>
      </c>
      <c r="Z58" s="132">
        <f ca="1">ROUND(IF(ISNUMBER(R58),R58,IF(LEFT(R58,3)="BDI",HLOOKUP(R58,DADOS!$T$37:$X$38,2,FALSE),0)),15-11*$X$5)</f>
        <v>0.2487</v>
      </c>
      <c r="AA58" s="4"/>
    </row>
    <row r="59" spans="1:27" ht="25.5" x14ac:dyDescent="0.2">
      <c r="A59" t="str">
        <f>CHOOSE(1+LOG(1+2*(J59="Meta")+4*(J59="Nível 2")+8*(J59="Nível 3")+16*(J59="Nível 4")+32*(J59="Serviço"),2),0,1,2,3,4,"S")</f>
        <v>S</v>
      </c>
      <c r="B59">
        <f>IF(OR(A59="S",A59=0),0,IF(ISERROR(I59),H59,SMALL(H59:I59,1)))</f>
        <v>0</v>
      </c>
      <c r="C59">
        <f ca="1">IF($A59=1,OFFSET(C59,-1,0)+1,OFFSET(C59,-1,0))</f>
        <v>1</v>
      </c>
      <c r="D59">
        <f ca="1">IF($A59=1,0,IF($A59=2,OFFSET(D59,-1,0)+1,OFFSET(D59,-1,0)))</f>
        <v>8</v>
      </c>
      <c r="E59">
        <f ca="1">IF(AND($A59&lt;=2,$A59&lt;&gt;0),0,IF($A59=3,OFFSET(E59,-1,0)+1,OFFSET(E59,-1,0)))</f>
        <v>2</v>
      </c>
      <c r="F59">
        <f ca="1">IF(AND($A59&lt;=3,$A59&lt;&gt;0),0,IF($A59=4,OFFSET(F59,-1,0)+1,OFFSET(F59,-1,0)))</f>
        <v>0</v>
      </c>
      <c r="G59">
        <f ca="1">IF(AND($A59&lt;=4,$A59&lt;&gt;0),0,IF($A59="S",OFFSET(G59,-1,0)+1,OFFSET(G59,-1,0)))</f>
        <v>3</v>
      </c>
      <c r="H59">
        <f ca="1">IF(OR($A59="S",$A59=0),0,MATCH(0,OFFSET($B59,1,$A59,ROW($A$139)-ROW($A59)),0))</f>
        <v>0</v>
      </c>
      <c r="I59">
        <f ca="1">IF(OR($A59="S",$A59=0),0,MATCH(OFFSET($B59,0,$A59)+1,OFFSET($B59,1,$A59,ROW($A$139)-ROW($A59)),0))</f>
        <v>0</v>
      </c>
      <c r="J59" s="120" t="s">
        <v>103</v>
      </c>
      <c r="K59" s="162" t="str">
        <f ca="1">IF($A59=0,"-",CONCATENATE(C59&amp;".",IF(AND($A$5&gt;=2,$A59&gt;=2),D59&amp;".",""),IF(AND($A$5&gt;=3,$A59&gt;=3),E59&amp;".",""),IF(AND($A$5&gt;=4,$A59&gt;=4),F59&amp;".",""),IF($A59="S",G59&amp;".","")))</f>
        <v>1.8.2.3.</v>
      </c>
      <c r="L59" s="209" t="s">
        <v>233</v>
      </c>
      <c r="M59" s="209" t="s">
        <v>331</v>
      </c>
      <c r="N59" s="230" t="s">
        <v>399</v>
      </c>
      <c r="O59" s="229" t="s">
        <v>370</v>
      </c>
      <c r="P59" s="233">
        <v>30</v>
      </c>
      <c r="Q59" s="228">
        <v>75.930000000000007</v>
      </c>
      <c r="R59" s="231" t="s">
        <v>7</v>
      </c>
      <c r="S59" s="121">
        <f ca="1">IF($A59="S",IF($Q$10="Preço Unitário (R$)",PO.CustoUnitario,ROUND(PO.CustoUnitario*(1+$Z59),15-13*$X$6)),0)</f>
        <v>94.81</v>
      </c>
      <c r="T59" s="98">
        <f ca="1">IF($A59="S",VTOTAL1,IF($A59=0,0,ROUND(SomaAgrup,15-13*$X$7)))</f>
        <v>2844.3</v>
      </c>
      <c r="U59" s="13" t="str">
        <f ca="1">IF($J59="","",IF($N59="","DESCRIÇÃO",IF(AND($J59="Serviço",$O59=""),"UNIDADE",IF($T59&lt;=0,"SEM VALOR",IF(AND($Y59&lt;&gt;"",$Q59&gt;$Y59),"ACIMA REF.","")))))</f>
        <v/>
      </c>
      <c r="V59" s="4" t="str">
        <f ca="1">IF(OR($A59=0,$A59="S",$A59&gt;CFF!$A$9),"",MAX(V$12:OFFSET(V59,-1,0))+1)</f>
        <v/>
      </c>
      <c r="W59" s="9" t="str">
        <f>IF(AND($J59="Serviço",$M59&lt;&gt;""),IF($L59="",$M59,CONCATENATE($L59,"-",$M59)))</f>
        <v>SINAPI-104166</v>
      </c>
      <c r="X59" s="4">
        <f ca="1">IF(AND(Fonte&lt;&gt;"",Código&lt;&gt;""),MATCH(Fonte&amp;" "&amp;IF(Fonte="sinapi",SUBSTITUTE(SUBSTITUTE(Código,"/00","/"),"/0","/"),Código),INDIRECT("'[Referência "&amp;_xlnm.Database&amp;".xls]Banco'!$a:$a"),0),"X")</f>
        <v>3859</v>
      </c>
      <c r="Y59" s="121">
        <f ca="1">IF(Import.Desoneracao="sim",Referencia.Desonerado,Referencia.NaoDesonerado)</f>
        <v>75.930000000000007</v>
      </c>
      <c r="Z59" s="132">
        <f ca="1">ROUND(IF(ISNUMBER(R59),R59,IF(LEFT(R59,3)="BDI",HLOOKUP(R59,DADOS!$T$37:$X$38,2,FALSE),0)),15-11*$X$5)</f>
        <v>0.2487</v>
      </c>
      <c r="AA59" s="4"/>
    </row>
    <row r="60" spans="1:27" x14ac:dyDescent="0.2">
      <c r="A60">
        <f t="shared" si="40"/>
        <v>2</v>
      </c>
      <c r="B60">
        <f t="shared" ca="1" si="41"/>
        <v>8</v>
      </c>
      <c r="C60">
        <f t="shared" ca="1" si="42"/>
        <v>1</v>
      </c>
      <c r="D60">
        <f t="shared" ca="1" si="43"/>
        <v>9</v>
      </c>
      <c r="E60">
        <f t="shared" ca="1" si="44"/>
        <v>0</v>
      </c>
      <c r="F60">
        <f t="shared" ca="1" si="45"/>
        <v>0</v>
      </c>
      <c r="G60">
        <f t="shared" ca="1" si="46"/>
        <v>0</v>
      </c>
      <c r="H60">
        <f ca="1">IF(OR($A60="S",$A60=0),0,MATCH(0,OFFSET($B60,1,$A60,ROW($A$139)-ROW($A60)),0))</f>
        <v>79</v>
      </c>
      <c r="I60">
        <f ca="1">IF(OR($A60="S",$A60=0),0,MATCH(OFFSET($B60,0,$A60)+1,OFFSET($B60,1,$A60,ROW($A$139)-ROW($A60)),0))</f>
        <v>8</v>
      </c>
      <c r="J60" s="120" t="s">
        <v>100</v>
      </c>
      <c r="K60" s="162" t="str">
        <f t="shared" ca="1" si="47"/>
        <v>1.9.</v>
      </c>
      <c r="L60" s="209"/>
      <c r="M60" s="209"/>
      <c r="N60" s="230" t="s">
        <v>238</v>
      </c>
      <c r="O60" s="229" t="str">
        <f ca="1">Referencia.Unidade</f>
        <v/>
      </c>
      <c r="P60" s="233"/>
      <c r="Q60" s="228">
        <v>0</v>
      </c>
      <c r="R60" s="231" t="s">
        <v>7</v>
      </c>
      <c r="S60" s="121">
        <f t="shared" si="37"/>
        <v>0</v>
      </c>
      <c r="T60" s="98">
        <f t="shared" ca="1" si="38"/>
        <v>20709.439999999999</v>
      </c>
      <c r="U60" s="13" t="str">
        <f t="shared" ca="1" si="48"/>
        <v/>
      </c>
      <c r="V60" s="4">
        <f ca="1">IF(OR($A60=0,$A60="S",$A60&gt;CFF!$A$9),"",MAX(V$12:OFFSET(V60,-1,0))+1)</f>
        <v>10</v>
      </c>
      <c r="W60" s="9" t="b">
        <f t="shared" si="49"/>
        <v>0</v>
      </c>
      <c r="X60" s="4" t="str">
        <f t="shared" ca="1" si="39"/>
        <v>X</v>
      </c>
      <c r="Y60" s="121">
        <f ca="1">IF(Import.Desoneracao="sim",Referencia.Desonerado,Referencia.NaoDesonerado)</f>
        <v>0</v>
      </c>
      <c r="Z60" s="132">
        <f ca="1">ROUND(IF(ISNUMBER(R60),R60,IF(LEFT(R60,3)="BDI",HLOOKUP(R60,DADOS!$T$37:$X$38,2,FALSE),0)),15-11*$X$5)</f>
        <v>0.2487</v>
      </c>
      <c r="AA60" s="4"/>
    </row>
    <row r="61" spans="1:27" x14ac:dyDescent="0.2">
      <c r="A61">
        <f t="shared" si="40"/>
        <v>3</v>
      </c>
      <c r="B61">
        <f t="shared" ca="1" si="41"/>
        <v>2</v>
      </c>
      <c r="C61">
        <f t="shared" ca="1" si="42"/>
        <v>1</v>
      </c>
      <c r="D61">
        <f t="shared" ca="1" si="43"/>
        <v>9</v>
      </c>
      <c r="E61">
        <f t="shared" ca="1" si="44"/>
        <v>1</v>
      </c>
      <c r="F61">
        <f t="shared" ca="1" si="45"/>
        <v>0</v>
      </c>
      <c r="G61">
        <f t="shared" ca="1" si="46"/>
        <v>0</v>
      </c>
      <c r="H61">
        <f ca="1">IF(OR($A61="S",$A61=0),0,MATCH(0,OFFSET($B61,1,$A61,ROW($A$139)-ROW($A61)),0))</f>
        <v>7</v>
      </c>
      <c r="I61">
        <f ca="1">IF(OR($A61="S",$A61=0),0,MATCH(OFFSET($B61,0,$A61)+1,OFFSET($B61,1,$A61,ROW($A$139)-ROW($A61)),0))</f>
        <v>2</v>
      </c>
      <c r="J61" s="120" t="s">
        <v>101</v>
      </c>
      <c r="K61" s="162" t="str">
        <f t="shared" ca="1" si="47"/>
        <v>1.9.1.</v>
      </c>
      <c r="L61" s="209"/>
      <c r="M61" s="209"/>
      <c r="N61" s="230" t="s">
        <v>307</v>
      </c>
      <c r="O61" s="229" t="str">
        <f ca="1">Referencia.Unidade</f>
        <v/>
      </c>
      <c r="P61" s="233"/>
      <c r="Q61" s="228">
        <v>0</v>
      </c>
      <c r="R61" s="231" t="s">
        <v>7</v>
      </c>
      <c r="S61" s="121">
        <f t="shared" si="37"/>
        <v>0</v>
      </c>
      <c r="T61" s="98">
        <f t="shared" ca="1" si="38"/>
        <v>11593.29</v>
      </c>
      <c r="U61" s="13" t="str">
        <f t="shared" ca="1" si="48"/>
        <v/>
      </c>
      <c r="V61" s="4" t="str">
        <f ca="1">IF(OR($A61=0,$A61="S",$A61&gt;CFF!$A$9),"",MAX(V$12:OFFSET(V61,-1,0))+1)</f>
        <v/>
      </c>
      <c r="W61" s="9" t="b">
        <f t="shared" si="49"/>
        <v>0</v>
      </c>
      <c r="X61" s="4" t="str">
        <f t="shared" ca="1" si="39"/>
        <v>X</v>
      </c>
      <c r="Y61" s="121">
        <f ca="1">IF(Import.Desoneracao="sim",Referencia.Desonerado,Referencia.NaoDesonerado)</f>
        <v>0</v>
      </c>
      <c r="Z61" s="132">
        <f ca="1">ROUND(IF(ISNUMBER(R61),R61,IF(LEFT(R61,3)="BDI",HLOOKUP(R61,DADOS!$T$37:$X$38,2,FALSE),0)),15-11*$X$5)</f>
        <v>0.2487</v>
      </c>
      <c r="AA61" s="4"/>
    </row>
    <row r="62" spans="1:27" ht="25.5" x14ac:dyDescent="0.2">
      <c r="A62" t="str">
        <f>CHOOSE(1+LOG(1+2*(J62="Meta")+4*(J62="Nível 2")+8*(J62="Nível 3")+16*(J62="Nível 4")+32*(J62="Serviço"),2),0,1,2,3,4,"S")</f>
        <v>S</v>
      </c>
      <c r="B62">
        <f>IF(OR(A62="S",A62=0),0,IF(ISERROR(I62),H62,SMALL(H62:I62,1)))</f>
        <v>0</v>
      </c>
      <c r="C62">
        <f ca="1">IF($A62=1,OFFSET(C62,-1,0)+1,OFFSET(C62,-1,0))</f>
        <v>1</v>
      </c>
      <c r="D62">
        <f ca="1">IF($A62=1,0,IF($A62=2,OFFSET(D62,-1,0)+1,OFFSET(D62,-1,0)))</f>
        <v>9</v>
      </c>
      <c r="E62">
        <f ca="1">IF(AND($A62&lt;=2,$A62&lt;&gt;0),0,IF($A62=3,OFFSET(E62,-1,0)+1,OFFSET(E62,-1,0)))</f>
        <v>1</v>
      </c>
      <c r="F62">
        <f ca="1">IF(AND($A62&lt;=3,$A62&lt;&gt;0),0,IF($A62=4,OFFSET(F62,-1,0)+1,OFFSET(F62,-1,0)))</f>
        <v>0</v>
      </c>
      <c r="G62">
        <f ca="1">IF(AND($A62&lt;=4,$A62&lt;&gt;0),0,IF($A62="S",OFFSET(G62,-1,0)+1,OFFSET(G62,-1,0)))</f>
        <v>1</v>
      </c>
      <c r="H62">
        <f ca="1">IF(OR($A62="S",$A62=0),0,MATCH(0,OFFSET($B62,1,$A62,ROW($A$139)-ROW($A62)),0))</f>
        <v>0</v>
      </c>
      <c r="I62">
        <f ca="1">IF(OR($A62="S",$A62=0),0,MATCH(OFFSET($B62,0,$A62)+1,OFFSET($B62,1,$A62,ROW($A$139)-ROW($A62)),0))</f>
        <v>0</v>
      </c>
      <c r="J62" s="120" t="s">
        <v>103</v>
      </c>
      <c r="K62" s="162" t="str">
        <f ca="1">IF($A62=0,"-",CONCATENATE(C62&amp;".",IF(AND($A$5&gt;=2,$A62&gt;=2),D62&amp;".",""),IF(AND($A$5&gt;=3,$A62&gt;=3),E62&amp;".",""),IF(AND($A$5&gt;=4,$A62&gt;=4),F62&amp;".",""),IF($A62="S",G62&amp;".","")))</f>
        <v>1.9.1.1.</v>
      </c>
      <c r="L62" s="209" t="s">
        <v>285</v>
      </c>
      <c r="M62" s="209" t="s">
        <v>323</v>
      </c>
      <c r="N62" s="230" t="s">
        <v>400</v>
      </c>
      <c r="O62" s="229" t="s">
        <v>370</v>
      </c>
      <c r="P62" s="233">
        <v>208.4</v>
      </c>
      <c r="Q62" s="228">
        <v>44.55</v>
      </c>
      <c r="R62" s="231" t="s">
        <v>7</v>
      </c>
      <c r="S62" s="121">
        <f ca="1">IF($A62="S",IF($Q$10="Preço Unitário (R$)",PO.CustoUnitario,ROUND(PO.CustoUnitario*(1+$Z62),15-13*$X$6)),0)</f>
        <v>55.63</v>
      </c>
      <c r="T62" s="98">
        <f ca="1">IF($A62="S",VTOTAL1,IF($A62=0,0,ROUND(SomaAgrup,15-13*$X$7)))</f>
        <v>11593.29</v>
      </c>
      <c r="U62" s="13" t="str">
        <f ca="1">IF($J62="","",IF($N62="","DESCRIÇÃO",IF(AND($J62="Serviço",$O62=""),"UNIDADE",IF($T62&lt;=0,"SEM VALOR",IF(AND($Y62&lt;&gt;"",$Q62&gt;$Y62),"ACIMA REF.","")))))</f>
        <v/>
      </c>
      <c r="V62" s="4" t="str">
        <f ca="1">IF(OR($A62=0,$A62="S",$A62&gt;CFF!$A$9),"",MAX(V$12:OFFSET(V62,-1,0))+1)</f>
        <v/>
      </c>
      <c r="W62" s="9" t="str">
        <f>IF(AND($J62="Serviço",$M62&lt;&gt;""),IF($L62="",$M62,CONCATENATE($L62,"-",$M62)))</f>
        <v>COMPOSIÇÃO-COMP 01</v>
      </c>
      <c r="X62" s="4">
        <f ca="1">IF(AND(Fonte&lt;&gt;"",Código&lt;&gt;""),MATCH(Fonte&amp;" "&amp;IF(Fonte="sinapi",SUBSTITUTE(SUBSTITUTE(Código,"/00","/"),"/0","/"),Código),INDIRECT("'[Referência "&amp;_xlnm.Database&amp;".xls]Banco'!$a:$a"),0),"X")</f>
        <v>7</v>
      </c>
      <c r="Y62" s="121">
        <f ca="1">IF(Import.Desoneracao="sim",Referencia.Desonerado,Referencia.NaoDesonerado)</f>
        <v>44.55</v>
      </c>
      <c r="Z62" s="132">
        <f ca="1">ROUND(IF(ISNUMBER(R62),R62,IF(LEFT(R62,3)="BDI",HLOOKUP(R62,DADOS!$T$37:$X$38,2,FALSE),0)),15-11*$X$5)</f>
        <v>0.2487</v>
      </c>
      <c r="AA62" s="4"/>
    </row>
    <row r="63" spans="1:27" x14ac:dyDescent="0.2">
      <c r="A63">
        <f t="shared" si="40"/>
        <v>3</v>
      </c>
      <c r="B63">
        <f t="shared" ca="1" si="41"/>
        <v>5</v>
      </c>
      <c r="C63">
        <f t="shared" ca="1" si="42"/>
        <v>1</v>
      </c>
      <c r="D63">
        <f t="shared" ca="1" si="43"/>
        <v>9</v>
      </c>
      <c r="E63">
        <f t="shared" ca="1" si="44"/>
        <v>2</v>
      </c>
      <c r="F63">
        <f t="shared" ca="1" si="45"/>
        <v>0</v>
      </c>
      <c r="G63">
        <f t="shared" ca="1" si="46"/>
        <v>0</v>
      </c>
      <c r="H63">
        <f ca="1">IF(OR($A63="S",$A63=0),0,MATCH(0,OFFSET($B63,1,$A63,ROW($A$139)-ROW($A63)),0))</f>
        <v>5</v>
      </c>
      <c r="I63">
        <f ca="1">IF(OR($A63="S",$A63=0),0,MATCH(OFFSET($B63,0,$A63)+1,OFFSET($B63,1,$A63,ROW($A$139)-ROW($A63)),0))</f>
        <v>28</v>
      </c>
      <c r="J63" s="120" t="s">
        <v>101</v>
      </c>
      <c r="K63" s="162" t="str">
        <f t="shared" ca="1" si="47"/>
        <v>1.9.2.</v>
      </c>
      <c r="L63" s="209"/>
      <c r="M63" s="209"/>
      <c r="N63" s="230" t="s">
        <v>308</v>
      </c>
      <c r="O63" s="229" t="str">
        <f ca="1">Referencia.Unidade</f>
        <v/>
      </c>
      <c r="P63" s="233"/>
      <c r="Q63" s="228">
        <v>0</v>
      </c>
      <c r="R63" s="231" t="s">
        <v>7</v>
      </c>
      <c r="S63" s="121">
        <f t="shared" si="37"/>
        <v>0</v>
      </c>
      <c r="T63" s="98">
        <f t="shared" ca="1" si="38"/>
        <v>9116.15</v>
      </c>
      <c r="U63" s="13" t="str">
        <f t="shared" ca="1" si="48"/>
        <v/>
      </c>
      <c r="V63" s="4" t="str">
        <f ca="1">IF(OR($A63=0,$A63="S",$A63&gt;CFF!$A$9),"",MAX(V$12:OFFSET(V63,-1,0))+1)</f>
        <v/>
      </c>
      <c r="W63" s="9" t="b">
        <f t="shared" si="49"/>
        <v>0</v>
      </c>
      <c r="X63" s="4" t="str">
        <f t="shared" ca="1" si="39"/>
        <v>X</v>
      </c>
      <c r="Y63" s="121">
        <f ca="1">IF(Import.Desoneracao="sim",Referencia.Desonerado,Referencia.NaoDesonerado)</f>
        <v>0</v>
      </c>
      <c r="Z63" s="132">
        <f ca="1">ROUND(IF(ISNUMBER(R63),R63,IF(LEFT(R63,3)="BDI",HLOOKUP(R63,DADOS!$T$37:$X$38,2,FALSE),0)),15-11*$X$5)</f>
        <v>0.2487</v>
      </c>
      <c r="AA63" s="4"/>
    </row>
    <row r="64" spans="1:27" ht="25.5" x14ac:dyDescent="0.2">
      <c r="A64" t="str">
        <f t="shared" si="40"/>
        <v>S</v>
      </c>
      <c r="B64">
        <f t="shared" si="41"/>
        <v>0</v>
      </c>
      <c r="C64">
        <f t="shared" ca="1" si="42"/>
        <v>1</v>
      </c>
      <c r="D64">
        <f t="shared" ca="1" si="43"/>
        <v>9</v>
      </c>
      <c r="E64">
        <f t="shared" ca="1" si="44"/>
        <v>2</v>
      </c>
      <c r="F64">
        <f t="shared" ca="1" si="45"/>
        <v>0</v>
      </c>
      <c r="G64">
        <f t="shared" ca="1" si="46"/>
        <v>1</v>
      </c>
      <c r="H64">
        <f ca="1">IF(OR($A64="S",$A64=0),0,MATCH(0,OFFSET($B64,1,$A64,ROW($A$139)-ROW($A64)),0))</f>
        <v>0</v>
      </c>
      <c r="I64">
        <f ca="1">IF(OR($A64="S",$A64=0),0,MATCH(OFFSET($B64,0,$A64)+1,OFFSET($B64,1,$A64,ROW($A$139)-ROW($A64)),0))</f>
        <v>0</v>
      </c>
      <c r="J64" s="120" t="s">
        <v>103</v>
      </c>
      <c r="K64" s="162" t="str">
        <f t="shared" ca="1" si="47"/>
        <v>1.9.2.1.</v>
      </c>
      <c r="L64" s="209" t="s">
        <v>233</v>
      </c>
      <c r="M64" s="209" t="s">
        <v>309</v>
      </c>
      <c r="N64" s="230" t="s">
        <v>401</v>
      </c>
      <c r="O64" s="229" t="s">
        <v>376</v>
      </c>
      <c r="P64" s="233">
        <v>42</v>
      </c>
      <c r="Q64" s="228">
        <v>23.52</v>
      </c>
      <c r="R64" s="231" t="s">
        <v>7</v>
      </c>
      <c r="S64" s="121">
        <f t="shared" ca="1" si="37"/>
        <v>29.37</v>
      </c>
      <c r="T64" s="98">
        <f t="shared" ca="1" si="38"/>
        <v>1233.54</v>
      </c>
      <c r="U64" s="13" t="str">
        <f t="shared" ca="1" si="48"/>
        <v/>
      </c>
      <c r="V64" s="4" t="str">
        <f ca="1">IF(OR($A64=0,$A64="S",$A64&gt;CFF!$A$9),"",MAX(V$12:OFFSET(V64,-1,0))+1)</f>
        <v/>
      </c>
      <c r="W64" s="9" t="str">
        <f t="shared" si="49"/>
        <v>SINAPI-97633</v>
      </c>
      <c r="X64" s="4">
        <f t="shared" ca="1" si="39"/>
        <v>7075</v>
      </c>
      <c r="Y64" s="121">
        <f ca="1">IF(Import.Desoneracao="sim",Referencia.Desonerado,Referencia.NaoDesonerado)</f>
        <v>23.52</v>
      </c>
      <c r="Z64" s="132">
        <f ca="1">ROUND(IF(ISNUMBER(R64),R64,IF(LEFT(R64,3)="BDI",HLOOKUP(R64,DADOS!$T$37:$X$38,2,FALSE),0)),15-11*$X$5)</f>
        <v>0.2487</v>
      </c>
      <c r="AA64" s="4"/>
    </row>
    <row r="65" spans="1:27" ht="38.25" x14ac:dyDescent="0.2">
      <c r="A65" t="str">
        <f t="shared" si="40"/>
        <v>S</v>
      </c>
      <c r="B65">
        <f t="shared" si="41"/>
        <v>0</v>
      </c>
      <c r="C65">
        <f t="shared" ca="1" si="42"/>
        <v>1</v>
      </c>
      <c r="D65">
        <f t="shared" ca="1" si="43"/>
        <v>9</v>
      </c>
      <c r="E65">
        <f t="shared" ca="1" si="44"/>
        <v>2</v>
      </c>
      <c r="F65">
        <f t="shared" ca="1" si="45"/>
        <v>0</v>
      </c>
      <c r="G65">
        <f t="shared" ca="1" si="46"/>
        <v>2</v>
      </c>
      <c r="H65">
        <f ca="1">IF(OR($A65="S",$A65=0),0,MATCH(0,OFFSET($B65,1,$A65,ROW($A$139)-ROW($A65)),0))</f>
        <v>0</v>
      </c>
      <c r="I65">
        <f ca="1">IF(OR($A65="S",$A65=0),0,MATCH(OFFSET($B65,0,$A65)+1,OFFSET($B65,1,$A65,ROW($A$139)-ROW($A65)),0))</f>
        <v>0</v>
      </c>
      <c r="J65" s="120" t="s">
        <v>103</v>
      </c>
      <c r="K65" s="162" t="str">
        <f t="shared" ca="1" si="47"/>
        <v>1.9.2.2.</v>
      </c>
      <c r="L65" s="209" t="s">
        <v>233</v>
      </c>
      <c r="M65" s="209" t="s">
        <v>286</v>
      </c>
      <c r="N65" s="230" t="s">
        <v>402</v>
      </c>
      <c r="O65" s="229" t="s">
        <v>376</v>
      </c>
      <c r="P65" s="233">
        <v>56.49</v>
      </c>
      <c r="Q65" s="228">
        <v>42.89</v>
      </c>
      <c r="R65" s="231" t="s">
        <v>7</v>
      </c>
      <c r="S65" s="121">
        <f t="shared" ca="1" si="37"/>
        <v>53.56</v>
      </c>
      <c r="T65" s="98">
        <f t="shared" ca="1" si="38"/>
        <v>3025.6</v>
      </c>
      <c r="U65" s="13" t="str">
        <f t="shared" ca="1" si="48"/>
        <v/>
      </c>
      <c r="V65" s="4" t="str">
        <f ca="1">IF(OR($A65=0,$A65="S",$A65&gt;CFF!$A$9),"",MAX(V$12:OFFSET(V65,-1,0))+1)</f>
        <v/>
      </c>
      <c r="W65" s="9" t="str">
        <f t="shared" si="49"/>
        <v>SINAPI-87630</v>
      </c>
      <c r="X65" s="4">
        <f t="shared" ca="1" si="39"/>
        <v>6436</v>
      </c>
      <c r="Y65" s="121">
        <f ca="1">IF(Import.Desoneracao="sim",Referencia.Desonerado,Referencia.NaoDesonerado)</f>
        <v>42.89</v>
      </c>
      <c r="Z65" s="132">
        <f ca="1">ROUND(IF(ISNUMBER(R65),R65,IF(LEFT(R65,3)="BDI",HLOOKUP(R65,DADOS!$T$37:$X$38,2,FALSE),0)),15-11*$X$5)</f>
        <v>0.2487</v>
      </c>
      <c r="AA65" s="4"/>
    </row>
    <row r="66" spans="1:27" ht="38.25" x14ac:dyDescent="0.2">
      <c r="A66" t="str">
        <f t="shared" si="40"/>
        <v>S</v>
      </c>
      <c r="B66">
        <f t="shared" si="41"/>
        <v>0</v>
      </c>
      <c r="C66">
        <f t="shared" ca="1" si="42"/>
        <v>1</v>
      </c>
      <c r="D66">
        <f t="shared" ca="1" si="43"/>
        <v>9</v>
      </c>
      <c r="E66">
        <f t="shared" ca="1" si="44"/>
        <v>2</v>
      </c>
      <c r="F66">
        <f t="shared" ca="1" si="45"/>
        <v>0</v>
      </c>
      <c r="G66">
        <f t="shared" ca="1" si="46"/>
        <v>3</v>
      </c>
      <c r="H66">
        <f ca="1">IF(OR($A66="S",$A66=0),0,MATCH(0,OFFSET($B66,1,$A66,ROW($A$139)-ROW($A66)),0))</f>
        <v>0</v>
      </c>
      <c r="I66">
        <f ca="1">IF(OR($A66="S",$A66=0),0,MATCH(OFFSET($B66,0,$A66)+1,OFFSET($B66,1,$A66,ROW($A$139)-ROW($A66)),0))</f>
        <v>0</v>
      </c>
      <c r="J66" s="120" t="s">
        <v>103</v>
      </c>
      <c r="K66" s="162" t="str">
        <f t="shared" ca="1" si="47"/>
        <v>1.9.2.3.</v>
      </c>
      <c r="L66" s="209" t="s">
        <v>233</v>
      </c>
      <c r="M66" s="209" t="s">
        <v>287</v>
      </c>
      <c r="N66" s="230" t="s">
        <v>403</v>
      </c>
      <c r="O66" s="229" t="s">
        <v>376</v>
      </c>
      <c r="P66" s="233">
        <v>58.49</v>
      </c>
      <c r="Q66" s="228">
        <v>48.56</v>
      </c>
      <c r="R66" s="231" t="s">
        <v>7</v>
      </c>
      <c r="S66" s="121">
        <f t="shared" ca="1" si="37"/>
        <v>60.64</v>
      </c>
      <c r="T66" s="98">
        <f t="shared" ca="1" si="38"/>
        <v>3546.83</v>
      </c>
      <c r="U66" s="13" t="str">
        <f t="shared" ca="1" si="48"/>
        <v/>
      </c>
      <c r="V66" s="4" t="str">
        <f ca="1">IF(OR($A66=0,$A66="S",$A66&gt;CFF!$A$9),"",MAX(V$12:OFFSET(V66,-1,0))+1)</f>
        <v/>
      </c>
      <c r="W66" s="9" t="str">
        <f t="shared" si="49"/>
        <v>SINAPI-87251</v>
      </c>
      <c r="X66" s="4">
        <f t="shared" ca="1" si="39"/>
        <v>6354</v>
      </c>
      <c r="Y66" s="121">
        <f ca="1">IF(Import.Desoneracao="sim",Referencia.Desonerado,Referencia.NaoDesonerado)</f>
        <v>48.56</v>
      </c>
      <c r="Z66" s="132">
        <f ca="1">ROUND(IF(ISNUMBER(R66),R66,IF(LEFT(R66,3)="BDI",HLOOKUP(R66,DADOS!$T$37:$X$38,2,FALSE),0)),15-11*$X$5)</f>
        <v>0.2487</v>
      </c>
      <c r="AA66" s="4"/>
    </row>
    <row r="67" spans="1:27" ht="38.25" x14ac:dyDescent="0.2">
      <c r="A67" t="str">
        <f>CHOOSE(1+LOG(1+2*(J67="Meta")+4*(J67="Nível 2")+8*(J67="Nível 3")+16*(J67="Nível 4")+32*(J67="Serviço"),2),0,1,2,3,4,"S")</f>
        <v>S</v>
      </c>
      <c r="B67">
        <f>IF(OR(A67="S",A67=0),0,IF(ISERROR(I67),H67,SMALL(H67:I67,1)))</f>
        <v>0</v>
      </c>
      <c r="C67">
        <f ca="1">IF($A67=1,OFFSET(C67,-1,0)+1,OFFSET(C67,-1,0))</f>
        <v>1</v>
      </c>
      <c r="D67">
        <f ca="1">IF($A67=1,0,IF($A67=2,OFFSET(D67,-1,0)+1,OFFSET(D67,-1,0)))</f>
        <v>9</v>
      </c>
      <c r="E67">
        <f ca="1">IF(AND($A67&lt;=2,$A67&lt;&gt;0),0,IF($A67=3,OFFSET(E67,-1,0)+1,OFFSET(E67,-1,0)))</f>
        <v>2</v>
      </c>
      <c r="F67">
        <f ca="1">IF(AND($A67&lt;=3,$A67&lt;&gt;0),0,IF($A67=4,OFFSET(F67,-1,0)+1,OFFSET(F67,-1,0)))</f>
        <v>0</v>
      </c>
      <c r="G67">
        <f ca="1">IF(AND($A67&lt;=4,$A67&lt;&gt;0),0,IF($A67="S",OFFSET(G67,-1,0)+1,OFFSET(G67,-1,0)))</f>
        <v>4</v>
      </c>
      <c r="H67">
        <f ca="1">IF(OR($A67="S",$A67=0),0,MATCH(0,OFFSET($B67,1,$A67,ROW($A$139)-ROW($A67)),0))</f>
        <v>0</v>
      </c>
      <c r="I67">
        <f ca="1">IF(OR($A67="S",$A67=0),0,MATCH(OFFSET($B67,0,$A67)+1,OFFSET($B67,1,$A67,ROW($A$139)-ROW($A67)),0))</f>
        <v>0</v>
      </c>
      <c r="J67" s="120" t="s">
        <v>103</v>
      </c>
      <c r="K67" s="162" t="str">
        <f ca="1">IF($A67=0,"-",CONCATENATE(C67&amp;".",IF(AND($A$5&gt;=2,$A67&gt;=2),D67&amp;".",""),IF(AND($A$5&gt;=3,$A67&gt;=3),E67&amp;".",""),IF(AND($A$5&gt;=4,$A67&gt;=4),F67&amp;".",""),IF($A67="S",G67&amp;".","")))</f>
        <v>1.9.2.4.</v>
      </c>
      <c r="L67" s="209" t="s">
        <v>233</v>
      </c>
      <c r="M67" s="209" t="s">
        <v>332</v>
      </c>
      <c r="N67" s="230" t="s">
        <v>404</v>
      </c>
      <c r="O67" s="229" t="s">
        <v>376</v>
      </c>
      <c r="P67" s="233">
        <v>11.2</v>
      </c>
      <c r="Q67" s="228">
        <v>93.68</v>
      </c>
      <c r="R67" s="231" t="s">
        <v>7</v>
      </c>
      <c r="S67" s="121">
        <f ca="1">IF($A67="S",IF($Q$10="Preço Unitário (R$)",PO.CustoUnitario,ROUND(PO.CustoUnitario*(1+$Z67),15-13*$X$6)),0)</f>
        <v>116.98</v>
      </c>
      <c r="T67" s="98">
        <f ca="1">IF($A67="S",VTOTAL1,IF($A67=0,0,ROUND(SomaAgrup,15-13*$X$7)))</f>
        <v>1310.18</v>
      </c>
      <c r="U67" s="13" t="str">
        <f ca="1">IF($J67="","",IF($N67="","DESCRIÇÃO",IF(AND($J67="Serviço",$O67=""),"UNIDADE",IF($T67&lt;=0,"SEM VALOR",IF(AND($Y67&lt;&gt;"",$Q67&gt;$Y67),"ACIMA REF.","")))))</f>
        <v/>
      </c>
      <c r="V67" s="4" t="str">
        <f ca="1">IF(OR($A67=0,$A67="S",$A67&gt;CFF!$A$9),"",MAX(V$12:OFFSET(V67,-1,0))+1)</f>
        <v/>
      </c>
      <c r="W67" s="9" t="str">
        <f>IF(AND($J67="Serviço",$M67&lt;&gt;""),IF($L67="",$M67,CONCATENATE($L67,"-",$M67)))</f>
        <v>SINAPI-94994</v>
      </c>
      <c r="X67" s="4">
        <f ca="1">IF(AND(Fonte&lt;&gt;"",Código&lt;&gt;""),MATCH(Fonte&amp;" "&amp;IF(Fonte="sinapi",SUBSTITUTE(SUBSTITUTE(Código,"/00","/"),"/0","/"),Código),INDIRECT("'[Referência "&amp;_xlnm.Database&amp;".xls]Banco'!$a:$a"),0),"X")</f>
        <v>6427</v>
      </c>
      <c r="Y67" s="121">
        <f ca="1">IF(Import.Desoneracao="sim",Referencia.Desonerado,Referencia.NaoDesonerado)</f>
        <v>93.68</v>
      </c>
      <c r="Z67" s="132">
        <f ca="1">ROUND(IF(ISNUMBER(R67),R67,IF(LEFT(R67,3)="BDI",HLOOKUP(R67,DADOS!$T$37:$X$38,2,FALSE),0)),15-11*$X$5)</f>
        <v>0.2487</v>
      </c>
      <c r="AA67" s="4"/>
    </row>
    <row r="68" spans="1:27" x14ac:dyDescent="0.2">
      <c r="A68">
        <f t="shared" si="40"/>
        <v>2</v>
      </c>
      <c r="B68">
        <f t="shared" ca="1" si="41"/>
        <v>3</v>
      </c>
      <c r="C68">
        <f t="shared" ca="1" si="42"/>
        <v>1</v>
      </c>
      <c r="D68">
        <f t="shared" ca="1" si="43"/>
        <v>10</v>
      </c>
      <c r="E68">
        <f t="shared" ca="1" si="44"/>
        <v>0</v>
      </c>
      <c r="F68">
        <f t="shared" ca="1" si="45"/>
        <v>0</v>
      </c>
      <c r="G68">
        <f t="shared" ca="1" si="46"/>
        <v>0</v>
      </c>
      <c r="H68">
        <f ca="1">IF(OR($A68="S",$A68=0),0,MATCH(0,OFFSET($B68,1,$A68,ROW($A$139)-ROW($A68)),0))</f>
        <v>71</v>
      </c>
      <c r="I68">
        <f ca="1">IF(OR($A68="S",$A68=0),0,MATCH(OFFSET($B68,0,$A68)+1,OFFSET($B68,1,$A68,ROW($A$139)-ROW($A68)),0))</f>
        <v>3</v>
      </c>
      <c r="J68" s="120" t="s">
        <v>100</v>
      </c>
      <c r="K68" s="162" t="str">
        <f t="shared" ca="1" si="47"/>
        <v>1.10.</v>
      </c>
      <c r="L68" s="209"/>
      <c r="M68" s="209"/>
      <c r="N68" s="230" t="s">
        <v>239</v>
      </c>
      <c r="O68" s="229" t="str">
        <f ca="1">Referencia.Unidade</f>
        <v/>
      </c>
      <c r="P68" s="233"/>
      <c r="Q68" s="228">
        <v>0</v>
      </c>
      <c r="R68" s="231" t="s">
        <v>7</v>
      </c>
      <c r="S68" s="121">
        <f t="shared" si="37"/>
        <v>0</v>
      </c>
      <c r="T68" s="98">
        <f t="shared" ca="1" si="38"/>
        <v>21942.95</v>
      </c>
      <c r="U68" s="13" t="str">
        <f t="shared" ca="1" si="48"/>
        <v/>
      </c>
      <c r="V68" s="4">
        <f ca="1">IF(OR($A68=0,$A68="S",$A68&gt;CFF!$A$9),"",MAX(V$12:OFFSET(V68,-1,0))+1)</f>
        <v>11</v>
      </c>
      <c r="W68" s="9" t="b">
        <f t="shared" si="49"/>
        <v>0</v>
      </c>
      <c r="X68" s="4" t="str">
        <f t="shared" ca="1" si="39"/>
        <v>X</v>
      </c>
      <c r="Y68" s="121">
        <f ca="1">IF(Import.Desoneracao="sim",Referencia.Desonerado,Referencia.NaoDesonerado)</f>
        <v>0</v>
      </c>
      <c r="Z68" s="132">
        <f ca="1">ROUND(IF(ISNUMBER(R68),R68,IF(LEFT(R68,3)="BDI",HLOOKUP(R68,DADOS!$T$37:$X$38,2,FALSE),0)),15-11*$X$5)</f>
        <v>0.2487</v>
      </c>
      <c r="AA68" s="4"/>
    </row>
    <row r="69" spans="1:27" x14ac:dyDescent="0.2">
      <c r="A69">
        <f t="shared" si="40"/>
        <v>3</v>
      </c>
      <c r="B69">
        <f t="shared" ca="1" si="41"/>
        <v>2</v>
      </c>
      <c r="C69">
        <f t="shared" ca="1" si="42"/>
        <v>1</v>
      </c>
      <c r="D69">
        <f t="shared" ca="1" si="43"/>
        <v>10</v>
      </c>
      <c r="E69">
        <f t="shared" ca="1" si="44"/>
        <v>1</v>
      </c>
      <c r="F69">
        <f t="shared" ca="1" si="45"/>
        <v>0</v>
      </c>
      <c r="G69">
        <f t="shared" ca="1" si="46"/>
        <v>0</v>
      </c>
      <c r="H69">
        <f ca="1">IF(OR($A69="S",$A69=0),0,MATCH(0,OFFSET($B69,1,$A69,ROW($A$139)-ROW($A69)),0))</f>
        <v>2</v>
      </c>
      <c r="I69">
        <f ca="1">IF(OR($A69="S",$A69=0),0,MATCH(OFFSET($B69,0,$A69)+1,OFFSET($B69,1,$A69,ROW($A$139)-ROW($A69)),0))</f>
        <v>7</v>
      </c>
      <c r="J69" s="120" t="s">
        <v>101</v>
      </c>
      <c r="K69" s="162" t="str">
        <f t="shared" ca="1" si="47"/>
        <v>1.10.1.</v>
      </c>
      <c r="L69" s="209"/>
      <c r="M69" s="209"/>
      <c r="N69" s="230" t="s">
        <v>295</v>
      </c>
      <c r="O69" s="229" t="str">
        <f ca="1">Referencia.Unidade</f>
        <v/>
      </c>
      <c r="P69" s="233"/>
      <c r="Q69" s="228">
        <v>0</v>
      </c>
      <c r="R69" s="231" t="s">
        <v>7</v>
      </c>
      <c r="S69" s="121">
        <f t="shared" si="37"/>
        <v>0</v>
      </c>
      <c r="T69" s="98">
        <f t="shared" ca="1" si="38"/>
        <v>21942.95</v>
      </c>
      <c r="U69" s="13" t="str">
        <f t="shared" ca="1" si="48"/>
        <v/>
      </c>
      <c r="V69" s="4" t="str">
        <f ca="1">IF(OR($A69=0,$A69="S",$A69&gt;CFF!$A$9),"",MAX(V$12:OFFSET(V69,-1,0))+1)</f>
        <v/>
      </c>
      <c r="W69" s="9" t="b">
        <f t="shared" si="49"/>
        <v>0</v>
      </c>
      <c r="X69" s="4" t="str">
        <f t="shared" ca="1" si="39"/>
        <v>X</v>
      </c>
      <c r="Y69" s="121">
        <f ca="1">IF(Import.Desoneracao="sim",Referencia.Desonerado,Referencia.NaoDesonerado)</f>
        <v>0</v>
      </c>
      <c r="Z69" s="132">
        <f ca="1">ROUND(IF(ISNUMBER(R69),R69,IF(LEFT(R69,3)="BDI",HLOOKUP(R69,DADOS!$T$37:$X$38,2,FALSE),0)),15-11*$X$5)</f>
        <v>0.2487</v>
      </c>
      <c r="AA69" s="4"/>
    </row>
    <row r="70" spans="1:27" ht="25.5" x14ac:dyDescent="0.2">
      <c r="A70" t="str">
        <f t="shared" si="40"/>
        <v>S</v>
      </c>
      <c r="B70">
        <f t="shared" si="41"/>
        <v>0</v>
      </c>
      <c r="C70">
        <f t="shared" ca="1" si="42"/>
        <v>1</v>
      </c>
      <c r="D70">
        <f t="shared" ca="1" si="43"/>
        <v>10</v>
      </c>
      <c r="E70">
        <f t="shared" ca="1" si="44"/>
        <v>1</v>
      </c>
      <c r="F70">
        <f t="shared" ca="1" si="45"/>
        <v>0</v>
      </c>
      <c r="G70">
        <f t="shared" ca="1" si="46"/>
        <v>1</v>
      </c>
      <c r="H70">
        <f ca="1">IF(OR($A70="S",$A70=0),0,MATCH(0,OFFSET($B70,1,$A70,ROW($A$139)-ROW($A70)),0))</f>
        <v>0</v>
      </c>
      <c r="I70">
        <f ca="1">IF(OR($A70="S",$A70=0),0,MATCH(OFFSET($B70,0,$A70)+1,OFFSET($B70,1,$A70,ROW($A$139)-ROW($A70)),0))</f>
        <v>0</v>
      </c>
      <c r="J70" s="120" t="s">
        <v>103</v>
      </c>
      <c r="K70" s="162" t="str">
        <f t="shared" ca="1" si="47"/>
        <v>1.10.1.1.</v>
      </c>
      <c r="L70" s="209" t="s">
        <v>233</v>
      </c>
      <c r="M70" s="209" t="s">
        <v>327</v>
      </c>
      <c r="N70" s="230" t="s">
        <v>405</v>
      </c>
      <c r="O70" s="229" t="s">
        <v>376</v>
      </c>
      <c r="P70" s="233">
        <v>30.76</v>
      </c>
      <c r="Q70" s="228">
        <v>571.28</v>
      </c>
      <c r="R70" s="231" t="s">
        <v>7</v>
      </c>
      <c r="S70" s="121">
        <f t="shared" ca="1" si="37"/>
        <v>713.36</v>
      </c>
      <c r="T70" s="98">
        <f t="shared" ca="1" si="38"/>
        <v>21942.95</v>
      </c>
      <c r="U70" s="13" t="str">
        <f t="shared" ca="1" si="48"/>
        <v/>
      </c>
      <c r="V70" s="4" t="str">
        <f ca="1">IF(OR($A70=0,$A70="S",$A70&gt;CFF!$A$9),"",MAX(V$12:OFFSET(V70,-1,0))+1)</f>
        <v/>
      </c>
      <c r="W70" s="9" t="str">
        <f t="shared" si="49"/>
        <v>SINAPI-100701</v>
      </c>
      <c r="X70" s="4">
        <f t="shared" ca="1" si="39"/>
        <v>2233</v>
      </c>
      <c r="Y70" s="121">
        <f ca="1">IF(Import.Desoneracao="sim",Referencia.Desonerado,Referencia.NaoDesonerado)</f>
        <v>571.28</v>
      </c>
      <c r="Z70" s="132">
        <f ca="1">ROUND(IF(ISNUMBER(R70),R70,IF(LEFT(R70,3)="BDI",HLOOKUP(R70,DADOS!$T$37:$X$38,2,FALSE),0)),15-11*$X$5)</f>
        <v>0.2487</v>
      </c>
      <c r="AA70" s="4"/>
    </row>
    <row r="71" spans="1:27" x14ac:dyDescent="0.2">
      <c r="A71">
        <f t="shared" si="40"/>
        <v>2</v>
      </c>
      <c r="B71">
        <f t="shared" ca="1" si="41"/>
        <v>8</v>
      </c>
      <c r="C71">
        <f t="shared" ca="1" si="42"/>
        <v>1</v>
      </c>
      <c r="D71">
        <f t="shared" ca="1" si="43"/>
        <v>11</v>
      </c>
      <c r="E71">
        <f t="shared" ca="1" si="44"/>
        <v>0</v>
      </c>
      <c r="F71">
        <f t="shared" ca="1" si="45"/>
        <v>0</v>
      </c>
      <c r="G71">
        <f t="shared" ca="1" si="46"/>
        <v>0</v>
      </c>
      <c r="H71">
        <f ca="1">IF(OR($A71="S",$A71=0),0,MATCH(0,OFFSET($B71,1,$A71,ROW($A$139)-ROW($A71)),0))</f>
        <v>68</v>
      </c>
      <c r="I71">
        <f ca="1">IF(OR($A71="S",$A71=0),0,MATCH(OFFSET($B71,0,$A71)+1,OFFSET($B71,1,$A71,ROW($A$139)-ROW($A71)),0))</f>
        <v>8</v>
      </c>
      <c r="J71" s="120" t="s">
        <v>100</v>
      </c>
      <c r="K71" s="162" t="str">
        <f t="shared" ca="1" si="47"/>
        <v>1.11.</v>
      </c>
      <c r="L71" s="209"/>
      <c r="M71" s="209"/>
      <c r="N71" s="230" t="s">
        <v>240</v>
      </c>
      <c r="O71" s="229" t="str">
        <f ca="1">Referencia.Unidade</f>
        <v/>
      </c>
      <c r="P71" s="233"/>
      <c r="Q71" s="228">
        <v>0</v>
      </c>
      <c r="R71" s="231" t="s">
        <v>7</v>
      </c>
      <c r="S71" s="121">
        <f t="shared" ref="S71:S94" si="50">IF($A71="S",IF($Q$10="Preço Unitário (R$)",PO.CustoUnitario,ROUND(PO.CustoUnitario*(1+$Z71),15-13*$X$6)),0)</f>
        <v>0</v>
      </c>
      <c r="T71" s="98">
        <f t="shared" ref="T71:T94" ca="1" si="51">IF($A71="S",VTOTAL1,IF($A71=0,0,ROUND(SomaAgrup,15-13*$X$7)))</f>
        <v>61305.7</v>
      </c>
      <c r="U71" s="13" t="str">
        <f t="shared" ca="1" si="48"/>
        <v/>
      </c>
      <c r="V71" s="4">
        <f ca="1">IF(OR($A71=0,$A71="S",$A71&gt;CFF!$A$9),"",MAX(V$12:OFFSET(V71,-1,0))+1)</f>
        <v>12</v>
      </c>
      <c r="W71" s="9" t="b">
        <f t="shared" si="49"/>
        <v>0</v>
      </c>
      <c r="X71" s="4" t="str">
        <f t="shared" ref="X71:X94" ca="1" si="52">IF(AND(Fonte&lt;&gt;"",Código&lt;&gt;""),MATCH(Fonte&amp;" "&amp;IF(Fonte="sinapi",SUBSTITUTE(SUBSTITUTE(Código,"/00","/"),"/0","/"),Código),INDIRECT("'[Referência "&amp;_xlnm.Database&amp;".xls]Banco'!$a:$a"),0),"X")</f>
        <v>X</v>
      </c>
      <c r="Y71" s="121">
        <f ca="1">IF(Import.Desoneracao="sim",Referencia.Desonerado,Referencia.NaoDesonerado)</f>
        <v>0</v>
      </c>
      <c r="Z71" s="132">
        <f ca="1">ROUND(IF(ISNUMBER(R71),R71,IF(LEFT(R71,3)="BDI",HLOOKUP(R71,DADOS!$T$37:$X$38,2,FALSE),0)),15-11*$X$5)</f>
        <v>0.2487</v>
      </c>
      <c r="AA71" s="4"/>
    </row>
    <row r="72" spans="1:27" x14ac:dyDescent="0.2">
      <c r="A72">
        <f t="shared" si="40"/>
        <v>3</v>
      </c>
      <c r="B72">
        <f t="shared" ca="1" si="41"/>
        <v>4</v>
      </c>
      <c r="C72">
        <f t="shared" ca="1" si="42"/>
        <v>1</v>
      </c>
      <c r="D72">
        <f t="shared" ca="1" si="43"/>
        <v>11</v>
      </c>
      <c r="E72">
        <f t="shared" ca="1" si="44"/>
        <v>1</v>
      </c>
      <c r="F72">
        <f t="shared" ca="1" si="45"/>
        <v>0</v>
      </c>
      <c r="G72">
        <f t="shared" ca="1" si="46"/>
        <v>0</v>
      </c>
      <c r="H72">
        <f ca="1">IF(OR($A72="S",$A72=0),0,MATCH(0,OFFSET($B72,1,$A72,ROW($A$139)-ROW($A72)),0))</f>
        <v>7</v>
      </c>
      <c r="I72">
        <f ca="1">IF(OR($A72="S",$A72=0),0,MATCH(OFFSET($B72,0,$A72)+1,OFFSET($B72,1,$A72,ROW($A$139)-ROW($A72)),0))</f>
        <v>4</v>
      </c>
      <c r="J72" s="120" t="s">
        <v>101</v>
      </c>
      <c r="K72" s="162" t="str">
        <f t="shared" ca="1" si="47"/>
        <v>1.11.1.</v>
      </c>
      <c r="L72" s="209"/>
      <c r="M72" s="209"/>
      <c r="N72" s="230" t="s">
        <v>310</v>
      </c>
      <c r="O72" s="229" t="str">
        <f ca="1">Referencia.Unidade</f>
        <v/>
      </c>
      <c r="P72" s="233"/>
      <c r="Q72" s="228">
        <v>0</v>
      </c>
      <c r="R72" s="231" t="s">
        <v>7</v>
      </c>
      <c r="S72" s="121">
        <f t="shared" si="50"/>
        <v>0</v>
      </c>
      <c r="T72" s="98">
        <f t="shared" ca="1" si="51"/>
        <v>58317.9</v>
      </c>
      <c r="U72" s="13" t="str">
        <f t="shared" ca="1" si="48"/>
        <v/>
      </c>
      <c r="V72" s="4" t="str">
        <f ca="1">IF(OR($A72=0,$A72="S",$A72&gt;CFF!$A$9),"",MAX(V$12:OFFSET(V72,-1,0))+1)</f>
        <v/>
      </c>
      <c r="W72" s="9" t="b">
        <f t="shared" si="49"/>
        <v>0</v>
      </c>
      <c r="X72" s="4" t="str">
        <f t="shared" ca="1" si="52"/>
        <v>X</v>
      </c>
      <c r="Y72" s="121">
        <f ca="1">IF(Import.Desoneracao="sim",Referencia.Desonerado,Referencia.NaoDesonerado)</f>
        <v>0</v>
      </c>
      <c r="Z72" s="132">
        <f ca="1">ROUND(IF(ISNUMBER(R72),R72,IF(LEFT(R72,3)="BDI",HLOOKUP(R72,DADOS!$T$37:$X$38,2,FALSE),0)),15-11*$X$5)</f>
        <v>0.2487</v>
      </c>
      <c r="AA72" s="4"/>
    </row>
    <row r="73" spans="1:27" x14ac:dyDescent="0.2">
      <c r="A73" t="str">
        <f t="shared" si="40"/>
        <v>S</v>
      </c>
      <c r="B73">
        <f t="shared" si="41"/>
        <v>0</v>
      </c>
      <c r="C73">
        <f t="shared" ca="1" si="42"/>
        <v>1</v>
      </c>
      <c r="D73">
        <f t="shared" ca="1" si="43"/>
        <v>11</v>
      </c>
      <c r="E73">
        <f t="shared" ca="1" si="44"/>
        <v>1</v>
      </c>
      <c r="F73">
        <f t="shared" ca="1" si="45"/>
        <v>0</v>
      </c>
      <c r="G73">
        <f t="shared" ca="1" si="46"/>
        <v>1</v>
      </c>
      <c r="H73">
        <f ca="1">IF(OR($A73="S",$A73=0),0,MATCH(0,OFFSET($B73,1,$A73,ROW($A$139)-ROW($A73)),0))</f>
        <v>0</v>
      </c>
      <c r="I73">
        <f ca="1">IF(OR($A73="S",$A73=0),0,MATCH(OFFSET($B73,0,$A73)+1,OFFSET($B73,1,$A73,ROW($A$139)-ROW($A73)),0))</f>
        <v>0</v>
      </c>
      <c r="J73" s="120" t="s">
        <v>103</v>
      </c>
      <c r="K73" s="162" t="str">
        <f t="shared" ca="1" si="47"/>
        <v>1.11.1.1.</v>
      </c>
      <c r="L73" s="209" t="s">
        <v>233</v>
      </c>
      <c r="M73" s="209" t="s">
        <v>322</v>
      </c>
      <c r="N73" s="230" t="s">
        <v>406</v>
      </c>
      <c r="O73" s="229" t="s">
        <v>376</v>
      </c>
      <c r="P73" s="233">
        <v>641.23</v>
      </c>
      <c r="Q73" s="228">
        <v>3.55</v>
      </c>
      <c r="R73" s="231" t="s">
        <v>7</v>
      </c>
      <c r="S73" s="121">
        <f t="shared" ca="1" si="50"/>
        <v>4.43</v>
      </c>
      <c r="T73" s="98">
        <f t="shared" ca="1" si="51"/>
        <v>2840.65</v>
      </c>
      <c r="U73" s="13" t="str">
        <f t="shared" ca="1" si="48"/>
        <v/>
      </c>
      <c r="V73" s="4" t="str">
        <f ca="1">IF(OR($A73=0,$A73="S",$A73&gt;CFF!$A$9),"",MAX(V$12:OFFSET(V73,-1,0))+1)</f>
        <v/>
      </c>
      <c r="W73" s="9" t="str">
        <f t="shared" si="49"/>
        <v>SINAPI-102488</v>
      </c>
      <c r="X73" s="4">
        <f t="shared" ca="1" si="52"/>
        <v>6324</v>
      </c>
      <c r="Y73" s="121">
        <f ca="1">IF(Import.Desoneracao="sim",Referencia.Desonerado,Referencia.NaoDesonerado)</f>
        <v>3.55</v>
      </c>
      <c r="Z73" s="132">
        <f ca="1">ROUND(IF(ISNUMBER(R73),R73,IF(LEFT(R73,3)="BDI",HLOOKUP(R73,DADOS!$T$37:$X$38,2,FALSE),0)),15-11*$X$5)</f>
        <v>0.2487</v>
      </c>
      <c r="AA73" s="4"/>
    </row>
    <row r="74" spans="1:27" ht="25.5" x14ac:dyDescent="0.2">
      <c r="A74" t="str">
        <f t="shared" si="40"/>
        <v>S</v>
      </c>
      <c r="B74">
        <f t="shared" si="41"/>
        <v>0</v>
      </c>
      <c r="C74">
        <f t="shared" ca="1" si="42"/>
        <v>1</v>
      </c>
      <c r="D74">
        <f t="shared" ca="1" si="43"/>
        <v>11</v>
      </c>
      <c r="E74">
        <f t="shared" ca="1" si="44"/>
        <v>1</v>
      </c>
      <c r="F74">
        <f t="shared" ca="1" si="45"/>
        <v>0</v>
      </c>
      <c r="G74">
        <f t="shared" ca="1" si="46"/>
        <v>2</v>
      </c>
      <c r="H74">
        <f ca="1">IF(OR($A74="S",$A74=0),0,MATCH(0,OFFSET($B74,1,$A74,ROW($A$139)-ROW($A74)),0))</f>
        <v>0</v>
      </c>
      <c r="I74">
        <f ca="1">IF(OR($A74="S",$A74=0),0,MATCH(OFFSET($B74,0,$A74)+1,OFFSET($B74,1,$A74,ROW($A$139)-ROW($A74)),0))</f>
        <v>0</v>
      </c>
      <c r="J74" s="120" t="s">
        <v>103</v>
      </c>
      <c r="K74" s="162" t="str">
        <f t="shared" ca="1" si="47"/>
        <v>1.11.1.2.</v>
      </c>
      <c r="L74" s="209" t="s">
        <v>233</v>
      </c>
      <c r="M74" s="209" t="s">
        <v>320</v>
      </c>
      <c r="N74" s="230" t="s">
        <v>407</v>
      </c>
      <c r="O74" s="229" t="s">
        <v>376</v>
      </c>
      <c r="P74" s="233">
        <v>641.23</v>
      </c>
      <c r="Q74" s="228">
        <v>64.22</v>
      </c>
      <c r="R74" s="231" t="s">
        <v>7</v>
      </c>
      <c r="S74" s="121">
        <f t="shared" ca="1" si="50"/>
        <v>80.19</v>
      </c>
      <c r="T74" s="98">
        <f t="shared" ca="1" si="51"/>
        <v>51420.23</v>
      </c>
      <c r="U74" s="13" t="str">
        <f t="shared" ca="1" si="48"/>
        <v/>
      </c>
      <c r="V74" s="4" t="str">
        <f ca="1">IF(OR($A74=0,$A74="S",$A74&gt;CFF!$A$9),"",MAX(V$12:OFFSET(V74,-1,0))+1)</f>
        <v/>
      </c>
      <c r="W74" s="9" t="str">
        <f t="shared" si="49"/>
        <v>SINAPI-102494</v>
      </c>
      <c r="X74" s="4">
        <f t="shared" ca="1" si="52"/>
        <v>6328</v>
      </c>
      <c r="Y74" s="121">
        <f ca="1">IF(Import.Desoneracao="sim",Referencia.Desonerado,Referencia.NaoDesonerado)</f>
        <v>64.22</v>
      </c>
      <c r="Z74" s="132">
        <f ca="1">ROUND(IF(ISNUMBER(R74),R74,IF(LEFT(R74,3)="BDI",HLOOKUP(R74,DADOS!$T$37:$X$38,2,FALSE),0)),15-11*$X$5)</f>
        <v>0.2487</v>
      </c>
      <c r="AA74" s="4"/>
    </row>
    <row r="75" spans="1:27" ht="25.5" x14ac:dyDescent="0.2">
      <c r="A75" t="str">
        <f t="shared" si="40"/>
        <v>S</v>
      </c>
      <c r="B75">
        <f t="shared" si="41"/>
        <v>0</v>
      </c>
      <c r="C75">
        <f t="shared" ca="1" si="42"/>
        <v>1</v>
      </c>
      <c r="D75">
        <f t="shared" ca="1" si="43"/>
        <v>11</v>
      </c>
      <c r="E75">
        <f t="shared" ca="1" si="44"/>
        <v>1</v>
      </c>
      <c r="F75">
        <f t="shared" ca="1" si="45"/>
        <v>0</v>
      </c>
      <c r="G75">
        <f t="shared" ca="1" si="46"/>
        <v>3</v>
      </c>
      <c r="H75">
        <f ca="1">IF(OR($A75="S",$A75=0),0,MATCH(0,OFFSET($B75,1,$A75,ROW($A$139)-ROW($A75)),0))</f>
        <v>0</v>
      </c>
      <c r="I75">
        <f ca="1">IF(OR($A75="S",$A75=0),0,MATCH(OFFSET($B75,0,$A75)+1,OFFSET($B75,1,$A75,ROW($A$139)-ROW($A75)),0))</f>
        <v>0</v>
      </c>
      <c r="J75" s="120" t="s">
        <v>103</v>
      </c>
      <c r="K75" s="162" t="str">
        <f t="shared" ca="1" si="47"/>
        <v>1.11.1.3.</v>
      </c>
      <c r="L75" s="209" t="s">
        <v>233</v>
      </c>
      <c r="M75" s="209" t="s">
        <v>321</v>
      </c>
      <c r="N75" s="230" t="s">
        <v>408</v>
      </c>
      <c r="O75" s="229" t="s">
        <v>370</v>
      </c>
      <c r="P75" s="233">
        <v>297</v>
      </c>
      <c r="Q75" s="228">
        <v>10.94</v>
      </c>
      <c r="R75" s="231" t="s">
        <v>7</v>
      </c>
      <c r="S75" s="121">
        <f t="shared" ca="1" si="50"/>
        <v>13.66</v>
      </c>
      <c r="T75" s="98">
        <f t="shared" ca="1" si="51"/>
        <v>4057.02</v>
      </c>
      <c r="U75" s="13" t="str">
        <f t="shared" ca="1" si="48"/>
        <v/>
      </c>
      <c r="V75" s="4" t="str">
        <f ca="1">IF(OR($A75=0,$A75="S",$A75&gt;CFF!$A$9),"",MAX(V$12:OFFSET(V75,-1,0))+1)</f>
        <v/>
      </c>
      <c r="W75" s="9" t="str">
        <f t="shared" si="49"/>
        <v>SINAPI-102506</v>
      </c>
      <c r="X75" s="4">
        <f t="shared" ca="1" si="52"/>
        <v>6337</v>
      </c>
      <c r="Y75" s="121">
        <f ca="1">IF(Import.Desoneracao="sim",Referencia.Desonerado,Referencia.NaoDesonerado)</f>
        <v>10.94</v>
      </c>
      <c r="Z75" s="132">
        <f ca="1">ROUND(IF(ISNUMBER(R75),R75,IF(LEFT(R75,3)="BDI",HLOOKUP(R75,DADOS!$T$37:$X$38,2,FALSE),0)),15-11*$X$5)</f>
        <v>0.2487</v>
      </c>
      <c r="AA75" s="4"/>
    </row>
    <row r="76" spans="1:27" x14ac:dyDescent="0.2">
      <c r="A76">
        <f t="shared" si="40"/>
        <v>3</v>
      </c>
      <c r="B76">
        <f t="shared" ca="1" si="41"/>
        <v>3</v>
      </c>
      <c r="C76">
        <f t="shared" ca="1" si="42"/>
        <v>1</v>
      </c>
      <c r="D76">
        <f t="shared" ca="1" si="43"/>
        <v>11</v>
      </c>
      <c r="E76">
        <f t="shared" ca="1" si="44"/>
        <v>2</v>
      </c>
      <c r="F76">
        <f t="shared" ca="1" si="45"/>
        <v>0</v>
      </c>
      <c r="G76">
        <f t="shared" ca="1" si="46"/>
        <v>0</v>
      </c>
      <c r="H76">
        <f ca="1">IF(OR($A76="S",$A76=0),0,MATCH(0,OFFSET($B76,1,$A76,ROW($A$139)-ROW($A76)),0))</f>
        <v>3</v>
      </c>
      <c r="I76">
        <f ca="1">IF(OR($A76="S",$A76=0),0,MATCH(OFFSET($B76,0,$A76)+1,OFFSET($B76,1,$A76,ROW($A$139)-ROW($A76)),0))</f>
        <v>15</v>
      </c>
      <c r="J76" s="120" t="s">
        <v>101</v>
      </c>
      <c r="K76" s="162" t="str">
        <f t="shared" ca="1" si="47"/>
        <v>1.11.2.</v>
      </c>
      <c r="L76" s="209"/>
      <c r="M76" s="209"/>
      <c r="N76" s="230" t="s">
        <v>311</v>
      </c>
      <c r="O76" s="229" t="str">
        <f ca="1">Referencia.Unidade</f>
        <v/>
      </c>
      <c r="P76" s="233"/>
      <c r="Q76" s="228">
        <v>0</v>
      </c>
      <c r="R76" s="231" t="s">
        <v>7</v>
      </c>
      <c r="S76" s="121">
        <f t="shared" si="50"/>
        <v>0</v>
      </c>
      <c r="T76" s="98">
        <f t="shared" ca="1" si="51"/>
        <v>2987.8</v>
      </c>
      <c r="U76" s="13" t="str">
        <f t="shared" ca="1" si="48"/>
        <v/>
      </c>
      <c r="V76" s="4" t="str">
        <f ca="1">IF(OR($A76=0,$A76="S",$A76&gt;CFF!$A$9),"",MAX(V$12:OFFSET(V76,-1,0))+1)</f>
        <v/>
      </c>
      <c r="W76" s="9" t="b">
        <f t="shared" si="49"/>
        <v>0</v>
      </c>
      <c r="X76" s="4" t="str">
        <f t="shared" ca="1" si="52"/>
        <v>X</v>
      </c>
      <c r="Y76" s="121">
        <f ca="1">IF(Import.Desoneracao="sim",Referencia.Desonerado,Referencia.NaoDesonerado)</f>
        <v>0</v>
      </c>
      <c r="Z76" s="132">
        <f ca="1">ROUND(IF(ISNUMBER(R76),R76,IF(LEFT(R76,3)="BDI",HLOOKUP(R76,DADOS!$T$37:$X$38,2,FALSE),0)),15-11*$X$5)</f>
        <v>0.2487</v>
      </c>
      <c r="AA76" s="4"/>
    </row>
    <row r="77" spans="1:27" ht="25.5" x14ac:dyDescent="0.2">
      <c r="A77" t="str">
        <f t="shared" si="40"/>
        <v>S</v>
      </c>
      <c r="B77">
        <f t="shared" si="41"/>
        <v>0</v>
      </c>
      <c r="C77">
        <f t="shared" ca="1" si="42"/>
        <v>1</v>
      </c>
      <c r="D77">
        <f t="shared" ca="1" si="43"/>
        <v>11</v>
      </c>
      <c r="E77">
        <f t="shared" ca="1" si="44"/>
        <v>2</v>
      </c>
      <c r="F77">
        <f t="shared" ca="1" si="45"/>
        <v>0</v>
      </c>
      <c r="G77">
        <f t="shared" ca="1" si="46"/>
        <v>1</v>
      </c>
      <c r="H77">
        <f ca="1">IF(OR($A77="S",$A77=0),0,MATCH(0,OFFSET($B77,1,$A77,ROW($A$139)-ROW($A77)),0))</f>
        <v>0</v>
      </c>
      <c r="I77">
        <f ca="1">IF(OR($A77="S",$A77=0),0,MATCH(OFFSET($B77,0,$A77)+1,OFFSET($B77,1,$A77,ROW($A$139)-ROW($A77)),0))</f>
        <v>0</v>
      </c>
      <c r="J77" s="120" t="s">
        <v>103</v>
      </c>
      <c r="K77" s="162" t="str">
        <f t="shared" ca="1" si="47"/>
        <v>1.11.2.1.</v>
      </c>
      <c r="L77" s="209" t="s">
        <v>233</v>
      </c>
      <c r="M77" s="209" t="s">
        <v>241</v>
      </c>
      <c r="N77" s="230" t="s">
        <v>409</v>
      </c>
      <c r="O77" s="229" t="s">
        <v>376</v>
      </c>
      <c r="P77" s="233">
        <v>57.8</v>
      </c>
      <c r="Q77" s="228">
        <v>13.69</v>
      </c>
      <c r="R77" s="231" t="s">
        <v>7</v>
      </c>
      <c r="S77" s="121">
        <f t="shared" ca="1" si="50"/>
        <v>17.09</v>
      </c>
      <c r="T77" s="98">
        <f t="shared" ca="1" si="51"/>
        <v>987.8</v>
      </c>
      <c r="U77" s="13" t="str">
        <f t="shared" ca="1" si="48"/>
        <v/>
      </c>
      <c r="V77" s="4" t="str">
        <f ca="1">IF(OR($A77=0,$A77="S",$A77&gt;CFF!$A$9),"",MAX(V$12:OFFSET(V77,-1,0))+1)</f>
        <v/>
      </c>
      <c r="W77" s="9" t="str">
        <f t="shared" si="49"/>
        <v>SINAPI-88489</v>
      </c>
      <c r="X77" s="4">
        <f t="shared" ca="1" si="52"/>
        <v>6228</v>
      </c>
      <c r="Y77" s="121">
        <f ca="1">IF(Import.Desoneracao="sim",Referencia.Desonerado,Referencia.NaoDesonerado)</f>
        <v>13.69</v>
      </c>
      <c r="Z77" s="132">
        <f ca="1">ROUND(IF(ISNUMBER(R77),R77,IF(LEFT(R77,3)="BDI",HLOOKUP(R77,DADOS!$T$37:$X$38,2,FALSE),0)),15-11*$X$5)</f>
        <v>0.2487</v>
      </c>
      <c r="AA77" s="4"/>
    </row>
    <row r="78" spans="1:27" ht="25.5" x14ac:dyDescent="0.2">
      <c r="A78" t="str">
        <f t="shared" si="40"/>
        <v>S</v>
      </c>
      <c r="B78">
        <f t="shared" si="41"/>
        <v>0</v>
      </c>
      <c r="C78">
        <f t="shared" ca="1" si="42"/>
        <v>1</v>
      </c>
      <c r="D78">
        <f t="shared" ca="1" si="43"/>
        <v>11</v>
      </c>
      <c r="E78">
        <f t="shared" ca="1" si="44"/>
        <v>2</v>
      </c>
      <c r="F78">
        <f t="shared" ca="1" si="45"/>
        <v>0</v>
      </c>
      <c r="G78">
        <f t="shared" ca="1" si="46"/>
        <v>2</v>
      </c>
      <c r="H78">
        <f ca="1">IF(OR($A78="S",$A78=0),0,MATCH(0,OFFSET($B78,1,$A78,ROW($A$139)-ROW($A78)),0))</f>
        <v>0</v>
      </c>
      <c r="I78">
        <f ca="1">IF(OR($A78="S",$A78=0),0,MATCH(OFFSET($B78,0,$A78)+1,OFFSET($B78,1,$A78,ROW($A$139)-ROW($A78)),0))</f>
        <v>0</v>
      </c>
      <c r="J78" s="120" t="s">
        <v>103</v>
      </c>
      <c r="K78" s="162" t="str">
        <f t="shared" ca="1" si="47"/>
        <v>1.11.2.2.</v>
      </c>
      <c r="L78" s="209" t="s">
        <v>233</v>
      </c>
      <c r="M78" s="209" t="s">
        <v>242</v>
      </c>
      <c r="N78" s="230" t="s">
        <v>410</v>
      </c>
      <c r="O78" s="229" t="s">
        <v>376</v>
      </c>
      <c r="P78" s="233">
        <v>100</v>
      </c>
      <c r="Q78" s="228">
        <v>16.02</v>
      </c>
      <c r="R78" s="231" t="s">
        <v>7</v>
      </c>
      <c r="S78" s="121">
        <f t="shared" ca="1" si="50"/>
        <v>20</v>
      </c>
      <c r="T78" s="98">
        <f t="shared" ca="1" si="51"/>
        <v>2000</v>
      </c>
      <c r="U78" s="13" t="str">
        <f t="shared" ca="1" si="48"/>
        <v/>
      </c>
      <c r="V78" s="4" t="str">
        <f ca="1">IF(OR($A78=0,$A78="S",$A78&gt;CFF!$A$9),"",MAX(V$12:OFFSET(V78,-1,0))+1)</f>
        <v/>
      </c>
      <c r="W78" s="9" t="str">
        <f t="shared" si="49"/>
        <v>SINAPI-102220</v>
      </c>
      <c r="X78" s="4">
        <f t="shared" ca="1" si="52"/>
        <v>6273</v>
      </c>
      <c r="Y78" s="121">
        <f ca="1">IF(Import.Desoneracao="sim",Referencia.Desonerado,Referencia.NaoDesonerado)</f>
        <v>16.02</v>
      </c>
      <c r="Z78" s="132">
        <f ca="1">ROUND(IF(ISNUMBER(R78),R78,IF(LEFT(R78,3)="BDI",HLOOKUP(R78,DADOS!$T$37:$X$38,2,FALSE),0)),15-11*$X$5)</f>
        <v>0.2487</v>
      </c>
      <c r="AA78" s="4"/>
    </row>
    <row r="79" spans="1:27" x14ac:dyDescent="0.2">
      <c r="A79">
        <f t="shared" si="40"/>
        <v>2</v>
      </c>
      <c r="B79">
        <f t="shared" ca="1" si="41"/>
        <v>22</v>
      </c>
      <c r="C79">
        <f t="shared" ca="1" si="42"/>
        <v>1</v>
      </c>
      <c r="D79">
        <f t="shared" ca="1" si="43"/>
        <v>12</v>
      </c>
      <c r="E79">
        <f t="shared" ca="1" si="44"/>
        <v>0</v>
      </c>
      <c r="F79">
        <f t="shared" ca="1" si="45"/>
        <v>0</v>
      </c>
      <c r="G79">
        <f t="shared" ca="1" si="46"/>
        <v>0</v>
      </c>
      <c r="H79">
        <f ca="1">IF(OR($A79="S",$A79=0),0,MATCH(0,OFFSET($B79,1,$A79,ROW($A$139)-ROW($A79)),0))</f>
        <v>60</v>
      </c>
      <c r="I79">
        <f ca="1">IF(OR($A79="S",$A79=0),0,MATCH(OFFSET($B79,0,$A79)+1,OFFSET($B79,1,$A79,ROW($A$139)-ROW($A79)),0))</f>
        <v>22</v>
      </c>
      <c r="J79" s="120" t="s">
        <v>100</v>
      </c>
      <c r="K79" s="162" t="str">
        <f t="shared" ca="1" si="47"/>
        <v>1.12.</v>
      </c>
      <c r="L79" s="209"/>
      <c r="M79" s="209"/>
      <c r="N79" s="230" t="s">
        <v>253</v>
      </c>
      <c r="O79" s="229" t="str">
        <f ca="1">Referencia.Unidade</f>
        <v/>
      </c>
      <c r="P79" s="233"/>
      <c r="Q79" s="228">
        <v>0</v>
      </c>
      <c r="R79" s="231" t="s">
        <v>7</v>
      </c>
      <c r="S79" s="121">
        <f t="shared" si="50"/>
        <v>0</v>
      </c>
      <c r="T79" s="98">
        <f t="shared" ca="1" si="51"/>
        <v>6248.87</v>
      </c>
      <c r="U79" s="13" t="str">
        <f t="shared" ca="1" si="48"/>
        <v/>
      </c>
      <c r="V79" s="4">
        <f ca="1">IF(OR($A79=0,$A79="S",$A79&gt;CFF!$A$9),"",MAX(V$12:OFFSET(V79,-1,0))+1)</f>
        <v>13</v>
      </c>
      <c r="W79" s="9" t="b">
        <f t="shared" si="49"/>
        <v>0</v>
      </c>
      <c r="X79" s="4" t="str">
        <f t="shared" ca="1" si="52"/>
        <v>X</v>
      </c>
      <c r="Y79" s="121">
        <f ca="1">IF(Import.Desoneracao="sim",Referencia.Desonerado,Referencia.NaoDesonerado)</f>
        <v>0</v>
      </c>
      <c r="Z79" s="132">
        <f ca="1">ROUND(IF(ISNUMBER(R79),R79,IF(LEFT(R79,3)="BDI",HLOOKUP(R79,DADOS!$T$37:$X$38,2,FALSE),0)),15-11*$X$5)</f>
        <v>0.2487</v>
      </c>
      <c r="AA79" s="4"/>
    </row>
    <row r="80" spans="1:27" x14ac:dyDescent="0.2">
      <c r="A80">
        <f t="shared" si="40"/>
        <v>3</v>
      </c>
      <c r="B80">
        <f t="shared" ca="1" si="41"/>
        <v>3</v>
      </c>
      <c r="C80">
        <f t="shared" ca="1" si="42"/>
        <v>1</v>
      </c>
      <c r="D80">
        <f t="shared" ca="1" si="43"/>
        <v>12</v>
      </c>
      <c r="E80">
        <f t="shared" ca="1" si="44"/>
        <v>1</v>
      </c>
      <c r="F80">
        <f t="shared" ca="1" si="45"/>
        <v>0</v>
      </c>
      <c r="G80">
        <f t="shared" ca="1" si="46"/>
        <v>0</v>
      </c>
      <c r="H80">
        <f ca="1">IF(OR($A80="S",$A80=0),0,MATCH(0,OFFSET($B80,1,$A80,ROW($A$139)-ROW($A80)),0))</f>
        <v>21</v>
      </c>
      <c r="I80">
        <f ca="1">IF(OR($A80="S",$A80=0),0,MATCH(OFFSET($B80,0,$A80)+1,OFFSET($B80,1,$A80,ROW($A$139)-ROW($A80)),0))</f>
        <v>3</v>
      </c>
      <c r="J80" s="120" t="s">
        <v>101</v>
      </c>
      <c r="K80" s="162" t="str">
        <f t="shared" ca="1" si="47"/>
        <v>1.12.1.</v>
      </c>
      <c r="L80" s="209"/>
      <c r="M80" s="209"/>
      <c r="N80" s="230" t="s">
        <v>249</v>
      </c>
      <c r="O80" s="229" t="str">
        <f ca="1">Referencia.Unidade</f>
        <v/>
      </c>
      <c r="P80" s="233"/>
      <c r="Q80" s="228">
        <v>0</v>
      </c>
      <c r="R80" s="231" t="s">
        <v>7</v>
      </c>
      <c r="S80" s="121">
        <f t="shared" si="50"/>
        <v>0</v>
      </c>
      <c r="T80" s="98">
        <f t="shared" ca="1" si="51"/>
        <v>75.510000000000005</v>
      </c>
      <c r="U80" s="13" t="str">
        <f t="shared" ca="1" si="48"/>
        <v/>
      </c>
      <c r="V80" s="4" t="str">
        <f ca="1">IF(OR($A80=0,$A80="S",$A80&gt;CFF!$A$9),"",MAX(V$12:OFFSET(V80,-1,0))+1)</f>
        <v/>
      </c>
      <c r="W80" s="9" t="b">
        <f t="shared" si="49"/>
        <v>0</v>
      </c>
      <c r="X80" s="4" t="str">
        <f t="shared" ca="1" si="52"/>
        <v>X</v>
      </c>
      <c r="Y80" s="121">
        <f ca="1">IF(Import.Desoneracao="sim",Referencia.Desonerado,Referencia.NaoDesonerado)</f>
        <v>0</v>
      </c>
      <c r="Z80" s="132">
        <f ca="1">ROUND(IF(ISNUMBER(R80),R80,IF(LEFT(R80,3)="BDI",HLOOKUP(R80,DADOS!$T$37:$X$38,2,FALSE),0)),15-11*$X$5)</f>
        <v>0.2487</v>
      </c>
      <c r="AA80" s="4"/>
    </row>
    <row r="81" spans="1:27" ht="25.5" x14ac:dyDescent="0.2">
      <c r="A81" t="str">
        <f t="shared" si="40"/>
        <v>S</v>
      </c>
      <c r="B81">
        <f t="shared" si="41"/>
        <v>0</v>
      </c>
      <c r="C81">
        <f t="shared" ca="1" si="42"/>
        <v>1</v>
      </c>
      <c r="D81">
        <f t="shared" ca="1" si="43"/>
        <v>12</v>
      </c>
      <c r="E81">
        <f t="shared" ca="1" si="44"/>
        <v>1</v>
      </c>
      <c r="F81">
        <f t="shared" ca="1" si="45"/>
        <v>0</v>
      </c>
      <c r="G81">
        <f t="shared" ca="1" si="46"/>
        <v>1</v>
      </c>
      <c r="H81">
        <f ca="1">IF(OR($A81="S",$A81=0),0,MATCH(0,OFFSET($B81,1,$A81,ROW($A$139)-ROW($A81)),0))</f>
        <v>0</v>
      </c>
      <c r="I81">
        <f ca="1">IF(OR($A81="S",$A81=0),0,MATCH(OFFSET($B81,0,$A81)+1,OFFSET($B81,1,$A81,ROW($A$139)-ROW($A81)),0))</f>
        <v>0</v>
      </c>
      <c r="J81" s="120" t="s">
        <v>103</v>
      </c>
      <c r="K81" s="162" t="str">
        <f t="shared" ca="1" si="47"/>
        <v>1.12.1.1.</v>
      </c>
      <c r="L81" s="232" t="s">
        <v>233</v>
      </c>
      <c r="M81" s="232" t="s">
        <v>245</v>
      </c>
      <c r="N81" s="230" t="s">
        <v>411</v>
      </c>
      <c r="O81" s="229" t="s">
        <v>394</v>
      </c>
      <c r="P81" s="233">
        <v>3</v>
      </c>
      <c r="Q81" s="228">
        <v>11.56</v>
      </c>
      <c r="R81" s="231" t="s">
        <v>7</v>
      </c>
      <c r="S81" s="121">
        <f t="shared" ca="1" si="50"/>
        <v>14.43</v>
      </c>
      <c r="T81" s="98">
        <f t="shared" ca="1" si="51"/>
        <v>43.29</v>
      </c>
      <c r="U81" s="13" t="str">
        <f t="shared" ca="1" si="48"/>
        <v/>
      </c>
      <c r="V81" s="4" t="str">
        <f ca="1">IF(OR($A81=0,$A81="S",$A81&gt;CFF!$A$9),"",MAX(V$12:OFFSET(V81,-1,0))+1)</f>
        <v/>
      </c>
      <c r="W81" s="9" t="str">
        <f t="shared" si="49"/>
        <v>SINAPI-93654</v>
      </c>
      <c r="X81" s="4">
        <f t="shared" ca="1" si="52"/>
        <v>3150</v>
      </c>
      <c r="Y81" s="121">
        <f ca="1">IF(Import.Desoneracao="sim",Referencia.Desonerado,Referencia.NaoDesonerado)</f>
        <v>11.56</v>
      </c>
      <c r="Z81" s="132">
        <f ca="1">ROUND(IF(ISNUMBER(R81),R81,IF(LEFT(R81,3)="BDI",HLOOKUP(R81,DADOS!$T$37:$X$38,2,FALSE),0)),15-11*$X$5)</f>
        <v>0.2487</v>
      </c>
      <c r="AA81" s="4"/>
    </row>
    <row r="82" spans="1:27" ht="25.5" x14ac:dyDescent="0.2">
      <c r="A82" t="str">
        <f t="shared" si="40"/>
        <v>S</v>
      </c>
      <c r="B82">
        <f t="shared" si="41"/>
        <v>0</v>
      </c>
      <c r="C82">
        <f t="shared" ca="1" si="42"/>
        <v>1</v>
      </c>
      <c r="D82">
        <f t="shared" ca="1" si="43"/>
        <v>12</v>
      </c>
      <c r="E82">
        <f t="shared" ca="1" si="44"/>
        <v>1</v>
      </c>
      <c r="F82">
        <f t="shared" ca="1" si="45"/>
        <v>0</v>
      </c>
      <c r="G82">
        <f t="shared" ca="1" si="46"/>
        <v>2</v>
      </c>
      <c r="H82">
        <f ca="1">IF(OR($A82="S",$A82=0),0,MATCH(0,OFFSET($B82,1,$A82,ROW($A$139)-ROW($A82)),0))</f>
        <v>0</v>
      </c>
      <c r="I82">
        <f ca="1">IF(OR($A82="S",$A82=0),0,MATCH(OFFSET($B82,0,$A82)+1,OFFSET($B82,1,$A82,ROW($A$139)-ROW($A82)),0))</f>
        <v>0</v>
      </c>
      <c r="J82" s="120" t="s">
        <v>103</v>
      </c>
      <c r="K82" s="162" t="str">
        <f t="shared" ca="1" si="47"/>
        <v>1.12.1.2.</v>
      </c>
      <c r="L82" s="232" t="s">
        <v>233</v>
      </c>
      <c r="M82" s="232" t="s">
        <v>288</v>
      </c>
      <c r="N82" s="230" t="s">
        <v>412</v>
      </c>
      <c r="O82" s="229" t="s">
        <v>394</v>
      </c>
      <c r="P82" s="233">
        <v>2</v>
      </c>
      <c r="Q82" s="228">
        <v>12.9</v>
      </c>
      <c r="R82" s="231" t="s">
        <v>7</v>
      </c>
      <c r="S82" s="121">
        <f t="shared" ca="1" si="50"/>
        <v>16.11</v>
      </c>
      <c r="T82" s="98">
        <f t="shared" ca="1" si="51"/>
        <v>32.22</v>
      </c>
      <c r="U82" s="13" t="str">
        <f t="shared" ca="1" si="48"/>
        <v/>
      </c>
      <c r="V82" s="4" t="str">
        <f ca="1">IF(OR($A82=0,$A82="S",$A82&gt;CFF!$A$9),"",MAX(V$12:OFFSET(V82,-1,0))+1)</f>
        <v/>
      </c>
      <c r="W82" s="9" t="str">
        <f t="shared" si="49"/>
        <v>SINAPI-93656</v>
      </c>
      <c r="X82" s="4">
        <f t="shared" ca="1" si="52"/>
        <v>3152</v>
      </c>
      <c r="Y82" s="121">
        <f ca="1">IF(Import.Desoneracao="sim",Referencia.Desonerado,Referencia.NaoDesonerado)</f>
        <v>12.9</v>
      </c>
      <c r="Z82" s="132">
        <f ca="1">ROUND(IF(ISNUMBER(R82),R82,IF(LEFT(R82,3)="BDI",HLOOKUP(R82,DADOS!$T$37:$X$38,2,FALSE),0)),15-11*$X$5)</f>
        <v>0.2487</v>
      </c>
      <c r="AA82" s="4"/>
    </row>
    <row r="83" spans="1:27" x14ac:dyDescent="0.2">
      <c r="A83">
        <f t="shared" si="40"/>
        <v>3</v>
      </c>
      <c r="B83">
        <f t="shared" ca="1" si="41"/>
        <v>8</v>
      </c>
      <c r="C83">
        <f t="shared" ca="1" si="42"/>
        <v>1</v>
      </c>
      <c r="D83">
        <f t="shared" ca="1" si="43"/>
        <v>12</v>
      </c>
      <c r="E83">
        <f t="shared" ca="1" si="44"/>
        <v>2</v>
      </c>
      <c r="F83">
        <f t="shared" ca="1" si="45"/>
        <v>0</v>
      </c>
      <c r="G83">
        <f t="shared" ca="1" si="46"/>
        <v>0</v>
      </c>
      <c r="H83">
        <f ca="1">IF(OR($A83="S",$A83=0),0,MATCH(0,OFFSET($B83,1,$A83,ROW($A$139)-ROW($A83)),0))</f>
        <v>18</v>
      </c>
      <c r="I83">
        <f ca="1">IF(OR($A83="S",$A83=0),0,MATCH(OFFSET($B83,0,$A83)+1,OFFSET($B83,1,$A83,ROW($A$139)-ROW($A83)),0))</f>
        <v>8</v>
      </c>
      <c r="J83" s="120" t="s">
        <v>101</v>
      </c>
      <c r="K83" s="162" t="str">
        <f t="shared" ca="1" si="47"/>
        <v>1.12.2.</v>
      </c>
      <c r="L83" s="209"/>
      <c r="M83" s="209"/>
      <c r="N83" s="230" t="s">
        <v>250</v>
      </c>
      <c r="O83" s="229" t="str">
        <f ca="1">Referencia.Unidade</f>
        <v/>
      </c>
      <c r="P83" s="233"/>
      <c r="Q83" s="228">
        <v>0</v>
      </c>
      <c r="R83" s="231" t="s">
        <v>7</v>
      </c>
      <c r="S83" s="121">
        <f t="shared" si="50"/>
        <v>0</v>
      </c>
      <c r="T83" s="98">
        <f t="shared" ca="1" si="51"/>
        <v>2499.96</v>
      </c>
      <c r="U83" s="13" t="str">
        <f t="shared" ca="1" si="48"/>
        <v/>
      </c>
      <c r="V83" s="4" t="str">
        <f ca="1">IF(OR($A83=0,$A83="S",$A83&gt;CFF!$A$9),"",MAX(V$12:OFFSET(V83,-1,0))+1)</f>
        <v/>
      </c>
      <c r="W83" s="9" t="b">
        <f t="shared" si="49"/>
        <v>0</v>
      </c>
      <c r="X83" s="4" t="str">
        <f t="shared" ca="1" si="52"/>
        <v>X</v>
      </c>
      <c r="Y83" s="121">
        <f ca="1">IF(Import.Desoneracao="sim",Referencia.Desonerado,Referencia.NaoDesonerado)</f>
        <v>0</v>
      </c>
      <c r="Z83" s="132">
        <f ca="1">ROUND(IF(ISNUMBER(R83),R83,IF(LEFT(R83,3)="BDI",HLOOKUP(R83,DADOS!$T$37:$X$38,2,FALSE),0)),15-11*$X$5)</f>
        <v>0.2487</v>
      </c>
      <c r="AA83" s="4"/>
    </row>
    <row r="84" spans="1:27" ht="25.5" x14ac:dyDescent="0.2">
      <c r="A84" t="str">
        <f t="shared" si="40"/>
        <v>S</v>
      </c>
      <c r="B84">
        <f t="shared" si="41"/>
        <v>0</v>
      </c>
      <c r="C84">
        <f t="shared" ca="1" si="42"/>
        <v>1</v>
      </c>
      <c r="D84">
        <f t="shared" ca="1" si="43"/>
        <v>12</v>
      </c>
      <c r="E84">
        <f t="shared" ca="1" si="44"/>
        <v>2</v>
      </c>
      <c r="F84">
        <f t="shared" ca="1" si="45"/>
        <v>0</v>
      </c>
      <c r="G84">
        <f t="shared" ca="1" si="46"/>
        <v>1</v>
      </c>
      <c r="H84">
        <f ca="1">IF(OR($A84="S",$A84=0),0,MATCH(0,OFFSET($B84,1,$A84,ROW($A$139)-ROW($A84)),0))</f>
        <v>0</v>
      </c>
      <c r="I84">
        <f ca="1">IF(OR($A84="S",$A84=0),0,MATCH(OFFSET($B84,0,$A84)+1,OFFSET($B84,1,$A84,ROW($A$139)-ROW($A84)),0))</f>
        <v>0</v>
      </c>
      <c r="J84" s="120" t="s">
        <v>103</v>
      </c>
      <c r="K84" s="162" t="str">
        <f t="shared" ca="1" si="47"/>
        <v>1.12.2.1.</v>
      </c>
      <c r="L84" s="232" t="s">
        <v>233</v>
      </c>
      <c r="M84" s="232" t="s">
        <v>312</v>
      </c>
      <c r="N84" s="230" t="s">
        <v>413</v>
      </c>
      <c r="O84" s="229" t="s">
        <v>370</v>
      </c>
      <c r="P84" s="233">
        <v>69.75</v>
      </c>
      <c r="Q84" s="228">
        <v>11.3</v>
      </c>
      <c r="R84" s="231" t="s">
        <v>7</v>
      </c>
      <c r="S84" s="121">
        <f t="shared" ca="1" si="50"/>
        <v>14.11</v>
      </c>
      <c r="T84" s="98">
        <f t="shared" ca="1" si="51"/>
        <v>984.17</v>
      </c>
      <c r="U84" s="13" t="str">
        <f t="shared" ca="1" si="48"/>
        <v/>
      </c>
      <c r="V84" s="4" t="str">
        <f ca="1">IF(OR($A84=0,$A84="S",$A84&gt;CFF!$A$9),"",MAX(V$12:OFFSET(V84,-1,0))+1)</f>
        <v/>
      </c>
      <c r="W84" s="9" t="str">
        <f t="shared" si="49"/>
        <v>SINAPI-91862</v>
      </c>
      <c r="X84" s="4">
        <f t="shared" ca="1" si="52"/>
        <v>2972</v>
      </c>
      <c r="Y84" s="121">
        <f ca="1">IF(Import.Desoneracao="sim",Referencia.Desonerado,Referencia.NaoDesonerado)</f>
        <v>11.3</v>
      </c>
      <c r="Z84" s="132">
        <f ca="1">ROUND(IF(ISNUMBER(R84),R84,IF(LEFT(R84,3)="BDI",HLOOKUP(R84,DADOS!$T$37:$X$38,2,FALSE),0)),15-11*$X$5)</f>
        <v>0.2487</v>
      </c>
      <c r="AA84" s="4"/>
    </row>
    <row r="85" spans="1:27" ht="25.5" x14ac:dyDescent="0.2">
      <c r="A85" t="str">
        <f t="shared" si="40"/>
        <v>S</v>
      </c>
      <c r="B85">
        <f t="shared" si="41"/>
        <v>0</v>
      </c>
      <c r="C85">
        <f t="shared" ca="1" si="42"/>
        <v>1</v>
      </c>
      <c r="D85">
        <f t="shared" ca="1" si="43"/>
        <v>12</v>
      </c>
      <c r="E85">
        <f t="shared" ca="1" si="44"/>
        <v>2</v>
      </c>
      <c r="F85">
        <f t="shared" ca="1" si="45"/>
        <v>0</v>
      </c>
      <c r="G85">
        <f t="shared" ca="1" si="46"/>
        <v>2</v>
      </c>
      <c r="H85">
        <f ca="1">IF(OR($A85="S",$A85=0),0,MATCH(0,OFFSET($B85,1,$A85,ROW($A$139)-ROW($A85)),0))</f>
        <v>0</v>
      </c>
      <c r="I85">
        <f ca="1">IF(OR($A85="S",$A85=0),0,MATCH(OFFSET($B85,0,$A85)+1,OFFSET($B85,1,$A85,ROW($A$139)-ROW($A85)),0))</f>
        <v>0</v>
      </c>
      <c r="J85" s="120" t="s">
        <v>103</v>
      </c>
      <c r="K85" s="162" t="str">
        <f t="shared" ca="1" si="47"/>
        <v>1.12.2.2.</v>
      </c>
      <c r="L85" s="232" t="s">
        <v>233</v>
      </c>
      <c r="M85" s="232" t="s">
        <v>313</v>
      </c>
      <c r="N85" s="230" t="s">
        <v>414</v>
      </c>
      <c r="O85" s="229" t="s">
        <v>370</v>
      </c>
      <c r="P85" s="233">
        <v>27</v>
      </c>
      <c r="Q85" s="228">
        <v>14.37</v>
      </c>
      <c r="R85" s="231" t="s">
        <v>7</v>
      </c>
      <c r="S85" s="121">
        <f t="shared" ca="1" si="50"/>
        <v>17.940000000000001</v>
      </c>
      <c r="T85" s="98">
        <f t="shared" ca="1" si="51"/>
        <v>484.38</v>
      </c>
      <c r="U85" s="13" t="str">
        <f t="shared" ca="1" si="48"/>
        <v/>
      </c>
      <c r="V85" s="4" t="str">
        <f ca="1">IF(OR($A85=0,$A85="S",$A85&gt;CFF!$A$9),"",MAX(V$12:OFFSET(V85,-1,0))+1)</f>
        <v/>
      </c>
      <c r="W85" s="9" t="str">
        <f t="shared" si="49"/>
        <v>SINAPI-91870</v>
      </c>
      <c r="X85" s="4">
        <f t="shared" ca="1" si="52"/>
        <v>2980</v>
      </c>
      <c r="Y85" s="121">
        <f ca="1">IF(Import.Desoneracao="sim",Referencia.Desonerado,Referencia.NaoDesonerado)</f>
        <v>14.37</v>
      </c>
      <c r="Z85" s="132">
        <f ca="1">ROUND(IF(ISNUMBER(R85),R85,IF(LEFT(R85,3)="BDI",HLOOKUP(R85,DADOS!$T$37:$X$38,2,FALSE),0)),15-11*$X$5)</f>
        <v>0.2487</v>
      </c>
      <c r="AA85" s="4"/>
    </row>
    <row r="86" spans="1:27" ht="38.25" x14ac:dyDescent="0.2">
      <c r="A86" t="str">
        <f t="shared" si="40"/>
        <v>S</v>
      </c>
      <c r="B86">
        <f t="shared" si="41"/>
        <v>0</v>
      </c>
      <c r="C86">
        <f t="shared" ca="1" si="42"/>
        <v>1</v>
      </c>
      <c r="D86">
        <f t="shared" ca="1" si="43"/>
        <v>12</v>
      </c>
      <c r="E86">
        <f t="shared" ca="1" si="44"/>
        <v>2</v>
      </c>
      <c r="F86">
        <f t="shared" ca="1" si="45"/>
        <v>0</v>
      </c>
      <c r="G86">
        <f t="shared" ca="1" si="46"/>
        <v>3</v>
      </c>
      <c r="H86">
        <f ca="1">IF(OR($A86="S",$A86=0),0,MATCH(0,OFFSET($B86,1,$A86,ROW($A$139)-ROW($A86)),0))</f>
        <v>0</v>
      </c>
      <c r="I86">
        <f ca="1">IF(OR($A86="S",$A86=0),0,MATCH(OFFSET($B86,0,$A86)+1,OFFSET($B86,1,$A86,ROW($A$139)-ROW($A86)),0))</f>
        <v>0</v>
      </c>
      <c r="J86" s="120" t="s">
        <v>103</v>
      </c>
      <c r="K86" s="162" t="str">
        <f t="shared" ca="1" si="47"/>
        <v>1.12.2.3.</v>
      </c>
      <c r="L86" s="209" t="s">
        <v>233</v>
      </c>
      <c r="M86" s="209" t="s">
        <v>314</v>
      </c>
      <c r="N86" s="230" t="s">
        <v>415</v>
      </c>
      <c r="O86" s="229" t="s">
        <v>394</v>
      </c>
      <c r="P86" s="233">
        <v>10</v>
      </c>
      <c r="Q86" s="228">
        <v>13</v>
      </c>
      <c r="R86" s="231" t="s">
        <v>7</v>
      </c>
      <c r="S86" s="121">
        <f t="shared" ca="1" si="50"/>
        <v>16.23</v>
      </c>
      <c r="T86" s="98">
        <f t="shared" ca="1" si="51"/>
        <v>162.30000000000001</v>
      </c>
      <c r="U86" s="13" t="str">
        <f t="shared" ca="1" si="48"/>
        <v/>
      </c>
      <c r="V86" s="4" t="str">
        <f ca="1">IF(OR($A86=0,$A86="S",$A86&gt;CFF!$A$9),"",MAX(V$12:OFFSET(V86,-1,0))+1)</f>
        <v/>
      </c>
      <c r="W86" s="9" t="str">
        <f t="shared" si="49"/>
        <v>SINAPI-91887</v>
      </c>
      <c r="X86" s="4">
        <f t="shared" ca="1" si="52"/>
        <v>3008</v>
      </c>
      <c r="Y86" s="121">
        <f ca="1">IF(Import.Desoneracao="sim",Referencia.Desonerado,Referencia.NaoDesonerado)</f>
        <v>13</v>
      </c>
      <c r="Z86" s="132">
        <f ca="1">ROUND(IF(ISNUMBER(R86),R86,IF(LEFT(R86,3)="BDI",HLOOKUP(R86,DADOS!$T$37:$X$38,2,FALSE),0)),15-11*$X$5)</f>
        <v>0.2487</v>
      </c>
      <c r="AA86" s="4"/>
    </row>
    <row r="87" spans="1:27" ht="25.5" x14ac:dyDescent="0.2">
      <c r="A87" t="str">
        <f t="shared" si="40"/>
        <v>S</v>
      </c>
      <c r="B87">
        <f t="shared" si="41"/>
        <v>0</v>
      </c>
      <c r="C87">
        <f t="shared" ca="1" si="42"/>
        <v>1</v>
      </c>
      <c r="D87">
        <f t="shared" ca="1" si="43"/>
        <v>12</v>
      </c>
      <c r="E87">
        <f t="shared" ca="1" si="44"/>
        <v>2</v>
      </c>
      <c r="F87">
        <f t="shared" ca="1" si="45"/>
        <v>0</v>
      </c>
      <c r="G87">
        <f t="shared" ca="1" si="46"/>
        <v>4</v>
      </c>
      <c r="H87">
        <f ca="1">IF(OR($A87="S",$A87=0),0,MATCH(0,OFFSET($B87,1,$A87,ROW($A$139)-ROW($A87)),0))</f>
        <v>0</v>
      </c>
      <c r="I87">
        <f ca="1">IF(OR($A87="S",$A87=0),0,MATCH(OFFSET($B87,0,$A87)+1,OFFSET($B87,1,$A87,ROW($A$139)-ROW($A87)),0))</f>
        <v>0</v>
      </c>
      <c r="J87" s="120" t="s">
        <v>103</v>
      </c>
      <c r="K87" s="162" t="str">
        <f t="shared" ca="1" si="47"/>
        <v>1.12.2.4.</v>
      </c>
      <c r="L87" s="232" t="s">
        <v>233</v>
      </c>
      <c r="M87" s="232" t="s">
        <v>289</v>
      </c>
      <c r="N87" s="230" t="s">
        <v>416</v>
      </c>
      <c r="O87" s="229" t="s">
        <v>394</v>
      </c>
      <c r="P87" s="233">
        <v>1</v>
      </c>
      <c r="Q87" s="228">
        <v>132.31</v>
      </c>
      <c r="R87" s="231" t="s">
        <v>7</v>
      </c>
      <c r="S87" s="121">
        <f t="shared" ca="1" si="50"/>
        <v>165.22</v>
      </c>
      <c r="T87" s="98">
        <f t="shared" ca="1" si="51"/>
        <v>165.22</v>
      </c>
      <c r="U87" s="13" t="str">
        <f t="shared" ca="1" si="48"/>
        <v/>
      </c>
      <c r="V87" s="4" t="str">
        <f ca="1">IF(OR($A87=0,$A87="S",$A87&gt;CFF!$A$9),"",MAX(V$12:OFFSET(V87,-1,0))+1)</f>
        <v/>
      </c>
      <c r="W87" s="9" t="str">
        <f t="shared" si="49"/>
        <v>SINAPI-97881</v>
      </c>
      <c r="X87" s="4">
        <f t="shared" ca="1" si="52"/>
        <v>3125</v>
      </c>
      <c r="Y87" s="121">
        <f ca="1">IF(Import.Desoneracao="sim",Referencia.Desonerado,Referencia.NaoDesonerado)</f>
        <v>132.31</v>
      </c>
      <c r="Z87" s="132">
        <f ca="1">ROUND(IF(ISNUMBER(R87),R87,IF(LEFT(R87,3)="BDI",HLOOKUP(R87,DADOS!$T$37:$X$38,2,FALSE),0)),15-11*$X$5)</f>
        <v>0.2487</v>
      </c>
      <c r="AA87" s="4"/>
    </row>
    <row r="88" spans="1:27" ht="25.5" x14ac:dyDescent="0.2">
      <c r="A88" t="str">
        <f t="shared" si="40"/>
        <v>S</v>
      </c>
      <c r="B88">
        <f t="shared" si="41"/>
        <v>0</v>
      </c>
      <c r="C88">
        <f t="shared" ca="1" si="42"/>
        <v>1</v>
      </c>
      <c r="D88">
        <f t="shared" ca="1" si="43"/>
        <v>12</v>
      </c>
      <c r="E88">
        <f t="shared" ca="1" si="44"/>
        <v>2</v>
      </c>
      <c r="F88">
        <f t="shared" ca="1" si="45"/>
        <v>0</v>
      </c>
      <c r="G88">
        <f t="shared" ca="1" si="46"/>
        <v>5</v>
      </c>
      <c r="H88">
        <f ca="1">IF(OR($A88="S",$A88=0),0,MATCH(0,OFFSET($B88,1,$A88,ROW($A$139)-ROW($A88)),0))</f>
        <v>0</v>
      </c>
      <c r="I88">
        <f ca="1">IF(OR($A88="S",$A88=0),0,MATCH(OFFSET($B88,0,$A88)+1,OFFSET($B88,1,$A88,ROW($A$139)-ROW($A88)),0))</f>
        <v>0</v>
      </c>
      <c r="J88" s="120" t="s">
        <v>103</v>
      </c>
      <c r="K88" s="162" t="str">
        <f t="shared" ca="1" si="47"/>
        <v>1.12.2.5.</v>
      </c>
      <c r="L88" s="232" t="s">
        <v>233</v>
      </c>
      <c r="M88" s="232" t="s">
        <v>290</v>
      </c>
      <c r="N88" s="230" t="s">
        <v>417</v>
      </c>
      <c r="O88" s="229" t="s">
        <v>394</v>
      </c>
      <c r="P88" s="233">
        <v>3</v>
      </c>
      <c r="Q88" s="228">
        <v>161.56</v>
      </c>
      <c r="R88" s="231" t="s">
        <v>7</v>
      </c>
      <c r="S88" s="121">
        <f t="shared" ca="1" si="50"/>
        <v>201.74</v>
      </c>
      <c r="T88" s="98">
        <f t="shared" ca="1" si="51"/>
        <v>605.22</v>
      </c>
      <c r="U88" s="13" t="str">
        <f t="shared" ca="1" si="48"/>
        <v/>
      </c>
      <c r="V88" s="4" t="str">
        <f ca="1">IF(OR($A88=0,$A88="S",$A88&gt;CFF!$A$9),"",MAX(V$12:OFFSET(V88,-1,0))+1)</f>
        <v/>
      </c>
      <c r="W88" s="9" t="str">
        <f t="shared" si="49"/>
        <v>SINAPI-96986</v>
      </c>
      <c r="X88" s="4">
        <f t="shared" ca="1" si="52"/>
        <v>3462</v>
      </c>
      <c r="Y88" s="121">
        <f ca="1">IF(Import.Desoneracao="sim",Referencia.Desonerado,Referencia.NaoDesonerado)</f>
        <v>161.56</v>
      </c>
      <c r="Z88" s="132">
        <f ca="1">ROUND(IF(ISNUMBER(R88),R88,IF(LEFT(R88,3)="BDI",HLOOKUP(R88,DADOS!$T$37:$X$38,2,FALSE),0)),15-11*$X$5)</f>
        <v>0.2487</v>
      </c>
      <c r="AA88" s="4"/>
    </row>
    <row r="89" spans="1:27" ht="25.5" x14ac:dyDescent="0.2">
      <c r="A89" t="str">
        <f t="shared" si="40"/>
        <v>S</v>
      </c>
      <c r="B89">
        <f t="shared" si="41"/>
        <v>0</v>
      </c>
      <c r="C89">
        <f t="shared" ca="1" si="42"/>
        <v>1</v>
      </c>
      <c r="D89">
        <f t="shared" ca="1" si="43"/>
        <v>12</v>
      </c>
      <c r="E89">
        <f t="shared" ca="1" si="44"/>
        <v>2</v>
      </c>
      <c r="F89">
        <f t="shared" ca="1" si="45"/>
        <v>0</v>
      </c>
      <c r="G89">
        <f t="shared" ca="1" si="46"/>
        <v>6</v>
      </c>
      <c r="H89">
        <f ca="1">IF(OR($A89="S",$A89=0),0,MATCH(0,OFFSET($B89,1,$A89,ROW($A$139)-ROW($A89)),0))</f>
        <v>0</v>
      </c>
      <c r="I89">
        <f ca="1">IF(OR($A89="S",$A89=0),0,MATCH(OFFSET($B89,0,$A89)+1,OFFSET($B89,1,$A89,ROW($A$139)-ROW($A89)),0))</f>
        <v>0</v>
      </c>
      <c r="J89" s="120" t="s">
        <v>103</v>
      </c>
      <c r="K89" s="162" t="str">
        <f t="shared" ca="1" si="47"/>
        <v>1.12.2.6.</v>
      </c>
      <c r="L89" s="232" t="s">
        <v>231</v>
      </c>
      <c r="M89" s="232" t="s">
        <v>291</v>
      </c>
      <c r="N89" s="230" t="s">
        <v>418</v>
      </c>
      <c r="O89" s="229" t="s">
        <v>419</v>
      </c>
      <c r="P89" s="233">
        <v>3</v>
      </c>
      <c r="Q89" s="228">
        <v>11.76</v>
      </c>
      <c r="R89" s="231" t="s">
        <v>7</v>
      </c>
      <c r="S89" s="121">
        <f t="shared" ca="1" si="50"/>
        <v>14.68</v>
      </c>
      <c r="T89" s="98">
        <f t="shared" ca="1" si="51"/>
        <v>44.04</v>
      </c>
      <c r="U89" s="13" t="str">
        <f t="shared" ca="1" si="48"/>
        <v/>
      </c>
      <c r="V89" s="4" t="str">
        <f ca="1">IF(OR($A89=0,$A89="S",$A89&gt;CFF!$A$9),"",MAX(V$12:OFFSET(V89,-1,0))+1)</f>
        <v/>
      </c>
      <c r="W89" s="9" t="str">
        <f t="shared" si="49"/>
        <v>SINAPI-I-11854</v>
      </c>
      <c r="X89" s="4">
        <f t="shared" ca="1" si="52"/>
        <v>9027</v>
      </c>
      <c r="Y89" s="121">
        <f ca="1">IF(Import.Desoneracao="sim",Referencia.Desonerado,Referencia.NaoDesonerado)</f>
        <v>11.76</v>
      </c>
      <c r="Z89" s="132">
        <f ca="1">ROUND(IF(ISNUMBER(R89),R89,IF(LEFT(R89,3)="BDI",HLOOKUP(R89,DADOS!$T$37:$X$38,2,FALSE),0)),15-11*$X$5)</f>
        <v>0.2487</v>
      </c>
      <c r="AA89" s="4"/>
    </row>
    <row r="90" spans="1:27" ht="25.5" x14ac:dyDescent="0.2">
      <c r="A90" t="str">
        <f t="shared" si="40"/>
        <v>S</v>
      </c>
      <c r="B90">
        <f t="shared" si="41"/>
        <v>0</v>
      </c>
      <c r="C90">
        <f t="shared" ca="1" si="42"/>
        <v>1</v>
      </c>
      <c r="D90">
        <f t="shared" ca="1" si="43"/>
        <v>12</v>
      </c>
      <c r="E90">
        <f t="shared" ca="1" si="44"/>
        <v>2</v>
      </c>
      <c r="F90">
        <f t="shared" ca="1" si="45"/>
        <v>0</v>
      </c>
      <c r="G90">
        <f t="shared" ca="1" si="46"/>
        <v>7</v>
      </c>
      <c r="H90">
        <f ca="1">IF(OR($A90="S",$A90=0),0,MATCH(0,OFFSET($B90,1,$A90,ROW($A$139)-ROW($A90)),0))</f>
        <v>0</v>
      </c>
      <c r="I90">
        <f ca="1">IF(OR($A90="S",$A90=0),0,MATCH(OFFSET($B90,0,$A90)+1,OFFSET($B90,1,$A90,ROW($A$139)-ROW($A90)),0))</f>
        <v>0</v>
      </c>
      <c r="J90" s="120" t="s">
        <v>103</v>
      </c>
      <c r="K90" s="162" t="str">
        <f t="shared" ca="1" si="47"/>
        <v>1.12.2.7.</v>
      </c>
      <c r="L90" s="232" t="s">
        <v>231</v>
      </c>
      <c r="M90" s="232" t="s">
        <v>292</v>
      </c>
      <c r="N90" s="230" t="s">
        <v>420</v>
      </c>
      <c r="O90" s="229" t="s">
        <v>419</v>
      </c>
      <c r="P90" s="233">
        <v>3</v>
      </c>
      <c r="Q90" s="228">
        <v>14.58</v>
      </c>
      <c r="R90" s="231" t="s">
        <v>7</v>
      </c>
      <c r="S90" s="121">
        <f t="shared" ca="1" si="50"/>
        <v>18.21</v>
      </c>
      <c r="T90" s="98">
        <f t="shared" ca="1" si="51"/>
        <v>54.63</v>
      </c>
      <c r="U90" s="13" t="str">
        <f t="shared" ca="1" si="48"/>
        <v/>
      </c>
      <c r="V90" s="4" t="str">
        <f ca="1">IF(OR($A90=0,$A90="S",$A90&gt;CFF!$A$9),"",MAX(V$12:OFFSET(V90,-1,0))+1)</f>
        <v/>
      </c>
      <c r="W90" s="9" t="str">
        <f t="shared" si="49"/>
        <v>SINAPI-I-416</v>
      </c>
      <c r="X90" s="4">
        <f t="shared" ca="1" si="52"/>
        <v>9870</v>
      </c>
      <c r="Y90" s="121">
        <f ca="1">IF(Import.Desoneracao="sim",Referencia.Desonerado,Referencia.NaoDesonerado)</f>
        <v>14.58</v>
      </c>
      <c r="Z90" s="132">
        <f ca="1">ROUND(IF(ISNUMBER(R90),R90,IF(LEFT(R90,3)="BDI",HLOOKUP(R90,DADOS!$T$37:$X$38,2,FALSE),0)),15-11*$X$5)</f>
        <v>0.2487</v>
      </c>
      <c r="AA90" s="4"/>
    </row>
    <row r="91" spans="1:27" x14ac:dyDescent="0.2">
      <c r="A91">
        <f t="shared" si="40"/>
        <v>3</v>
      </c>
      <c r="B91">
        <f t="shared" ca="1" si="41"/>
        <v>4</v>
      </c>
      <c r="C91">
        <f t="shared" ca="1" si="42"/>
        <v>1</v>
      </c>
      <c r="D91">
        <f t="shared" ca="1" si="43"/>
        <v>12</v>
      </c>
      <c r="E91">
        <f t="shared" ca="1" si="44"/>
        <v>3</v>
      </c>
      <c r="F91">
        <f t="shared" ca="1" si="45"/>
        <v>0</v>
      </c>
      <c r="G91">
        <f t="shared" ca="1" si="46"/>
        <v>0</v>
      </c>
      <c r="H91">
        <f ca="1">IF(OR($A91="S",$A91=0),0,MATCH(0,OFFSET($B91,1,$A91,ROW($A$139)-ROW($A91)),0))</f>
        <v>10</v>
      </c>
      <c r="I91">
        <f ca="1">IF(OR($A91="S",$A91=0),0,MATCH(OFFSET($B91,0,$A91)+1,OFFSET($B91,1,$A91,ROW($A$139)-ROW($A91)),0))</f>
        <v>4</v>
      </c>
      <c r="J91" s="120" t="s">
        <v>101</v>
      </c>
      <c r="K91" s="162" t="str">
        <f t="shared" ca="1" si="47"/>
        <v>1.12.3.</v>
      </c>
      <c r="L91" s="209"/>
      <c r="M91" s="209"/>
      <c r="N91" s="230" t="s">
        <v>251</v>
      </c>
      <c r="O91" s="229" t="str">
        <f ca="1">Referencia.Unidade</f>
        <v/>
      </c>
      <c r="P91" s="233"/>
      <c r="Q91" s="228">
        <v>0</v>
      </c>
      <c r="R91" s="231" t="s">
        <v>7</v>
      </c>
      <c r="S91" s="121">
        <f t="shared" si="50"/>
        <v>0</v>
      </c>
      <c r="T91" s="98">
        <f t="shared" ca="1" si="51"/>
        <v>1879.7</v>
      </c>
      <c r="U91" s="13" t="str">
        <f t="shared" ca="1" si="48"/>
        <v/>
      </c>
      <c r="V91" s="4" t="str">
        <f ca="1">IF(OR($A91=0,$A91="S",$A91&gt;CFF!$A$9),"",MAX(V$12:OFFSET(V91,-1,0))+1)</f>
        <v/>
      </c>
      <c r="W91" s="9" t="b">
        <f t="shared" si="49"/>
        <v>0</v>
      </c>
      <c r="X91" s="4" t="str">
        <f t="shared" ca="1" si="52"/>
        <v>X</v>
      </c>
      <c r="Y91" s="121">
        <f ca="1">IF(Import.Desoneracao="sim",Referencia.Desonerado,Referencia.NaoDesonerado)</f>
        <v>0</v>
      </c>
      <c r="Z91" s="132">
        <f ca="1">ROUND(IF(ISNUMBER(R91),R91,IF(LEFT(R91,3)="BDI",HLOOKUP(R91,DADOS!$T$37:$X$38,2,FALSE),0)),15-11*$X$5)</f>
        <v>0.2487</v>
      </c>
      <c r="AA91" s="4"/>
    </row>
    <row r="92" spans="1:27" ht="25.5" x14ac:dyDescent="0.2">
      <c r="A92" t="str">
        <f t="shared" si="40"/>
        <v>S</v>
      </c>
      <c r="B92">
        <f t="shared" si="41"/>
        <v>0</v>
      </c>
      <c r="C92">
        <f t="shared" ca="1" si="42"/>
        <v>1</v>
      </c>
      <c r="D92">
        <f t="shared" ca="1" si="43"/>
        <v>12</v>
      </c>
      <c r="E92">
        <f t="shared" ca="1" si="44"/>
        <v>3</v>
      </c>
      <c r="F92">
        <f t="shared" ca="1" si="45"/>
        <v>0</v>
      </c>
      <c r="G92">
        <f t="shared" ca="1" si="46"/>
        <v>1</v>
      </c>
      <c r="H92">
        <f ca="1">IF(OR($A92="S",$A92=0),0,MATCH(0,OFFSET($B92,1,$A92,ROW($A$139)-ROW($A92)),0))</f>
        <v>0</v>
      </c>
      <c r="I92">
        <f ca="1">IF(OR($A92="S",$A92=0),0,MATCH(OFFSET($B92,0,$A92)+1,OFFSET($B92,1,$A92,ROW($A$139)-ROW($A92)),0))</f>
        <v>0</v>
      </c>
      <c r="J92" s="120" t="s">
        <v>103</v>
      </c>
      <c r="K92" s="162" t="str">
        <f t="shared" ca="1" si="47"/>
        <v>1.12.3.1.</v>
      </c>
      <c r="L92" s="232" t="s">
        <v>233</v>
      </c>
      <c r="M92" s="232" t="s">
        <v>246</v>
      </c>
      <c r="N92" s="230" t="s">
        <v>421</v>
      </c>
      <c r="O92" s="229" t="s">
        <v>370</v>
      </c>
      <c r="P92" s="233">
        <v>200</v>
      </c>
      <c r="Q92" s="228">
        <v>4.17</v>
      </c>
      <c r="R92" s="231" t="s">
        <v>7</v>
      </c>
      <c r="S92" s="121">
        <f t="shared" ca="1" si="50"/>
        <v>5.21</v>
      </c>
      <c r="T92" s="98">
        <f t="shared" ca="1" si="51"/>
        <v>1042</v>
      </c>
      <c r="U92" s="13" t="str">
        <f t="shared" ca="1" si="48"/>
        <v/>
      </c>
      <c r="V92" s="4" t="str">
        <f ca="1">IF(OR($A92=0,$A92="S",$A92&gt;CFF!$A$9),"",MAX(V$12:OFFSET(V92,-1,0))+1)</f>
        <v/>
      </c>
      <c r="W92" s="9" t="str">
        <f t="shared" si="49"/>
        <v>SINAPI-91926</v>
      </c>
      <c r="X92" s="4">
        <f t="shared" ca="1" si="52"/>
        <v>3048</v>
      </c>
      <c r="Y92" s="121">
        <f ca="1">IF(Import.Desoneracao="sim",Referencia.Desonerado,Referencia.NaoDesonerado)</f>
        <v>4.17</v>
      </c>
      <c r="Z92" s="132">
        <f ca="1">ROUND(IF(ISNUMBER(R92),R92,IF(LEFT(R92,3)="BDI",HLOOKUP(R92,DADOS!$T$37:$X$38,2,FALSE),0)),15-11*$X$5)</f>
        <v>0.2487</v>
      </c>
      <c r="AA92" s="4"/>
    </row>
    <row r="93" spans="1:27" ht="25.5" x14ac:dyDescent="0.2">
      <c r="A93" t="str">
        <f t="shared" si="40"/>
        <v>S</v>
      </c>
      <c r="B93">
        <f t="shared" si="41"/>
        <v>0</v>
      </c>
      <c r="C93">
        <f t="shared" ca="1" si="42"/>
        <v>1</v>
      </c>
      <c r="D93">
        <f t="shared" ca="1" si="43"/>
        <v>12</v>
      </c>
      <c r="E93">
        <f t="shared" ca="1" si="44"/>
        <v>3</v>
      </c>
      <c r="F93">
        <f t="shared" ca="1" si="45"/>
        <v>0</v>
      </c>
      <c r="G93">
        <f t="shared" ca="1" si="46"/>
        <v>2</v>
      </c>
      <c r="H93">
        <f ca="1">IF(OR($A93="S",$A93=0),0,MATCH(0,OFFSET($B93,1,$A93,ROW($A$139)-ROW($A93)),0))</f>
        <v>0</v>
      </c>
      <c r="I93">
        <f ca="1">IF(OR($A93="S",$A93=0),0,MATCH(OFFSET($B93,0,$A93)+1,OFFSET($B93,1,$A93,ROW($A$139)-ROW($A93)),0))</f>
        <v>0</v>
      </c>
      <c r="J93" s="120" t="s">
        <v>103</v>
      </c>
      <c r="K93" s="162" t="str">
        <f t="shared" ca="1" si="47"/>
        <v>1.12.3.2.</v>
      </c>
      <c r="L93" s="232" t="s">
        <v>233</v>
      </c>
      <c r="M93" s="232" t="s">
        <v>247</v>
      </c>
      <c r="N93" s="230" t="s">
        <v>422</v>
      </c>
      <c r="O93" s="229" t="s">
        <v>370</v>
      </c>
      <c r="P93" s="233">
        <v>40</v>
      </c>
      <c r="Q93" s="228">
        <v>8.9700000000000006</v>
      </c>
      <c r="R93" s="231" t="s">
        <v>7</v>
      </c>
      <c r="S93" s="121">
        <f t="shared" ca="1" si="50"/>
        <v>11.2</v>
      </c>
      <c r="T93" s="98">
        <f t="shared" ca="1" si="51"/>
        <v>448</v>
      </c>
      <c r="U93" s="13" t="str">
        <f t="shared" ca="1" si="48"/>
        <v/>
      </c>
      <c r="V93" s="4" t="str">
        <f ca="1">IF(OR($A93=0,$A93="S",$A93&gt;CFF!$A$9),"",MAX(V$12:OFFSET(V93,-1,0))+1)</f>
        <v/>
      </c>
      <c r="W93" s="9" t="str">
        <f t="shared" si="49"/>
        <v>SINAPI-91930</v>
      </c>
      <c r="X93" s="4">
        <f t="shared" ca="1" si="52"/>
        <v>3052</v>
      </c>
      <c r="Y93" s="121">
        <f ca="1">IF(Import.Desoneracao="sim",Referencia.Desonerado,Referencia.NaoDesonerado)</f>
        <v>8.9700000000000006</v>
      </c>
      <c r="Z93" s="132">
        <f ca="1">ROUND(IF(ISNUMBER(R93),R93,IF(LEFT(R93,3)="BDI",HLOOKUP(R93,DADOS!$T$37:$X$38,2,FALSE),0)),15-11*$X$5)</f>
        <v>0.2487</v>
      </c>
      <c r="AA93" s="4"/>
    </row>
    <row r="94" spans="1:27" ht="25.5" x14ac:dyDescent="0.2">
      <c r="A94" t="str">
        <f t="shared" si="40"/>
        <v>S</v>
      </c>
      <c r="B94">
        <f t="shared" si="41"/>
        <v>0</v>
      </c>
      <c r="C94">
        <f t="shared" ca="1" si="42"/>
        <v>1</v>
      </c>
      <c r="D94">
        <f t="shared" ca="1" si="43"/>
        <v>12</v>
      </c>
      <c r="E94">
        <f t="shared" ca="1" si="44"/>
        <v>3</v>
      </c>
      <c r="F94">
        <f t="shared" ca="1" si="45"/>
        <v>0</v>
      </c>
      <c r="G94">
        <f t="shared" ca="1" si="46"/>
        <v>3</v>
      </c>
      <c r="H94">
        <f ca="1">IF(OR($A94="S",$A94=0),0,MATCH(0,OFFSET($B94,1,$A94,ROW($A$139)-ROW($A94)),0))</f>
        <v>0</v>
      </c>
      <c r="I94">
        <f ca="1">IF(OR($A94="S",$A94=0),0,MATCH(OFFSET($B94,0,$A94)+1,OFFSET($B94,1,$A94,ROW($A$139)-ROW($A94)),0))</f>
        <v>0</v>
      </c>
      <c r="J94" s="120" t="s">
        <v>103</v>
      </c>
      <c r="K94" s="162" t="str">
        <f t="shared" ca="1" si="47"/>
        <v>1.12.3.3.</v>
      </c>
      <c r="L94" s="232" t="s">
        <v>233</v>
      </c>
      <c r="M94" s="232" t="s">
        <v>248</v>
      </c>
      <c r="N94" s="230" t="s">
        <v>423</v>
      </c>
      <c r="O94" s="229" t="s">
        <v>370</v>
      </c>
      <c r="P94" s="233">
        <v>30</v>
      </c>
      <c r="Q94" s="228">
        <v>10.4</v>
      </c>
      <c r="R94" s="231" t="s">
        <v>7</v>
      </c>
      <c r="S94" s="121">
        <f t="shared" ca="1" si="50"/>
        <v>12.99</v>
      </c>
      <c r="T94" s="98">
        <f t="shared" ca="1" si="51"/>
        <v>389.7</v>
      </c>
      <c r="U94" s="13" t="str">
        <f t="shared" ca="1" si="48"/>
        <v/>
      </c>
      <c r="V94" s="4" t="str">
        <f ca="1">IF(OR($A94=0,$A94="S",$A94&gt;CFF!$A$9),"",MAX(V$12:OFFSET(V94,-1,0))+1)</f>
        <v/>
      </c>
      <c r="W94" s="9" t="str">
        <f t="shared" si="49"/>
        <v>SINAPI-92979</v>
      </c>
      <c r="X94" s="4">
        <f t="shared" ca="1" si="52"/>
        <v>3058</v>
      </c>
      <c r="Y94" s="121">
        <f ca="1">IF(Import.Desoneracao="sim",Referencia.Desonerado,Referencia.NaoDesonerado)</f>
        <v>10.4</v>
      </c>
      <c r="Z94" s="132">
        <f ca="1">ROUND(IF(ISNUMBER(R94),R94,IF(LEFT(R94,3)="BDI",HLOOKUP(R94,DADOS!$T$37:$X$38,2,FALSE),0)),15-11*$X$5)</f>
        <v>0.2487</v>
      </c>
      <c r="AA94" s="4"/>
    </row>
    <row r="95" spans="1:27" x14ac:dyDescent="0.2">
      <c r="A95">
        <f t="shared" si="40"/>
        <v>3</v>
      </c>
      <c r="B95">
        <f t="shared" ca="1" si="41"/>
        <v>6</v>
      </c>
      <c r="C95">
        <f t="shared" ca="1" si="42"/>
        <v>1</v>
      </c>
      <c r="D95">
        <f t="shared" ca="1" si="43"/>
        <v>12</v>
      </c>
      <c r="E95">
        <f t="shared" ca="1" si="44"/>
        <v>4</v>
      </c>
      <c r="F95">
        <f t="shared" ca="1" si="45"/>
        <v>0</v>
      </c>
      <c r="G95">
        <f t="shared" ca="1" si="46"/>
        <v>0</v>
      </c>
      <c r="H95">
        <f ca="1">IF(OR($A95="S",$A95=0),0,MATCH(0,OFFSET($B95,1,$A95,ROW($A$139)-ROW($A95)),0))</f>
        <v>6</v>
      </c>
      <c r="I95" t="e">
        <f ca="1">IF(OR($A95="S",$A95=0),0,MATCH(OFFSET($B95,0,$A95)+1,OFFSET($B95,1,$A95,ROW($A$139)-ROW($A95)),0))</f>
        <v>#N/A</v>
      </c>
      <c r="J95" s="120" t="s">
        <v>101</v>
      </c>
      <c r="K95" s="162" t="str">
        <f t="shared" ca="1" si="47"/>
        <v>1.12.4.</v>
      </c>
      <c r="L95" s="209"/>
      <c r="M95" s="209"/>
      <c r="N95" s="230" t="s">
        <v>252</v>
      </c>
      <c r="O95" s="229" t="str">
        <f ca="1">Referencia.Unidade</f>
        <v/>
      </c>
      <c r="P95" s="233"/>
      <c r="Q95" s="228">
        <v>0</v>
      </c>
      <c r="R95" s="231" t="s">
        <v>7</v>
      </c>
      <c r="S95" s="121">
        <f t="shared" ref="S95:S100" si="53">IF($A95="S",IF($Q$10="Preço Unitário (R$)",PO.CustoUnitario,ROUND(PO.CustoUnitario*(1+$Z95),15-13*$X$6)),0)</f>
        <v>0</v>
      </c>
      <c r="T95" s="98">
        <f t="shared" ref="T95:T100" ca="1" si="54">IF($A95="S",VTOTAL1,IF($A95=0,0,ROUND(SomaAgrup,15-13*$X$7)))</f>
        <v>1793.7</v>
      </c>
      <c r="U95" s="13" t="str">
        <f t="shared" ca="1" si="48"/>
        <v/>
      </c>
      <c r="V95" s="4" t="str">
        <f ca="1">IF(OR($A95=0,$A95="S",$A95&gt;CFF!$A$9),"",MAX(V$12:OFFSET(V95,-1,0))+1)</f>
        <v/>
      </c>
      <c r="W95" s="9" t="b">
        <f t="shared" si="49"/>
        <v>0</v>
      </c>
      <c r="X95" s="4" t="str">
        <f t="shared" ref="X95:X102" ca="1" si="55">IF(AND(Fonte&lt;&gt;"",Código&lt;&gt;""),MATCH(Fonte&amp;" "&amp;IF(Fonte="sinapi",SUBSTITUTE(SUBSTITUTE(Código,"/00","/"),"/0","/"),Código),INDIRECT("'[Referência "&amp;_xlnm.Database&amp;".xls]Banco'!$a:$a"),0),"X")</f>
        <v>X</v>
      </c>
      <c r="Y95" s="121">
        <f ca="1">IF(Import.Desoneracao="sim",Referencia.Desonerado,Referencia.NaoDesonerado)</f>
        <v>0</v>
      </c>
      <c r="Z95" s="132">
        <f ca="1">ROUND(IF(ISNUMBER(R95),R95,IF(LEFT(R95,3)="BDI",HLOOKUP(R95,DADOS!$T$37:$X$38,2,FALSE),0)),15-11*$X$5)</f>
        <v>0.2487</v>
      </c>
      <c r="AA95" s="4"/>
    </row>
    <row r="96" spans="1:27" ht="25.5" x14ac:dyDescent="0.2">
      <c r="A96" t="str">
        <f t="shared" si="40"/>
        <v>S</v>
      </c>
      <c r="B96">
        <f t="shared" si="41"/>
        <v>0</v>
      </c>
      <c r="C96">
        <f t="shared" ca="1" si="42"/>
        <v>1</v>
      </c>
      <c r="D96">
        <f t="shared" ca="1" si="43"/>
        <v>12</v>
      </c>
      <c r="E96">
        <f t="shared" ca="1" si="44"/>
        <v>4</v>
      </c>
      <c r="F96">
        <f t="shared" ca="1" si="45"/>
        <v>0</v>
      </c>
      <c r="G96">
        <f t="shared" ca="1" si="46"/>
        <v>1</v>
      </c>
      <c r="H96">
        <f ca="1">IF(OR($A96="S",$A96=0),0,MATCH(0,OFFSET($B96,1,$A96,ROW($A$139)-ROW($A96)),0))</f>
        <v>0</v>
      </c>
      <c r="I96">
        <f ca="1">IF(OR($A96="S",$A96=0),0,MATCH(OFFSET($B96,0,$A96)+1,OFFSET($B96,1,$A96,ROW($A$139)-ROW($A96)),0))</f>
        <v>0</v>
      </c>
      <c r="J96" s="120" t="s">
        <v>103</v>
      </c>
      <c r="K96" s="162" t="str">
        <f t="shared" ca="1" si="47"/>
        <v>1.12.4.1.</v>
      </c>
      <c r="L96" s="209" t="s">
        <v>231</v>
      </c>
      <c r="M96" s="209" t="s">
        <v>315</v>
      </c>
      <c r="N96" s="230" t="s">
        <v>424</v>
      </c>
      <c r="O96" s="229" t="s">
        <v>419</v>
      </c>
      <c r="P96" s="233">
        <v>3</v>
      </c>
      <c r="Q96" s="228">
        <v>13.95</v>
      </c>
      <c r="R96" s="231" t="s">
        <v>7</v>
      </c>
      <c r="S96" s="121">
        <f t="shared" ca="1" si="53"/>
        <v>17.420000000000002</v>
      </c>
      <c r="T96" s="98">
        <f t="shared" ca="1" si="54"/>
        <v>52.26</v>
      </c>
      <c r="U96" s="13" t="str">
        <f t="shared" ca="1" si="48"/>
        <v/>
      </c>
      <c r="V96" s="4" t="str">
        <f ca="1">IF(OR($A96=0,$A96="S",$A96&gt;CFF!$A$9),"",MAX(V$12:OFFSET(V96,-1,0))+1)</f>
        <v/>
      </c>
      <c r="W96" s="9" t="str">
        <f t="shared" si="49"/>
        <v>SINAPI-I-12129</v>
      </c>
      <c r="X96" s="4">
        <f t="shared" ca="1" si="55"/>
        <v>9975</v>
      </c>
      <c r="Y96" s="121">
        <f ca="1">IF(Import.Desoneracao="sim",Referencia.Desonerado,Referencia.NaoDesonerado)</f>
        <v>13.95</v>
      </c>
      <c r="Z96" s="132">
        <f ca="1">ROUND(IF(ISNUMBER(R96),R96,IF(LEFT(R96,3)="BDI",HLOOKUP(R96,DADOS!$T$37:$X$38,2,FALSE),0)),15-11*$X$5)</f>
        <v>0.2487</v>
      </c>
      <c r="AA96" s="4"/>
    </row>
    <row r="97" spans="1:27" ht="25.5" x14ac:dyDescent="0.2">
      <c r="A97" t="str">
        <f t="shared" si="40"/>
        <v>S</v>
      </c>
      <c r="B97">
        <f t="shared" si="41"/>
        <v>0</v>
      </c>
      <c r="C97">
        <f t="shared" ca="1" si="42"/>
        <v>1</v>
      </c>
      <c r="D97">
        <f t="shared" ca="1" si="43"/>
        <v>12</v>
      </c>
      <c r="E97">
        <f t="shared" ca="1" si="44"/>
        <v>4</v>
      </c>
      <c r="F97">
        <f t="shared" ca="1" si="45"/>
        <v>0</v>
      </c>
      <c r="G97">
        <f t="shared" ca="1" si="46"/>
        <v>2</v>
      </c>
      <c r="H97">
        <f ca="1">IF(OR($A97="S",$A97=0),0,MATCH(0,OFFSET($B97,1,$A97,ROW($A$139)-ROW($A97)),0))</f>
        <v>0</v>
      </c>
      <c r="I97">
        <f ca="1">IF(OR($A97="S",$A97=0),0,MATCH(OFFSET($B97,0,$A97)+1,OFFSET($B97,1,$A97,ROW($A$139)-ROW($A97)),0))</f>
        <v>0</v>
      </c>
      <c r="J97" s="120" t="s">
        <v>103</v>
      </c>
      <c r="K97" s="162" t="str">
        <f t="shared" ca="1" si="47"/>
        <v>1.12.4.2.</v>
      </c>
      <c r="L97" s="209" t="s">
        <v>231</v>
      </c>
      <c r="M97" s="209" t="s">
        <v>316</v>
      </c>
      <c r="N97" s="230" t="s">
        <v>425</v>
      </c>
      <c r="O97" s="229" t="s">
        <v>419</v>
      </c>
      <c r="P97" s="233">
        <v>5</v>
      </c>
      <c r="Q97" s="228">
        <v>15.69</v>
      </c>
      <c r="R97" s="231" t="s">
        <v>7</v>
      </c>
      <c r="S97" s="121">
        <f t="shared" ca="1" si="53"/>
        <v>19.59</v>
      </c>
      <c r="T97" s="98">
        <f t="shared" ca="1" si="54"/>
        <v>97.95</v>
      </c>
      <c r="U97" s="13" t="str">
        <f t="shared" ca="1" si="48"/>
        <v/>
      </c>
      <c r="V97" s="4" t="str">
        <f ca="1">IF(OR($A97=0,$A97="S",$A97&gt;CFF!$A$9),"",MAX(V$12:OFFSET(V97,-1,0))+1)</f>
        <v/>
      </c>
      <c r="W97" s="9" t="str">
        <f t="shared" si="49"/>
        <v>SINAPI-I-12147</v>
      </c>
      <c r="X97" s="4">
        <f t="shared" ca="1" si="55"/>
        <v>11974</v>
      </c>
      <c r="Y97" s="121">
        <f ca="1">IF(Import.Desoneracao="sim",Referencia.Desonerado,Referencia.NaoDesonerado)</f>
        <v>15.69</v>
      </c>
      <c r="Z97" s="132">
        <f ca="1">ROUND(IF(ISNUMBER(R97),R97,IF(LEFT(R97,3)="BDI",HLOOKUP(R97,DADOS!$T$37:$X$38,2,FALSE),0)),15-11*$X$5)</f>
        <v>0.2487</v>
      </c>
      <c r="AA97" s="4"/>
    </row>
    <row r="98" spans="1:27" x14ac:dyDescent="0.2">
      <c r="A98" t="str">
        <f t="shared" si="40"/>
        <v>S</v>
      </c>
      <c r="B98">
        <f t="shared" si="41"/>
        <v>0</v>
      </c>
      <c r="C98">
        <f t="shared" ca="1" si="42"/>
        <v>1</v>
      </c>
      <c r="D98">
        <f t="shared" ca="1" si="43"/>
        <v>12</v>
      </c>
      <c r="E98">
        <f t="shared" ca="1" si="44"/>
        <v>4</v>
      </c>
      <c r="F98">
        <f t="shared" ca="1" si="45"/>
        <v>0</v>
      </c>
      <c r="G98">
        <f t="shared" ca="1" si="46"/>
        <v>3</v>
      </c>
      <c r="H98">
        <f ca="1">IF(OR($A98="S",$A98=0),0,MATCH(0,OFFSET($B98,1,$A98,ROW($A$139)-ROW($A98)),0))</f>
        <v>0</v>
      </c>
      <c r="I98">
        <f ca="1">IF(OR($A98="S",$A98=0),0,MATCH(OFFSET($B98,0,$A98)+1,OFFSET($B98,1,$A98,ROW($A$139)-ROW($A98)),0))</f>
        <v>0</v>
      </c>
      <c r="J98" s="120" t="s">
        <v>103</v>
      </c>
      <c r="K98" s="162" t="str">
        <f t="shared" ca="1" si="47"/>
        <v>1.12.4.3.</v>
      </c>
      <c r="L98" s="209" t="s">
        <v>231</v>
      </c>
      <c r="M98" s="209" t="s">
        <v>317</v>
      </c>
      <c r="N98" s="230" t="s">
        <v>426</v>
      </c>
      <c r="O98" s="229" t="s">
        <v>419</v>
      </c>
      <c r="P98" s="233">
        <v>2</v>
      </c>
      <c r="Q98" s="228">
        <v>11.2</v>
      </c>
      <c r="R98" s="231" t="s">
        <v>7</v>
      </c>
      <c r="S98" s="121">
        <f t="shared" ca="1" si="53"/>
        <v>13.99</v>
      </c>
      <c r="T98" s="98">
        <f t="shared" ca="1" si="54"/>
        <v>27.98</v>
      </c>
      <c r="U98" s="13" t="str">
        <f t="shared" ca="1" si="48"/>
        <v/>
      </c>
      <c r="V98" s="4" t="str">
        <f ca="1">IF(OR($A98=0,$A98="S",$A98&gt;CFF!$A$9),"",MAX(V$12:OFFSET(V98,-1,0))+1)</f>
        <v/>
      </c>
      <c r="W98" s="9" t="str">
        <f t="shared" si="49"/>
        <v>SINAPI-I-38102</v>
      </c>
      <c r="X98" s="4">
        <f t="shared" ca="1" si="55"/>
        <v>11976</v>
      </c>
      <c r="Y98" s="121">
        <f ca="1">IF(Import.Desoneracao="sim",Referencia.Desonerado,Referencia.NaoDesonerado)</f>
        <v>11.2</v>
      </c>
      <c r="Z98" s="132">
        <f ca="1">ROUND(IF(ISNUMBER(R98),R98,IF(LEFT(R98,3)="BDI",HLOOKUP(R98,DADOS!$T$37:$X$38,2,FALSE),0)),15-11*$X$5)</f>
        <v>0.2487</v>
      </c>
      <c r="AA98" s="4"/>
    </row>
    <row r="99" spans="1:27" ht="25.5" x14ac:dyDescent="0.2">
      <c r="A99" t="str">
        <f t="shared" si="40"/>
        <v>S</v>
      </c>
      <c r="B99">
        <f t="shared" si="41"/>
        <v>0</v>
      </c>
      <c r="C99">
        <f t="shared" ca="1" si="42"/>
        <v>1</v>
      </c>
      <c r="D99">
        <f t="shared" ca="1" si="43"/>
        <v>12</v>
      </c>
      <c r="E99">
        <f t="shared" ca="1" si="44"/>
        <v>4</v>
      </c>
      <c r="F99">
        <f t="shared" ca="1" si="45"/>
        <v>0</v>
      </c>
      <c r="G99">
        <f t="shared" ca="1" si="46"/>
        <v>4</v>
      </c>
      <c r="H99">
        <f ca="1">IF(OR($A99="S",$A99=0),0,MATCH(0,OFFSET($B99,1,$A99,ROW($A$139)-ROW($A99)),0))</f>
        <v>0</v>
      </c>
      <c r="I99">
        <f ca="1">IF(OR($A99="S",$A99=0),0,MATCH(OFFSET($B99,0,$A99)+1,OFFSET($B99,1,$A99,ROW($A$139)-ROW($A99)),0))</f>
        <v>0</v>
      </c>
      <c r="J99" s="120" t="s">
        <v>103</v>
      </c>
      <c r="K99" s="162" t="str">
        <f t="shared" ca="1" si="47"/>
        <v>1.12.4.4.</v>
      </c>
      <c r="L99" s="209" t="s">
        <v>233</v>
      </c>
      <c r="M99" s="209" t="s">
        <v>319</v>
      </c>
      <c r="N99" s="230" t="s">
        <v>427</v>
      </c>
      <c r="O99" s="229" t="s">
        <v>394</v>
      </c>
      <c r="P99" s="233">
        <v>23</v>
      </c>
      <c r="Q99" s="228">
        <v>34.86</v>
      </c>
      <c r="R99" s="231" t="s">
        <v>7</v>
      </c>
      <c r="S99" s="121">
        <f t="shared" ca="1" si="53"/>
        <v>43.53</v>
      </c>
      <c r="T99" s="98">
        <f t="shared" ca="1" si="54"/>
        <v>1001.19</v>
      </c>
      <c r="U99" s="13" t="str">
        <f t="shared" ca="1" si="48"/>
        <v/>
      </c>
      <c r="V99" s="4" t="str">
        <f ca="1">IF(OR($A99=0,$A99="S",$A99&gt;CFF!$A$9),"",MAX(V$12:OFFSET(V99,-1,0))+1)</f>
        <v/>
      </c>
      <c r="W99" s="9" t="str">
        <f t="shared" si="49"/>
        <v>SINAPI-95816</v>
      </c>
      <c r="X99" s="4">
        <f t="shared" ca="1" si="55"/>
        <v>3122</v>
      </c>
      <c r="Y99" s="121">
        <f ca="1">IF(Import.Desoneracao="sim",Referencia.Desonerado,Referencia.NaoDesonerado)</f>
        <v>34.86</v>
      </c>
      <c r="Z99" s="132">
        <f ca="1">ROUND(IF(ISNUMBER(R99),R99,IF(LEFT(R99,3)="BDI",HLOOKUP(R99,DADOS!$T$37:$X$38,2,FALSE),0)),15-11*$X$5)</f>
        <v>0.2487</v>
      </c>
      <c r="AA99" s="4"/>
    </row>
    <row r="100" spans="1:27" x14ac:dyDescent="0.2">
      <c r="A100" t="str">
        <f t="shared" si="40"/>
        <v>S</v>
      </c>
      <c r="B100">
        <f t="shared" si="41"/>
        <v>0</v>
      </c>
      <c r="C100">
        <f t="shared" ca="1" si="42"/>
        <v>1</v>
      </c>
      <c r="D100">
        <f t="shared" ca="1" si="43"/>
        <v>12</v>
      </c>
      <c r="E100">
        <f t="shared" ca="1" si="44"/>
        <v>4</v>
      </c>
      <c r="F100">
        <f t="shared" ca="1" si="45"/>
        <v>0</v>
      </c>
      <c r="G100">
        <f t="shared" ca="1" si="46"/>
        <v>5</v>
      </c>
      <c r="H100">
        <f ca="1">IF(OR($A100="S",$A100=0),0,MATCH(0,OFFSET($B100,1,$A100,ROW($A$139)-ROW($A100)),0))</f>
        <v>0</v>
      </c>
      <c r="I100">
        <f ca="1">IF(OR($A100="S",$A100=0),0,MATCH(OFFSET($B100,0,$A100)+1,OFFSET($B100,1,$A100,ROW($A$139)-ROW($A100)),0))</f>
        <v>0</v>
      </c>
      <c r="J100" s="120" t="s">
        <v>103</v>
      </c>
      <c r="K100" s="162" t="str">
        <f t="shared" ca="1" si="47"/>
        <v>1.12.4.5.</v>
      </c>
      <c r="L100" s="232" t="s">
        <v>231</v>
      </c>
      <c r="M100" s="232" t="s">
        <v>318</v>
      </c>
      <c r="N100" s="230" t="s">
        <v>428</v>
      </c>
      <c r="O100" s="229" t="s">
        <v>419</v>
      </c>
      <c r="P100" s="233">
        <v>14</v>
      </c>
      <c r="Q100" s="228">
        <v>35.14</v>
      </c>
      <c r="R100" s="231" t="s">
        <v>7</v>
      </c>
      <c r="S100" s="121">
        <f t="shared" ca="1" si="53"/>
        <v>43.88</v>
      </c>
      <c r="T100" s="98">
        <f t="shared" ca="1" si="54"/>
        <v>614.32000000000005</v>
      </c>
      <c r="U100" s="13" t="str">
        <f t="shared" ca="1" si="48"/>
        <v/>
      </c>
      <c r="V100" s="4" t="str">
        <f ca="1">IF(OR($A100=0,$A100="S",$A100&gt;CFF!$A$9),"",MAX(V$12:OFFSET(V100,-1,0))+1)</f>
        <v/>
      </c>
      <c r="W100" s="9" t="str">
        <f t="shared" si="49"/>
        <v>SINAPI-I-39391</v>
      </c>
      <c r="X100" s="4">
        <f t="shared" ca="1" si="55"/>
        <v>10293</v>
      </c>
      <c r="Y100" s="121">
        <f ca="1">IF(Import.Desoneracao="sim",Referencia.Desonerado,Referencia.NaoDesonerado)</f>
        <v>35.14</v>
      </c>
      <c r="Z100" s="132">
        <f ca="1">ROUND(IF(ISNUMBER(R100),R100,IF(LEFT(R100,3)="BDI",HLOOKUP(R100,DADOS!$T$37:$X$38,2,FALSE),0)),15-11*$X$5)</f>
        <v>0.2487</v>
      </c>
      <c r="AA100" s="4"/>
    </row>
    <row r="101" spans="1:27" x14ac:dyDescent="0.2">
      <c r="A101">
        <f t="shared" si="40"/>
        <v>2</v>
      </c>
      <c r="B101">
        <f t="shared" ca="1" si="41"/>
        <v>33</v>
      </c>
      <c r="C101">
        <f t="shared" ca="1" si="42"/>
        <v>1</v>
      </c>
      <c r="D101">
        <f t="shared" ca="1" si="43"/>
        <v>13</v>
      </c>
      <c r="E101">
        <f t="shared" ca="1" si="44"/>
        <v>0</v>
      </c>
      <c r="F101">
        <f t="shared" ca="1" si="45"/>
        <v>0</v>
      </c>
      <c r="G101">
        <f t="shared" ca="1" si="46"/>
        <v>0</v>
      </c>
      <c r="H101">
        <f ca="1">IF(OR($A101="S",$A101=0),0,MATCH(0,OFFSET($B101,1,$A101,ROW($A$139)-ROW($A101)),0))</f>
        <v>38</v>
      </c>
      <c r="I101">
        <f ca="1">IF(OR($A101="S",$A101=0),0,MATCH(OFFSET($B101,0,$A101)+1,OFFSET($B101,1,$A101,ROW($A$139)-ROW($A101)),0))</f>
        <v>33</v>
      </c>
      <c r="J101" s="120" t="s">
        <v>100</v>
      </c>
      <c r="K101" s="162" t="str">
        <f t="shared" ca="1" si="47"/>
        <v>1.13.</v>
      </c>
      <c r="L101" s="209"/>
      <c r="M101" s="209"/>
      <c r="N101" s="230" t="s">
        <v>338</v>
      </c>
      <c r="O101" s="229" t="str">
        <f ca="1">Referencia.Unidade</f>
        <v/>
      </c>
      <c r="P101" s="233"/>
      <c r="Q101" s="228">
        <v>0</v>
      </c>
      <c r="R101" s="231" t="s">
        <v>7</v>
      </c>
      <c r="S101" s="121">
        <f t="shared" ref="S101:S138" si="56">IF($A101="S",IF($Q$10="Preço Unitário (R$)",PO.CustoUnitario,ROUND(PO.CustoUnitario*(1+$Z101),15-13*$X$6)),0)</f>
        <v>0</v>
      </c>
      <c r="T101" s="98">
        <f t="shared" ref="T101:T138" ca="1" si="57">IF($A101="S",VTOTAL1,IF($A101=0,0,ROUND(SomaAgrup,15-13*$X$7)))</f>
        <v>67920.179999999993</v>
      </c>
      <c r="U101" s="13" t="str">
        <f t="shared" ca="1" si="48"/>
        <v/>
      </c>
      <c r="V101" s="4">
        <f ca="1">IF(OR($A101=0,$A101="S",$A101&gt;CFF!$A$9),"",MAX(V$12:OFFSET(V101,-1,0))+1)</f>
        <v>14</v>
      </c>
      <c r="W101" s="9" t="b">
        <f t="shared" si="49"/>
        <v>0</v>
      </c>
      <c r="X101" s="4" t="str">
        <f t="shared" ref="X101:X138" ca="1" si="58">IF(AND(Fonte&lt;&gt;"",Código&lt;&gt;""),MATCH(Fonte&amp;" "&amp;IF(Fonte="sinapi",SUBSTITUTE(SUBSTITUTE(Código,"/00","/"),"/0","/"),Código),INDIRECT("'[Referência "&amp;_xlnm.Database&amp;".xls]Banco'!$a:$a"),0),"X")</f>
        <v>X</v>
      </c>
      <c r="Y101" s="121">
        <f ca="1">IF(Import.Desoneracao="sim",Referencia.Desonerado,Referencia.NaoDesonerado)</f>
        <v>0</v>
      </c>
      <c r="Z101" s="132">
        <f ca="1">ROUND(IF(ISNUMBER(R101),R101,IF(LEFT(R101,3)="BDI",HLOOKUP(R101,DADOS!$T$37:$X$38,2,FALSE),0)),15-11*$X$5)</f>
        <v>0.2487</v>
      </c>
      <c r="AA101" s="4"/>
    </row>
    <row r="102" spans="1:27" x14ac:dyDescent="0.2">
      <c r="A102">
        <f>CHOOSE(1+LOG(1+2*(J102="Meta")+4*(J102="Nível 2")+8*(J102="Nível 3")+16*(J102="Nível 4")+32*(J102="Serviço"),2),0,1,2,3,4,"S")</f>
        <v>3</v>
      </c>
      <c r="B102">
        <f ca="1">IF(OR(A102="S",A102=0),0,IF(ISERROR(I102),H102,SMALL(H102:I102,1)))</f>
        <v>8</v>
      </c>
      <c r="C102">
        <f ca="1">IF($A102=1,OFFSET(C102,-1,0)+1,OFFSET(C102,-1,0))</f>
        <v>1</v>
      </c>
      <c r="D102">
        <f ca="1">IF($A102=1,0,IF($A102=2,OFFSET(D102,-1,0)+1,OFFSET(D102,-1,0)))</f>
        <v>13</v>
      </c>
      <c r="E102">
        <f ca="1">IF(AND($A102&lt;=2,$A102&lt;&gt;0),0,IF($A102=3,OFFSET(E102,-1,0)+1,OFFSET(E102,-1,0)))</f>
        <v>1</v>
      </c>
      <c r="F102">
        <f ca="1">IF(AND($A102&lt;=3,$A102&lt;&gt;0),0,IF($A102=4,OFFSET(F102,-1,0)+1,OFFSET(F102,-1,0)))</f>
        <v>0</v>
      </c>
      <c r="G102">
        <f ca="1">IF(AND($A102&lt;=4,$A102&lt;&gt;0),0,IF($A102="S",OFFSET(G102,-1,0)+1,OFFSET(G102,-1,0)))</f>
        <v>0</v>
      </c>
      <c r="H102">
        <f ca="1">IF(OR($A102="S",$A102=0),0,MATCH(0,OFFSET($B102,1,$A102,ROW($A$139)-ROW($A102)),0))</f>
        <v>32</v>
      </c>
      <c r="I102">
        <f ca="1">IF(OR($A102="S",$A102=0),0,MATCH(OFFSET($B102,0,$A102)+1,OFFSET($B102,1,$A102,ROW($A$139)-ROW($A102)),0))</f>
        <v>8</v>
      </c>
      <c r="J102" s="120" t="s">
        <v>101</v>
      </c>
      <c r="K102" s="162" t="str">
        <f ca="1">IF($A102=0,"-",CONCATENATE(C102&amp;".",IF(AND($A$5&gt;=2,$A102&gt;=2),D102&amp;".",""),IF(AND($A$5&gt;=3,$A102&gt;=3),E102&amp;".",""),IF(AND($A$5&gt;=4,$A102&gt;=4),F102&amp;".",""),IF($A102="S",G102&amp;".","")))</f>
        <v>1.13.1.</v>
      </c>
      <c r="L102" s="209"/>
      <c r="M102" s="209"/>
      <c r="N102" s="230" t="s">
        <v>339</v>
      </c>
      <c r="O102" s="229" t="str">
        <f ca="1">Referencia.Unidade</f>
        <v/>
      </c>
      <c r="P102" s="233"/>
      <c r="Q102" s="228">
        <v>0</v>
      </c>
      <c r="R102" s="231" t="s">
        <v>7</v>
      </c>
      <c r="S102" s="121">
        <f>IF($A102="S",IF($Q$10="Preço Unitário (R$)",PO.CustoUnitario,ROUND(PO.CustoUnitario*(1+$Z102),15-13*$X$6)),0)</f>
        <v>0</v>
      </c>
      <c r="T102" s="98">
        <f ca="1">IF($A102="S",VTOTAL1,IF($A102=0,0,ROUND(SomaAgrup,15-13*$X$7)))</f>
        <v>14612.68</v>
      </c>
      <c r="U102" s="13" t="str">
        <f ca="1">IF($J102="","",IF($N102="","DESCRIÇÃO",IF(AND($J102="Serviço",$O102=""),"UNIDADE",IF($T102&lt;=0,"SEM VALOR",IF(AND($Y102&lt;&gt;"",$Q102&gt;$Y102),"ACIMA REF.","")))))</f>
        <v/>
      </c>
      <c r="V102" s="4" t="str">
        <f ca="1">IF(OR($A102=0,$A102="S",$A102&gt;CFF!$A$9),"",MAX(V$12:OFFSET(V102,-1,0))+1)</f>
        <v/>
      </c>
      <c r="W102" s="9" t="b">
        <f>IF(AND($J102="Serviço",$M102&lt;&gt;""),IF($L102="",$M102,CONCATENATE($L102,"-",$M102)))</f>
        <v>0</v>
      </c>
      <c r="X102" s="4" t="str">
        <f ca="1">IF(AND(Fonte&lt;&gt;"",Código&lt;&gt;""),MATCH(Fonte&amp;" "&amp;IF(Fonte="sinapi",SUBSTITUTE(SUBSTITUTE(Código,"/00","/"),"/0","/"),Código),INDIRECT("'[Referência "&amp;_xlnm.Database&amp;".xls]Banco'!$a:$a"),0),"X")</f>
        <v>X</v>
      </c>
      <c r="Y102" s="121">
        <f ca="1">IF(Import.Desoneracao="sim",Referencia.Desonerado,Referencia.NaoDesonerado)</f>
        <v>0</v>
      </c>
      <c r="Z102" s="132">
        <f ca="1">ROUND(IF(ISNUMBER(R102),R102,IF(LEFT(R102,3)="BDI",HLOOKUP(R102,DADOS!$T$37:$X$38,2,FALSE),0)),15-11*$X$5)</f>
        <v>0.2487</v>
      </c>
      <c r="AA102" s="4"/>
    </row>
    <row r="103" spans="1:27" x14ac:dyDescent="0.2">
      <c r="A103" t="str">
        <f t="shared" si="40"/>
        <v>S</v>
      </c>
      <c r="B103">
        <f t="shared" si="41"/>
        <v>0</v>
      </c>
      <c r="C103">
        <f t="shared" ca="1" si="42"/>
        <v>1</v>
      </c>
      <c r="D103">
        <f t="shared" ca="1" si="43"/>
        <v>13</v>
      </c>
      <c r="E103">
        <f t="shared" ca="1" si="44"/>
        <v>1</v>
      </c>
      <c r="F103">
        <f t="shared" ca="1" si="45"/>
        <v>0</v>
      </c>
      <c r="G103">
        <f t="shared" ca="1" si="46"/>
        <v>1</v>
      </c>
      <c r="H103">
        <f ca="1">IF(OR($A103="S",$A103=0),0,MATCH(0,OFFSET($B103,1,$A103,ROW($A$139)-ROW($A103)),0))</f>
        <v>0</v>
      </c>
      <c r="I103">
        <f ca="1">IF(OR($A103="S",$A103=0),0,MATCH(OFFSET($B103,0,$A103)+1,OFFSET($B103,1,$A103,ROW($A$139)-ROW($A103)),0))</f>
        <v>0</v>
      </c>
      <c r="J103" s="120" t="s">
        <v>103</v>
      </c>
      <c r="K103" s="162" t="str">
        <f t="shared" ca="1" si="47"/>
        <v>1.13.1.1.</v>
      </c>
      <c r="L103" s="209" t="s">
        <v>231</v>
      </c>
      <c r="M103" s="209" t="s">
        <v>328</v>
      </c>
      <c r="N103" s="230" t="s">
        <v>429</v>
      </c>
      <c r="O103" s="229" t="s">
        <v>419</v>
      </c>
      <c r="P103" s="233">
        <v>2</v>
      </c>
      <c r="Q103" s="228">
        <v>956.76</v>
      </c>
      <c r="R103" s="231" t="s">
        <v>7</v>
      </c>
      <c r="S103" s="121">
        <f t="shared" ca="1" si="56"/>
        <v>1194.71</v>
      </c>
      <c r="T103" s="98">
        <f t="shared" ca="1" si="57"/>
        <v>2389.42</v>
      </c>
      <c r="U103" s="13" t="str">
        <f t="shared" ca="1" si="48"/>
        <v/>
      </c>
      <c r="V103" s="4" t="str">
        <f ca="1">IF(OR($A103=0,$A103="S",$A103&gt;CFF!$A$9),"",MAX(V$12:OFFSET(V103,-1,0))+1)</f>
        <v/>
      </c>
      <c r="W103" s="9" t="str">
        <f t="shared" si="49"/>
        <v>SINAPI-I-39620</v>
      </c>
      <c r="X103" s="4">
        <f t="shared" ca="1" si="58"/>
        <v>8124</v>
      </c>
      <c r="Y103" s="121">
        <f ca="1">IF(Import.Desoneracao="sim",Referencia.Desonerado,Referencia.NaoDesonerado)</f>
        <v>956.76</v>
      </c>
      <c r="Z103" s="132">
        <f ca="1">ROUND(IF(ISNUMBER(R103),R103,IF(LEFT(R103,3)="BDI",HLOOKUP(R103,DADOS!$T$37:$X$38,2,FALSE),0)),15-11*$X$5)</f>
        <v>0.2487</v>
      </c>
      <c r="AA103" s="4"/>
    </row>
    <row r="104" spans="1:27" ht="25.5" x14ac:dyDescent="0.2">
      <c r="A104" t="str">
        <f t="shared" si="40"/>
        <v>S</v>
      </c>
      <c r="B104">
        <f t="shared" si="41"/>
        <v>0</v>
      </c>
      <c r="C104">
        <f t="shared" ca="1" si="42"/>
        <v>1</v>
      </c>
      <c r="D104">
        <f t="shared" ca="1" si="43"/>
        <v>13</v>
      </c>
      <c r="E104">
        <f t="shared" ca="1" si="44"/>
        <v>1</v>
      </c>
      <c r="F104">
        <f t="shared" ca="1" si="45"/>
        <v>0</v>
      </c>
      <c r="G104">
        <f t="shared" ca="1" si="46"/>
        <v>2</v>
      </c>
      <c r="H104">
        <f ca="1">IF(OR($A104="S",$A104=0),0,MATCH(0,OFFSET($B104,1,$A104,ROW($A$139)-ROW($A104)),0))</f>
        <v>0</v>
      </c>
      <c r="I104">
        <f ca="1">IF(OR($A104="S",$A104=0),0,MATCH(OFFSET($B104,0,$A104)+1,OFFSET($B104,1,$A104,ROW($A$139)-ROW($A104)),0))</f>
        <v>0</v>
      </c>
      <c r="J104" s="120" t="s">
        <v>103</v>
      </c>
      <c r="K104" s="162" t="str">
        <f t="shared" ca="1" si="47"/>
        <v>1.13.1.2.</v>
      </c>
      <c r="L104" s="209" t="s">
        <v>233</v>
      </c>
      <c r="M104" s="209" t="s">
        <v>330</v>
      </c>
      <c r="N104" s="230" t="s">
        <v>430</v>
      </c>
      <c r="O104" s="229" t="s">
        <v>370</v>
      </c>
      <c r="P104" s="233">
        <v>12</v>
      </c>
      <c r="Q104" s="228">
        <v>107.88</v>
      </c>
      <c r="R104" s="231" t="s">
        <v>7</v>
      </c>
      <c r="S104" s="121">
        <f t="shared" ca="1" si="56"/>
        <v>134.71</v>
      </c>
      <c r="T104" s="98">
        <f t="shared" ca="1" si="57"/>
        <v>1616.52</v>
      </c>
      <c r="U104" s="13" t="str">
        <f t="shared" ca="1" si="48"/>
        <v/>
      </c>
      <c r="V104" s="4" t="str">
        <f ca="1">IF(OR($A104=0,$A104="S",$A104&gt;CFF!$A$9),"",MAX(V$12:OFFSET(V104,-1,0))+1)</f>
        <v/>
      </c>
      <c r="W104" s="9" t="str">
        <f t="shared" si="49"/>
        <v>SINAPI-99855</v>
      </c>
      <c r="X104" s="4">
        <f t="shared" ca="1" si="58"/>
        <v>2241</v>
      </c>
      <c r="Y104" s="121">
        <f ca="1">IF(Import.Desoneracao="sim",Referencia.Desonerado,Referencia.NaoDesonerado)</f>
        <v>107.88</v>
      </c>
      <c r="Z104" s="132">
        <f ca="1">ROUND(IF(ISNUMBER(R104),R104,IF(LEFT(R104,3)="BDI",HLOOKUP(R104,DADOS!$T$37:$X$38,2,FALSE),0)),15-11*$X$5)</f>
        <v>0.2487</v>
      </c>
      <c r="AA104" s="4"/>
    </row>
    <row r="105" spans="1:27" ht="25.5" x14ac:dyDescent="0.2">
      <c r="A105" t="str">
        <f t="shared" si="40"/>
        <v>S</v>
      </c>
      <c r="B105">
        <f t="shared" si="41"/>
        <v>0</v>
      </c>
      <c r="C105">
        <f t="shared" ca="1" si="42"/>
        <v>1</v>
      </c>
      <c r="D105">
        <f t="shared" ca="1" si="43"/>
        <v>13</v>
      </c>
      <c r="E105">
        <f t="shared" ca="1" si="44"/>
        <v>1</v>
      </c>
      <c r="F105">
        <f t="shared" ca="1" si="45"/>
        <v>0</v>
      </c>
      <c r="G105">
        <f t="shared" ca="1" si="46"/>
        <v>3</v>
      </c>
      <c r="H105">
        <f ca="1">IF(OR($A105="S",$A105=0),0,MATCH(0,OFFSET($B105,1,$A105,ROW($A$139)-ROW($A105)),0))</f>
        <v>0</v>
      </c>
      <c r="I105">
        <f ca="1">IF(OR($A105="S",$A105=0),0,MATCH(OFFSET($B105,0,$A105)+1,OFFSET($B105,1,$A105,ROW($A$139)-ROW($A105)),0))</f>
        <v>0</v>
      </c>
      <c r="J105" s="120" t="s">
        <v>103</v>
      </c>
      <c r="K105" s="162" t="str">
        <f t="shared" ca="1" si="47"/>
        <v>1.13.1.3.</v>
      </c>
      <c r="L105" s="209" t="s">
        <v>233</v>
      </c>
      <c r="M105" s="209" t="s">
        <v>333</v>
      </c>
      <c r="N105" s="230" t="s">
        <v>431</v>
      </c>
      <c r="O105" s="229" t="s">
        <v>394</v>
      </c>
      <c r="P105" s="233">
        <v>10</v>
      </c>
      <c r="Q105" s="228">
        <v>213.95</v>
      </c>
      <c r="R105" s="231" t="s">
        <v>7</v>
      </c>
      <c r="S105" s="121">
        <f t="shared" ca="1" si="56"/>
        <v>267.16000000000003</v>
      </c>
      <c r="T105" s="98">
        <f t="shared" ca="1" si="57"/>
        <v>2671.6</v>
      </c>
      <c r="U105" s="13" t="str">
        <f t="shared" ca="1" si="48"/>
        <v/>
      </c>
      <c r="V105" s="4" t="str">
        <f ca="1">IF(OR($A105=0,$A105="S",$A105&gt;CFF!$A$9),"",MAX(V$12:OFFSET(V105,-1,0))+1)</f>
        <v/>
      </c>
      <c r="W105" s="9" t="str">
        <f t="shared" si="49"/>
        <v>SINAPI-101908</v>
      </c>
      <c r="X105" s="4">
        <f t="shared" ca="1" si="58"/>
        <v>3498</v>
      </c>
      <c r="Y105" s="121">
        <f ca="1">IF(Import.Desoneracao="sim",Referencia.Desonerado,Referencia.NaoDesonerado)</f>
        <v>213.95</v>
      </c>
      <c r="Z105" s="132">
        <f ca="1">ROUND(IF(ISNUMBER(R105),R105,IF(LEFT(R105,3)="BDI",HLOOKUP(R105,DADOS!$T$37:$X$38,2,FALSE),0)),15-11*$X$5)</f>
        <v>0.2487</v>
      </c>
      <c r="AA105" s="4"/>
    </row>
    <row r="106" spans="1:27" ht="25.5" x14ac:dyDescent="0.2">
      <c r="A106" t="str">
        <f t="shared" si="40"/>
        <v>S</v>
      </c>
      <c r="B106">
        <f t="shared" si="41"/>
        <v>0</v>
      </c>
      <c r="C106">
        <f t="shared" ca="1" si="42"/>
        <v>1</v>
      </c>
      <c r="D106">
        <f t="shared" ca="1" si="43"/>
        <v>13</v>
      </c>
      <c r="E106">
        <f t="shared" ca="1" si="44"/>
        <v>1</v>
      </c>
      <c r="F106">
        <f t="shared" ca="1" si="45"/>
        <v>0</v>
      </c>
      <c r="G106">
        <f t="shared" ca="1" si="46"/>
        <v>4</v>
      </c>
      <c r="H106">
        <f ca="1">IF(OR($A106="S",$A106=0),0,MATCH(0,OFFSET($B106,1,$A106,ROW($A$139)-ROW($A106)),0))</f>
        <v>0</v>
      </c>
      <c r="I106">
        <f ca="1">IF(OR($A106="S",$A106=0),0,MATCH(OFFSET($B106,0,$A106)+1,OFFSET($B106,1,$A106,ROW($A$139)-ROW($A106)),0))</f>
        <v>0</v>
      </c>
      <c r="J106" s="120" t="s">
        <v>103</v>
      </c>
      <c r="K106" s="162" t="str">
        <f t="shared" ca="1" si="47"/>
        <v>1.13.1.4.</v>
      </c>
      <c r="L106" s="209" t="s">
        <v>233</v>
      </c>
      <c r="M106" s="209" t="s">
        <v>334</v>
      </c>
      <c r="N106" s="230" t="s">
        <v>432</v>
      </c>
      <c r="O106" s="229" t="s">
        <v>394</v>
      </c>
      <c r="P106" s="233">
        <v>4</v>
      </c>
      <c r="Q106" s="228">
        <v>22.04</v>
      </c>
      <c r="R106" s="231" t="s">
        <v>7</v>
      </c>
      <c r="S106" s="121">
        <f t="shared" ca="1" si="56"/>
        <v>27.52</v>
      </c>
      <c r="T106" s="98">
        <f t="shared" ca="1" si="57"/>
        <v>110.08</v>
      </c>
      <c r="U106" s="13" t="str">
        <f t="shared" ca="1" si="48"/>
        <v/>
      </c>
      <c r="V106" s="4" t="str">
        <f ca="1">IF(OR($A106=0,$A106="S",$A106&gt;CFF!$A$9),"",MAX(V$12:OFFSET(V106,-1,0))+1)</f>
        <v/>
      </c>
      <c r="W106" s="9" t="str">
        <f t="shared" si="49"/>
        <v>SINAPI-97599</v>
      </c>
      <c r="X106" s="4">
        <f t="shared" ca="1" si="58"/>
        <v>3295</v>
      </c>
      <c r="Y106" s="121">
        <f ca="1">IF(Import.Desoneracao="sim",Referencia.Desonerado,Referencia.NaoDesonerado)</f>
        <v>22.04</v>
      </c>
      <c r="Z106" s="132">
        <f ca="1">ROUND(IF(ISNUMBER(R106),R106,IF(LEFT(R106,3)="BDI",HLOOKUP(R106,DADOS!$T$37:$X$38,2,FALSE),0)),15-11*$X$5)</f>
        <v>0.2487</v>
      </c>
      <c r="AA106" s="4"/>
    </row>
    <row r="107" spans="1:27" x14ac:dyDescent="0.2">
      <c r="A107" t="str">
        <f t="shared" si="40"/>
        <v>S</v>
      </c>
      <c r="B107">
        <f t="shared" si="41"/>
        <v>0</v>
      </c>
      <c r="C107">
        <f t="shared" ca="1" si="42"/>
        <v>1</v>
      </c>
      <c r="D107">
        <f t="shared" ca="1" si="43"/>
        <v>13</v>
      </c>
      <c r="E107">
        <f t="shared" ca="1" si="44"/>
        <v>1</v>
      </c>
      <c r="F107">
        <f t="shared" ca="1" si="45"/>
        <v>0</v>
      </c>
      <c r="G107">
        <f t="shared" ca="1" si="46"/>
        <v>5</v>
      </c>
      <c r="H107">
        <f t="shared" ref="H107:H138" ca="1" si="59">IF(OR($A107="S",$A107=0),0,MATCH(0,OFFSET($B107,1,$A107,ROW($A$139)-ROW($A107)),0))</f>
        <v>0</v>
      </c>
      <c r="I107">
        <f t="shared" ref="I107:I138" ca="1" si="60">IF(OR($A107="S",$A107=0),0,MATCH(OFFSET($B107,0,$A107)+1,OFFSET($B107,1,$A107,ROW($A$139)-ROW($A107)),0))</f>
        <v>0</v>
      </c>
      <c r="J107" s="120" t="s">
        <v>103</v>
      </c>
      <c r="K107" s="162" t="str">
        <f t="shared" ca="1" si="47"/>
        <v>1.13.1.5.</v>
      </c>
      <c r="L107" s="209" t="s">
        <v>231</v>
      </c>
      <c r="M107" s="209" t="s">
        <v>335</v>
      </c>
      <c r="N107" s="230" t="s">
        <v>433</v>
      </c>
      <c r="O107" s="229" t="s">
        <v>434</v>
      </c>
      <c r="P107" s="233">
        <v>4</v>
      </c>
      <c r="Q107" s="228">
        <v>1405.36</v>
      </c>
      <c r="R107" s="231" t="s">
        <v>7</v>
      </c>
      <c r="S107" s="121">
        <f t="shared" ca="1" si="56"/>
        <v>1754.87</v>
      </c>
      <c r="T107" s="98">
        <f t="shared" ca="1" si="57"/>
        <v>7019.48</v>
      </c>
      <c r="U107" s="13" t="str">
        <f t="shared" ca="1" si="48"/>
        <v/>
      </c>
      <c r="V107" s="4" t="str">
        <f ca="1">IF(OR($A107=0,$A107="S",$A107&gt;CFF!$A$9),"",MAX(V$12:OFFSET(V107,-1,0))+1)</f>
        <v/>
      </c>
      <c r="W107" s="9" t="str">
        <f t="shared" si="49"/>
        <v>SINAPI-I-39621</v>
      </c>
      <c r="X107" s="4">
        <f t="shared" ca="1" si="58"/>
        <v>8121</v>
      </c>
      <c r="Y107" s="121">
        <f ca="1">IF(Import.Desoneracao="sim",Referencia.Desonerado,Referencia.NaoDesonerado)</f>
        <v>1405.36</v>
      </c>
      <c r="Z107" s="132">
        <f ca="1">ROUND(IF(ISNUMBER(R107),R107,IF(LEFT(R107,3)="BDI",HLOOKUP(R107,DADOS!$T$37:$X$38,2,FALSE),0)),15-11*$X$5)</f>
        <v>0.2487</v>
      </c>
      <c r="AA107" s="4"/>
    </row>
    <row r="108" spans="1:27" ht="38.25" x14ac:dyDescent="0.2">
      <c r="A108" t="str">
        <f t="shared" si="40"/>
        <v>S</v>
      </c>
      <c r="B108">
        <f t="shared" si="41"/>
        <v>0</v>
      </c>
      <c r="C108">
        <f t="shared" ca="1" si="42"/>
        <v>1</v>
      </c>
      <c r="D108">
        <f t="shared" ca="1" si="43"/>
        <v>13</v>
      </c>
      <c r="E108">
        <f t="shared" ca="1" si="44"/>
        <v>1</v>
      </c>
      <c r="F108">
        <f t="shared" ca="1" si="45"/>
        <v>0</v>
      </c>
      <c r="G108">
        <f t="shared" ca="1" si="46"/>
        <v>6</v>
      </c>
      <c r="H108">
        <f t="shared" ca="1" si="59"/>
        <v>0</v>
      </c>
      <c r="I108">
        <f t="shared" ca="1" si="60"/>
        <v>0</v>
      </c>
      <c r="J108" s="120" t="s">
        <v>103</v>
      </c>
      <c r="K108" s="162" t="str">
        <f t="shared" ca="1" si="47"/>
        <v>1.13.1.6.</v>
      </c>
      <c r="L108" s="209" t="s">
        <v>231</v>
      </c>
      <c r="M108" s="209" t="s">
        <v>336</v>
      </c>
      <c r="N108" s="230" t="s">
        <v>435</v>
      </c>
      <c r="O108" s="229" t="s">
        <v>419</v>
      </c>
      <c r="P108" s="233">
        <v>23</v>
      </c>
      <c r="Q108" s="228">
        <v>20.71</v>
      </c>
      <c r="R108" s="231" t="s">
        <v>7</v>
      </c>
      <c r="S108" s="121">
        <f t="shared" ca="1" si="56"/>
        <v>25.86</v>
      </c>
      <c r="T108" s="98">
        <f t="shared" ca="1" si="57"/>
        <v>594.78</v>
      </c>
      <c r="U108" s="13" t="str">
        <f t="shared" ca="1" si="48"/>
        <v/>
      </c>
      <c r="V108" s="4" t="str">
        <f ca="1">IF(OR($A108=0,$A108="S",$A108&gt;CFF!$A$9),"",MAX(V$12:OFFSET(V108,-1,0))+1)</f>
        <v/>
      </c>
      <c r="W108" s="9" t="str">
        <f t="shared" si="49"/>
        <v>SINAPI-I-37559</v>
      </c>
      <c r="X108" s="4">
        <f t="shared" ca="1" si="58"/>
        <v>11074</v>
      </c>
      <c r="Y108" s="121">
        <f ca="1">IF(Import.Desoneracao="sim",Referencia.Desonerado,Referencia.NaoDesonerado)</f>
        <v>20.71</v>
      </c>
      <c r="Z108" s="132">
        <f ca="1">ROUND(IF(ISNUMBER(R108),R108,IF(LEFT(R108,3)="BDI",HLOOKUP(R108,DADOS!$T$37:$X$38,2,FALSE),0)),15-11*$X$5)</f>
        <v>0.2487</v>
      </c>
      <c r="AA108" s="4"/>
    </row>
    <row r="109" spans="1:27" ht="38.25" x14ac:dyDescent="0.2">
      <c r="A109" t="str">
        <f t="shared" si="40"/>
        <v>S</v>
      </c>
      <c r="B109">
        <f t="shared" si="41"/>
        <v>0</v>
      </c>
      <c r="C109">
        <f t="shared" ca="1" si="42"/>
        <v>1</v>
      </c>
      <c r="D109">
        <f t="shared" ca="1" si="43"/>
        <v>13</v>
      </c>
      <c r="E109">
        <f t="shared" ca="1" si="44"/>
        <v>1</v>
      </c>
      <c r="F109">
        <f t="shared" ca="1" si="45"/>
        <v>0</v>
      </c>
      <c r="G109">
        <f t="shared" ca="1" si="46"/>
        <v>7</v>
      </c>
      <c r="H109">
        <f t="shared" ca="1" si="59"/>
        <v>0</v>
      </c>
      <c r="I109">
        <f t="shared" ca="1" si="60"/>
        <v>0</v>
      </c>
      <c r="J109" s="120" t="s">
        <v>103</v>
      </c>
      <c r="K109" s="162" t="str">
        <f t="shared" ca="1" si="47"/>
        <v>1.13.1.7.</v>
      </c>
      <c r="L109" s="209" t="s">
        <v>231</v>
      </c>
      <c r="M109" s="209" t="s">
        <v>337</v>
      </c>
      <c r="N109" s="230" t="s">
        <v>436</v>
      </c>
      <c r="O109" s="229" t="s">
        <v>419</v>
      </c>
      <c r="P109" s="233">
        <v>10</v>
      </c>
      <c r="Q109" s="228">
        <v>16.88</v>
      </c>
      <c r="R109" s="231" t="s">
        <v>7</v>
      </c>
      <c r="S109" s="121">
        <f t="shared" ca="1" si="56"/>
        <v>21.08</v>
      </c>
      <c r="T109" s="98">
        <f t="shared" ca="1" si="57"/>
        <v>210.8</v>
      </c>
      <c r="U109" s="13" t="str">
        <f t="shared" ca="1" si="48"/>
        <v/>
      </c>
      <c r="V109" s="4" t="str">
        <f ca="1">IF(OR($A109=0,$A109="S",$A109&gt;CFF!$A$9),"",MAX(V$12:OFFSET(V109,-1,0))+1)</f>
        <v/>
      </c>
      <c r="W109" s="9" t="str">
        <f t="shared" si="49"/>
        <v>SINAPI-I-37556</v>
      </c>
      <c r="X109" s="4">
        <f t="shared" ca="1" si="58"/>
        <v>11073</v>
      </c>
      <c r="Y109" s="121">
        <f ca="1">IF(Import.Desoneracao="sim",Referencia.Desonerado,Referencia.NaoDesonerado)</f>
        <v>16.88</v>
      </c>
      <c r="Z109" s="132">
        <f ca="1">ROUND(IF(ISNUMBER(R109),R109,IF(LEFT(R109,3)="BDI",HLOOKUP(R109,DADOS!$T$37:$X$38,2,FALSE),0)),15-11*$X$5)</f>
        <v>0.2487</v>
      </c>
      <c r="AA109" s="4"/>
    </row>
    <row r="110" spans="1:27" x14ac:dyDescent="0.2">
      <c r="A110">
        <f t="shared" si="40"/>
        <v>3</v>
      </c>
      <c r="B110">
        <f t="shared" ca="1" si="41"/>
        <v>8</v>
      </c>
      <c r="C110">
        <f t="shared" ca="1" si="42"/>
        <v>1</v>
      </c>
      <c r="D110">
        <f t="shared" ca="1" si="43"/>
        <v>13</v>
      </c>
      <c r="E110">
        <f t="shared" ca="1" si="44"/>
        <v>2</v>
      </c>
      <c r="F110">
        <f t="shared" ca="1" si="45"/>
        <v>0</v>
      </c>
      <c r="G110">
        <f t="shared" ca="1" si="46"/>
        <v>0</v>
      </c>
      <c r="H110">
        <f t="shared" ca="1" si="59"/>
        <v>24</v>
      </c>
      <c r="I110">
        <f t="shared" ca="1" si="60"/>
        <v>8</v>
      </c>
      <c r="J110" s="120" t="s">
        <v>101</v>
      </c>
      <c r="K110" s="162" t="str">
        <f t="shared" ca="1" si="47"/>
        <v>1.13.2.</v>
      </c>
      <c r="L110" s="209"/>
      <c r="M110" s="209"/>
      <c r="N110" s="230" t="s">
        <v>340</v>
      </c>
      <c r="O110" s="229" t="str">
        <f ca="1">Referencia.Unidade</f>
        <v/>
      </c>
      <c r="P110" s="233"/>
      <c r="Q110" s="228">
        <v>0</v>
      </c>
      <c r="R110" s="231" t="s">
        <v>7</v>
      </c>
      <c r="S110" s="121">
        <f t="shared" si="56"/>
        <v>0</v>
      </c>
      <c r="T110" s="98">
        <f t="shared" ca="1" si="57"/>
        <v>10903.65</v>
      </c>
      <c r="U110" s="13" t="str">
        <f t="shared" ca="1" si="48"/>
        <v/>
      </c>
      <c r="V110" s="4" t="str">
        <f ca="1">IF(OR($A110=0,$A110="S",$A110&gt;CFF!$A$9),"",MAX(V$12:OFFSET(V110,-1,0))+1)</f>
        <v/>
      </c>
      <c r="W110" s="9" t="b">
        <f t="shared" si="49"/>
        <v>0</v>
      </c>
      <c r="X110" s="4" t="str">
        <f t="shared" ca="1" si="58"/>
        <v>X</v>
      </c>
      <c r="Y110" s="121">
        <f ca="1">IF(Import.Desoneracao="sim",Referencia.Desonerado,Referencia.NaoDesonerado)</f>
        <v>0</v>
      </c>
      <c r="Z110" s="132">
        <f ca="1">ROUND(IF(ISNUMBER(R110),R110,IF(LEFT(R110,3)="BDI",HLOOKUP(R110,DADOS!$T$37:$X$38,2,FALSE),0)),15-11*$X$5)</f>
        <v>0.2487</v>
      </c>
      <c r="AA110" s="4"/>
    </row>
    <row r="111" spans="1:27" ht="38.25" x14ac:dyDescent="0.2">
      <c r="A111" t="str">
        <f t="shared" si="40"/>
        <v>S</v>
      </c>
      <c r="B111">
        <f t="shared" si="41"/>
        <v>0</v>
      </c>
      <c r="C111">
        <f t="shared" ca="1" si="42"/>
        <v>1</v>
      </c>
      <c r="D111">
        <f t="shared" ca="1" si="43"/>
        <v>13</v>
      </c>
      <c r="E111">
        <f t="shared" ca="1" si="44"/>
        <v>2</v>
      </c>
      <c r="F111">
        <f t="shared" ca="1" si="45"/>
        <v>0</v>
      </c>
      <c r="G111">
        <f t="shared" ca="1" si="46"/>
        <v>1</v>
      </c>
      <c r="H111">
        <f t="shared" ca="1" si="59"/>
        <v>0</v>
      </c>
      <c r="I111">
        <f t="shared" ca="1" si="60"/>
        <v>0</v>
      </c>
      <c r="J111" s="120" t="s">
        <v>103</v>
      </c>
      <c r="K111" s="162" t="str">
        <f t="shared" ca="1" si="47"/>
        <v>1.13.2.1.</v>
      </c>
      <c r="L111" s="209" t="s">
        <v>285</v>
      </c>
      <c r="M111" s="209" t="s">
        <v>360</v>
      </c>
      <c r="N111" s="230" t="s">
        <v>437</v>
      </c>
      <c r="O111" s="229" t="s">
        <v>370</v>
      </c>
      <c r="P111" s="233">
        <v>120.45</v>
      </c>
      <c r="Q111" s="228">
        <v>36.33</v>
      </c>
      <c r="R111" s="231" t="s">
        <v>7</v>
      </c>
      <c r="S111" s="121">
        <f t="shared" ca="1" si="56"/>
        <v>45.37</v>
      </c>
      <c r="T111" s="98">
        <f t="shared" ca="1" si="57"/>
        <v>5464.82</v>
      </c>
      <c r="U111" s="13" t="str">
        <f t="shared" ca="1" si="48"/>
        <v/>
      </c>
      <c r="V111" s="4" t="str">
        <f ca="1">IF(OR($A111=0,$A111="S",$A111&gt;CFF!$A$9),"",MAX(V$12:OFFSET(V111,-1,0))+1)</f>
        <v/>
      </c>
      <c r="W111" s="9" t="str">
        <f t="shared" si="49"/>
        <v>COMPOSIÇÃO-COMP 04</v>
      </c>
      <c r="X111" s="4">
        <f t="shared" ca="1" si="58"/>
        <v>10</v>
      </c>
      <c r="Y111" s="121">
        <f ca="1">IF(Import.Desoneracao="sim",Referencia.Desonerado,Referencia.NaoDesonerado)</f>
        <v>36.33</v>
      </c>
      <c r="Z111" s="132">
        <f ca="1">ROUND(IF(ISNUMBER(R111),R111,IF(LEFT(R111,3)="BDI",HLOOKUP(R111,DADOS!$T$37:$X$38,2,FALSE),0)),15-11*$X$5)</f>
        <v>0.2487</v>
      </c>
      <c r="AA111" s="4"/>
    </row>
    <row r="112" spans="1:27" ht="25.5" x14ac:dyDescent="0.2">
      <c r="A112" t="str">
        <f t="shared" si="40"/>
        <v>S</v>
      </c>
      <c r="B112">
        <f t="shared" si="41"/>
        <v>0</v>
      </c>
      <c r="C112">
        <f t="shared" ca="1" si="42"/>
        <v>1</v>
      </c>
      <c r="D112">
        <f t="shared" ca="1" si="43"/>
        <v>13</v>
      </c>
      <c r="E112">
        <f t="shared" ca="1" si="44"/>
        <v>2</v>
      </c>
      <c r="F112">
        <f t="shared" ca="1" si="45"/>
        <v>0</v>
      </c>
      <c r="G112">
        <f t="shared" ca="1" si="46"/>
        <v>2</v>
      </c>
      <c r="H112">
        <f t="shared" ca="1" si="59"/>
        <v>0</v>
      </c>
      <c r="I112">
        <f t="shared" ca="1" si="60"/>
        <v>0</v>
      </c>
      <c r="J112" s="120" t="s">
        <v>103</v>
      </c>
      <c r="K112" s="162" t="str">
        <f t="shared" ca="1" si="47"/>
        <v>1.13.2.2.</v>
      </c>
      <c r="L112" s="209" t="s">
        <v>231</v>
      </c>
      <c r="M112" s="209" t="s">
        <v>341</v>
      </c>
      <c r="N112" s="230" t="s">
        <v>438</v>
      </c>
      <c r="O112" s="229" t="s">
        <v>419</v>
      </c>
      <c r="P112" s="233">
        <v>18</v>
      </c>
      <c r="Q112" s="228">
        <v>7.68</v>
      </c>
      <c r="R112" s="231" t="s">
        <v>7</v>
      </c>
      <c r="S112" s="121">
        <f t="shared" ca="1" si="56"/>
        <v>9.59</v>
      </c>
      <c r="T112" s="98">
        <f t="shared" ca="1" si="57"/>
        <v>172.62</v>
      </c>
      <c r="U112" s="13" t="str">
        <f t="shared" ca="1" si="48"/>
        <v/>
      </c>
      <c r="V112" s="4" t="str">
        <f ca="1">IF(OR($A112=0,$A112="S",$A112&gt;CFF!$A$9),"",MAX(V$12:OFFSET(V112,-1,0))+1)</f>
        <v/>
      </c>
      <c r="W112" s="9" t="str">
        <f t="shared" si="49"/>
        <v>SINAPI-I-2633</v>
      </c>
      <c r="X112" s="4">
        <f t="shared" ca="1" si="58"/>
        <v>9342</v>
      </c>
      <c r="Y112" s="121">
        <f ca="1">IF(Import.Desoneracao="sim",Referencia.Desonerado,Referencia.NaoDesonerado)</f>
        <v>7.68</v>
      </c>
      <c r="Z112" s="132">
        <f ca="1">ROUND(IF(ISNUMBER(R112),R112,IF(LEFT(R112,3)="BDI",HLOOKUP(R112,DADOS!$T$37:$X$38,2,FALSE),0)),15-11*$X$5)</f>
        <v>0.2487</v>
      </c>
      <c r="AA112" s="4"/>
    </row>
    <row r="113" spans="1:27" ht="25.5" x14ac:dyDescent="0.2">
      <c r="A113" t="str">
        <f t="shared" si="40"/>
        <v>S</v>
      </c>
      <c r="B113">
        <f t="shared" si="41"/>
        <v>0</v>
      </c>
      <c r="C113">
        <f t="shared" ca="1" si="42"/>
        <v>1</v>
      </c>
      <c r="D113">
        <f t="shared" ca="1" si="43"/>
        <v>13</v>
      </c>
      <c r="E113">
        <f t="shared" ca="1" si="44"/>
        <v>2</v>
      </c>
      <c r="F113">
        <f t="shared" ca="1" si="45"/>
        <v>0</v>
      </c>
      <c r="G113">
        <f t="shared" ca="1" si="46"/>
        <v>3</v>
      </c>
      <c r="H113">
        <f t="shared" ca="1" si="59"/>
        <v>0</v>
      </c>
      <c r="I113">
        <f t="shared" ca="1" si="60"/>
        <v>0</v>
      </c>
      <c r="J113" s="120" t="s">
        <v>103</v>
      </c>
      <c r="K113" s="162" t="str">
        <f t="shared" ca="1" si="47"/>
        <v>1.13.2.3.</v>
      </c>
      <c r="L113" s="209" t="s">
        <v>233</v>
      </c>
      <c r="M113" s="209" t="s">
        <v>342</v>
      </c>
      <c r="N113" s="230" t="s">
        <v>439</v>
      </c>
      <c r="O113" s="229" t="s">
        <v>370</v>
      </c>
      <c r="P113" s="233">
        <v>400</v>
      </c>
      <c r="Q113" s="228">
        <v>2.88</v>
      </c>
      <c r="R113" s="231" t="s">
        <v>7</v>
      </c>
      <c r="S113" s="121">
        <f t="shared" ca="1" si="56"/>
        <v>3.6</v>
      </c>
      <c r="T113" s="98">
        <f t="shared" ca="1" si="57"/>
        <v>1440</v>
      </c>
      <c r="U113" s="13" t="str">
        <f t="shared" ca="1" si="48"/>
        <v/>
      </c>
      <c r="V113" s="4" t="str">
        <f ca="1">IF(OR($A113=0,$A113="S",$A113&gt;CFF!$A$9),"",MAX(V$12:OFFSET(V113,-1,0))+1)</f>
        <v/>
      </c>
      <c r="W113" s="9" t="str">
        <f t="shared" si="49"/>
        <v>SINAPI-91924</v>
      </c>
      <c r="X113" s="4">
        <f t="shared" ca="1" si="58"/>
        <v>3046</v>
      </c>
      <c r="Y113" s="121">
        <f ca="1">IF(Import.Desoneracao="sim",Referencia.Desonerado,Referencia.NaoDesonerado)</f>
        <v>2.88</v>
      </c>
      <c r="Z113" s="132">
        <f ca="1">ROUND(IF(ISNUMBER(R113),R113,IF(LEFT(R113,3)="BDI",HLOOKUP(R113,DADOS!$T$37:$X$38,2,FALSE),0)),15-11*$X$5)</f>
        <v>0.2487</v>
      </c>
      <c r="AA113" s="4"/>
    </row>
    <row r="114" spans="1:27" x14ac:dyDescent="0.2">
      <c r="A114" t="str">
        <f t="shared" si="40"/>
        <v>S</v>
      </c>
      <c r="B114">
        <f t="shared" si="41"/>
        <v>0</v>
      </c>
      <c r="C114">
        <f t="shared" ca="1" si="42"/>
        <v>1</v>
      </c>
      <c r="D114">
        <f t="shared" ca="1" si="43"/>
        <v>13</v>
      </c>
      <c r="E114">
        <f t="shared" ca="1" si="44"/>
        <v>2</v>
      </c>
      <c r="F114">
        <f t="shared" ca="1" si="45"/>
        <v>0</v>
      </c>
      <c r="G114">
        <f t="shared" ca="1" si="46"/>
        <v>4</v>
      </c>
      <c r="H114">
        <f t="shared" ca="1" si="59"/>
        <v>0</v>
      </c>
      <c r="I114">
        <f t="shared" ca="1" si="60"/>
        <v>0</v>
      </c>
      <c r="J114" s="120" t="s">
        <v>103</v>
      </c>
      <c r="K114" s="162" t="str">
        <f t="shared" ca="1" si="47"/>
        <v>1.13.2.4.</v>
      </c>
      <c r="L114" s="209" t="s">
        <v>243</v>
      </c>
      <c r="M114" s="209" t="s">
        <v>353</v>
      </c>
      <c r="N114" s="230" t="s">
        <v>440</v>
      </c>
      <c r="O114" s="229" t="s">
        <v>441</v>
      </c>
      <c r="P114" s="233">
        <v>7</v>
      </c>
      <c r="Q114" s="228">
        <v>125</v>
      </c>
      <c r="R114" s="231" t="s">
        <v>7</v>
      </c>
      <c r="S114" s="121">
        <f t="shared" ca="1" si="56"/>
        <v>156.09</v>
      </c>
      <c r="T114" s="98">
        <f t="shared" ca="1" si="57"/>
        <v>1092.6300000000001</v>
      </c>
      <c r="U114" s="13" t="str">
        <f t="shared" ca="1" si="48"/>
        <v/>
      </c>
      <c r="V114" s="4" t="str">
        <f ca="1">IF(OR($A114=0,$A114="S",$A114&gt;CFF!$A$9),"",MAX(V$12:OFFSET(V114,-1,0))+1)</f>
        <v/>
      </c>
      <c r="W114" s="9" t="str">
        <f t="shared" si="49"/>
        <v>COTAÇÃO-COT 06</v>
      </c>
      <c r="X114" s="4">
        <f t="shared" ca="1" si="58"/>
        <v>19</v>
      </c>
      <c r="Y114" s="121">
        <f ca="1">IF(Import.Desoneracao="sim",Referencia.Desonerado,Referencia.NaoDesonerado)</f>
        <v>125</v>
      </c>
      <c r="Z114" s="132">
        <f ca="1">ROUND(IF(ISNUMBER(R114),R114,IF(LEFT(R114,3)="BDI",HLOOKUP(R114,DADOS!$T$37:$X$38,2,FALSE),0)),15-11*$X$5)</f>
        <v>0.2487</v>
      </c>
      <c r="AA114" s="4"/>
    </row>
    <row r="115" spans="1:27" x14ac:dyDescent="0.2">
      <c r="A115" t="str">
        <f t="shared" si="40"/>
        <v>S</v>
      </c>
      <c r="B115">
        <f t="shared" si="41"/>
        <v>0</v>
      </c>
      <c r="C115">
        <f t="shared" ca="1" si="42"/>
        <v>1</v>
      </c>
      <c r="D115">
        <f t="shared" ca="1" si="43"/>
        <v>13</v>
      </c>
      <c r="E115">
        <f t="shared" ca="1" si="44"/>
        <v>2</v>
      </c>
      <c r="F115">
        <f t="shared" ca="1" si="45"/>
        <v>0</v>
      </c>
      <c r="G115">
        <f t="shared" ca="1" si="46"/>
        <v>5</v>
      </c>
      <c r="H115">
        <f t="shared" ca="1" si="59"/>
        <v>0</v>
      </c>
      <c r="I115">
        <f t="shared" ca="1" si="60"/>
        <v>0</v>
      </c>
      <c r="J115" s="120" t="s">
        <v>103</v>
      </c>
      <c r="K115" s="162" t="str">
        <f t="shared" ca="1" si="47"/>
        <v>1.13.2.5.</v>
      </c>
      <c r="L115" s="209" t="s">
        <v>243</v>
      </c>
      <c r="M115" s="209" t="s">
        <v>351</v>
      </c>
      <c r="N115" s="230" t="s">
        <v>442</v>
      </c>
      <c r="O115" s="229" t="s">
        <v>441</v>
      </c>
      <c r="P115" s="233">
        <v>1</v>
      </c>
      <c r="Q115" s="228">
        <v>1200</v>
      </c>
      <c r="R115" s="231" t="s">
        <v>7</v>
      </c>
      <c r="S115" s="121">
        <f t="shared" ca="1" si="56"/>
        <v>1498.44</v>
      </c>
      <c r="T115" s="98">
        <f t="shared" ca="1" si="57"/>
        <v>1498.44</v>
      </c>
      <c r="U115" s="13" t="str">
        <f t="shared" ca="1" si="48"/>
        <v/>
      </c>
      <c r="V115" s="4" t="str">
        <f ca="1">IF(OR($A115=0,$A115="S",$A115&gt;CFF!$A$9),"",MAX(V$12:OFFSET(V115,-1,0))+1)</f>
        <v/>
      </c>
      <c r="W115" s="9" t="str">
        <f t="shared" si="49"/>
        <v>COTAÇÃO-COT 07</v>
      </c>
      <c r="X115" s="4">
        <f t="shared" ca="1" si="58"/>
        <v>20</v>
      </c>
      <c r="Y115" s="121">
        <f ca="1">IF(Import.Desoneracao="sim",Referencia.Desonerado,Referencia.NaoDesonerado)</f>
        <v>1200</v>
      </c>
      <c r="Z115" s="132">
        <f ca="1">ROUND(IF(ISNUMBER(R115),R115,IF(LEFT(R115,3)="BDI",HLOOKUP(R115,DADOS!$T$37:$X$38,2,FALSE),0)),15-11*$X$5)</f>
        <v>0.2487</v>
      </c>
      <c r="AA115" s="4"/>
    </row>
    <row r="116" spans="1:27" ht="38.25" x14ac:dyDescent="0.2">
      <c r="A116" t="str">
        <f t="shared" si="40"/>
        <v>S</v>
      </c>
      <c r="B116">
        <f t="shared" si="41"/>
        <v>0</v>
      </c>
      <c r="C116">
        <f t="shared" ca="1" si="42"/>
        <v>1</v>
      </c>
      <c r="D116">
        <f t="shared" ca="1" si="43"/>
        <v>13</v>
      </c>
      <c r="E116">
        <f t="shared" ca="1" si="44"/>
        <v>2</v>
      </c>
      <c r="F116">
        <f t="shared" ca="1" si="45"/>
        <v>0</v>
      </c>
      <c r="G116">
        <f t="shared" ca="1" si="46"/>
        <v>6</v>
      </c>
      <c r="H116">
        <f t="shared" ca="1" si="59"/>
        <v>0</v>
      </c>
      <c r="I116">
        <f t="shared" ca="1" si="60"/>
        <v>0</v>
      </c>
      <c r="J116" s="120" t="s">
        <v>103</v>
      </c>
      <c r="K116" s="162" t="str">
        <f t="shared" ca="1" si="47"/>
        <v>1.13.2.6.</v>
      </c>
      <c r="L116" s="209" t="s">
        <v>243</v>
      </c>
      <c r="M116" s="209" t="s">
        <v>352</v>
      </c>
      <c r="N116" s="230" t="s">
        <v>443</v>
      </c>
      <c r="O116" s="229" t="s">
        <v>441</v>
      </c>
      <c r="P116" s="233">
        <v>7</v>
      </c>
      <c r="Q116" s="228">
        <v>132</v>
      </c>
      <c r="R116" s="231" t="s">
        <v>7</v>
      </c>
      <c r="S116" s="121">
        <f t="shared" ca="1" si="56"/>
        <v>164.83</v>
      </c>
      <c r="T116" s="98">
        <f t="shared" ca="1" si="57"/>
        <v>1153.81</v>
      </c>
      <c r="U116" s="13" t="str">
        <f t="shared" ca="1" si="48"/>
        <v/>
      </c>
      <c r="V116" s="4" t="str">
        <f ca="1">IF(OR($A116=0,$A116="S",$A116&gt;CFF!$A$9),"",MAX(V$12:OFFSET(V116,-1,0))+1)</f>
        <v/>
      </c>
      <c r="W116" s="9" t="str">
        <f t="shared" si="49"/>
        <v>COTAÇÃO-COT 08</v>
      </c>
      <c r="X116" s="4">
        <f t="shared" ca="1" si="58"/>
        <v>21</v>
      </c>
      <c r="Y116" s="121">
        <f ca="1">IF(Import.Desoneracao="sim",Referencia.Desonerado,Referencia.NaoDesonerado)</f>
        <v>132</v>
      </c>
      <c r="Z116" s="132">
        <f ca="1">ROUND(IF(ISNUMBER(R116),R116,IF(LEFT(R116,3)="BDI",HLOOKUP(R116,DADOS!$T$37:$X$38,2,FALSE),0)),15-11*$X$5)</f>
        <v>0.2487</v>
      </c>
      <c r="AA116" s="4"/>
    </row>
    <row r="117" spans="1:27" ht="25.5" x14ac:dyDescent="0.2">
      <c r="A117" t="str">
        <f t="shared" si="40"/>
        <v>S</v>
      </c>
      <c r="B117">
        <f t="shared" si="41"/>
        <v>0</v>
      </c>
      <c r="C117">
        <f t="shared" ca="1" si="42"/>
        <v>1</v>
      </c>
      <c r="D117">
        <f t="shared" ca="1" si="43"/>
        <v>13</v>
      </c>
      <c r="E117">
        <f t="shared" ca="1" si="44"/>
        <v>2</v>
      </c>
      <c r="F117">
        <f t="shared" ca="1" si="45"/>
        <v>0</v>
      </c>
      <c r="G117">
        <f t="shared" ca="1" si="46"/>
        <v>7</v>
      </c>
      <c r="H117">
        <f t="shared" ca="1" si="59"/>
        <v>0</v>
      </c>
      <c r="I117">
        <f t="shared" ca="1" si="60"/>
        <v>0</v>
      </c>
      <c r="J117" s="120" t="s">
        <v>103</v>
      </c>
      <c r="K117" s="162" t="str">
        <f t="shared" ca="1" si="47"/>
        <v>1.13.2.7.</v>
      </c>
      <c r="L117" s="209" t="s">
        <v>233</v>
      </c>
      <c r="M117" s="209" t="s">
        <v>343</v>
      </c>
      <c r="N117" s="230" t="s">
        <v>444</v>
      </c>
      <c r="O117" s="229" t="s">
        <v>394</v>
      </c>
      <c r="P117" s="233">
        <v>1</v>
      </c>
      <c r="Q117" s="228">
        <v>65.13</v>
      </c>
      <c r="R117" s="231" t="s">
        <v>7</v>
      </c>
      <c r="S117" s="121">
        <f t="shared" ca="1" si="56"/>
        <v>81.33</v>
      </c>
      <c r="T117" s="98">
        <f t="shared" ca="1" si="57"/>
        <v>81.33</v>
      </c>
      <c r="U117" s="13" t="str">
        <f t="shared" ca="1" si="48"/>
        <v/>
      </c>
      <c r="V117" s="4" t="str">
        <f ca="1">IF(OR($A117=0,$A117="S",$A117&gt;CFF!$A$9),"",MAX(V$12:OFFSET(V117,-1,0))+1)</f>
        <v/>
      </c>
      <c r="W117" s="9" t="str">
        <f t="shared" si="49"/>
        <v>SINAPI-101892</v>
      </c>
      <c r="X117" s="4">
        <f t="shared" ca="1" si="58"/>
        <v>3185</v>
      </c>
      <c r="Y117" s="121">
        <f ca="1">IF(Import.Desoneracao="sim",Referencia.Desonerado,Referencia.NaoDesonerado)</f>
        <v>65.13</v>
      </c>
      <c r="Z117" s="132">
        <f ca="1">ROUND(IF(ISNUMBER(R117),R117,IF(LEFT(R117,3)="BDI",HLOOKUP(R117,DADOS!$T$37:$X$38,2,FALSE),0)),15-11*$X$5)</f>
        <v>0.2487</v>
      </c>
      <c r="AA117" s="4"/>
    </row>
    <row r="118" spans="1:27" x14ac:dyDescent="0.2">
      <c r="A118">
        <f t="shared" si="40"/>
        <v>3</v>
      </c>
      <c r="B118">
        <f t="shared" ca="1" si="41"/>
        <v>13</v>
      </c>
      <c r="C118">
        <f t="shared" ca="1" si="42"/>
        <v>1</v>
      </c>
      <c r="D118">
        <f t="shared" ca="1" si="43"/>
        <v>13</v>
      </c>
      <c r="E118">
        <f t="shared" ca="1" si="44"/>
        <v>3</v>
      </c>
      <c r="F118">
        <f t="shared" ca="1" si="45"/>
        <v>0</v>
      </c>
      <c r="G118">
        <f t="shared" ca="1" si="46"/>
        <v>0</v>
      </c>
      <c r="H118">
        <f t="shared" ca="1" si="59"/>
        <v>16</v>
      </c>
      <c r="I118">
        <f t="shared" ca="1" si="60"/>
        <v>13</v>
      </c>
      <c r="J118" s="120" t="s">
        <v>101</v>
      </c>
      <c r="K118" s="162" t="str">
        <f t="shared" ca="1" si="47"/>
        <v>1.13.3.</v>
      </c>
      <c r="L118" s="209"/>
      <c r="M118" s="209"/>
      <c r="N118" s="230" t="s">
        <v>344</v>
      </c>
      <c r="O118" s="229" t="str">
        <f ca="1">Referencia.Unidade</f>
        <v/>
      </c>
      <c r="P118" s="233"/>
      <c r="Q118" s="228">
        <v>0</v>
      </c>
      <c r="R118" s="231" t="s">
        <v>7</v>
      </c>
      <c r="S118" s="121">
        <f t="shared" si="56"/>
        <v>0</v>
      </c>
      <c r="T118" s="98">
        <f t="shared" ca="1" si="57"/>
        <v>32256.46</v>
      </c>
      <c r="U118" s="13" t="str">
        <f t="shared" ca="1" si="48"/>
        <v/>
      </c>
      <c r="V118" s="4" t="str">
        <f ca="1">IF(OR($A118=0,$A118="S",$A118&gt;CFF!$A$9),"",MAX(V$12:OFFSET(V118,-1,0))+1)</f>
        <v/>
      </c>
      <c r="W118" s="9" t="b">
        <f t="shared" si="49"/>
        <v>0</v>
      </c>
      <c r="X118" s="4" t="str">
        <f t="shared" ca="1" si="58"/>
        <v>X</v>
      </c>
      <c r="Y118" s="121">
        <f ca="1">IF(Import.Desoneracao="sim",Referencia.Desonerado,Referencia.NaoDesonerado)</f>
        <v>0</v>
      </c>
      <c r="Z118" s="132">
        <f ca="1">ROUND(IF(ISNUMBER(R118),R118,IF(LEFT(R118,3)="BDI",HLOOKUP(R118,DADOS!$T$37:$X$38,2,FALSE),0)),15-11*$X$5)</f>
        <v>0.2487</v>
      </c>
      <c r="AA118" s="4"/>
    </row>
    <row r="119" spans="1:27" ht="51" x14ac:dyDescent="0.2">
      <c r="A119" t="str">
        <f t="shared" si="40"/>
        <v>S</v>
      </c>
      <c r="B119">
        <f t="shared" si="41"/>
        <v>0</v>
      </c>
      <c r="C119">
        <f t="shared" ca="1" si="42"/>
        <v>1</v>
      </c>
      <c r="D119">
        <f t="shared" ca="1" si="43"/>
        <v>13</v>
      </c>
      <c r="E119">
        <f t="shared" ca="1" si="44"/>
        <v>3</v>
      </c>
      <c r="F119">
        <f t="shared" ca="1" si="45"/>
        <v>0</v>
      </c>
      <c r="G119">
        <f t="shared" ca="1" si="46"/>
        <v>1</v>
      </c>
      <c r="H119">
        <f t="shared" ca="1" si="59"/>
        <v>0</v>
      </c>
      <c r="I119">
        <f t="shared" ca="1" si="60"/>
        <v>0</v>
      </c>
      <c r="J119" s="120" t="s">
        <v>103</v>
      </c>
      <c r="K119" s="162" t="str">
        <f t="shared" ca="1" si="47"/>
        <v>1.13.3.1.</v>
      </c>
      <c r="L119" s="209" t="s">
        <v>285</v>
      </c>
      <c r="M119" s="209" t="s">
        <v>364</v>
      </c>
      <c r="N119" s="230" t="s">
        <v>445</v>
      </c>
      <c r="O119" s="229" t="s">
        <v>419</v>
      </c>
      <c r="P119" s="233">
        <v>3</v>
      </c>
      <c r="Q119" s="228">
        <v>1651.6000000000001</v>
      </c>
      <c r="R119" s="231" t="s">
        <v>7</v>
      </c>
      <c r="S119" s="121">
        <f t="shared" ca="1" si="56"/>
        <v>2062.35</v>
      </c>
      <c r="T119" s="98">
        <f t="shared" ca="1" si="57"/>
        <v>6187.05</v>
      </c>
      <c r="U119" s="13" t="str">
        <f t="shared" ca="1" si="48"/>
        <v/>
      </c>
      <c r="V119" s="4" t="str">
        <f ca="1">IF(OR($A119=0,$A119="S",$A119&gt;CFF!$A$9),"",MAX(V$12:OFFSET(V119,-1,0))+1)</f>
        <v/>
      </c>
      <c r="W119" s="9" t="str">
        <f t="shared" si="49"/>
        <v>COMPOSIÇÃO-COMP 05</v>
      </c>
      <c r="X119" s="4">
        <f t="shared" ca="1" si="58"/>
        <v>11</v>
      </c>
      <c r="Y119" s="121">
        <f ca="1">IF(Import.Desoneracao="sim",Referencia.Desonerado,Referencia.NaoDesonerado)</f>
        <v>1651.6000000000001</v>
      </c>
      <c r="Z119" s="132">
        <f ca="1">ROUND(IF(ISNUMBER(R119),R119,IF(LEFT(R119,3)="BDI",HLOOKUP(R119,DADOS!$T$37:$X$38,2,FALSE),0)),15-11*$X$5)</f>
        <v>0.2487</v>
      </c>
      <c r="AA119" s="4"/>
    </row>
    <row r="120" spans="1:27" ht="38.25" x14ac:dyDescent="0.2">
      <c r="A120" t="str">
        <f t="shared" si="40"/>
        <v>S</v>
      </c>
      <c r="B120">
        <f t="shared" si="41"/>
        <v>0</v>
      </c>
      <c r="C120">
        <f t="shared" ca="1" si="42"/>
        <v>1</v>
      </c>
      <c r="D120">
        <f t="shared" ca="1" si="43"/>
        <v>13</v>
      </c>
      <c r="E120">
        <f t="shared" ca="1" si="44"/>
        <v>3</v>
      </c>
      <c r="F120">
        <f t="shared" ca="1" si="45"/>
        <v>0</v>
      </c>
      <c r="G120">
        <f t="shared" ca="1" si="46"/>
        <v>2</v>
      </c>
      <c r="H120">
        <f t="shared" ca="1" si="59"/>
        <v>0</v>
      </c>
      <c r="I120">
        <f t="shared" ca="1" si="60"/>
        <v>0</v>
      </c>
      <c r="J120" s="120" t="s">
        <v>103</v>
      </c>
      <c r="K120" s="162" t="str">
        <f t="shared" ca="1" si="47"/>
        <v>1.13.3.2.</v>
      </c>
      <c r="L120" s="209" t="s">
        <v>233</v>
      </c>
      <c r="M120" s="209" t="s">
        <v>345</v>
      </c>
      <c r="N120" s="230" t="s">
        <v>446</v>
      </c>
      <c r="O120" s="229" t="s">
        <v>370</v>
      </c>
      <c r="P120" s="233">
        <v>59</v>
      </c>
      <c r="Q120" s="228">
        <v>106.25</v>
      </c>
      <c r="R120" s="231" t="s">
        <v>7</v>
      </c>
      <c r="S120" s="121">
        <f t="shared" ca="1" si="56"/>
        <v>132.66999999999999</v>
      </c>
      <c r="T120" s="98">
        <f t="shared" ca="1" si="57"/>
        <v>7827.53</v>
      </c>
      <c r="U120" s="13" t="str">
        <f t="shared" ca="1" si="48"/>
        <v/>
      </c>
      <c r="V120" s="4" t="str">
        <f ca="1">IF(OR($A120=0,$A120="S",$A120&gt;CFF!$A$9),"",MAX(V$12:OFFSET(V120,-1,0))+1)</f>
        <v/>
      </c>
      <c r="W120" s="9" t="str">
        <f t="shared" si="49"/>
        <v>SINAPI-92367</v>
      </c>
      <c r="X120" s="4">
        <f t="shared" ca="1" si="58"/>
        <v>3693</v>
      </c>
      <c r="Y120" s="121">
        <f ca="1">IF(Import.Desoneracao="sim",Referencia.Desonerado,Referencia.NaoDesonerado)</f>
        <v>106.25</v>
      </c>
      <c r="Z120" s="132">
        <f ca="1">ROUND(IF(ISNUMBER(R120),R120,IF(LEFT(R120,3)="BDI",HLOOKUP(R120,DADOS!$T$37:$X$38,2,FALSE),0)),15-11*$X$5)</f>
        <v>0.2487</v>
      </c>
      <c r="AA120" s="4"/>
    </row>
    <row r="121" spans="1:27" ht="38.25" x14ac:dyDescent="0.2">
      <c r="A121" t="str">
        <f t="shared" si="40"/>
        <v>S</v>
      </c>
      <c r="B121">
        <f t="shared" si="41"/>
        <v>0</v>
      </c>
      <c r="C121">
        <f t="shared" ca="1" si="42"/>
        <v>1</v>
      </c>
      <c r="D121">
        <f t="shared" ca="1" si="43"/>
        <v>13</v>
      </c>
      <c r="E121">
        <f t="shared" ca="1" si="44"/>
        <v>3</v>
      </c>
      <c r="F121">
        <f t="shared" ca="1" si="45"/>
        <v>0</v>
      </c>
      <c r="G121">
        <f t="shared" ca="1" si="46"/>
        <v>3</v>
      </c>
      <c r="H121">
        <f t="shared" ca="1" si="59"/>
        <v>0</v>
      </c>
      <c r="I121">
        <f t="shared" ca="1" si="60"/>
        <v>0</v>
      </c>
      <c r="J121" s="120" t="s">
        <v>103</v>
      </c>
      <c r="K121" s="162" t="str">
        <f t="shared" ca="1" si="47"/>
        <v>1.13.3.3.</v>
      </c>
      <c r="L121" s="209" t="s">
        <v>233</v>
      </c>
      <c r="M121" s="209" t="s">
        <v>346</v>
      </c>
      <c r="N121" s="230" t="s">
        <v>447</v>
      </c>
      <c r="O121" s="229" t="s">
        <v>394</v>
      </c>
      <c r="P121" s="233">
        <v>2</v>
      </c>
      <c r="Q121" s="228">
        <v>193.45</v>
      </c>
      <c r="R121" s="231" t="s">
        <v>7</v>
      </c>
      <c r="S121" s="121">
        <f t="shared" ca="1" si="56"/>
        <v>241.56</v>
      </c>
      <c r="T121" s="98">
        <f t="shared" ca="1" si="57"/>
        <v>483.12</v>
      </c>
      <c r="U121" s="13" t="str">
        <f t="shared" ca="1" si="48"/>
        <v/>
      </c>
      <c r="V121" s="4" t="str">
        <f ca="1">IF(OR($A121=0,$A121="S",$A121&gt;CFF!$A$9),"",MAX(V$12:OFFSET(V121,-1,0))+1)</f>
        <v/>
      </c>
      <c r="W121" s="9" t="str">
        <f t="shared" si="49"/>
        <v>SINAPI-92642</v>
      </c>
      <c r="X121" s="4">
        <f t="shared" ca="1" si="58"/>
        <v>4354</v>
      </c>
      <c r="Y121" s="121">
        <f ca="1">IF(Import.Desoneracao="sim",Referencia.Desonerado,Referencia.NaoDesonerado)</f>
        <v>193.45</v>
      </c>
      <c r="Z121" s="132">
        <f ca="1">ROUND(IF(ISNUMBER(R121),R121,IF(LEFT(R121,3)="BDI",HLOOKUP(R121,DADOS!$T$37:$X$38,2,FALSE),0)),15-11*$X$5)</f>
        <v>0.2487</v>
      </c>
      <c r="AA121" s="4"/>
    </row>
    <row r="122" spans="1:27" ht="38.25" x14ac:dyDescent="0.2">
      <c r="A122" t="str">
        <f t="shared" si="40"/>
        <v>S</v>
      </c>
      <c r="B122">
        <f t="shared" si="41"/>
        <v>0</v>
      </c>
      <c r="C122">
        <f t="shared" ca="1" si="42"/>
        <v>1</v>
      </c>
      <c r="D122">
        <f t="shared" ca="1" si="43"/>
        <v>13</v>
      </c>
      <c r="E122">
        <f t="shared" ca="1" si="44"/>
        <v>3</v>
      </c>
      <c r="F122">
        <f t="shared" ca="1" si="45"/>
        <v>0</v>
      </c>
      <c r="G122">
        <f t="shared" ca="1" si="46"/>
        <v>4</v>
      </c>
      <c r="H122">
        <f t="shared" ca="1" si="59"/>
        <v>0</v>
      </c>
      <c r="I122">
        <f t="shared" ca="1" si="60"/>
        <v>0</v>
      </c>
      <c r="J122" s="120" t="s">
        <v>103</v>
      </c>
      <c r="K122" s="162" t="str">
        <f t="shared" ca="1" si="47"/>
        <v>1.13.3.4.</v>
      </c>
      <c r="L122" s="209" t="s">
        <v>233</v>
      </c>
      <c r="M122" s="209" t="s">
        <v>347</v>
      </c>
      <c r="N122" s="230" t="s">
        <v>448</v>
      </c>
      <c r="O122" s="229" t="s">
        <v>394</v>
      </c>
      <c r="P122" s="233">
        <v>5</v>
      </c>
      <c r="Q122" s="228">
        <v>141.63</v>
      </c>
      <c r="R122" s="231" t="s">
        <v>7</v>
      </c>
      <c r="S122" s="121">
        <f t="shared" ca="1" si="56"/>
        <v>176.85</v>
      </c>
      <c r="T122" s="98">
        <f t="shared" ca="1" si="57"/>
        <v>884.25</v>
      </c>
      <c r="U122" s="13" t="str">
        <f t="shared" ca="1" si="48"/>
        <v/>
      </c>
      <c r="V122" s="4" t="str">
        <f ca="1">IF(OR($A122=0,$A122="S",$A122&gt;CFF!$A$9),"",MAX(V$12:OFFSET(V122,-1,0))+1)</f>
        <v/>
      </c>
      <c r="W122" s="9" t="str">
        <f t="shared" si="49"/>
        <v>SINAPI-92390</v>
      </c>
      <c r="X122" s="4">
        <f t="shared" ca="1" si="58"/>
        <v>4347</v>
      </c>
      <c r="Y122" s="121">
        <f ca="1">IF(Import.Desoneracao="sim",Referencia.Desonerado,Referencia.NaoDesonerado)</f>
        <v>141.63</v>
      </c>
      <c r="Z122" s="132">
        <f ca="1">ROUND(IF(ISNUMBER(R122),R122,IF(LEFT(R122,3)="BDI",HLOOKUP(R122,DADOS!$T$37:$X$38,2,FALSE),0)),15-11*$X$5)</f>
        <v>0.2487</v>
      </c>
      <c r="AA122" s="4"/>
    </row>
    <row r="123" spans="1:27" x14ac:dyDescent="0.2">
      <c r="A123" t="str">
        <f t="shared" si="40"/>
        <v>S</v>
      </c>
      <c r="B123">
        <f t="shared" si="41"/>
        <v>0</v>
      </c>
      <c r="C123">
        <f t="shared" ca="1" si="42"/>
        <v>1</v>
      </c>
      <c r="D123">
        <f t="shared" ca="1" si="43"/>
        <v>13</v>
      </c>
      <c r="E123">
        <f t="shared" ca="1" si="44"/>
        <v>3</v>
      </c>
      <c r="F123">
        <f t="shared" ca="1" si="45"/>
        <v>0</v>
      </c>
      <c r="G123">
        <f t="shared" ca="1" si="46"/>
        <v>5</v>
      </c>
      <c r="H123">
        <f t="shared" ca="1" si="59"/>
        <v>0</v>
      </c>
      <c r="I123">
        <f t="shared" ca="1" si="60"/>
        <v>0</v>
      </c>
      <c r="J123" s="120" t="s">
        <v>103</v>
      </c>
      <c r="K123" s="162" t="str">
        <f t="shared" ca="1" si="47"/>
        <v>1.13.3.5.</v>
      </c>
      <c r="L123" s="209" t="s">
        <v>231</v>
      </c>
      <c r="M123" s="209" t="s">
        <v>348</v>
      </c>
      <c r="N123" s="230" t="s">
        <v>449</v>
      </c>
      <c r="O123" s="229" t="s">
        <v>419</v>
      </c>
      <c r="P123" s="233">
        <v>1</v>
      </c>
      <c r="Q123" s="228">
        <v>347.28</v>
      </c>
      <c r="R123" s="231" t="s">
        <v>7</v>
      </c>
      <c r="S123" s="121">
        <f t="shared" ca="1" si="56"/>
        <v>433.65</v>
      </c>
      <c r="T123" s="98">
        <f t="shared" ca="1" si="57"/>
        <v>433.65</v>
      </c>
      <c r="U123" s="13" t="str">
        <f t="shared" ca="1" si="48"/>
        <v/>
      </c>
      <c r="V123" s="4" t="str">
        <f ca="1">IF(OR($A123=0,$A123="S",$A123&gt;CFF!$A$9),"",MAX(V$12:OFFSET(V123,-1,0))+1)</f>
        <v/>
      </c>
      <c r="W123" s="9" t="str">
        <f t="shared" si="49"/>
        <v>SINAPI-I-6011</v>
      </c>
      <c r="X123" s="4">
        <f t="shared" ca="1" si="58"/>
        <v>11378</v>
      </c>
      <c r="Y123" s="121">
        <f ca="1">IF(Import.Desoneracao="sim",Referencia.Desonerado,Referencia.NaoDesonerado)</f>
        <v>347.28</v>
      </c>
      <c r="Z123" s="132">
        <f ca="1">ROUND(IF(ISNUMBER(R123),R123,IF(LEFT(R123,3)="BDI",HLOOKUP(R123,DADOS!$T$37:$X$38,2,FALSE),0)),15-11*$X$5)</f>
        <v>0.2487</v>
      </c>
      <c r="AA123" s="4"/>
    </row>
    <row r="124" spans="1:27" ht="25.5" x14ac:dyDescent="0.2">
      <c r="A124" t="str">
        <f t="shared" si="40"/>
        <v>S</v>
      </c>
      <c r="B124">
        <f t="shared" si="41"/>
        <v>0</v>
      </c>
      <c r="C124">
        <f t="shared" ca="1" si="42"/>
        <v>1</v>
      </c>
      <c r="D124">
        <f t="shared" ca="1" si="43"/>
        <v>13</v>
      </c>
      <c r="E124">
        <f t="shared" ca="1" si="44"/>
        <v>3</v>
      </c>
      <c r="F124">
        <f t="shared" ca="1" si="45"/>
        <v>0</v>
      </c>
      <c r="G124">
        <f t="shared" ca="1" si="46"/>
        <v>6</v>
      </c>
      <c r="H124">
        <f t="shared" ca="1" si="59"/>
        <v>0</v>
      </c>
      <c r="I124">
        <f t="shared" ca="1" si="60"/>
        <v>0</v>
      </c>
      <c r="J124" s="120" t="s">
        <v>103</v>
      </c>
      <c r="K124" s="162" t="str">
        <f t="shared" ca="1" si="47"/>
        <v>1.13.3.6.</v>
      </c>
      <c r="L124" s="209" t="s">
        <v>233</v>
      </c>
      <c r="M124" s="209" t="s">
        <v>349</v>
      </c>
      <c r="N124" s="230" t="s">
        <v>450</v>
      </c>
      <c r="O124" s="229" t="s">
        <v>394</v>
      </c>
      <c r="P124" s="233">
        <v>1</v>
      </c>
      <c r="Q124" s="228">
        <v>545.4</v>
      </c>
      <c r="R124" s="231" t="s">
        <v>7</v>
      </c>
      <c r="S124" s="121">
        <f t="shared" ca="1" si="56"/>
        <v>681.04</v>
      </c>
      <c r="T124" s="98">
        <f t="shared" ca="1" si="57"/>
        <v>681.04</v>
      </c>
      <c r="U124" s="13" t="str">
        <f t="shared" ca="1" si="48"/>
        <v/>
      </c>
      <c r="V124" s="4" t="str">
        <f ca="1">IF(OR($A124=0,$A124="S",$A124&gt;CFF!$A$9),"",MAX(V$12:OFFSET(V124,-1,0))+1)</f>
        <v/>
      </c>
      <c r="W124" s="9" t="str">
        <f t="shared" si="49"/>
        <v>SINAPI-99624</v>
      </c>
      <c r="X124" s="4">
        <f t="shared" ca="1" si="58"/>
        <v>5487</v>
      </c>
      <c r="Y124" s="121">
        <f ca="1">IF(Import.Desoneracao="sim",Referencia.Desonerado,Referencia.NaoDesonerado)</f>
        <v>545.4</v>
      </c>
      <c r="Z124" s="132">
        <f ca="1">ROUND(IF(ISNUMBER(R124),R124,IF(LEFT(R124,3)="BDI",HLOOKUP(R124,DADOS!$T$37:$X$38,2,FALSE),0)),15-11*$X$5)</f>
        <v>0.2487</v>
      </c>
      <c r="AA124" s="4"/>
    </row>
    <row r="125" spans="1:27" ht="38.25" x14ac:dyDescent="0.2">
      <c r="A125" t="str">
        <f t="shared" si="40"/>
        <v>S</v>
      </c>
      <c r="B125">
        <f t="shared" si="41"/>
        <v>0</v>
      </c>
      <c r="C125">
        <f t="shared" ca="1" si="42"/>
        <v>1</v>
      </c>
      <c r="D125">
        <f t="shared" ca="1" si="43"/>
        <v>13</v>
      </c>
      <c r="E125">
        <f t="shared" ca="1" si="44"/>
        <v>3</v>
      </c>
      <c r="F125">
        <f t="shared" ca="1" si="45"/>
        <v>0</v>
      </c>
      <c r="G125">
        <f t="shared" ca="1" si="46"/>
        <v>7</v>
      </c>
      <c r="H125">
        <f t="shared" ca="1" si="59"/>
        <v>0</v>
      </c>
      <c r="I125">
        <f t="shared" ca="1" si="60"/>
        <v>0</v>
      </c>
      <c r="J125" s="120" t="s">
        <v>103</v>
      </c>
      <c r="K125" s="162" t="str">
        <f t="shared" ca="1" si="47"/>
        <v>1.13.3.7.</v>
      </c>
      <c r="L125" s="209" t="s">
        <v>233</v>
      </c>
      <c r="M125" s="209" t="s">
        <v>350</v>
      </c>
      <c r="N125" s="230" t="s">
        <v>451</v>
      </c>
      <c r="O125" s="229" t="s">
        <v>394</v>
      </c>
      <c r="P125" s="233">
        <v>1</v>
      </c>
      <c r="Q125" s="228">
        <v>1262.68</v>
      </c>
      <c r="R125" s="231" t="s">
        <v>7</v>
      </c>
      <c r="S125" s="121">
        <f t="shared" ca="1" si="56"/>
        <v>1576.71</v>
      </c>
      <c r="T125" s="98">
        <f t="shared" ca="1" si="57"/>
        <v>1576.71</v>
      </c>
      <c r="U125" s="13" t="str">
        <f t="shared" ca="1" si="48"/>
        <v/>
      </c>
      <c r="V125" s="4" t="str">
        <f ca="1">IF(OR($A125=0,$A125="S",$A125&gt;CFF!$A$9),"",MAX(V$12:OFFSET(V125,-1,0))+1)</f>
        <v/>
      </c>
      <c r="W125" s="9" t="str">
        <f t="shared" si="49"/>
        <v>SINAPI-94483</v>
      </c>
      <c r="X125" s="4">
        <f t="shared" ca="1" si="58"/>
        <v>5629</v>
      </c>
      <c r="Y125" s="121">
        <f ca="1">IF(Import.Desoneracao="sim",Referencia.Desonerado,Referencia.NaoDesonerado)</f>
        <v>1262.68</v>
      </c>
      <c r="Z125" s="132">
        <f ca="1">ROUND(IF(ISNUMBER(R125),R125,IF(LEFT(R125,3)="BDI",HLOOKUP(R125,DADOS!$T$37:$X$38,2,FALSE),0)),15-11*$X$5)</f>
        <v>0.2487</v>
      </c>
      <c r="AA125" s="4"/>
    </row>
    <row r="126" spans="1:27" x14ac:dyDescent="0.2">
      <c r="A126" t="str">
        <f t="shared" si="40"/>
        <v>S</v>
      </c>
      <c r="B126">
        <f t="shared" si="41"/>
        <v>0</v>
      </c>
      <c r="C126">
        <f t="shared" ca="1" si="42"/>
        <v>1</v>
      </c>
      <c r="D126">
        <f t="shared" ca="1" si="43"/>
        <v>13</v>
      </c>
      <c r="E126">
        <f t="shared" ca="1" si="44"/>
        <v>3</v>
      </c>
      <c r="F126">
        <f t="shared" ca="1" si="45"/>
        <v>0</v>
      </c>
      <c r="G126">
        <f t="shared" ca="1" si="46"/>
        <v>8</v>
      </c>
      <c r="H126">
        <f t="shared" ca="1" si="59"/>
        <v>0</v>
      </c>
      <c r="I126">
        <f t="shared" ca="1" si="60"/>
        <v>0</v>
      </c>
      <c r="J126" s="120" t="s">
        <v>103</v>
      </c>
      <c r="K126" s="162" t="str">
        <f t="shared" ca="1" si="47"/>
        <v>1.13.3.8.</v>
      </c>
      <c r="L126" s="209" t="s">
        <v>243</v>
      </c>
      <c r="M126" s="209" t="s">
        <v>358</v>
      </c>
      <c r="N126" s="230" t="s">
        <v>452</v>
      </c>
      <c r="O126" s="229" t="s">
        <v>441</v>
      </c>
      <c r="P126" s="233">
        <v>1</v>
      </c>
      <c r="Q126" s="228">
        <v>5400</v>
      </c>
      <c r="R126" s="231" t="s">
        <v>7</v>
      </c>
      <c r="S126" s="121">
        <f t="shared" ca="1" si="56"/>
        <v>6742.98</v>
      </c>
      <c r="T126" s="98">
        <f t="shared" ca="1" si="57"/>
        <v>6742.98</v>
      </c>
      <c r="U126" s="13" t="str">
        <f t="shared" ca="1" si="48"/>
        <v/>
      </c>
      <c r="V126" s="4" t="str">
        <f ca="1">IF(OR($A126=0,$A126="S",$A126&gt;CFF!$A$9),"",MAX(V$12:OFFSET(V126,-1,0))+1)</f>
        <v/>
      </c>
      <c r="W126" s="9" t="str">
        <f t="shared" si="49"/>
        <v>COTAÇÃO-COT 10</v>
      </c>
      <c r="X126" s="4">
        <f t="shared" ca="1" si="58"/>
        <v>23</v>
      </c>
      <c r="Y126" s="121">
        <f ca="1">IF(Import.Desoneracao="sim",Referencia.Desonerado,Referencia.NaoDesonerado)</f>
        <v>5400</v>
      </c>
      <c r="Z126" s="132">
        <f ca="1">ROUND(IF(ISNUMBER(R126),R126,IF(LEFT(R126,3)="BDI",HLOOKUP(R126,DADOS!$T$37:$X$38,2,FALSE),0)),15-11*$X$5)</f>
        <v>0.2487</v>
      </c>
      <c r="AA126" s="4"/>
    </row>
    <row r="127" spans="1:27" x14ac:dyDescent="0.2">
      <c r="A127" t="str">
        <f t="shared" si="40"/>
        <v>S</v>
      </c>
      <c r="B127">
        <f t="shared" si="41"/>
        <v>0</v>
      </c>
      <c r="C127">
        <f t="shared" ca="1" si="42"/>
        <v>1</v>
      </c>
      <c r="D127">
        <f t="shared" ca="1" si="43"/>
        <v>13</v>
      </c>
      <c r="E127">
        <f t="shared" ca="1" si="44"/>
        <v>3</v>
      </c>
      <c r="F127">
        <f t="shared" ca="1" si="45"/>
        <v>0</v>
      </c>
      <c r="G127">
        <f t="shared" ca="1" si="46"/>
        <v>9</v>
      </c>
      <c r="H127">
        <f t="shared" ca="1" si="59"/>
        <v>0</v>
      </c>
      <c r="I127">
        <f t="shared" ca="1" si="60"/>
        <v>0</v>
      </c>
      <c r="J127" s="120" t="s">
        <v>103</v>
      </c>
      <c r="K127" s="162" t="str">
        <f t="shared" ca="1" si="47"/>
        <v>1.13.3.9.</v>
      </c>
      <c r="L127" s="209" t="s">
        <v>243</v>
      </c>
      <c r="M127" s="209" t="s">
        <v>359</v>
      </c>
      <c r="N127" s="230" t="s">
        <v>453</v>
      </c>
      <c r="O127" s="229" t="s">
        <v>441</v>
      </c>
      <c r="P127" s="233">
        <v>1</v>
      </c>
      <c r="Q127" s="228">
        <v>2150</v>
      </c>
      <c r="R127" s="231" t="s">
        <v>7</v>
      </c>
      <c r="S127" s="121">
        <f t="shared" ca="1" si="56"/>
        <v>2684.71</v>
      </c>
      <c r="T127" s="98">
        <f t="shared" ca="1" si="57"/>
        <v>2684.71</v>
      </c>
      <c r="U127" s="13" t="str">
        <f t="shared" ca="1" si="48"/>
        <v/>
      </c>
      <c r="V127" s="4" t="str">
        <f ca="1">IF(OR($A127=0,$A127="S",$A127&gt;CFF!$A$9),"",MAX(V$12:OFFSET(V127,-1,0))+1)</f>
        <v/>
      </c>
      <c r="W127" s="9" t="str">
        <f t="shared" si="49"/>
        <v>COTAÇÃO-COT 11</v>
      </c>
      <c r="X127" s="4">
        <f t="shared" ca="1" si="58"/>
        <v>24</v>
      </c>
      <c r="Y127" s="121">
        <f ca="1">IF(Import.Desoneracao="sim",Referencia.Desonerado,Referencia.NaoDesonerado)</f>
        <v>2150</v>
      </c>
      <c r="Z127" s="132">
        <f ca="1">ROUND(IF(ISNUMBER(R127),R127,IF(LEFT(R127,3)="BDI",HLOOKUP(R127,DADOS!$T$37:$X$38,2,FALSE),0)),15-11*$X$5)</f>
        <v>0.2487</v>
      </c>
      <c r="AA127" s="4"/>
    </row>
    <row r="128" spans="1:27" ht="25.5" x14ac:dyDescent="0.2">
      <c r="A128" t="str">
        <f t="shared" si="40"/>
        <v>S</v>
      </c>
      <c r="B128">
        <f t="shared" si="41"/>
        <v>0</v>
      </c>
      <c r="C128">
        <f t="shared" ca="1" si="42"/>
        <v>1</v>
      </c>
      <c r="D128">
        <f t="shared" ca="1" si="43"/>
        <v>13</v>
      </c>
      <c r="E128">
        <f t="shared" ca="1" si="44"/>
        <v>3</v>
      </c>
      <c r="F128">
        <f t="shared" ca="1" si="45"/>
        <v>0</v>
      </c>
      <c r="G128">
        <f t="shared" ca="1" si="46"/>
        <v>10</v>
      </c>
      <c r="H128">
        <f t="shared" ca="1" si="59"/>
        <v>0</v>
      </c>
      <c r="I128">
        <f t="shared" ca="1" si="60"/>
        <v>0</v>
      </c>
      <c r="J128" s="120" t="s">
        <v>103</v>
      </c>
      <c r="K128" s="162" t="str">
        <f t="shared" ca="1" si="47"/>
        <v>1.13.3.10.</v>
      </c>
      <c r="L128" s="209" t="s">
        <v>243</v>
      </c>
      <c r="M128" s="209" t="s">
        <v>363</v>
      </c>
      <c r="N128" s="230" t="s">
        <v>454</v>
      </c>
      <c r="O128" s="229" t="s">
        <v>441</v>
      </c>
      <c r="P128" s="233">
        <v>1</v>
      </c>
      <c r="Q128" s="228">
        <v>3550</v>
      </c>
      <c r="R128" s="231" t="s">
        <v>7</v>
      </c>
      <c r="S128" s="121">
        <f t="shared" ca="1" si="56"/>
        <v>4432.8900000000003</v>
      </c>
      <c r="T128" s="98">
        <f t="shared" ca="1" si="57"/>
        <v>4432.8900000000003</v>
      </c>
      <c r="U128" s="13" t="str">
        <f t="shared" ca="1" si="48"/>
        <v/>
      </c>
      <c r="V128" s="4" t="str">
        <f ca="1">IF(OR($A128=0,$A128="S",$A128&gt;CFF!$A$9),"",MAX(V$12:OFFSET(V128,-1,0))+1)</f>
        <v/>
      </c>
      <c r="W128" s="9" t="str">
        <f t="shared" si="49"/>
        <v>COTAÇÃO-COT 09</v>
      </c>
      <c r="X128" s="4">
        <f t="shared" ca="1" si="58"/>
        <v>22</v>
      </c>
      <c r="Y128" s="121">
        <f ca="1">IF(Import.Desoneracao="sim",Referencia.Desonerado,Referencia.NaoDesonerado)</f>
        <v>3550</v>
      </c>
      <c r="Z128" s="132">
        <f ca="1">ROUND(IF(ISNUMBER(R128),R128,IF(LEFT(R128,3)="BDI",HLOOKUP(R128,DADOS!$T$37:$X$38,2,FALSE),0)),15-11*$X$5)</f>
        <v>0.2487</v>
      </c>
      <c r="AA128" s="4"/>
    </row>
    <row r="129" spans="1:27" ht="25.5" x14ac:dyDescent="0.2">
      <c r="A129" t="str">
        <f t="shared" si="40"/>
        <v>S</v>
      </c>
      <c r="B129">
        <f t="shared" si="41"/>
        <v>0</v>
      </c>
      <c r="C129">
        <f t="shared" ca="1" si="42"/>
        <v>1</v>
      </c>
      <c r="D129">
        <f t="shared" ca="1" si="43"/>
        <v>13</v>
      </c>
      <c r="E129">
        <f t="shared" ca="1" si="44"/>
        <v>3</v>
      </c>
      <c r="F129">
        <f t="shared" ca="1" si="45"/>
        <v>0</v>
      </c>
      <c r="G129">
        <f t="shared" ca="1" si="46"/>
        <v>11</v>
      </c>
      <c r="H129">
        <f t="shared" ca="1" si="59"/>
        <v>0</v>
      </c>
      <c r="I129">
        <f t="shared" ca="1" si="60"/>
        <v>0</v>
      </c>
      <c r="J129" s="120" t="s">
        <v>103</v>
      </c>
      <c r="K129" s="162" t="str">
        <f t="shared" ca="1" si="47"/>
        <v>1.13.3.11.</v>
      </c>
      <c r="L129" s="209" t="s">
        <v>233</v>
      </c>
      <c r="M129" s="209" t="s">
        <v>354</v>
      </c>
      <c r="N129" s="230" t="s">
        <v>455</v>
      </c>
      <c r="O129" s="229" t="s">
        <v>370</v>
      </c>
      <c r="P129" s="233">
        <v>30</v>
      </c>
      <c r="Q129" s="228">
        <v>6.44</v>
      </c>
      <c r="R129" s="231" t="s">
        <v>7</v>
      </c>
      <c r="S129" s="121">
        <f t="shared" ca="1" si="56"/>
        <v>8.0399999999999991</v>
      </c>
      <c r="T129" s="98">
        <f t="shared" ca="1" si="57"/>
        <v>241.2</v>
      </c>
      <c r="U129" s="13" t="str">
        <f t="shared" ca="1" si="48"/>
        <v/>
      </c>
      <c r="V129" s="4" t="str">
        <f ca="1">IF(OR($A129=0,$A129="S",$A129&gt;CFF!$A$9),"",MAX(V$12:OFFSET(V129,-1,0))+1)</f>
        <v/>
      </c>
      <c r="W129" s="9" t="str">
        <f t="shared" si="49"/>
        <v>SINAPI-91928</v>
      </c>
      <c r="X129" s="4">
        <f t="shared" ca="1" si="58"/>
        <v>3050</v>
      </c>
      <c r="Y129" s="121">
        <f ca="1">IF(Import.Desoneracao="sim",Referencia.Desonerado,Referencia.NaoDesonerado)</f>
        <v>6.44</v>
      </c>
      <c r="Z129" s="132">
        <f ca="1">ROUND(IF(ISNUMBER(R129),R129,IF(LEFT(R129,3)="BDI",HLOOKUP(R129,DADOS!$T$37:$X$38,2,FALSE),0)),15-11*$X$5)</f>
        <v>0.2487</v>
      </c>
      <c r="AA129" s="4"/>
    </row>
    <row r="130" spans="1:27" ht="25.5" x14ac:dyDescent="0.2">
      <c r="A130" t="str">
        <f t="shared" si="40"/>
        <v>S</v>
      </c>
      <c r="B130">
        <f t="shared" si="41"/>
        <v>0</v>
      </c>
      <c r="C130">
        <f t="shared" ca="1" si="42"/>
        <v>1</v>
      </c>
      <c r="D130">
        <f t="shared" ca="1" si="43"/>
        <v>13</v>
      </c>
      <c r="E130">
        <f t="shared" ca="1" si="44"/>
        <v>3</v>
      </c>
      <c r="F130">
        <f t="shared" ca="1" si="45"/>
        <v>0</v>
      </c>
      <c r="G130">
        <f t="shared" ca="1" si="46"/>
        <v>12</v>
      </c>
      <c r="H130">
        <f t="shared" ca="1" si="59"/>
        <v>0</v>
      </c>
      <c r="I130">
        <f t="shared" ca="1" si="60"/>
        <v>0</v>
      </c>
      <c r="J130" s="120" t="s">
        <v>103</v>
      </c>
      <c r="K130" s="162" t="str">
        <f t="shared" ca="1" si="47"/>
        <v>1.13.3.12.</v>
      </c>
      <c r="L130" s="209" t="s">
        <v>233</v>
      </c>
      <c r="M130" s="209" t="s">
        <v>343</v>
      </c>
      <c r="N130" s="230" t="s">
        <v>444</v>
      </c>
      <c r="O130" s="229" t="s">
        <v>394</v>
      </c>
      <c r="P130" s="233">
        <v>1</v>
      </c>
      <c r="Q130" s="228">
        <v>65.13</v>
      </c>
      <c r="R130" s="231" t="s">
        <v>7</v>
      </c>
      <c r="S130" s="121">
        <f t="shared" ca="1" si="56"/>
        <v>81.33</v>
      </c>
      <c r="T130" s="98">
        <f t="shared" ca="1" si="57"/>
        <v>81.33</v>
      </c>
      <c r="U130" s="13" t="str">
        <f t="shared" ca="1" si="48"/>
        <v/>
      </c>
      <c r="V130" s="4" t="str">
        <f ca="1">IF(OR($A130=0,$A130="S",$A130&gt;CFF!$A$9),"",MAX(V$12:OFFSET(V130,-1,0))+1)</f>
        <v/>
      </c>
      <c r="W130" s="9" t="str">
        <f t="shared" si="49"/>
        <v>SINAPI-101892</v>
      </c>
      <c r="X130" s="4">
        <f t="shared" ca="1" si="58"/>
        <v>3185</v>
      </c>
      <c r="Y130" s="121">
        <f ca="1">IF(Import.Desoneracao="sim",Referencia.Desonerado,Referencia.NaoDesonerado)</f>
        <v>65.13</v>
      </c>
      <c r="Z130" s="132">
        <f ca="1">ROUND(IF(ISNUMBER(R130),R130,IF(LEFT(R130,3)="BDI",HLOOKUP(R130,DADOS!$T$37:$X$38,2,FALSE),0)),15-11*$X$5)</f>
        <v>0.2487</v>
      </c>
      <c r="AA130" s="4"/>
    </row>
    <row r="131" spans="1:27" x14ac:dyDescent="0.2">
      <c r="A131">
        <f t="shared" si="40"/>
        <v>3</v>
      </c>
      <c r="B131">
        <f t="shared" ca="1" si="41"/>
        <v>3</v>
      </c>
      <c r="C131">
        <f t="shared" ca="1" si="42"/>
        <v>1</v>
      </c>
      <c r="D131">
        <f t="shared" ca="1" si="43"/>
        <v>13</v>
      </c>
      <c r="E131">
        <f t="shared" ca="1" si="44"/>
        <v>4</v>
      </c>
      <c r="F131">
        <f t="shared" ca="1" si="45"/>
        <v>0</v>
      </c>
      <c r="G131">
        <f t="shared" ca="1" si="46"/>
        <v>0</v>
      </c>
      <c r="H131">
        <f t="shared" ca="1" si="59"/>
        <v>3</v>
      </c>
      <c r="I131" t="e">
        <f t="shared" ca="1" si="60"/>
        <v>#N/A</v>
      </c>
      <c r="J131" s="120" t="s">
        <v>101</v>
      </c>
      <c r="K131" s="162" t="str">
        <f t="shared" ca="1" si="47"/>
        <v>1.13.4.</v>
      </c>
      <c r="L131" s="209"/>
      <c r="M131" s="209"/>
      <c r="N131" s="230" t="s">
        <v>355</v>
      </c>
      <c r="O131" s="229" t="str">
        <f ca="1">Referencia.Unidade</f>
        <v/>
      </c>
      <c r="P131" s="233"/>
      <c r="Q131" s="228">
        <v>0</v>
      </c>
      <c r="R131" s="231" t="s">
        <v>7</v>
      </c>
      <c r="S131" s="121">
        <f t="shared" si="56"/>
        <v>0</v>
      </c>
      <c r="T131" s="98">
        <f t="shared" ca="1" si="57"/>
        <v>10147.39</v>
      </c>
      <c r="U131" s="13" t="str">
        <f t="shared" ca="1" si="48"/>
        <v/>
      </c>
      <c r="V131" s="4" t="str">
        <f ca="1">IF(OR($A131=0,$A131="S",$A131&gt;CFF!$A$9),"",MAX(V$12:OFFSET(V131,-1,0))+1)</f>
        <v/>
      </c>
      <c r="W131" s="9" t="b">
        <f t="shared" si="49"/>
        <v>0</v>
      </c>
      <c r="X131" s="4" t="str">
        <f t="shared" ca="1" si="58"/>
        <v>X</v>
      </c>
      <c r="Y131" s="121">
        <f ca="1">IF(Import.Desoneracao="sim",Referencia.Desonerado,Referencia.NaoDesonerado)</f>
        <v>0</v>
      </c>
      <c r="Z131" s="132">
        <f ca="1">ROUND(IF(ISNUMBER(R131),R131,IF(LEFT(R131,3)="BDI",HLOOKUP(R131,DADOS!$T$37:$X$38,2,FALSE),0)),15-11*$X$5)</f>
        <v>0.2487</v>
      </c>
      <c r="AA131" s="4"/>
    </row>
    <row r="132" spans="1:27" ht="25.5" x14ac:dyDescent="0.2">
      <c r="A132" t="str">
        <f t="shared" si="40"/>
        <v>S</v>
      </c>
      <c r="B132">
        <f t="shared" si="41"/>
        <v>0</v>
      </c>
      <c r="C132">
        <f t="shared" ca="1" si="42"/>
        <v>1</v>
      </c>
      <c r="D132">
        <f t="shared" ca="1" si="43"/>
        <v>13</v>
      </c>
      <c r="E132">
        <f t="shared" ca="1" si="44"/>
        <v>4</v>
      </c>
      <c r="F132">
        <f t="shared" ca="1" si="45"/>
        <v>0</v>
      </c>
      <c r="G132">
        <f t="shared" ca="1" si="46"/>
        <v>1</v>
      </c>
      <c r="H132">
        <f t="shared" ca="1" si="59"/>
        <v>0</v>
      </c>
      <c r="I132">
        <f t="shared" ca="1" si="60"/>
        <v>0</v>
      </c>
      <c r="J132" s="120" t="s">
        <v>103</v>
      </c>
      <c r="K132" s="162" t="str">
        <f t="shared" ca="1" si="47"/>
        <v>1.13.4.1.</v>
      </c>
      <c r="L132" s="209" t="s">
        <v>285</v>
      </c>
      <c r="M132" s="209" t="s">
        <v>356</v>
      </c>
      <c r="N132" s="230" t="s">
        <v>456</v>
      </c>
      <c r="O132" s="229" t="s">
        <v>394</v>
      </c>
      <c r="P132" s="233">
        <v>1</v>
      </c>
      <c r="Q132" s="228">
        <v>5891.7899999999991</v>
      </c>
      <c r="R132" s="231" t="s">
        <v>7</v>
      </c>
      <c r="S132" s="121">
        <f t="shared" ca="1" si="56"/>
        <v>7357.08</v>
      </c>
      <c r="T132" s="98">
        <f t="shared" ca="1" si="57"/>
        <v>7357.08</v>
      </c>
      <c r="U132" s="13" t="str">
        <f t="shared" ca="1" si="48"/>
        <v/>
      </c>
      <c r="V132" s="4" t="str">
        <f ca="1">IF(OR($A132=0,$A132="S",$A132&gt;CFF!$A$9),"",MAX(V$12:OFFSET(V132,-1,0))+1)</f>
        <v/>
      </c>
      <c r="W132" s="9" t="str">
        <f t="shared" si="49"/>
        <v>COMPOSIÇÃO-COMP 02</v>
      </c>
      <c r="X132" s="4">
        <f t="shared" ca="1" si="58"/>
        <v>8</v>
      </c>
      <c r="Y132" s="121">
        <f ca="1">IF(Import.Desoneracao="sim",Referencia.Desonerado,Referencia.NaoDesonerado)</f>
        <v>5891.7899999999991</v>
      </c>
      <c r="Z132" s="132">
        <f ca="1">ROUND(IF(ISNUMBER(R132),R132,IF(LEFT(R132,3)="BDI",HLOOKUP(R132,DADOS!$T$37:$X$38,2,FALSE),0)),15-11*$X$5)</f>
        <v>0.2487</v>
      </c>
      <c r="AA132" s="4"/>
    </row>
    <row r="133" spans="1:27" ht="38.25" x14ac:dyDescent="0.2">
      <c r="A133" t="str">
        <f t="shared" si="40"/>
        <v>S</v>
      </c>
      <c r="B133">
        <f t="shared" si="41"/>
        <v>0</v>
      </c>
      <c r="C133">
        <f t="shared" ca="1" si="42"/>
        <v>1</v>
      </c>
      <c r="D133">
        <f t="shared" ca="1" si="43"/>
        <v>13</v>
      </c>
      <c r="E133">
        <f t="shared" ca="1" si="44"/>
        <v>4</v>
      </c>
      <c r="F133">
        <f t="shared" ca="1" si="45"/>
        <v>0</v>
      </c>
      <c r="G133">
        <f t="shared" ca="1" si="46"/>
        <v>2</v>
      </c>
      <c r="H133">
        <f t="shared" ca="1" si="59"/>
        <v>0</v>
      </c>
      <c r="I133">
        <f t="shared" ca="1" si="60"/>
        <v>0</v>
      </c>
      <c r="J133" s="120" t="s">
        <v>103</v>
      </c>
      <c r="K133" s="162" t="str">
        <f t="shared" ca="1" si="47"/>
        <v>1.13.4.2.</v>
      </c>
      <c r="L133" s="209" t="s">
        <v>285</v>
      </c>
      <c r="M133" s="209" t="s">
        <v>357</v>
      </c>
      <c r="N133" s="230" t="s">
        <v>457</v>
      </c>
      <c r="O133" s="229" t="s">
        <v>376</v>
      </c>
      <c r="P133" s="233">
        <v>12.25</v>
      </c>
      <c r="Q133" s="228">
        <v>182.41</v>
      </c>
      <c r="R133" s="231" t="s">
        <v>7</v>
      </c>
      <c r="S133" s="121">
        <f t="shared" ca="1" si="56"/>
        <v>227.78</v>
      </c>
      <c r="T133" s="98">
        <f t="shared" ca="1" si="57"/>
        <v>2790.31</v>
      </c>
      <c r="U133" s="13" t="str">
        <f t="shared" ca="1" si="48"/>
        <v/>
      </c>
      <c r="V133" s="4" t="str">
        <f ca="1">IF(OR($A133=0,$A133="S",$A133&gt;CFF!$A$9),"",MAX(V$12:OFFSET(V133,-1,0))+1)</f>
        <v/>
      </c>
      <c r="W133" s="9" t="str">
        <f t="shared" si="49"/>
        <v>COMPOSIÇÃO-COMP 03</v>
      </c>
      <c r="X133" s="4">
        <f t="shared" ca="1" si="58"/>
        <v>9</v>
      </c>
      <c r="Y133" s="121">
        <f ca="1">IF(Import.Desoneracao="sim",Referencia.Desonerado,Referencia.NaoDesonerado)</f>
        <v>182.41</v>
      </c>
      <c r="Z133" s="132">
        <f ca="1">ROUND(IF(ISNUMBER(R133),R133,IF(LEFT(R133,3)="BDI",HLOOKUP(R133,DADOS!$T$37:$X$38,2,FALSE),0)),15-11*$X$5)</f>
        <v>0.2487</v>
      </c>
      <c r="AA133" s="4"/>
    </row>
    <row r="134" spans="1:27" x14ac:dyDescent="0.2">
      <c r="A134">
        <f t="shared" si="40"/>
        <v>2</v>
      </c>
      <c r="B134">
        <f t="shared" ca="1" si="41"/>
        <v>3</v>
      </c>
      <c r="C134">
        <f t="shared" ca="1" si="42"/>
        <v>1</v>
      </c>
      <c r="D134">
        <f t="shared" ca="1" si="43"/>
        <v>14</v>
      </c>
      <c r="E134">
        <f t="shared" ca="1" si="44"/>
        <v>0</v>
      </c>
      <c r="F134">
        <f t="shared" ca="1" si="45"/>
        <v>0</v>
      </c>
      <c r="G134">
        <f t="shared" ca="1" si="46"/>
        <v>0</v>
      </c>
      <c r="H134">
        <f t="shared" ca="1" si="59"/>
        <v>5</v>
      </c>
      <c r="I134">
        <f t="shared" ca="1" si="60"/>
        <v>3</v>
      </c>
      <c r="J134" s="120" t="s">
        <v>100</v>
      </c>
      <c r="K134" s="162" t="str">
        <f t="shared" ca="1" si="47"/>
        <v>1.14.</v>
      </c>
      <c r="L134" s="209"/>
      <c r="M134" s="209"/>
      <c r="N134" s="230" t="s">
        <v>463</v>
      </c>
      <c r="O134" s="229" t="str">
        <f ca="1">Referencia.Unidade</f>
        <v/>
      </c>
      <c r="P134" s="233"/>
      <c r="Q134" s="228">
        <v>0</v>
      </c>
      <c r="R134" s="231" t="s">
        <v>7</v>
      </c>
      <c r="S134" s="121">
        <f t="shared" si="56"/>
        <v>0</v>
      </c>
      <c r="T134" s="98">
        <f t="shared" ca="1" si="57"/>
        <v>2509.14</v>
      </c>
      <c r="U134" s="13" t="str">
        <f t="shared" ca="1" si="48"/>
        <v/>
      </c>
      <c r="V134" s="4">
        <f ca="1">IF(OR($A134=0,$A134="S",$A134&gt;CFF!$A$9),"",MAX(V$12:OFFSET(V134,-1,0))+1)</f>
        <v>15</v>
      </c>
      <c r="W134" s="9" t="b">
        <f t="shared" si="49"/>
        <v>0</v>
      </c>
      <c r="X134" s="4" t="str">
        <f t="shared" ca="1" si="58"/>
        <v>X</v>
      </c>
      <c r="Y134" s="121">
        <f ca="1">IF(Import.Desoneracao="sim",Referencia.Desonerado,Referencia.NaoDesonerado)</f>
        <v>0</v>
      </c>
      <c r="Z134" s="132">
        <f ca="1">ROUND(IF(ISNUMBER(R134),R134,IF(LEFT(R134,3)="BDI",HLOOKUP(R134,DADOS!$T$37:$X$38,2,FALSE),0)),15-11*$X$5)</f>
        <v>0.2487</v>
      </c>
      <c r="AA134" s="4"/>
    </row>
    <row r="135" spans="1:27" x14ac:dyDescent="0.2">
      <c r="A135" t="str">
        <f t="shared" si="40"/>
        <v>S</v>
      </c>
      <c r="B135">
        <f t="shared" si="41"/>
        <v>0</v>
      </c>
      <c r="C135">
        <f t="shared" ca="1" si="42"/>
        <v>1</v>
      </c>
      <c r="D135">
        <f t="shared" ca="1" si="43"/>
        <v>14</v>
      </c>
      <c r="E135">
        <f t="shared" ca="1" si="44"/>
        <v>0</v>
      </c>
      <c r="F135">
        <f t="shared" ca="1" si="45"/>
        <v>0</v>
      </c>
      <c r="G135">
        <f t="shared" ca="1" si="46"/>
        <v>1</v>
      </c>
      <c r="H135">
        <f t="shared" ca="1" si="59"/>
        <v>0</v>
      </c>
      <c r="I135">
        <f t="shared" ca="1" si="60"/>
        <v>0</v>
      </c>
      <c r="J135" s="120" t="s">
        <v>103</v>
      </c>
      <c r="K135" s="162" t="str">
        <f t="shared" ca="1" si="47"/>
        <v>1.14.0.1.</v>
      </c>
      <c r="L135" s="209" t="s">
        <v>285</v>
      </c>
      <c r="M135" s="209" t="s">
        <v>464</v>
      </c>
      <c r="N135" s="230" t="s">
        <v>468</v>
      </c>
      <c r="O135" s="229" t="s">
        <v>394</v>
      </c>
      <c r="P135" s="233">
        <v>2</v>
      </c>
      <c r="Q135" s="228">
        <v>492.17000000000007</v>
      </c>
      <c r="R135" s="231" t="s">
        <v>7</v>
      </c>
      <c r="S135" s="121">
        <f t="shared" ca="1" si="56"/>
        <v>614.57000000000005</v>
      </c>
      <c r="T135" s="98">
        <f t="shared" ca="1" si="57"/>
        <v>1229.1400000000001</v>
      </c>
      <c r="U135" s="13" t="str">
        <f t="shared" ca="1" si="48"/>
        <v/>
      </c>
      <c r="V135" s="4" t="str">
        <f ca="1">IF(OR($A135=0,$A135="S",$A135&gt;CFF!$A$9),"",MAX(V$12:OFFSET(V135,-1,0))+1)</f>
        <v/>
      </c>
      <c r="W135" s="9" t="str">
        <f t="shared" si="49"/>
        <v>COMPOSIÇÃO-COMP 06</v>
      </c>
      <c r="X135" s="4">
        <f t="shared" ca="1" si="58"/>
        <v>12</v>
      </c>
      <c r="Y135" s="121">
        <f ca="1">IF(Import.Desoneracao="sim",Referencia.Desonerado,Referencia.NaoDesonerado)</f>
        <v>492.17000000000007</v>
      </c>
      <c r="Z135" s="132">
        <f ca="1">ROUND(IF(ISNUMBER(R135),R135,IF(LEFT(R135,3)="BDI",HLOOKUP(R135,DADOS!$T$37:$X$38,2,FALSE),0)),15-11*$X$5)</f>
        <v>0.2487</v>
      </c>
      <c r="AA135" s="4"/>
    </row>
    <row r="136" spans="1:27" x14ac:dyDescent="0.2">
      <c r="A136" t="str">
        <f t="shared" si="40"/>
        <v>S</v>
      </c>
      <c r="B136">
        <f t="shared" si="41"/>
        <v>0</v>
      </c>
      <c r="C136">
        <f t="shared" ca="1" si="42"/>
        <v>1</v>
      </c>
      <c r="D136">
        <f t="shared" ca="1" si="43"/>
        <v>14</v>
      </c>
      <c r="E136">
        <f t="shared" ca="1" si="44"/>
        <v>0</v>
      </c>
      <c r="F136">
        <f t="shared" ca="1" si="45"/>
        <v>0</v>
      </c>
      <c r="G136">
        <f t="shared" ca="1" si="46"/>
        <v>2</v>
      </c>
      <c r="H136">
        <f t="shared" ca="1" si="59"/>
        <v>0</v>
      </c>
      <c r="I136">
        <f t="shared" ca="1" si="60"/>
        <v>0</v>
      </c>
      <c r="J136" s="120" t="s">
        <v>103</v>
      </c>
      <c r="K136" s="162" t="str">
        <f t="shared" ca="1" si="47"/>
        <v>1.14.0.2.</v>
      </c>
      <c r="L136" s="209" t="s">
        <v>285</v>
      </c>
      <c r="M136" s="209" t="s">
        <v>465</v>
      </c>
      <c r="N136" s="230" t="s">
        <v>469</v>
      </c>
      <c r="O136" s="229" t="s">
        <v>394</v>
      </c>
      <c r="P136" s="233">
        <v>8</v>
      </c>
      <c r="Q136" s="228">
        <v>128.13</v>
      </c>
      <c r="R136" s="231" t="s">
        <v>7</v>
      </c>
      <c r="S136" s="121">
        <f t="shared" ca="1" si="56"/>
        <v>160</v>
      </c>
      <c r="T136" s="98">
        <f t="shared" ca="1" si="57"/>
        <v>1280</v>
      </c>
      <c r="U136" s="13" t="str">
        <f t="shared" ca="1" si="48"/>
        <v/>
      </c>
      <c r="V136" s="4" t="str">
        <f ca="1">IF(OR($A136=0,$A136="S",$A136&gt;CFF!$A$9),"",MAX(V$12:OFFSET(V136,-1,0))+1)</f>
        <v/>
      </c>
      <c r="W136" s="9" t="str">
        <f t="shared" si="49"/>
        <v>COMPOSIÇÃO-COMP 07</v>
      </c>
      <c r="X136" s="4">
        <f t="shared" ca="1" si="58"/>
        <v>13</v>
      </c>
      <c r="Y136" s="121">
        <f ca="1">IF(Import.Desoneracao="sim",Referencia.Desonerado,Referencia.NaoDesonerado)</f>
        <v>128.13</v>
      </c>
      <c r="Z136" s="132">
        <f ca="1">ROUND(IF(ISNUMBER(R136),R136,IF(LEFT(R136,3)="BDI",HLOOKUP(R136,DADOS!$T$37:$X$38,2,FALSE),0)),15-11*$X$5)</f>
        <v>0.2487</v>
      </c>
      <c r="AA136" s="4"/>
    </row>
    <row r="137" spans="1:27" x14ac:dyDescent="0.2">
      <c r="A137">
        <f t="shared" si="40"/>
        <v>2</v>
      </c>
      <c r="B137">
        <f t="shared" ca="1" si="41"/>
        <v>2</v>
      </c>
      <c r="C137">
        <f t="shared" ca="1" si="42"/>
        <v>1</v>
      </c>
      <c r="D137">
        <f t="shared" ca="1" si="43"/>
        <v>15</v>
      </c>
      <c r="E137">
        <f t="shared" ca="1" si="44"/>
        <v>0</v>
      </c>
      <c r="F137">
        <f t="shared" ca="1" si="45"/>
        <v>0</v>
      </c>
      <c r="G137">
        <f t="shared" ca="1" si="46"/>
        <v>0</v>
      </c>
      <c r="H137">
        <f t="shared" ca="1" si="59"/>
        <v>2</v>
      </c>
      <c r="I137" t="e">
        <f t="shared" ca="1" si="60"/>
        <v>#N/A</v>
      </c>
      <c r="J137" s="120" t="s">
        <v>100</v>
      </c>
      <c r="K137" s="162" t="str">
        <f t="shared" ca="1" si="47"/>
        <v>1.15.</v>
      </c>
      <c r="L137" s="209"/>
      <c r="M137" s="209"/>
      <c r="N137" s="230" t="s">
        <v>255</v>
      </c>
      <c r="O137" s="229" t="str">
        <f ca="1">Referencia.Unidade</f>
        <v/>
      </c>
      <c r="P137" s="233"/>
      <c r="Q137" s="228">
        <v>0</v>
      </c>
      <c r="R137" s="231" t="s">
        <v>7</v>
      </c>
      <c r="S137" s="121">
        <f t="shared" si="56"/>
        <v>0</v>
      </c>
      <c r="T137" s="98">
        <f t="shared" ca="1" si="57"/>
        <v>40.94</v>
      </c>
      <c r="U137" s="13" t="str">
        <f t="shared" ca="1" si="48"/>
        <v/>
      </c>
      <c r="V137" s="4">
        <f ca="1">IF(OR($A137=0,$A137="S",$A137&gt;CFF!$A$9),"",MAX(V$12:OFFSET(V137,-1,0))+1)</f>
        <v>16</v>
      </c>
      <c r="W137" s="9" t="b">
        <f t="shared" si="49"/>
        <v>0</v>
      </c>
      <c r="X137" s="4" t="str">
        <f t="shared" ca="1" si="58"/>
        <v>X</v>
      </c>
      <c r="Y137" s="121">
        <f ca="1">IF(Import.Desoneracao="sim",Referencia.Desonerado,Referencia.NaoDesonerado)</f>
        <v>0</v>
      </c>
      <c r="Z137" s="132">
        <f ca="1">ROUND(IF(ISNUMBER(R137),R137,IF(LEFT(R137,3)="BDI",HLOOKUP(R137,DADOS!$T$37:$X$38,2,FALSE),0)),15-11*$X$5)</f>
        <v>0.2487</v>
      </c>
      <c r="AA137" s="4"/>
    </row>
    <row r="138" spans="1:27" ht="25.5" x14ac:dyDescent="0.2">
      <c r="A138" t="str">
        <f t="shared" si="40"/>
        <v>S</v>
      </c>
      <c r="B138">
        <f t="shared" si="41"/>
        <v>0</v>
      </c>
      <c r="C138">
        <f t="shared" ca="1" si="42"/>
        <v>1</v>
      </c>
      <c r="D138">
        <f t="shared" ca="1" si="43"/>
        <v>15</v>
      </c>
      <c r="E138">
        <f t="shared" ca="1" si="44"/>
        <v>0</v>
      </c>
      <c r="F138">
        <f t="shared" ca="1" si="45"/>
        <v>0</v>
      </c>
      <c r="G138">
        <f t="shared" ca="1" si="46"/>
        <v>1</v>
      </c>
      <c r="H138">
        <f t="shared" ca="1" si="59"/>
        <v>0</v>
      </c>
      <c r="I138">
        <f t="shared" ca="1" si="60"/>
        <v>0</v>
      </c>
      <c r="J138" s="120" t="s">
        <v>103</v>
      </c>
      <c r="K138" s="162" t="str">
        <f t="shared" ca="1" si="47"/>
        <v>1.15.0.1.</v>
      </c>
      <c r="L138" s="209" t="s">
        <v>233</v>
      </c>
      <c r="M138" s="209" t="s">
        <v>254</v>
      </c>
      <c r="N138" s="230" t="s">
        <v>458</v>
      </c>
      <c r="O138" s="229" t="s">
        <v>376</v>
      </c>
      <c r="P138" s="233">
        <v>58.49</v>
      </c>
      <c r="Q138" s="228">
        <v>0.56000000000000005</v>
      </c>
      <c r="R138" s="231" t="s">
        <v>7</v>
      </c>
      <c r="S138" s="121">
        <f t="shared" ca="1" si="56"/>
        <v>0.7</v>
      </c>
      <c r="T138" s="98">
        <f t="shared" ca="1" si="57"/>
        <v>40.94</v>
      </c>
      <c r="U138" s="13" t="str">
        <f t="shared" ca="1" si="48"/>
        <v/>
      </c>
      <c r="V138" s="4" t="str">
        <f ca="1">IF(OR($A138=0,$A138="S",$A138&gt;CFF!$A$9),"",MAX(V$12:OFFSET(V138,-1,0))+1)</f>
        <v/>
      </c>
      <c r="W138" s="9" t="str">
        <f t="shared" si="49"/>
        <v>SINAPI-99802</v>
      </c>
      <c r="X138" s="4">
        <f t="shared" ca="1" si="58"/>
        <v>7008</v>
      </c>
      <c r="Y138" s="121">
        <f ca="1">IF(Import.Desoneracao="sim",Referencia.Desonerado,Referencia.NaoDesonerado)</f>
        <v>0.56000000000000005</v>
      </c>
      <c r="Z138" s="132">
        <f ca="1">ROUND(IF(ISNUMBER(R138),R138,IF(LEFT(R138,3)="BDI",HLOOKUP(R138,DADOS!$T$37:$X$38,2,FALSE),0)),15-11*$X$5)</f>
        <v>0.2487</v>
      </c>
      <c r="AA138" s="4"/>
    </row>
    <row r="139" spans="1:27" x14ac:dyDescent="0.2">
      <c r="A139">
        <v>-1</v>
      </c>
      <c r="C139">
        <v>0</v>
      </c>
      <c r="D139">
        <v>0</v>
      </c>
      <c r="E139">
        <v>0</v>
      </c>
      <c r="F139">
        <v>0</v>
      </c>
      <c r="G139">
        <v>0</v>
      </c>
      <c r="J139" s="83"/>
      <c r="K139" s="83"/>
      <c r="L139" s="83"/>
      <c r="M139" s="83"/>
      <c r="N139" s="83"/>
      <c r="O139" s="83"/>
      <c r="P139" s="83"/>
      <c r="Q139" s="83"/>
      <c r="R139" s="83"/>
      <c r="S139" s="83"/>
      <c r="T139" s="83"/>
      <c r="U139" s="4"/>
      <c r="V139" s="4"/>
      <c r="W139" s="4"/>
      <c r="X139" s="4"/>
      <c r="Y139" s="4"/>
      <c r="Z139" s="4"/>
      <c r="AA139" s="4"/>
    </row>
    <row r="140" spans="1:27" ht="14.25" x14ac:dyDescent="0.2">
      <c r="A140" s="4"/>
      <c r="B140" s="4"/>
      <c r="C140" s="4"/>
      <c r="D140" s="4"/>
      <c r="E140" s="4"/>
      <c r="F140" s="4"/>
      <c r="G140" s="4"/>
      <c r="H140" s="4"/>
      <c r="I140" s="4"/>
      <c r="J140" s="4"/>
      <c r="K140" s="84" t="s">
        <v>62</v>
      </c>
      <c r="L140" s="4"/>
      <c r="M140" s="368" t="s">
        <v>142</v>
      </c>
      <c r="N140" s="369"/>
      <c r="O140" s="369"/>
      <c r="P140" s="369"/>
      <c r="Q140" s="369"/>
      <c r="R140" s="369"/>
      <c r="S140" s="369"/>
      <c r="T140" s="370"/>
      <c r="U140" s="4"/>
      <c r="V140" s="4"/>
      <c r="W140" s="4"/>
      <c r="X140" s="4"/>
      <c r="Y140" s="4"/>
      <c r="Z140" s="4"/>
      <c r="AA140" s="4"/>
    </row>
    <row r="141" spans="1:27"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row>
    <row r="142" spans="1:27" ht="14.25" x14ac:dyDescent="0.2">
      <c r="A142" s="4"/>
      <c r="B142" s="4"/>
      <c r="C142" s="4"/>
      <c r="D142" s="4"/>
      <c r="E142" s="4"/>
      <c r="F142" s="4"/>
      <c r="G142" s="4"/>
      <c r="H142" s="4"/>
      <c r="I142" s="4"/>
      <c r="J142" s="4"/>
      <c r="K142" s="90" t="s">
        <v>21</v>
      </c>
      <c r="L142" s="20"/>
      <c r="M142" s="20"/>
      <c r="N142" s="20"/>
      <c r="O142" s="20"/>
      <c r="P142" s="20"/>
      <c r="Q142" s="20"/>
      <c r="R142" s="20"/>
      <c r="S142" s="20"/>
      <c r="T142" s="89"/>
      <c r="U142" s="4"/>
      <c r="V142" s="4"/>
      <c r="W142" s="4"/>
      <c r="X142" s="4"/>
      <c r="Y142" s="4"/>
      <c r="Z142" s="4"/>
      <c r="AA142" s="4"/>
    </row>
    <row r="143" spans="1:27" ht="12.75" customHeight="1" x14ac:dyDescent="0.2">
      <c r="A143" s="4"/>
      <c r="B143" s="4"/>
      <c r="C143" s="4"/>
      <c r="D143" s="4"/>
      <c r="E143" s="4"/>
      <c r="F143" s="4"/>
      <c r="G143" s="4"/>
      <c r="H143" s="4"/>
      <c r="I143" s="4"/>
      <c r="J143" s="4"/>
      <c r="K143" s="362"/>
      <c r="L143" s="363"/>
      <c r="M143" s="363"/>
      <c r="N143" s="363"/>
      <c r="O143" s="363"/>
      <c r="P143" s="363"/>
      <c r="Q143" s="363"/>
      <c r="R143" s="363"/>
      <c r="S143" s="363"/>
      <c r="T143" s="364"/>
      <c r="U143" s="4"/>
      <c r="V143" s="4"/>
      <c r="W143" s="4"/>
      <c r="X143" s="4"/>
      <c r="Y143" s="4"/>
      <c r="Z143" s="4"/>
      <c r="AA143" s="4"/>
    </row>
    <row r="144" spans="1:27" x14ac:dyDescent="0.2">
      <c r="A144" s="4"/>
      <c r="B144" s="4"/>
      <c r="C144" s="4"/>
      <c r="D144" s="4"/>
      <c r="E144" s="4"/>
      <c r="F144" s="4"/>
      <c r="G144" s="4"/>
      <c r="H144" s="4"/>
      <c r="I144" s="4"/>
      <c r="J144" s="4"/>
      <c r="K144" s="362"/>
      <c r="L144" s="363"/>
      <c r="M144" s="363"/>
      <c r="N144" s="363"/>
      <c r="O144" s="363"/>
      <c r="P144" s="363"/>
      <c r="Q144" s="363"/>
      <c r="R144" s="363"/>
      <c r="S144" s="363"/>
      <c r="T144" s="364"/>
      <c r="U144" s="4"/>
      <c r="V144" s="4"/>
      <c r="W144" s="4"/>
      <c r="X144" s="4"/>
      <c r="Y144" s="4"/>
      <c r="Z144" s="4"/>
      <c r="AA144" s="4"/>
    </row>
    <row r="145" spans="1:27" x14ac:dyDescent="0.2">
      <c r="A145" s="4"/>
      <c r="B145" s="4"/>
      <c r="C145" s="4"/>
      <c r="D145" s="4"/>
      <c r="E145" s="4"/>
      <c r="F145" s="4"/>
      <c r="G145" s="4"/>
      <c r="H145" s="4"/>
      <c r="I145" s="4"/>
      <c r="J145" s="4"/>
      <c r="K145" s="365"/>
      <c r="L145" s="366"/>
      <c r="M145" s="366"/>
      <c r="N145" s="366"/>
      <c r="O145" s="366"/>
      <c r="P145" s="366"/>
      <c r="Q145" s="366"/>
      <c r="R145" s="366"/>
      <c r="S145" s="366"/>
      <c r="T145" s="367"/>
      <c r="U145" s="4"/>
      <c r="V145" s="4"/>
      <c r="W145" s="4"/>
      <c r="X145" s="4"/>
      <c r="Y145" s="4"/>
      <c r="Z145" s="4"/>
      <c r="AA145" s="4"/>
    </row>
    <row r="146" spans="1:27" ht="14.25" x14ac:dyDescent="0.2">
      <c r="A146" s="4"/>
      <c r="B146" s="4"/>
      <c r="C146" s="4"/>
      <c r="D146" s="4"/>
      <c r="E146" s="4"/>
      <c r="F146" s="4"/>
      <c r="G146" s="4"/>
      <c r="H146" s="4"/>
      <c r="I146" s="4"/>
      <c r="J146" s="4"/>
      <c r="K146" s="213"/>
      <c r="L146" s="213"/>
      <c r="M146" s="213"/>
      <c r="N146" s="213"/>
      <c r="O146" s="213"/>
      <c r="P146" s="213"/>
      <c r="Q146" s="213"/>
      <c r="R146" s="213"/>
      <c r="S146" s="213"/>
      <c r="T146" s="213"/>
      <c r="U146" s="4"/>
      <c r="V146" s="4"/>
      <c r="W146" s="4"/>
      <c r="X146" s="4"/>
      <c r="Y146" s="4"/>
      <c r="Z146" s="4"/>
      <c r="AA146" s="4"/>
    </row>
    <row r="147" spans="1:27" ht="15" x14ac:dyDescent="0.25">
      <c r="A147" s="4"/>
      <c r="B147" s="4"/>
      <c r="C147" s="4"/>
      <c r="D147" s="4"/>
      <c r="E147" s="4"/>
      <c r="F147" s="4"/>
      <c r="G147" s="4"/>
      <c r="H147" s="4"/>
      <c r="I147" s="4"/>
      <c r="J147" s="4"/>
      <c r="K147" s="359" t="str">
        <f>IF(AND($X$3=FALSE,$X$4=FALSE,$X$5=FALSE,$X$6=FALSE,$X$7=FALSE),"Não foi considerado arredondamento nos valores da planilha.",CONCATENATE("Foi considerado arredondamento de duas casas decimais para ",IF($X$3=TRUE,"Quantidade; ",""),IF($X$4=TRUE,"Custo Unitário; ",""),IF($X$5=TRUE,"BDI; ",""),IF($X$6=TRUE,"Preço Unitário; ",""),IF($X$7=TRUE,"Preço Total.","")))</f>
        <v>Foi considerado arredondamento de duas casas decimais para Quantidade; Custo Unitário; BDI; Preço Unitário; Preço Total.</v>
      </c>
      <c r="L147" s="360"/>
      <c r="M147" s="360"/>
      <c r="N147" s="360"/>
      <c r="O147" s="360"/>
      <c r="P147" s="360"/>
      <c r="Q147" s="360"/>
      <c r="R147" s="360"/>
      <c r="S147" s="360"/>
      <c r="T147" s="361"/>
      <c r="U147" s="4"/>
      <c r="V147" s="4"/>
      <c r="W147" s="4"/>
      <c r="X147" s="4"/>
      <c r="Y147" s="4"/>
      <c r="Z147" s="4"/>
      <c r="AA147" s="4"/>
    </row>
    <row r="148" spans="1:27"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row>
    <row r="149" spans="1:27" ht="21"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row>
    <row r="150" spans="1:27" x14ac:dyDescent="0.2">
      <c r="A150" s="4"/>
      <c r="B150" s="4"/>
      <c r="C150" s="4"/>
      <c r="D150" s="4"/>
      <c r="E150" s="4"/>
      <c r="F150" s="4"/>
      <c r="G150" s="4"/>
      <c r="H150" s="4"/>
      <c r="I150" s="4"/>
      <c r="J150" s="4"/>
      <c r="K150" s="372" t="str">
        <f>Import.Município</f>
        <v>ALPESTRE/RS</v>
      </c>
      <c r="L150" s="372"/>
      <c r="M150" s="372"/>
      <c r="N150" s="4"/>
      <c r="O150" s="4"/>
      <c r="P150" s="4"/>
      <c r="Q150" s="4"/>
      <c r="R150" s="4"/>
      <c r="S150" s="4"/>
      <c r="T150" s="4"/>
      <c r="U150" s="4"/>
      <c r="V150" s="4"/>
      <c r="W150" s="4"/>
      <c r="X150" s="4"/>
      <c r="Y150" s="4"/>
      <c r="Z150" s="4"/>
      <c r="AA150" s="4"/>
    </row>
    <row r="151" spans="1:27" x14ac:dyDescent="0.2">
      <c r="A151" s="4"/>
      <c r="B151" s="4"/>
      <c r="C151" s="4"/>
      <c r="D151" s="4"/>
      <c r="E151" s="4"/>
      <c r="F151" s="4"/>
      <c r="G151" s="4"/>
      <c r="H151" s="4"/>
      <c r="I151" s="4"/>
      <c r="J151" s="4"/>
      <c r="K151" s="112" t="s">
        <v>121</v>
      </c>
      <c r="L151" s="4"/>
      <c r="M151" s="4"/>
      <c r="N151" s="4"/>
      <c r="O151" s="4"/>
      <c r="P151" s="4"/>
      <c r="Q151" s="4"/>
      <c r="R151" s="4"/>
      <c r="S151" s="4"/>
      <c r="T151" s="4"/>
      <c r="U151" s="4"/>
      <c r="V151" s="4"/>
      <c r="W151" s="4"/>
      <c r="X151" s="4"/>
      <c r="Y151" s="4"/>
      <c r="Z151" s="4"/>
      <c r="AA151" s="4"/>
    </row>
    <row r="152" spans="1:27"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row>
    <row r="153" spans="1:27" x14ac:dyDescent="0.2">
      <c r="A153" s="4"/>
      <c r="B153" s="4"/>
      <c r="C153" s="4"/>
      <c r="D153" s="4"/>
      <c r="E153" s="4"/>
      <c r="F153" s="4"/>
      <c r="G153" s="4"/>
      <c r="H153" s="4"/>
      <c r="I153" s="4"/>
      <c r="J153" s="4"/>
      <c r="K153" s="371" t="s">
        <v>471</v>
      </c>
      <c r="L153" s="371"/>
      <c r="M153" s="371"/>
      <c r="N153" s="4"/>
      <c r="O153" s="4"/>
      <c r="P153" s="4"/>
      <c r="Q153" s="4"/>
      <c r="R153" s="4"/>
      <c r="S153" s="4"/>
      <c r="T153" s="4"/>
      <c r="U153" s="4"/>
      <c r="V153" s="4"/>
      <c r="W153" s="4"/>
      <c r="X153" s="4"/>
      <c r="Y153" s="4"/>
      <c r="Z153" s="4"/>
      <c r="AA153" s="4"/>
    </row>
    <row r="154" spans="1:27" x14ac:dyDescent="0.2">
      <c r="A154" s="4"/>
      <c r="B154" s="4"/>
      <c r="C154" s="4"/>
      <c r="D154" s="4"/>
      <c r="E154" s="4"/>
      <c r="F154" s="4"/>
      <c r="G154" s="4"/>
      <c r="H154" s="4"/>
      <c r="I154" s="4"/>
      <c r="J154" s="4"/>
      <c r="K154" s="141" t="s">
        <v>122</v>
      </c>
      <c r="L154" s="83"/>
      <c r="M154" s="83"/>
      <c r="N154" s="4"/>
      <c r="O154" s="4"/>
      <c r="P154" s="4"/>
      <c r="Q154" s="4"/>
      <c r="R154" s="4"/>
      <c r="S154" s="4"/>
      <c r="T154" s="4"/>
      <c r="U154" s="4"/>
      <c r="V154" s="4"/>
      <c r="W154" s="4"/>
      <c r="X154" s="4"/>
      <c r="Y154" s="4"/>
      <c r="Z154" s="4"/>
      <c r="AA154" s="4"/>
    </row>
  </sheetData>
  <sheetProtection algorithmName="SHA-512" hashValue="bskl38MHJbvEkMbA58cBlQ/GkjTpQq6UVPCzdZJQJP4TsSv6apKvqUAAj/ZSrloDp0Yx89UM4GHjhT1ucnsuVg==" saltValue="AyGim6tmCMRBOoJSX/1DXg==" spinCount="100000" sheet="1" objects="1" scenarios="1"/>
  <mergeCells count="6">
    <mergeCell ref="W2:X2"/>
    <mergeCell ref="K147:T147"/>
    <mergeCell ref="K143:T145"/>
    <mergeCell ref="M140:T140"/>
    <mergeCell ref="K153:M153"/>
    <mergeCell ref="K150:M150"/>
  </mergeCells>
  <phoneticPr fontId="25" type="noConversion"/>
  <conditionalFormatting sqref="O12:R12 L12:M12">
    <cfRule type="expression" dxfId="335" priority="4073" stopIfTrue="1">
      <formula>$J12=$C$2</formula>
    </cfRule>
    <cfRule type="expression" dxfId="334" priority="4074" stopIfTrue="1">
      <formula>UPPER(LEFT($J12,5))="NÍVEL"</formula>
    </cfRule>
    <cfRule type="expression" dxfId="333" priority="4075" stopIfTrue="1">
      <formula>$J12=$C$8</formula>
    </cfRule>
  </conditionalFormatting>
  <conditionalFormatting sqref="Y12:Z12 S12:T12 K12">
    <cfRule type="expression" dxfId="332" priority="4076" stopIfTrue="1">
      <formula>$J12=$C$2</formula>
    </cfRule>
    <cfRule type="expression" dxfId="331" priority="4077" stopIfTrue="1">
      <formula>UPPER(LEFT($J12,5))="NÍVEL"</formula>
    </cfRule>
  </conditionalFormatting>
  <conditionalFormatting sqref="K11 K13:K19 K21:K26 K28:K138">
    <cfRule type="expression" dxfId="330" priority="4089" stopIfTrue="1">
      <formula>$J11=$C$2</formula>
    </cfRule>
    <cfRule type="expression" dxfId="329" priority="4090" stopIfTrue="1">
      <formula>AND($J11&lt;&gt;"",$J11&lt;&gt;"Serviço")</formula>
    </cfRule>
    <cfRule type="expression" dxfId="328" priority="4091" stopIfTrue="1">
      <formula>$J11=""</formula>
    </cfRule>
  </conditionalFormatting>
  <conditionalFormatting sqref="P11 P13:P19 P21:P26 P28:P138">
    <cfRule type="expression" dxfId="327" priority="2416" stopIfTrue="1">
      <formula>$J11=$C$2</formula>
    </cfRule>
    <cfRule type="expression" dxfId="326" priority="4095" stopIfTrue="1">
      <formula>AND($J11&lt;&gt;"Serviço")</formula>
    </cfRule>
    <cfRule type="expression" dxfId="325" priority="4096" stopIfTrue="1">
      <formula>CELL("proteger",P11)</formula>
    </cfRule>
  </conditionalFormatting>
  <conditionalFormatting sqref="Q11:R11 Q13:R19 Q21:R26 Q28:R138">
    <cfRule type="expression" dxfId="324" priority="4097" stopIfTrue="1">
      <formula>$J11=$C$2</formula>
    </cfRule>
    <cfRule type="expression" dxfId="323" priority="4098" stopIfTrue="1">
      <formula>$J11&lt;&gt;"Serviço"</formula>
    </cfRule>
    <cfRule type="expression" dxfId="322" priority="4099" stopIfTrue="1">
      <formula>CELL("proteger",Q11)</formula>
    </cfRule>
  </conditionalFormatting>
  <conditionalFormatting sqref="S11:T11 Y11:Z11 S13:T19 Y13:Z19 Y21:Z26 S21:T26 S28:T138 Y28:Z138">
    <cfRule type="expression" dxfId="321" priority="4100" stopIfTrue="1">
      <formula>$J11=$C$2</formula>
    </cfRule>
    <cfRule type="expression" dxfId="320" priority="4101" stopIfTrue="1">
      <formula>$J11&lt;&gt;"Serviço"</formula>
    </cfRule>
  </conditionalFormatting>
  <conditionalFormatting sqref="L11:M11 L13:M19 L21:M26 L27 L28:M138">
    <cfRule type="expression" dxfId="319" priority="4121" stopIfTrue="1">
      <formula>$J11=$C$2</formula>
    </cfRule>
    <cfRule type="expression" dxfId="318" priority="4122" stopIfTrue="1">
      <formula>$J11&lt;&gt;"Serviço"</formula>
    </cfRule>
    <cfRule type="expression" dxfId="317" priority="4123" stopIfTrue="1">
      <formula>OR(CELL("proteger",L11),$J11="",TipoOrçamento="Licitado")</formula>
    </cfRule>
  </conditionalFormatting>
  <conditionalFormatting sqref="K140:T140">
    <cfRule type="expression" dxfId="316" priority="4102" stopIfTrue="1">
      <formula>OR(Tipo.Orçamento="LICITADO",Tipo.Orçamento="REPROGRAMADOAC")</formula>
    </cfRule>
    <cfRule type="expression" dxfId="315" priority="4103" stopIfTrue="1">
      <formula>$M$140=""</formula>
    </cfRule>
  </conditionalFormatting>
  <conditionalFormatting sqref="J11 J13 J16:J19 J21:J26 J55:J58 J63:J66 J28:J32 J68:J71 J60:J61 J100:J101 J103:J104 J77:J98 J51:J52 J43:J47 J137:J138 J35:J41 J106:J133">
    <cfRule type="expression" dxfId="314" priority="4130" stopIfTrue="1">
      <formula>TipoOrçamento="Licitado"</formula>
    </cfRule>
  </conditionalFormatting>
  <conditionalFormatting sqref="O11 O13:O19 O21:O26 O28:O138">
    <cfRule type="expression" dxfId="313" priority="2436" stopIfTrue="1">
      <formula>$J11=$C$2</formula>
    </cfRule>
    <cfRule type="expression" dxfId="312" priority="2437" stopIfTrue="1">
      <formula>AND($J11&lt;&gt;"Serviço")</formula>
    </cfRule>
    <cfRule type="expression" dxfId="311" priority="2438" stopIfTrue="1">
      <formula>CELL("proteger",O11)</formula>
    </cfRule>
  </conditionalFormatting>
  <conditionalFormatting sqref="N11 N14:N19 N21:N26 N28:N138">
    <cfRule type="expression" dxfId="310" priority="2439" stopIfTrue="1">
      <formula>$J11=$C$2</formula>
    </cfRule>
    <cfRule type="expression" dxfId="309" priority="2440" stopIfTrue="1">
      <formula>$J11&lt;&gt;"Serviço"</formula>
    </cfRule>
    <cfRule type="expression" dxfId="308" priority="2441" stopIfTrue="1">
      <formula>CELL("proteger",N11)</formula>
    </cfRule>
  </conditionalFormatting>
  <conditionalFormatting sqref="J14">
    <cfRule type="expression" dxfId="307" priority="1314" stopIfTrue="1">
      <formula>TipoOrçamento="Licitado"</formula>
    </cfRule>
  </conditionalFormatting>
  <conditionalFormatting sqref="J54">
    <cfRule type="expression" dxfId="306" priority="1056" stopIfTrue="1">
      <formula>TipoOrçamento="Licitado"</formula>
    </cfRule>
  </conditionalFormatting>
  <conditionalFormatting sqref="J15">
    <cfRule type="expression" dxfId="305" priority="723" stopIfTrue="1">
      <formula>TipoOrçamento="Licitado"</formula>
    </cfRule>
  </conditionalFormatting>
  <conditionalFormatting sqref="N13">
    <cfRule type="expression" dxfId="304" priority="697" stopIfTrue="1">
      <formula>$J13=$C$2</formula>
    </cfRule>
    <cfRule type="expression" dxfId="303" priority="698" stopIfTrue="1">
      <formula>$J13&lt;&gt;"Serviço"</formula>
    </cfRule>
    <cfRule type="expression" dxfId="302" priority="699" stopIfTrue="1">
      <formula>CELL("proteger",N13)</formula>
    </cfRule>
  </conditionalFormatting>
  <conditionalFormatting sqref="K20">
    <cfRule type="expression" dxfId="301" priority="683" stopIfTrue="1">
      <formula>$J20=$C$2</formula>
    </cfRule>
    <cfRule type="expression" dxfId="300" priority="684" stopIfTrue="1">
      <formula>AND($J20&lt;&gt;"",$J20&lt;&gt;"Serviço")</formula>
    </cfRule>
    <cfRule type="expression" dxfId="299" priority="685" stopIfTrue="1">
      <formula>$J20=""</formula>
    </cfRule>
  </conditionalFormatting>
  <conditionalFormatting sqref="P20">
    <cfRule type="expression" dxfId="298" priority="676" stopIfTrue="1">
      <formula>$J20=$C$2</formula>
    </cfRule>
    <cfRule type="expression" dxfId="297" priority="686" stopIfTrue="1">
      <formula>AND($J20&lt;&gt;"Serviço")</formula>
    </cfRule>
    <cfRule type="expression" dxfId="296" priority="687" stopIfTrue="1">
      <formula>CELL("proteger",P20)</formula>
    </cfRule>
  </conditionalFormatting>
  <conditionalFormatting sqref="Q20:R20">
    <cfRule type="expression" dxfId="295" priority="688" stopIfTrue="1">
      <formula>$J20=$C$2</formula>
    </cfRule>
    <cfRule type="expression" dxfId="294" priority="689" stopIfTrue="1">
      <formula>$J20&lt;&gt;"Serviço"</formula>
    </cfRule>
    <cfRule type="expression" dxfId="293" priority="690" stopIfTrue="1">
      <formula>CELL("proteger",Q20)</formula>
    </cfRule>
  </conditionalFormatting>
  <conditionalFormatting sqref="S20:T20 Y20:Z20">
    <cfRule type="expression" dxfId="292" priority="691" stopIfTrue="1">
      <formula>$J20=$C$2</formula>
    </cfRule>
    <cfRule type="expression" dxfId="291" priority="692" stopIfTrue="1">
      <formula>$J20&lt;&gt;"Serviço"</formula>
    </cfRule>
  </conditionalFormatting>
  <conditionalFormatting sqref="J20">
    <cfRule type="expression" dxfId="290" priority="696" stopIfTrue="1">
      <formula>TipoOrçamento="Licitado"</formula>
    </cfRule>
  </conditionalFormatting>
  <conditionalFormatting sqref="O20">
    <cfRule type="expression" dxfId="289" priority="677" stopIfTrue="1">
      <formula>$J20=$C$2</formula>
    </cfRule>
    <cfRule type="expression" dxfId="288" priority="678" stopIfTrue="1">
      <formula>AND($J20&lt;&gt;"Serviço")</formula>
    </cfRule>
    <cfRule type="expression" dxfId="287" priority="679" stopIfTrue="1">
      <formula>CELL("proteger",O20)</formula>
    </cfRule>
  </conditionalFormatting>
  <conditionalFormatting sqref="N20">
    <cfRule type="expression" dxfId="286" priority="680" stopIfTrue="1">
      <formula>$J20=$C$2</formula>
    </cfRule>
    <cfRule type="expression" dxfId="285" priority="681" stopIfTrue="1">
      <formula>$J20&lt;&gt;"Serviço"</formula>
    </cfRule>
    <cfRule type="expression" dxfId="284" priority="682" stopIfTrue="1">
      <formula>CELL("proteger",N20)</formula>
    </cfRule>
  </conditionalFormatting>
  <conditionalFormatting sqref="L20:M20">
    <cfRule type="expression" dxfId="283" priority="673" stopIfTrue="1">
      <formula>$J20=$C$2</formula>
    </cfRule>
    <cfRule type="expression" dxfId="282" priority="674" stopIfTrue="1">
      <formula>$J20&lt;&gt;"Serviço"</formula>
    </cfRule>
    <cfRule type="expression" dxfId="281" priority="675" stopIfTrue="1">
      <formula>OR(CELL("proteger",L20),$J20="",TipoOrçamento="Licitado")</formula>
    </cfRule>
  </conditionalFormatting>
  <conditionalFormatting sqref="K27">
    <cfRule type="expression" dxfId="280" priority="659" stopIfTrue="1">
      <formula>$J27=$C$2</formula>
    </cfRule>
    <cfRule type="expression" dxfId="279" priority="660" stopIfTrue="1">
      <formula>AND($J27&lt;&gt;"",$J27&lt;&gt;"Serviço")</formula>
    </cfRule>
    <cfRule type="expression" dxfId="278" priority="661" stopIfTrue="1">
      <formula>$J27=""</formula>
    </cfRule>
  </conditionalFormatting>
  <conditionalFormatting sqref="P27">
    <cfRule type="expression" dxfId="277" priority="652" stopIfTrue="1">
      <formula>$J27=$C$2</formula>
    </cfRule>
    <cfRule type="expression" dxfId="276" priority="662" stopIfTrue="1">
      <formula>AND($J27&lt;&gt;"Serviço")</formula>
    </cfRule>
    <cfRule type="expression" dxfId="275" priority="663" stopIfTrue="1">
      <formula>CELL("proteger",P27)</formula>
    </cfRule>
  </conditionalFormatting>
  <conditionalFormatting sqref="Q27:R27">
    <cfRule type="expression" dxfId="274" priority="664" stopIfTrue="1">
      <formula>$J27=$C$2</formula>
    </cfRule>
    <cfRule type="expression" dxfId="273" priority="665" stopIfTrue="1">
      <formula>$J27&lt;&gt;"Serviço"</formula>
    </cfRule>
    <cfRule type="expression" dxfId="272" priority="666" stopIfTrue="1">
      <formula>CELL("proteger",Q27)</formula>
    </cfRule>
  </conditionalFormatting>
  <conditionalFormatting sqref="S27:T27 Y27:Z27">
    <cfRule type="expression" dxfId="271" priority="667" stopIfTrue="1">
      <formula>$J27=$C$2</formula>
    </cfRule>
    <cfRule type="expression" dxfId="270" priority="668" stopIfTrue="1">
      <formula>$J27&lt;&gt;"Serviço"</formula>
    </cfRule>
  </conditionalFormatting>
  <conditionalFormatting sqref="J27">
    <cfRule type="expression" dxfId="269" priority="672" stopIfTrue="1">
      <formula>TipoOrçamento="Licitado"</formula>
    </cfRule>
  </conditionalFormatting>
  <conditionalFormatting sqref="O27">
    <cfRule type="expression" dxfId="268" priority="653" stopIfTrue="1">
      <formula>$J27=$C$2</formula>
    </cfRule>
    <cfRule type="expression" dxfId="267" priority="654" stopIfTrue="1">
      <formula>AND($J27&lt;&gt;"Serviço")</formula>
    </cfRule>
    <cfRule type="expression" dxfId="266" priority="655" stopIfTrue="1">
      <formula>CELL("proteger",O27)</formula>
    </cfRule>
  </conditionalFormatting>
  <conditionalFormatting sqref="N27">
    <cfRule type="expression" dxfId="265" priority="656" stopIfTrue="1">
      <formula>$J27=$C$2</formula>
    </cfRule>
    <cfRule type="expression" dxfId="264" priority="657" stopIfTrue="1">
      <formula>$J27&lt;&gt;"Serviço"</formula>
    </cfRule>
    <cfRule type="expression" dxfId="263" priority="658" stopIfTrue="1">
      <formula>CELL("proteger",N27)</formula>
    </cfRule>
  </conditionalFormatting>
  <conditionalFormatting sqref="M27">
    <cfRule type="expression" dxfId="262" priority="649" stopIfTrue="1">
      <formula>$J27=$C$2</formula>
    </cfRule>
    <cfRule type="expression" dxfId="261" priority="650" stopIfTrue="1">
      <formula>$J27&lt;&gt;"Serviço"</formula>
    </cfRule>
    <cfRule type="expression" dxfId="260" priority="651" stopIfTrue="1">
      <formula>OR(CELL("proteger",M27),$J27="",TipoOrçamento="Licitado")</formula>
    </cfRule>
  </conditionalFormatting>
  <conditionalFormatting sqref="J72:J73 J76">
    <cfRule type="expression" dxfId="259" priority="627" stopIfTrue="1">
      <formula>TipoOrçamento="Licitado"</formula>
    </cfRule>
  </conditionalFormatting>
  <conditionalFormatting sqref="J74:J75">
    <cfRule type="expression" dxfId="258" priority="606" stopIfTrue="1">
      <formula>TipoOrçamento="Licitado"</formula>
    </cfRule>
  </conditionalFormatting>
  <conditionalFormatting sqref="J99">
    <cfRule type="expression" dxfId="257" priority="528" stopIfTrue="1">
      <formula>TipoOrçamento="Licitado"</formula>
    </cfRule>
  </conditionalFormatting>
  <conditionalFormatting sqref="J62">
    <cfRule type="expression" dxfId="256" priority="486" stopIfTrue="1">
      <formula>TipoOrçamento="Licitado"</formula>
    </cfRule>
  </conditionalFormatting>
  <conditionalFormatting sqref="J53">
    <cfRule type="expression" dxfId="255" priority="420" stopIfTrue="1">
      <formula>TipoOrçamento="Licitado"</formula>
    </cfRule>
  </conditionalFormatting>
  <conditionalFormatting sqref="J42">
    <cfRule type="expression" dxfId="254" priority="357" stopIfTrue="1">
      <formula>TipoOrçamento="Licitado"</formula>
    </cfRule>
  </conditionalFormatting>
  <conditionalFormatting sqref="J59">
    <cfRule type="expression" dxfId="253" priority="336" stopIfTrue="1">
      <formula>TipoOrçamento="Licitado"</formula>
    </cfRule>
  </conditionalFormatting>
  <conditionalFormatting sqref="J105">
    <cfRule type="expression" dxfId="252" priority="315" stopIfTrue="1">
      <formula>TipoOrçamento="Licitado"</formula>
    </cfRule>
  </conditionalFormatting>
  <conditionalFormatting sqref="J67">
    <cfRule type="expression" dxfId="251" priority="273" stopIfTrue="1">
      <formula>TipoOrçamento="Licitado"</formula>
    </cfRule>
  </conditionalFormatting>
  <conditionalFormatting sqref="J102">
    <cfRule type="expression" dxfId="250" priority="198" stopIfTrue="1">
      <formula>TipoOrçamento="Licitado"</formula>
    </cfRule>
  </conditionalFormatting>
  <conditionalFormatting sqref="J48">
    <cfRule type="expression" dxfId="249" priority="165" stopIfTrue="1">
      <formula>TipoOrçamento="Licitado"</formula>
    </cfRule>
  </conditionalFormatting>
  <conditionalFormatting sqref="J49:J50">
    <cfRule type="expression" dxfId="248" priority="144" stopIfTrue="1">
      <formula>TipoOrçamento="Licitado"</formula>
    </cfRule>
  </conditionalFormatting>
  <conditionalFormatting sqref="J134:J136">
    <cfRule type="expression" dxfId="247" priority="114" stopIfTrue="1">
      <formula>TipoOrçamento="Licitado"</formula>
    </cfRule>
  </conditionalFormatting>
  <conditionalFormatting sqref="J33">
    <cfRule type="expression" dxfId="246" priority="42" stopIfTrue="1">
      <formula>TipoOrçamento="Licitado"</formula>
    </cfRule>
  </conditionalFormatting>
  <conditionalFormatting sqref="J34">
    <cfRule type="expression" dxfId="245" priority="21" stopIfTrue="1">
      <formula>TipoOrçamento="Licitado"</formula>
    </cfRule>
  </conditionalFormatting>
  <dataValidations count="3">
    <dataValidation type="decimal" operator="greaterThan" allowBlank="1" showInputMessage="1" showErrorMessage="1" error="Apenas números decimais maiores que zero." sqref="Q11 Q13:Q138">
      <formula1>0</formula1>
    </dataValidation>
    <dataValidation type="list" errorStyle="warning" allowBlank="1" showInputMessage="1" showErrorMessage="1" error="Selecione um dos 5 BDI da lista._x000a__x000a_Caso tenha mais de 5 BDI nesta Planilha Orçamentária digite apenas valor percentual." sqref="R11 R13:R138">
      <formula1>Dados.Lista.BDI</formula1>
    </dataValidation>
    <dataValidation type="list" showInputMessage="1" showErrorMessage="1" errorTitle="Erro de Entrada" error="Selecione somente os itens da lista." promptTitle="Nível:" prompt="Selecione na lista o nível de itemização da Planilha." sqref="J11 J14:J138">
      <formula1>$C$2:$G$2</formula1>
    </dataValidation>
  </dataValidations>
  <pageMargins left="0.78740157480314998" right="0.78740157480314998" top="0.78740157480314998" bottom="0.78740157480314998" header="0.59055118110236204" footer="0.59055118110236204"/>
  <pageSetup paperSize="9" scale="63" fitToHeight="0" orientation="landscape" r:id="rId1"/>
  <headerFooter alignWithMargins="0">
    <oddHeader>&amp;C&amp;14I</oddHeader>
    <oddFooter>&amp;R&amp;P&amp;L27.476 v008   micro</oddFooter>
  </headerFooter>
  <ignoredErrors>
    <ignoredError sqref="K15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97642" r:id="rId4" name="CaixaArredQuant">
              <controlPr locked="0" defaultSize="0" print="0" autoFill="0" autoLine="0" autoPict="0">
                <anchor moveWithCells="1">
                  <from>
                    <xdr:col>15</xdr:col>
                    <xdr:colOff>428625</xdr:colOff>
                    <xdr:row>7</xdr:row>
                    <xdr:rowOff>114300</xdr:rowOff>
                  </from>
                  <to>
                    <xdr:col>15</xdr:col>
                    <xdr:colOff>847725</xdr:colOff>
                    <xdr:row>7</xdr:row>
                    <xdr:rowOff>342900</xdr:rowOff>
                  </to>
                </anchor>
              </controlPr>
            </control>
          </mc:Choice>
        </mc:AlternateContent>
        <mc:AlternateContent xmlns:mc="http://schemas.openxmlformats.org/markup-compatibility/2006">
          <mc:Choice Requires="x14">
            <control shapeId="197650" r:id="rId5" name="CaixaArredCustoUnit">
              <controlPr locked="0" defaultSize="0" print="0" autoFill="0" autoLine="0" autoPict="0">
                <anchor moveWithCells="1">
                  <from>
                    <xdr:col>16</xdr:col>
                    <xdr:colOff>419100</xdr:colOff>
                    <xdr:row>7</xdr:row>
                    <xdr:rowOff>114300</xdr:rowOff>
                  </from>
                  <to>
                    <xdr:col>16</xdr:col>
                    <xdr:colOff>838200</xdr:colOff>
                    <xdr:row>7</xdr:row>
                    <xdr:rowOff>342900</xdr:rowOff>
                  </to>
                </anchor>
              </controlPr>
            </control>
          </mc:Choice>
        </mc:AlternateContent>
        <mc:AlternateContent xmlns:mc="http://schemas.openxmlformats.org/markup-compatibility/2006">
          <mc:Choice Requires="x14">
            <control shapeId="197651" r:id="rId6" name="CaixaArredBDI">
              <controlPr locked="0" defaultSize="0" print="0" autoFill="0" autoLine="0" autoPict="0">
                <anchor moveWithCells="1">
                  <from>
                    <xdr:col>17</xdr:col>
                    <xdr:colOff>257175</xdr:colOff>
                    <xdr:row>7</xdr:row>
                    <xdr:rowOff>114300</xdr:rowOff>
                  </from>
                  <to>
                    <xdr:col>17</xdr:col>
                    <xdr:colOff>676275</xdr:colOff>
                    <xdr:row>7</xdr:row>
                    <xdr:rowOff>342900</xdr:rowOff>
                  </to>
                </anchor>
              </controlPr>
            </control>
          </mc:Choice>
        </mc:AlternateContent>
        <mc:AlternateContent xmlns:mc="http://schemas.openxmlformats.org/markup-compatibility/2006">
          <mc:Choice Requires="x14">
            <control shapeId="197652" r:id="rId7" name="CaixaArredPrecoUnit">
              <controlPr locked="0" defaultSize="0" print="0" autoFill="0" autoLine="0" autoPict="0">
                <anchor moveWithCells="1">
                  <from>
                    <xdr:col>18</xdr:col>
                    <xdr:colOff>333375</xdr:colOff>
                    <xdr:row>7</xdr:row>
                    <xdr:rowOff>114300</xdr:rowOff>
                  </from>
                  <to>
                    <xdr:col>18</xdr:col>
                    <xdr:colOff>752475</xdr:colOff>
                    <xdr:row>7</xdr:row>
                    <xdr:rowOff>342900</xdr:rowOff>
                  </to>
                </anchor>
              </controlPr>
            </control>
          </mc:Choice>
        </mc:AlternateContent>
        <mc:AlternateContent xmlns:mc="http://schemas.openxmlformats.org/markup-compatibility/2006">
          <mc:Choice Requires="x14">
            <control shapeId="197660" r:id="rId8" name="CaixaArredPrecoTotal">
              <controlPr locked="0" defaultSize="0" print="0" autoFill="0" autoLine="0" autoPict="0">
                <anchor moveWithCells="1">
                  <from>
                    <xdr:col>19</xdr:col>
                    <xdr:colOff>419100</xdr:colOff>
                    <xdr:row>7</xdr:row>
                    <xdr:rowOff>104775</xdr:rowOff>
                  </from>
                  <to>
                    <xdr:col>19</xdr:col>
                    <xdr:colOff>838200</xdr:colOff>
                    <xdr:row>7</xdr:row>
                    <xdr:rowOff>333375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2">
    <tabColor rgb="FFFFFF00"/>
  </sheetPr>
  <dimension ref="A1:U145"/>
  <sheetViews>
    <sheetView showGridLines="0" zoomScale="85" zoomScaleNormal="85" zoomScaleSheetLayoutView="100" workbookViewId="0">
      <pane xSplit="5" ySplit="10" topLeftCell="F20" activePane="bottomRight" state="frozen"/>
      <selection pane="topRight"/>
      <selection pane="bottomLeft"/>
      <selection pane="bottomRight" activeCell="K102" sqref="K102"/>
    </sheetView>
  </sheetViews>
  <sheetFormatPr defaultRowHeight="12.75" x14ac:dyDescent="0.2"/>
  <cols>
    <col min="1" max="1" width="12.7109375" customWidth="1"/>
    <col min="2" max="2" width="10.7109375" customWidth="1"/>
    <col min="3" max="3" width="60.5703125" customWidth="1"/>
    <col min="4" max="4" width="7.7109375" customWidth="1"/>
    <col min="5" max="5" width="12.7109375" customWidth="1"/>
    <col min="6" max="15" width="11.7109375" customWidth="1"/>
    <col min="16" max="16" width="0.85546875" customWidth="1"/>
    <col min="21" max="21" width="11.7109375" hidden="1" customWidth="1"/>
  </cols>
  <sheetData>
    <row r="1" spans="1:21" s="4" customFormat="1" ht="17.25" customHeight="1" x14ac:dyDescent="0.25">
      <c r="E1" s="85" t="s">
        <v>63</v>
      </c>
      <c r="F1" s="36" t="s">
        <v>64</v>
      </c>
      <c r="K1" s="18"/>
      <c r="O1"/>
    </row>
    <row r="2" spans="1:21" s="4" customFormat="1" ht="15.75" x14ac:dyDescent="0.25">
      <c r="D2" s="6"/>
      <c r="E2" s="85"/>
      <c r="F2" s="36"/>
      <c r="K2" s="19"/>
      <c r="O2"/>
    </row>
    <row r="3" spans="1:21" s="4" customFormat="1" x14ac:dyDescent="0.2">
      <c r="K3" s="20"/>
      <c r="P3" s="20"/>
    </row>
    <row r="4" spans="1:21" s="4" customFormat="1" ht="39.950000000000003" customHeight="1" x14ac:dyDescent="0.2">
      <c r="P4" s="20"/>
    </row>
    <row r="5" spans="1:21" s="4" customFormat="1" ht="39.950000000000003" customHeight="1" x14ac:dyDescent="0.2">
      <c r="P5" s="20"/>
    </row>
    <row r="6" spans="1:21" s="4" customFormat="1" ht="20.25" customHeight="1" x14ac:dyDescent="0.2">
      <c r="P6" s="20"/>
    </row>
    <row r="7" spans="1:21" s="4" customFormat="1" ht="12.75" hidden="1" customHeight="1" x14ac:dyDescent="0.2">
      <c r="E7" s="224">
        <f ca="1">OFFSET(PO!$P$12,ROW($E7)-ROW(E$12),0)</f>
        <v>0</v>
      </c>
      <c r="P7" s="20"/>
    </row>
    <row r="8" spans="1:21" s="4" customFormat="1" ht="9.9499999999999993" customHeight="1" x14ac:dyDescent="0.2">
      <c r="P8" s="20"/>
    </row>
    <row r="9" spans="1:21" s="4" customFormat="1" ht="60" customHeight="1" x14ac:dyDescent="0.2">
      <c r="B9" s="17"/>
      <c r="C9" s="14"/>
      <c r="D9" s="9"/>
      <c r="E9" s="146" t="s">
        <v>46</v>
      </c>
      <c r="F9" s="122" t="s">
        <v>264</v>
      </c>
      <c r="G9" s="122"/>
      <c r="H9" s="122"/>
      <c r="I9" s="122"/>
      <c r="J9" s="122"/>
      <c r="K9" s="122"/>
      <c r="L9" s="122"/>
      <c r="M9" s="122"/>
      <c r="N9" s="122"/>
      <c r="O9" s="122"/>
      <c r="U9" s="122"/>
    </row>
    <row r="10" spans="1:21" s="15" customFormat="1" ht="30" customHeight="1" x14ac:dyDescent="0.2">
      <c r="A10" s="123" t="s">
        <v>3</v>
      </c>
      <c r="B10" s="123" t="s">
        <v>148</v>
      </c>
      <c r="C10" s="123" t="s">
        <v>143</v>
      </c>
      <c r="D10" s="124" t="s">
        <v>159</v>
      </c>
      <c r="E10" s="123" t="s">
        <v>149</v>
      </c>
      <c r="F10" s="125">
        <f t="shared" ref="F10:O10" ca="1" si="0">IF(OFFSET(F10,0,-1)="Quantidade",1,OFFSET(F10,0,-1)+1)</f>
        <v>1</v>
      </c>
      <c r="G10" s="125">
        <f t="shared" ca="1" si="0"/>
        <v>2</v>
      </c>
      <c r="H10" s="125">
        <f t="shared" ca="1" si="0"/>
        <v>3</v>
      </c>
      <c r="I10" s="125">
        <f t="shared" ca="1" si="0"/>
        <v>4</v>
      </c>
      <c r="J10" s="125">
        <f t="shared" ca="1" si="0"/>
        <v>5</v>
      </c>
      <c r="K10" s="125">
        <f t="shared" ca="1" si="0"/>
        <v>6</v>
      </c>
      <c r="L10" s="125">
        <f t="shared" ca="1" si="0"/>
        <v>7</v>
      </c>
      <c r="M10" s="125">
        <f t="shared" ca="1" si="0"/>
        <v>8</v>
      </c>
      <c r="N10" s="125">
        <f t="shared" ca="1" si="0"/>
        <v>9</v>
      </c>
      <c r="O10" s="125">
        <f t="shared" ca="1" si="0"/>
        <v>10</v>
      </c>
      <c r="U10" s="125">
        <f ca="1">IF(OFFSET(U10,0,-1)="Quantidade",1,OFFSET(U10,0,-1)+1)</f>
        <v>1</v>
      </c>
    </row>
    <row r="11" spans="1:21" s="4" customFormat="1" hidden="1" x14ac:dyDescent="0.2">
      <c r="A11" s="128" t="str">
        <f ca="1">OFFSET(PO!J$12,ROW(A11)-ROW($A$12),0)</f>
        <v>Serviço</v>
      </c>
      <c r="B11" s="130" t="e">
        <f ca="1">IF($A11=0,"",OFFSET(PO!K$12,ROW(B11)-ROW(B$12),0))</f>
        <v>#VALUE!</v>
      </c>
      <c r="C11" s="127" t="str">
        <f ca="1">IF(OFFSET(PO!N$12,ROW(C11)-ROW(C$12),0)=0,"",OFFSET(PO!N$12,ROW(C11)-ROW(C$12),0))</f>
        <v/>
      </c>
      <c r="D11" s="129" t="str">
        <f ca="1">IF(OFFSET(PO!O$12,ROW(D11)-ROW(D$12),0)=0,"",OFFSET(PO!O$12,ROW(D11)-ROW(D$12),0))</f>
        <v/>
      </c>
      <c r="E11" s="165">
        <f ca="1">IF($A11&lt;&gt;"Serviço",0,ROUND(SUMIF($F$9:$P$9,"&lt;&gt;",$F11:$P11),15-13*PO!$X$3))</f>
        <v>0</v>
      </c>
      <c r="F11" s="215">
        <f ca="1">OFFSET(PO!$P$12,ROW($E11)-ROW(F$12),0)</f>
        <v>0</v>
      </c>
      <c r="G11" s="215"/>
      <c r="H11" s="215"/>
      <c r="I11" s="215"/>
      <c r="J11" s="215"/>
      <c r="K11" s="215"/>
      <c r="L11" s="215"/>
      <c r="M11" s="215"/>
      <c r="N11" s="215"/>
      <c r="O11" s="215"/>
      <c r="U11" s="215"/>
    </row>
    <row r="12" spans="1:21" s="4" customFormat="1" x14ac:dyDescent="0.2">
      <c r="A12" s="76" t="str">
        <f>PO!J12</f>
        <v>LOTE</v>
      </c>
      <c r="B12" s="76"/>
      <c r="C12" s="76" t="str">
        <f>PO!N12</f>
        <v>RECUPERAÇÃO DE COMPLEXO ESPORTIVO DO DISTRITO DE SERTÃZINHO</v>
      </c>
      <c r="D12" s="76"/>
      <c r="E12" s="216"/>
      <c r="F12" s="217"/>
      <c r="G12" s="217"/>
      <c r="H12" s="217"/>
      <c r="I12" s="217"/>
      <c r="J12" s="217"/>
      <c r="K12" s="217"/>
      <c r="L12" s="217"/>
      <c r="M12" s="217"/>
      <c r="N12" s="217"/>
      <c r="O12" s="217"/>
      <c r="U12" s="217"/>
    </row>
    <row r="13" spans="1:21" s="4" customFormat="1" ht="25.5" x14ac:dyDescent="0.2">
      <c r="A13" s="126" t="str">
        <f ca="1">OFFSET(PO!J$12,ROW(A13)-ROW($A$12),0)</f>
        <v>Meta</v>
      </c>
      <c r="B13" s="130" t="str">
        <f ca="1">IF($A13=0,"",OFFSET(PO!K$12,ROW(B13)-ROW(B$12),0))</f>
        <v>1.</v>
      </c>
      <c r="C13" s="127" t="str">
        <f ca="1">IF(OFFSET(PO!N$12,ROW(C13)-ROW(C$12),0)=0,"",OFFSET(PO!N$12,ROW(C13)-ROW(C$12),0))</f>
        <v>RECUPERAÇÃO DE COMPLEXO ESPORTIVO DO DISTRITO DE SERTÃZINHO</v>
      </c>
      <c r="D13" s="129" t="str">
        <f ca="1">IF(OFFSET(PO!O$12,ROW(D13)-ROW(D$12),0)=0,"",OFFSET(PO!O$12,ROW(D13)-ROW(D$12),0))</f>
        <v/>
      </c>
      <c r="E13" s="165">
        <f ca="1">IF($A13&lt;&gt;"Serviço",0,ROUND(SUMIF($F$9:$P$9,"&lt;&gt;",$F13:$P13),15-13*PO!$X$3))</f>
        <v>0</v>
      </c>
      <c r="F13" s="215">
        <f ca="1">OFFSET(PO!$P$12,ROW($E13)-ROW(F$12),0)</f>
        <v>0</v>
      </c>
      <c r="G13" s="215"/>
      <c r="H13" s="215"/>
      <c r="I13" s="215"/>
      <c r="J13" s="215"/>
      <c r="K13" s="215"/>
      <c r="L13" s="215"/>
      <c r="M13" s="215"/>
      <c r="N13" s="215"/>
      <c r="O13" s="215"/>
      <c r="U13" s="215"/>
    </row>
    <row r="14" spans="1:21" s="4" customFormat="1" x14ac:dyDescent="0.2">
      <c r="A14" s="128" t="str">
        <f ca="1">OFFSET(PO!J$12,ROW(A14)-ROW($A$12),0)</f>
        <v>Nível 2</v>
      </c>
      <c r="B14" s="130" t="str">
        <f ca="1">IF($A14=0,"",OFFSET(PO!K$12,ROW(B14)-ROW(B$12),0))</f>
        <v>1.1.</v>
      </c>
      <c r="C14" s="127" t="str">
        <f ca="1">IF(OFFSET(PO!N$12,ROW(C14)-ROW(C$12),0)=0,"",OFFSET(PO!N$12,ROW(C14)-ROW(C$12),0))</f>
        <v>SERVIÇOS INICIAIS</v>
      </c>
      <c r="D14" s="129" t="str">
        <f ca="1">IF(OFFSET(PO!O$12,ROW(D14)-ROW(D$12),0)=0,"",OFFSET(PO!O$12,ROW(D14)-ROW(D$12),0))</f>
        <v/>
      </c>
      <c r="E14" s="165">
        <f ca="1">IF($A14&lt;&gt;"Serviço",0,ROUND(SUMIF($F$9:$P$9,"&lt;&gt;",$F14:$P14),15-13*PO!$X$3))</f>
        <v>0</v>
      </c>
      <c r="F14" s="215">
        <f ca="1">OFFSET(PO!$P$12,ROW($E14)-ROW(F$12),0)</f>
        <v>0</v>
      </c>
      <c r="G14" s="215"/>
      <c r="H14" s="215"/>
      <c r="I14" s="215"/>
      <c r="J14" s="215"/>
      <c r="K14" s="215"/>
      <c r="L14" s="215"/>
      <c r="M14" s="215"/>
      <c r="N14" s="215"/>
      <c r="O14" s="215"/>
      <c r="U14" s="215"/>
    </row>
    <row r="15" spans="1:21" s="4" customFormat="1" ht="38.25" x14ac:dyDescent="0.2">
      <c r="A15" s="128" t="str">
        <f ca="1">OFFSET(PO!J$12,ROW(A15)-ROW($A$12),0)</f>
        <v>Serviço</v>
      </c>
      <c r="B15" s="130" t="str">
        <f ca="1">IF($A15=0,"",OFFSET(PO!K$12,ROW(B15)-ROW(B$12),0))</f>
        <v>1.1.0.1.</v>
      </c>
      <c r="C15" s="127" t="str">
        <f ca="1">IF(OFFSET(PO!N$12,ROW(C15)-ROW(C$12),0)=0,"",OFFSET(PO!N$12,ROW(C15)-ROW(C$12),0))</f>
        <v xml:space="preserve">PLACA DE OBRA (PARA CONSTRUCAO CIVIL) EM CHAPA GALVANIZADA *N. 22*, ADESIVADA, DE *2,4 X 1,2* M (SEM POSTES PARA FIXACAO)                                                                                                                                                                                                                                                                                                                                                                                 </v>
      </c>
      <c r="D15" s="129" t="str">
        <f ca="1">IF(OFFSET(PO!O$12,ROW(D15)-ROW(D$12),0)=0,"",OFFSET(PO!O$12,ROW(D15)-ROW(D$12),0))</f>
        <v xml:space="preserve">M2    </v>
      </c>
      <c r="E15" s="165">
        <f ca="1">IF($A15&lt;&gt;"Serviço",0,ROUND(SUMIF($F$9:$P$9,"&lt;&gt;",$F15:$P15),15-13*PO!$X$3))</f>
        <v>4.5</v>
      </c>
      <c r="F15" s="215">
        <f ca="1">OFFSET(PO!$P$12,ROW($E15)-ROW(F$12),0)</f>
        <v>4.5</v>
      </c>
      <c r="G15" s="215"/>
      <c r="H15" s="215"/>
      <c r="I15" s="215"/>
      <c r="J15" s="215"/>
      <c r="K15" s="215"/>
      <c r="L15" s="215"/>
      <c r="M15" s="215"/>
      <c r="N15" s="215"/>
      <c r="O15" s="215"/>
      <c r="U15" s="215"/>
    </row>
    <row r="16" spans="1:21" s="4" customFormat="1" ht="38.25" x14ac:dyDescent="0.2">
      <c r="A16" s="128" t="str">
        <f ca="1">OFFSET(PO!J$12,ROW(A16)-ROW($A$12),0)</f>
        <v>Serviço</v>
      </c>
      <c r="B16" s="130" t="str">
        <f ca="1">IF($A16=0,"",OFFSET(PO!K$12,ROW(B16)-ROW(B$12),0))</f>
        <v>1.1.0.2.</v>
      </c>
      <c r="C16" s="127" t="str">
        <f ca="1">IF(OFFSET(PO!N$12,ROW(C16)-ROW(C$12),0)=0,"",OFFSET(PO!N$12,ROW(C16)-ROW(C$12),0))</f>
        <v>LOCACAO CONVENCIONAL DE OBRA, UTILIZANDO GABARITO DE TÁBUAS CORRIDAS PONTALETADAS A CADA 2,00M -  2 UTILIZAÇÕES. AF_10/2018</v>
      </c>
      <c r="D16" s="129" t="str">
        <f ca="1">IF(OFFSET(PO!O$12,ROW(D16)-ROW(D$12),0)=0,"",OFFSET(PO!O$12,ROW(D16)-ROW(D$12),0))</f>
        <v>M</v>
      </c>
      <c r="E16" s="165">
        <f ca="1">IF($A16&lt;&gt;"Serviço",0,ROUND(SUMIF($F$9:$P$9,"&lt;&gt;",$F16:$P16),15-13*PO!$X$3))</f>
        <v>62</v>
      </c>
      <c r="F16" s="215">
        <f ca="1">OFFSET(PO!$P$12,ROW($E16)-ROW(F$12),0)</f>
        <v>62</v>
      </c>
      <c r="G16" s="215"/>
      <c r="H16" s="215"/>
      <c r="I16" s="215"/>
      <c r="J16" s="215"/>
      <c r="K16" s="215"/>
      <c r="L16" s="215"/>
      <c r="M16" s="215"/>
      <c r="N16" s="215"/>
      <c r="O16" s="215"/>
      <c r="U16" s="215"/>
    </row>
    <row r="17" spans="1:21" s="4" customFormat="1" x14ac:dyDescent="0.2">
      <c r="A17" s="128" t="str">
        <f ca="1">OFFSET(PO!J$12,ROW(A17)-ROW($A$12),0)</f>
        <v>Nível 2</v>
      </c>
      <c r="B17" s="130" t="str">
        <f ca="1">IF($A17=0,"",OFFSET(PO!K$12,ROW(B17)-ROW(B$12),0))</f>
        <v>1.2.</v>
      </c>
      <c r="C17" s="127" t="str">
        <f ca="1">IF(OFFSET(PO!N$12,ROW(C17)-ROW(C$12),0)=0,"",OFFSET(PO!N$12,ROW(C17)-ROW(C$12),0))</f>
        <v>MOVIMENTOS EM TERRA</v>
      </c>
      <c r="D17" s="129" t="str">
        <f ca="1">IF(OFFSET(PO!O$12,ROW(D17)-ROW(D$12),0)=0,"",OFFSET(PO!O$12,ROW(D17)-ROW(D$12),0))</f>
        <v/>
      </c>
      <c r="E17" s="165">
        <f ca="1">IF($A17&lt;&gt;"Serviço",0,ROUND(SUMIF($F$9:$P$9,"&lt;&gt;",$F17:$P17),15-13*PO!$X$3))</f>
        <v>0</v>
      </c>
      <c r="F17" s="215">
        <f ca="1">OFFSET(PO!$P$12,ROW($E17)-ROW(F$12),0)</f>
        <v>0</v>
      </c>
      <c r="G17" s="215"/>
      <c r="H17" s="215"/>
      <c r="I17" s="215"/>
      <c r="J17" s="215"/>
      <c r="K17" s="215"/>
      <c r="L17" s="215"/>
      <c r="M17" s="215"/>
      <c r="N17" s="215"/>
      <c r="O17" s="215"/>
      <c r="U17" s="215"/>
    </row>
    <row r="18" spans="1:21" s="4" customFormat="1" x14ac:dyDescent="0.2">
      <c r="A18" s="128" t="str">
        <f ca="1">OFFSET(PO!J$12,ROW(A18)-ROW($A$12),0)</f>
        <v>Nível 3</v>
      </c>
      <c r="B18" s="130" t="str">
        <f ca="1">IF($A18=0,"",OFFSET(PO!K$12,ROW(B18)-ROW(B$12),0))</f>
        <v>1.2.1.</v>
      </c>
      <c r="C18" s="127" t="str">
        <f ca="1">IF(OFFSET(PO!N$12,ROW(C18)-ROW(C$12),0)=0,"",OFFSET(PO!N$12,ROW(C18)-ROW(C$12),0))</f>
        <v>ESCAVAÇÃO</v>
      </c>
      <c r="D18" s="129" t="str">
        <f ca="1">IF(OFFSET(PO!O$12,ROW(D18)-ROW(D$12),0)=0,"",OFFSET(PO!O$12,ROW(D18)-ROW(D$12),0))</f>
        <v/>
      </c>
      <c r="E18" s="165">
        <f ca="1">IF($A18&lt;&gt;"Serviço",0,ROUND(SUMIF($F$9:$P$9,"&lt;&gt;",$F18:$P18),15-13*PO!$X$3))</f>
        <v>0</v>
      </c>
      <c r="F18" s="215">
        <f ca="1">OFFSET(PO!$P$12,ROW($E18)-ROW(F$12),0)</f>
        <v>0</v>
      </c>
      <c r="G18" s="215"/>
      <c r="H18" s="215"/>
      <c r="I18" s="215"/>
      <c r="J18" s="215"/>
      <c r="K18" s="215"/>
      <c r="L18" s="215"/>
      <c r="M18" s="215"/>
      <c r="N18" s="215"/>
      <c r="O18" s="215"/>
      <c r="U18" s="215"/>
    </row>
    <row r="19" spans="1:21" s="4" customFormat="1" ht="38.25" x14ac:dyDescent="0.2">
      <c r="A19" s="128" t="str">
        <f ca="1">OFFSET(PO!J$12,ROW(A19)-ROW($A$12),0)</f>
        <v>Serviço</v>
      </c>
      <c r="B19" s="130" t="str">
        <f ca="1">IF($A19=0,"",OFFSET(PO!K$12,ROW(B19)-ROW(B$12),0))</f>
        <v>1.2.1.1.</v>
      </c>
      <c r="C19" s="127" t="str">
        <f ca="1">IF(OFFSET(PO!N$12,ROW(C19)-ROW(C$12),0)=0,"",OFFSET(PO!N$12,ROW(C19)-ROW(C$12),0))</f>
        <v>ESCAVAÇÃO MECANIZADA PARA BLOCO DE COROAMENTO OU SAPATA COM RETROESCAVADEIRA (SEM ESCAVAÇÃO PARA COLOCAÇÃO DE FÔRMAS). AF_06/2017</v>
      </c>
      <c r="D19" s="129" t="str">
        <f ca="1">IF(OFFSET(PO!O$12,ROW(D19)-ROW(D$12),0)=0,"",OFFSET(PO!O$12,ROW(D19)-ROW(D$12),0))</f>
        <v>M3</v>
      </c>
      <c r="E19" s="165">
        <f ca="1">IF($A19&lt;&gt;"Serviço",0,ROUND(SUMIF($F$9:$P$9,"&lt;&gt;",$F19:$P19),15-13*PO!$X$3))</f>
        <v>12.37</v>
      </c>
      <c r="F19" s="215">
        <f ca="1">OFFSET(PO!$P$12,ROW($E19)-ROW(F$12),0)</f>
        <v>12.37</v>
      </c>
      <c r="G19" s="215"/>
      <c r="H19" s="215"/>
      <c r="I19" s="215"/>
      <c r="J19" s="215"/>
      <c r="K19" s="215"/>
      <c r="L19" s="215"/>
      <c r="M19" s="215"/>
      <c r="N19" s="215"/>
      <c r="O19" s="215"/>
      <c r="U19" s="215"/>
    </row>
    <row r="20" spans="1:21" s="4" customFormat="1" ht="25.5" x14ac:dyDescent="0.2">
      <c r="A20" s="128" t="str">
        <f ca="1">OFFSET(PO!J$12,ROW(A20)-ROW($A$12),0)</f>
        <v>Serviço</v>
      </c>
      <c r="B20" s="130" t="str">
        <f ca="1">IF($A20=0,"",OFFSET(PO!K$12,ROW(B20)-ROW(B$12),0))</f>
        <v>1.2.1.2.</v>
      </c>
      <c r="C20" s="127" t="str">
        <f ca="1">IF(OFFSET(PO!N$12,ROW(C20)-ROW(C$12),0)=0,"",OFFSET(PO!N$12,ROW(C20)-ROW(C$12),0))</f>
        <v>ESCAVAÇÃO MANUAL DE VALA COM PROFUNDIDADE MENOR OU IGUAL A 1,30 M. AF_02/2021</v>
      </c>
      <c r="D20" s="129" t="str">
        <f ca="1">IF(OFFSET(PO!O$12,ROW(D20)-ROW(D$12),0)=0,"",OFFSET(PO!O$12,ROW(D20)-ROW(D$12),0))</f>
        <v>M3</v>
      </c>
      <c r="E20" s="165">
        <f ca="1">IF($A20&lt;&gt;"Serviço",0,ROUND(SUMIF($F$9:$P$9,"&lt;&gt;",$F20:$P20),15-13*PO!$X$3))</f>
        <v>3.7</v>
      </c>
      <c r="F20" s="215">
        <f ca="1">OFFSET(PO!$P$12,ROW($E20)-ROW(F$12),0)</f>
        <v>3.7</v>
      </c>
      <c r="G20" s="215"/>
      <c r="H20" s="215"/>
      <c r="I20" s="215"/>
      <c r="J20" s="215"/>
      <c r="K20" s="215"/>
      <c r="L20" s="215"/>
      <c r="M20" s="215"/>
      <c r="N20" s="215"/>
      <c r="O20" s="215"/>
      <c r="U20" s="215"/>
    </row>
    <row r="21" spans="1:21" s="4" customFormat="1" x14ac:dyDescent="0.2">
      <c r="A21" s="128" t="str">
        <f ca="1">OFFSET(PO!J$12,ROW(A21)-ROW($A$12),0)</f>
        <v>Nível 3</v>
      </c>
      <c r="B21" s="130" t="str">
        <f ca="1">IF($A21=0,"",OFFSET(PO!K$12,ROW(B21)-ROW(B$12),0))</f>
        <v>1.2.2.</v>
      </c>
      <c r="C21" s="127" t="str">
        <f ca="1">IF(OFFSET(PO!N$12,ROW(C21)-ROW(C$12),0)=0,"",OFFSET(PO!N$12,ROW(C21)-ROW(C$12),0))</f>
        <v xml:space="preserve">ATERRO  </v>
      </c>
      <c r="D21" s="129" t="str">
        <f ca="1">IF(OFFSET(PO!O$12,ROW(D21)-ROW(D$12),0)=0,"",OFFSET(PO!O$12,ROW(D21)-ROW(D$12),0))</f>
        <v/>
      </c>
      <c r="E21" s="165">
        <f ca="1">IF($A21&lt;&gt;"Serviço",0,ROUND(SUMIF($F$9:$P$9,"&lt;&gt;",$F21:$P21),15-13*PO!$X$3))</f>
        <v>0</v>
      </c>
      <c r="F21" s="215">
        <f ca="1">OFFSET(PO!$P$12,ROW($E21)-ROW(F$12),0)</f>
        <v>0</v>
      </c>
      <c r="G21" s="215"/>
      <c r="H21" s="215"/>
      <c r="I21" s="215"/>
      <c r="J21" s="215"/>
      <c r="K21" s="215"/>
      <c r="L21" s="215"/>
      <c r="M21" s="215"/>
      <c r="N21" s="215"/>
      <c r="O21" s="215"/>
      <c r="U21" s="215"/>
    </row>
    <row r="22" spans="1:21" s="4" customFormat="1" ht="51" x14ac:dyDescent="0.2">
      <c r="A22" s="128" t="str">
        <f ca="1">OFFSET(PO!J$12,ROW(A22)-ROW($A$12),0)</f>
        <v>Serviço</v>
      </c>
      <c r="B22" s="130" t="str">
        <f ca="1">IF($A22=0,"",OFFSET(PO!K$12,ROW(B22)-ROW(B$12),0))</f>
        <v>1.2.2.1.</v>
      </c>
      <c r="C22" s="127" t="str">
        <f ca="1">IF(OFFSET(PO!N$12,ROW(C22)-ROW(C$12),0)=0,"",OFFSET(PO!N$12,ROW(C22)-ROW(C$12),0))</f>
        <v>ATERRO MECANIZADO DE VALA COM RETROESCAVADEIRA (CAPACIDADE DA CAÇAMBA DA RETRO: 0,26 M³ / POTÊNCIA: 88 HP), LARGURA ATÉ 1,5 M, PROFUNDIDADE ATÉ 1,5 M, COM SOLO ARGILO-ARENOSO. AF_08/2023</v>
      </c>
      <c r="D22" s="129" t="str">
        <f ca="1">IF(OFFSET(PO!O$12,ROW(D22)-ROW(D$12),0)=0,"",OFFSET(PO!O$12,ROW(D22)-ROW(D$12),0))</f>
        <v>M3</v>
      </c>
      <c r="E22" s="165">
        <f ca="1">IF($A22&lt;&gt;"Serviço",0,ROUND(SUMIF($F$9:$P$9,"&lt;&gt;",$F22:$P22),15-13*PO!$X$3))</f>
        <v>5.07</v>
      </c>
      <c r="F22" s="215">
        <f ca="1">OFFSET(PO!$P$12,ROW($E22)-ROW(F$12),0)</f>
        <v>5.07</v>
      </c>
      <c r="G22" s="215"/>
      <c r="H22" s="215"/>
      <c r="I22" s="215"/>
      <c r="J22" s="215"/>
      <c r="K22" s="215"/>
      <c r="L22" s="215"/>
      <c r="M22" s="215"/>
      <c r="N22" s="215"/>
      <c r="O22" s="215"/>
      <c r="U22" s="215"/>
    </row>
    <row r="23" spans="1:21" s="4" customFormat="1" x14ac:dyDescent="0.2">
      <c r="A23" s="128" t="str">
        <f ca="1">OFFSET(PO!J$12,ROW(A23)-ROW($A$12),0)</f>
        <v>Nível 2</v>
      </c>
      <c r="B23" s="130" t="str">
        <f ca="1">IF($A23=0,"",OFFSET(PO!K$12,ROW(B23)-ROW(B$12),0))</f>
        <v>1.3.</v>
      </c>
      <c r="C23" s="127" t="str">
        <f ca="1">IF(OFFSET(PO!N$12,ROW(C23)-ROW(C$12),0)=0,"",OFFSET(PO!N$12,ROW(C23)-ROW(C$12),0))</f>
        <v>INFRAESTRUTRA - FUNDAÇÕES</v>
      </c>
      <c r="D23" s="129" t="str">
        <f ca="1">IF(OFFSET(PO!O$12,ROW(D23)-ROW(D$12),0)=0,"",OFFSET(PO!O$12,ROW(D23)-ROW(D$12),0))</f>
        <v/>
      </c>
      <c r="E23" s="165">
        <f ca="1">IF($A23&lt;&gt;"Serviço",0,ROUND(SUMIF($F$9:$P$9,"&lt;&gt;",$F23:$P23),15-13*PO!$X$3))</f>
        <v>0</v>
      </c>
      <c r="F23" s="215">
        <f ca="1">OFFSET(PO!$P$12,ROW($E23)-ROW(F$12),0)</f>
        <v>0</v>
      </c>
      <c r="G23" s="215"/>
      <c r="H23" s="215"/>
      <c r="I23" s="215"/>
      <c r="J23" s="215"/>
      <c r="K23" s="215"/>
      <c r="L23" s="215"/>
      <c r="M23" s="215"/>
      <c r="N23" s="215"/>
      <c r="O23" s="215"/>
      <c r="U23" s="215"/>
    </row>
    <row r="24" spans="1:21" s="4" customFormat="1" ht="25.5" x14ac:dyDescent="0.2">
      <c r="A24" s="128" t="str">
        <f ca="1">OFFSET(PO!J$12,ROW(A24)-ROW($A$12),0)</f>
        <v>Nível 3</v>
      </c>
      <c r="B24" s="130" t="str">
        <f ca="1">IF($A24=0,"",OFFSET(PO!K$12,ROW(B24)-ROW(B$12),0))</f>
        <v>1.3.1.</v>
      </c>
      <c r="C24" s="127" t="str">
        <f ca="1">IF(OFFSET(PO!N$12,ROW(C24)-ROW(C$12),0)=0,"",OFFSET(PO!N$12,ROW(C24)-ROW(C$12),0))</f>
        <v>CONCRETO ARMADO - BLOCO DE CORROAMENTO E OU SAPATA</v>
      </c>
      <c r="D24" s="129" t="str">
        <f ca="1">IF(OFFSET(PO!O$12,ROW(D24)-ROW(D$12),0)=0,"",OFFSET(PO!O$12,ROW(D24)-ROW(D$12),0))</f>
        <v/>
      </c>
      <c r="E24" s="165">
        <f ca="1">IF($A24&lt;&gt;"Serviço",0,ROUND(SUMIF($F$9:$P$9,"&lt;&gt;",$F24:$P24),15-13*PO!$X$3))</f>
        <v>0</v>
      </c>
      <c r="F24" s="215">
        <f ca="1">OFFSET(PO!$P$12,ROW($E24)-ROW(F$12),0)</f>
        <v>0</v>
      </c>
      <c r="G24" s="215"/>
      <c r="H24" s="215"/>
      <c r="I24" s="215"/>
      <c r="J24" s="215"/>
      <c r="K24" s="215"/>
      <c r="L24" s="215"/>
      <c r="M24" s="215"/>
      <c r="N24" s="215"/>
      <c r="O24" s="215"/>
      <c r="U24" s="215"/>
    </row>
    <row r="25" spans="1:21" s="4" customFormat="1" ht="38.25" x14ac:dyDescent="0.2">
      <c r="A25" s="128" t="str">
        <f ca="1">OFFSET(PO!J$12,ROW(A25)-ROW($A$12),0)</f>
        <v>Serviço</v>
      </c>
      <c r="B25" s="130" t="str">
        <f ca="1">IF($A25=0,"",OFFSET(PO!K$12,ROW(B25)-ROW(B$12),0))</f>
        <v>1.3.1.1.</v>
      </c>
      <c r="C25" s="127" t="str">
        <f ca="1">IF(OFFSET(PO!N$12,ROW(C25)-ROW(C$12),0)=0,"",OFFSET(PO!N$12,ROW(C25)-ROW(C$12),0))</f>
        <v>LASTRO DE CONCRETO MAGRO, APLICADO EM BLOCOS DE COROAMENTO OU SAPATAS, ESPESSURA DE 5 CM. AF_08/2017</v>
      </c>
      <c r="D25" s="129" t="str">
        <f ca="1">IF(OFFSET(PO!O$12,ROW(D25)-ROW(D$12),0)=0,"",OFFSET(PO!O$12,ROW(D25)-ROW(D$12),0))</f>
        <v>M2</v>
      </c>
      <c r="E25" s="165">
        <f ca="1">IF($A25&lt;&gt;"Serviço",0,ROUND(SUMIF($F$9:$P$9,"&lt;&gt;",$F25:$P25),15-13*PO!$X$3))</f>
        <v>8.5</v>
      </c>
      <c r="F25" s="215">
        <f ca="1">OFFSET(PO!$P$12,ROW($E25)-ROW(F$12),0)</f>
        <v>8.5</v>
      </c>
      <c r="G25" s="215"/>
      <c r="H25" s="215"/>
      <c r="I25" s="215"/>
      <c r="J25" s="215"/>
      <c r="K25" s="215"/>
      <c r="L25" s="215"/>
      <c r="M25" s="215"/>
      <c r="N25" s="215"/>
      <c r="O25" s="215"/>
      <c r="U25" s="215"/>
    </row>
    <row r="26" spans="1:21" s="4" customFormat="1" ht="25.5" x14ac:dyDescent="0.2">
      <c r="A26" s="128" t="str">
        <f ca="1">OFFSET(PO!J$12,ROW(A26)-ROW($A$12),0)</f>
        <v>Serviço</v>
      </c>
      <c r="B26" s="130" t="str">
        <f ca="1">IF($A26=0,"",OFFSET(PO!K$12,ROW(B26)-ROW(B$12),0))</f>
        <v>1.3.1.2.</v>
      </c>
      <c r="C26" s="127" t="str">
        <f ca="1">IF(OFFSET(PO!N$12,ROW(C26)-ROW(C$12),0)=0,"",OFFSET(PO!N$12,ROW(C26)-ROW(C$12),0))</f>
        <v>ARMAÇÃO DE BLOCO, VIGA BALDRAME E SAPATA UTILIZANDO AÇO CA-60 DE 5 MM - MONTAGEM. AF_06/2017</v>
      </c>
      <c r="D26" s="129" t="str">
        <f ca="1">IF(OFFSET(PO!O$12,ROW(D26)-ROW(D$12),0)=0,"",OFFSET(PO!O$12,ROW(D26)-ROW(D$12),0))</f>
        <v>KG</v>
      </c>
      <c r="E26" s="165">
        <f ca="1">IF($A26&lt;&gt;"Serviço",0,ROUND(SUMIF($F$9:$P$9,"&lt;&gt;",$F26:$P26),15-13*PO!$X$3))</f>
        <v>42.15</v>
      </c>
      <c r="F26" s="215">
        <f ca="1">OFFSET(PO!$P$12,ROW($E26)-ROW(F$12),0)</f>
        <v>42.15</v>
      </c>
      <c r="G26" s="215"/>
      <c r="H26" s="215"/>
      <c r="I26" s="215"/>
      <c r="J26" s="215"/>
      <c r="K26" s="215"/>
      <c r="L26" s="215"/>
      <c r="M26" s="215"/>
      <c r="N26" s="215"/>
      <c r="O26" s="215"/>
      <c r="U26" s="215"/>
    </row>
    <row r="27" spans="1:21" s="4" customFormat="1" ht="25.5" x14ac:dyDescent="0.2">
      <c r="A27" s="128" t="str">
        <f ca="1">OFFSET(PO!J$12,ROW(A27)-ROW($A$12),0)</f>
        <v>Serviço</v>
      </c>
      <c r="B27" s="130" t="str">
        <f ca="1">IF($A27=0,"",OFFSET(PO!K$12,ROW(B27)-ROW(B$12),0))</f>
        <v>1.3.1.3.</v>
      </c>
      <c r="C27" s="127" t="str">
        <f ca="1">IF(OFFSET(PO!N$12,ROW(C27)-ROW(C$12),0)=0,"",OFFSET(PO!N$12,ROW(C27)-ROW(C$12),0))</f>
        <v>ARMAÇÃO DE BLOCO, VIGA BALDRAME OU SAPATA UTILIZANDO AÇO CA-50 DE 10 MM - MONTAGEM. AF_06/2017</v>
      </c>
      <c r="D27" s="129" t="str">
        <f ca="1">IF(OFFSET(PO!O$12,ROW(D27)-ROW(D$12),0)=0,"",OFFSET(PO!O$12,ROW(D27)-ROW(D$12),0))</f>
        <v>KG</v>
      </c>
      <c r="E27" s="165">
        <f ca="1">IF($A27&lt;&gt;"Serviço",0,ROUND(SUMIF($F$9:$P$9,"&lt;&gt;",$F27:$P27),15-13*PO!$X$3))</f>
        <v>246.49</v>
      </c>
      <c r="F27" s="215">
        <f ca="1">OFFSET(PO!$P$12,ROW($E27)-ROW(F$12),0)</f>
        <v>246.49</v>
      </c>
      <c r="G27" s="215"/>
      <c r="H27" s="215"/>
      <c r="I27" s="215"/>
      <c r="J27" s="215"/>
      <c r="K27" s="215"/>
      <c r="L27" s="215"/>
      <c r="M27" s="215"/>
      <c r="N27" s="215"/>
      <c r="O27" s="215"/>
      <c r="U27" s="215"/>
    </row>
    <row r="28" spans="1:21" s="4" customFormat="1" ht="25.5" x14ac:dyDescent="0.2">
      <c r="A28" s="128" t="str">
        <f ca="1">OFFSET(PO!J$12,ROW(A28)-ROW($A$12),0)</f>
        <v>Serviço</v>
      </c>
      <c r="B28" s="130" t="str">
        <f ca="1">IF($A28=0,"",OFFSET(PO!K$12,ROW(B28)-ROW(B$12),0))</f>
        <v>1.3.1.4.</v>
      </c>
      <c r="C28" s="127" t="str">
        <f ca="1">IF(OFFSET(PO!N$12,ROW(C28)-ROW(C$12),0)=0,"",OFFSET(PO!N$12,ROW(C28)-ROW(C$12),0))</f>
        <v>LANÇAMENTO COM USO DE BALDES, ADENSAMENTO E ACABAMENTO DE CONCRETO EM ESTRUTURAS. AF_02/2022</v>
      </c>
      <c r="D28" s="129" t="str">
        <f ca="1">IF(OFFSET(PO!O$12,ROW(D28)-ROW(D$12),0)=0,"",OFFSET(PO!O$12,ROW(D28)-ROW(D$12),0))</f>
        <v>M3</v>
      </c>
      <c r="E28" s="165">
        <f ca="1">IF($A28&lt;&gt;"Serviço",0,ROUND(SUMIF($F$9:$P$9,"&lt;&gt;",$F28:$P28),15-13*PO!$X$3))</f>
        <v>8.33</v>
      </c>
      <c r="F28" s="215">
        <f ca="1">OFFSET(PO!$P$12,ROW($E28)-ROW(F$12),0)</f>
        <v>8.33</v>
      </c>
      <c r="G28" s="215"/>
      <c r="H28" s="215"/>
      <c r="I28" s="215"/>
      <c r="J28" s="215"/>
      <c r="K28" s="215"/>
      <c r="L28" s="215"/>
      <c r="M28" s="215"/>
      <c r="N28" s="215"/>
      <c r="O28" s="215"/>
      <c r="U28" s="215"/>
    </row>
    <row r="29" spans="1:21" s="4" customFormat="1" ht="38.25" x14ac:dyDescent="0.2">
      <c r="A29" s="128" t="str">
        <f ca="1">OFFSET(PO!J$12,ROW(A29)-ROW($A$12),0)</f>
        <v>Serviço</v>
      </c>
      <c r="B29" s="130" t="str">
        <f ca="1">IF($A29=0,"",OFFSET(PO!K$12,ROW(B29)-ROW(B$12),0))</f>
        <v>1.3.1.5.</v>
      </c>
      <c r="C29" s="127" t="str">
        <f ca="1">IF(OFFSET(PO!N$12,ROW(C29)-ROW(C$12),0)=0,"",OFFSET(PO!N$12,ROW(C29)-ROW(C$12),0))</f>
        <v>CONCRETO FCK = 25MPA, TRAÇO 1:2,3:2,7 (EM MASSA SECA DE CIMENTO/ AREIA MÉDIA/ BRITA 1) - PREPARO MECÂNICO COM BETONEIRA 400 L. AF_05/2021</v>
      </c>
      <c r="D29" s="129" t="str">
        <f ca="1">IF(OFFSET(PO!O$12,ROW(D29)-ROW(D$12),0)=0,"",OFFSET(PO!O$12,ROW(D29)-ROW(D$12),0))</f>
        <v>M3</v>
      </c>
      <c r="E29" s="165">
        <f ca="1">IF($A29&lt;&gt;"Serviço",0,ROUND(SUMIF($F$9:$P$9,"&lt;&gt;",$F29:$P29),15-13*PO!$X$3))</f>
        <v>8.33</v>
      </c>
      <c r="F29" s="215">
        <f ca="1">OFFSET(PO!$P$12,ROW($E29)-ROW(F$12),0)</f>
        <v>8.33</v>
      </c>
      <c r="G29" s="215"/>
      <c r="H29" s="215"/>
      <c r="I29" s="215"/>
      <c r="J29" s="215"/>
      <c r="K29" s="215"/>
      <c r="L29" s="215"/>
      <c r="M29" s="215"/>
      <c r="N29" s="215"/>
      <c r="O29" s="215"/>
      <c r="U29" s="215"/>
    </row>
    <row r="30" spans="1:21" s="4" customFormat="1" x14ac:dyDescent="0.2">
      <c r="A30" s="128" t="str">
        <f ca="1">OFFSET(PO!J$12,ROW(A30)-ROW($A$12),0)</f>
        <v>Nível 2</v>
      </c>
      <c r="B30" s="130" t="str">
        <f ca="1">IF($A30=0,"",OFFSET(PO!K$12,ROW(B30)-ROW(B$12),0))</f>
        <v>1.4.</v>
      </c>
      <c r="C30" s="127" t="str">
        <f ca="1">IF(OFFSET(PO!N$12,ROW(C30)-ROW(C$12),0)=0,"",OFFSET(PO!N$12,ROW(C30)-ROW(C$12),0))</f>
        <v>CONCRETO ARMADO - VIGA BALDRAME</v>
      </c>
      <c r="D30" s="129" t="str">
        <f ca="1">IF(OFFSET(PO!O$12,ROW(D30)-ROW(D$12),0)=0,"",OFFSET(PO!O$12,ROW(D30)-ROW(D$12),0))</f>
        <v/>
      </c>
      <c r="E30" s="165">
        <f ca="1">IF($A30&lt;&gt;"Serviço",0,ROUND(SUMIF($F$9:$P$9,"&lt;&gt;",$F30:$P30),15-13*PO!$X$3))</f>
        <v>0</v>
      </c>
      <c r="F30" s="215">
        <f ca="1">OFFSET(PO!$P$12,ROW($E30)-ROW(F$12),0)</f>
        <v>0</v>
      </c>
      <c r="G30" s="215"/>
      <c r="H30" s="215"/>
      <c r="I30" s="215"/>
      <c r="J30" s="215"/>
      <c r="K30" s="215"/>
      <c r="L30" s="215"/>
      <c r="M30" s="215"/>
      <c r="N30" s="215"/>
      <c r="O30" s="215"/>
      <c r="U30" s="215"/>
    </row>
    <row r="31" spans="1:21" s="4" customFormat="1" ht="38.25" x14ac:dyDescent="0.2">
      <c r="A31" s="128" t="str">
        <f ca="1">OFFSET(PO!J$12,ROW(A31)-ROW($A$12),0)</f>
        <v>Serviço</v>
      </c>
      <c r="B31" s="130" t="str">
        <f ca="1">IF($A31=0,"",OFFSET(PO!K$12,ROW(B31)-ROW(B$12),0))</f>
        <v>1.4.0.1.</v>
      </c>
      <c r="C31" s="127" t="str">
        <f ca="1">IF(OFFSET(PO!N$12,ROW(C31)-ROW(C$12),0)=0,"",OFFSET(PO!N$12,ROW(C31)-ROW(C$12),0))</f>
        <v>FABRICAÇÃO, MONTAGEM E DESMONTAGEM DE FÔRMA PARA VIGA BALDRAME, EM MADEIRA SERRADA, E=25 MM, 4 UTILIZAÇÕES. AF_06/2017</v>
      </c>
      <c r="D31" s="129" t="str">
        <f ca="1">IF(OFFSET(PO!O$12,ROW(D31)-ROW(D$12),0)=0,"",OFFSET(PO!O$12,ROW(D31)-ROW(D$12),0))</f>
        <v>M2</v>
      </c>
      <c r="E31" s="165">
        <f ca="1">IF($A31&lt;&gt;"Serviço",0,ROUND(SUMIF($F$9:$P$9,"&lt;&gt;",$F31:$P31),15-13*PO!$X$3))</f>
        <v>35.229999999999997</v>
      </c>
      <c r="F31" s="215">
        <f ca="1">OFFSET(PO!$P$12,ROW($E31)-ROW(F$12),0)</f>
        <v>35.229999999999997</v>
      </c>
      <c r="G31" s="215"/>
      <c r="H31" s="215"/>
      <c r="I31" s="215"/>
      <c r="J31" s="215"/>
      <c r="K31" s="215"/>
      <c r="L31" s="215"/>
      <c r="M31" s="215"/>
      <c r="N31" s="215"/>
      <c r="O31" s="215"/>
      <c r="U31" s="215"/>
    </row>
    <row r="32" spans="1:21" s="4" customFormat="1" ht="25.5" x14ac:dyDescent="0.2">
      <c r="A32" s="128" t="str">
        <f ca="1">OFFSET(PO!J$12,ROW(A32)-ROW($A$12),0)</f>
        <v>Serviço</v>
      </c>
      <c r="B32" s="130" t="str">
        <f ca="1">IF($A32=0,"",OFFSET(PO!K$12,ROW(B32)-ROW(B$12),0))</f>
        <v>1.4.0.2.</v>
      </c>
      <c r="C32" s="127" t="str">
        <f ca="1">IF(OFFSET(PO!N$12,ROW(C32)-ROW(C$12),0)=0,"",OFFSET(PO!N$12,ROW(C32)-ROW(C$12),0))</f>
        <v>ARMAÇÃO DE BLOCO, VIGA BALDRAME E SAPATA UTILIZANDO AÇO CA-60 DE 5 MM - MONTAGEM. AF_06/2017</v>
      </c>
      <c r="D32" s="129" t="str">
        <f ca="1">IF(OFFSET(PO!O$12,ROW(D32)-ROW(D$12),0)=0,"",OFFSET(PO!O$12,ROW(D32)-ROW(D$12),0))</f>
        <v>KG</v>
      </c>
      <c r="E32" s="165">
        <f ca="1">IF($A32&lt;&gt;"Serviço",0,ROUND(SUMIF($F$9:$P$9,"&lt;&gt;",$F32:$P32),15-13*PO!$X$3))</f>
        <v>53.08</v>
      </c>
      <c r="F32" s="215">
        <f ca="1">OFFSET(PO!$P$12,ROW($E32)-ROW(F$12),0)</f>
        <v>53.08</v>
      </c>
      <c r="G32" s="215"/>
      <c r="H32" s="215"/>
      <c r="I32" s="215"/>
      <c r="J32" s="215"/>
      <c r="K32" s="215"/>
      <c r="L32" s="215"/>
      <c r="M32" s="215"/>
      <c r="N32" s="215"/>
      <c r="O32" s="215"/>
      <c r="U32" s="215"/>
    </row>
    <row r="33" spans="1:21" s="4" customFormat="1" ht="38.25" x14ac:dyDescent="0.2">
      <c r="A33" s="128" t="str">
        <f ca="1">OFFSET(PO!J$12,ROW(A33)-ROW($A$12),0)</f>
        <v>Serviço</v>
      </c>
      <c r="B33" s="130" t="str">
        <f ca="1">IF($A33=0,"",OFFSET(PO!K$12,ROW(B33)-ROW(B$12),0))</f>
        <v>1.4.0.3.</v>
      </c>
      <c r="C33" s="127" t="str">
        <f ca="1">IF(OFFSET(PO!N$12,ROW(C33)-ROW(C$12),0)=0,"",OFFSET(PO!N$12,ROW(C33)-ROW(C$12),0))</f>
        <v>ARMAÇÃO DE BLOCO, SAPATA ISOLADA, VIGA BALDRAME E SAPATA CORRIDA UTILIZANDO AÇO CA-50 DE 12,5 MM - MONTAGEM. AF_01/2024</v>
      </c>
      <c r="D33" s="129" t="str">
        <f ca="1">IF(OFFSET(PO!O$12,ROW(D33)-ROW(D$12),0)=0,"",OFFSET(PO!O$12,ROW(D33)-ROW(D$12),0))</f>
        <v>KG</v>
      </c>
      <c r="E33" s="165">
        <f ca="1">IF($A33&lt;&gt;"Serviço",0,ROUND(SUMIF($F$9:$P$9,"&lt;&gt;",$F33:$P33),15-13*PO!$X$3))</f>
        <v>228.53</v>
      </c>
      <c r="F33" s="215">
        <f ca="1">OFFSET(PO!$P$12,ROW($E33)-ROW(F$12),0)</f>
        <v>228.53</v>
      </c>
      <c r="G33" s="215"/>
      <c r="H33" s="215"/>
      <c r="I33" s="215"/>
      <c r="J33" s="215"/>
      <c r="K33" s="215"/>
      <c r="L33" s="215"/>
      <c r="M33" s="215"/>
      <c r="N33" s="215"/>
      <c r="O33" s="215"/>
      <c r="U33" s="215"/>
    </row>
    <row r="34" spans="1:21" s="4" customFormat="1" ht="38.25" x14ac:dyDescent="0.2">
      <c r="A34" s="128" t="str">
        <f ca="1">OFFSET(PO!J$12,ROW(A34)-ROW($A$12),0)</f>
        <v>Serviço</v>
      </c>
      <c r="B34" s="130" t="str">
        <f ca="1">IF($A34=0,"",OFFSET(PO!K$12,ROW(B34)-ROW(B$12),0))</f>
        <v>1.4.0.4.</v>
      </c>
      <c r="C34" s="127" t="str">
        <f ca="1">IF(OFFSET(PO!N$12,ROW(C34)-ROW(C$12),0)=0,"",OFFSET(PO!N$12,ROW(C34)-ROW(C$12),0))</f>
        <v>CONCRETAGEM DE BLOCO DE COROAMENTO OU VIGA BALDRAME, FCK 30 MPA, COM USO DE JERICA - LANÇAMENTO, ADENSAMENTO E ACABAMENTO. AF_01/2024</v>
      </c>
      <c r="D34" s="129" t="str">
        <f ca="1">IF(OFFSET(PO!O$12,ROW(D34)-ROW(D$12),0)=0,"",OFFSET(PO!O$12,ROW(D34)-ROW(D$12),0))</f>
        <v>M3</v>
      </c>
      <c r="E34" s="165">
        <f ca="1">IF($A34&lt;&gt;"Serviço",0,ROUND(SUMIF($F$9:$P$9,"&lt;&gt;",$F34:$P34),15-13*PO!$X$3))</f>
        <v>2.67</v>
      </c>
      <c r="F34" s="215">
        <f ca="1">OFFSET(PO!$P$12,ROW($E34)-ROW(F$12),0)</f>
        <v>2.67</v>
      </c>
      <c r="G34" s="215"/>
      <c r="H34" s="215"/>
      <c r="I34" s="215"/>
      <c r="J34" s="215"/>
      <c r="K34" s="215"/>
      <c r="L34" s="215"/>
      <c r="M34" s="215"/>
      <c r="N34" s="215"/>
      <c r="O34" s="215"/>
      <c r="U34" s="215"/>
    </row>
    <row r="35" spans="1:21" s="4" customFormat="1" x14ac:dyDescent="0.2">
      <c r="A35" s="128" t="str">
        <f ca="1">OFFSET(PO!J$12,ROW(A35)-ROW($A$12),0)</f>
        <v>Nível 2</v>
      </c>
      <c r="B35" s="130" t="str">
        <f ca="1">IF($A35=0,"",OFFSET(PO!K$12,ROW(B35)-ROW(B$12),0))</f>
        <v>1.5.</v>
      </c>
      <c r="C35" s="127" t="str">
        <f ca="1">IF(OFFSET(PO!N$12,ROW(C35)-ROW(C$12),0)=0,"",OFFSET(PO!N$12,ROW(C35)-ROW(C$12),0))</f>
        <v>SUPERESTRUTURA</v>
      </c>
      <c r="D35" s="129" t="str">
        <f ca="1">IF(OFFSET(PO!O$12,ROW(D35)-ROW(D$12),0)=0,"",OFFSET(PO!O$12,ROW(D35)-ROW(D$12),0))</f>
        <v/>
      </c>
      <c r="E35" s="165">
        <f ca="1">IF($A35&lt;&gt;"Serviço",0,ROUND(SUMIF($F$9:$P$9,"&lt;&gt;",$F35:$P35),15-13*PO!$X$3))</f>
        <v>0</v>
      </c>
      <c r="F35" s="215">
        <f ca="1">OFFSET(PO!$P$12,ROW($E35)-ROW(F$12),0)</f>
        <v>0</v>
      </c>
      <c r="G35" s="215"/>
      <c r="H35" s="215"/>
      <c r="I35" s="215"/>
      <c r="J35" s="215"/>
      <c r="K35" s="215"/>
      <c r="L35" s="215"/>
      <c r="M35" s="215"/>
      <c r="N35" s="215"/>
      <c r="O35" s="215"/>
      <c r="U35" s="215"/>
    </row>
    <row r="36" spans="1:21" s="4" customFormat="1" x14ac:dyDescent="0.2">
      <c r="A36" s="128" t="str">
        <f ca="1">OFFSET(PO!J$12,ROW(A36)-ROW($A$12),0)</f>
        <v>Nível 3</v>
      </c>
      <c r="B36" s="130" t="str">
        <f ca="1">IF($A36=0,"",OFFSET(PO!K$12,ROW(B36)-ROW(B$12),0))</f>
        <v>1.5.1.</v>
      </c>
      <c r="C36" s="127" t="str">
        <f ca="1">IF(OFFSET(PO!N$12,ROW(C36)-ROW(C$12),0)=0,"",OFFSET(PO!N$12,ROW(C36)-ROW(C$12),0))</f>
        <v>CONCRETO PRÉ-MOLDADOS - PILARES</v>
      </c>
      <c r="D36" s="129" t="str">
        <f ca="1">IF(OFFSET(PO!O$12,ROW(D36)-ROW(D$12),0)=0,"",OFFSET(PO!O$12,ROW(D36)-ROW(D$12),0))</f>
        <v/>
      </c>
      <c r="E36" s="165">
        <f ca="1">IF($A36&lt;&gt;"Serviço",0,ROUND(SUMIF($F$9:$P$9,"&lt;&gt;",$F36:$P36),15-13*PO!$X$3))</f>
        <v>0</v>
      </c>
      <c r="F36" s="215">
        <f ca="1">OFFSET(PO!$P$12,ROW($E36)-ROW(F$12),0)</f>
        <v>0</v>
      </c>
      <c r="G36" s="215"/>
      <c r="H36" s="215"/>
      <c r="I36" s="215"/>
      <c r="J36" s="215"/>
      <c r="K36" s="215"/>
      <c r="L36" s="215"/>
      <c r="M36" s="215"/>
      <c r="N36" s="215"/>
      <c r="O36" s="215"/>
      <c r="U36" s="215"/>
    </row>
    <row r="37" spans="1:21" s="4" customFormat="1" ht="25.5" x14ac:dyDescent="0.2">
      <c r="A37" s="128" t="str">
        <f ca="1">OFFSET(PO!J$12,ROW(A37)-ROW($A$12),0)</f>
        <v>Serviço</v>
      </c>
      <c r="B37" s="130" t="str">
        <f ca="1">IF($A37=0,"",OFFSET(PO!K$12,ROW(B37)-ROW(B$12),0))</f>
        <v>1.5.1.1.</v>
      </c>
      <c r="C37" s="127" t="str">
        <f ca="1">IF(OFFSET(PO!N$12,ROW(C37)-ROW(C$12),0)=0,"",OFFSET(PO!N$12,ROW(C37)-ROW(C$12),0))</f>
        <v>FORNECIMENTO E INSTALAÇÃO PILAR PRÉ-MOLDADO 0,20 X 0,25 M X 6,00 M</v>
      </c>
      <c r="D37" s="129" t="str">
        <f ca="1">IF(OFFSET(PO!O$12,ROW(D37)-ROW(D$12),0)=0,"",OFFSET(PO!O$12,ROW(D37)-ROW(D$12),0))</f>
        <v xml:space="preserve">UN </v>
      </c>
      <c r="E37" s="165">
        <f ca="1">IF($A37&lt;&gt;"Serviço",0,ROUND(SUMIF($F$9:$P$9,"&lt;&gt;",$F37:$P37),15-13*PO!$X$3))</f>
        <v>15</v>
      </c>
      <c r="F37" s="215">
        <f ca="1">OFFSET(PO!$P$12,ROW($E37)-ROW(F$12),0)</f>
        <v>15</v>
      </c>
      <c r="G37" s="215"/>
      <c r="H37" s="215"/>
      <c r="I37" s="215"/>
      <c r="J37" s="215"/>
      <c r="K37" s="215"/>
      <c r="L37" s="215"/>
      <c r="M37" s="215"/>
      <c r="N37" s="215"/>
      <c r="O37" s="215"/>
      <c r="U37" s="215"/>
    </row>
    <row r="38" spans="1:21" s="4" customFormat="1" ht="25.5" x14ac:dyDescent="0.2">
      <c r="A38" s="128" t="str">
        <f ca="1">OFFSET(PO!J$12,ROW(A38)-ROW($A$12),0)</f>
        <v>Serviço</v>
      </c>
      <c r="B38" s="130" t="str">
        <f ca="1">IF($A38=0,"",OFFSET(PO!K$12,ROW(B38)-ROW(B$12),0))</f>
        <v>1.5.1.2.</v>
      </c>
      <c r="C38" s="127" t="str">
        <f ca="1">IF(OFFSET(PO!N$12,ROW(C38)-ROW(C$12),0)=0,"",OFFSET(PO!N$12,ROW(C38)-ROW(C$12),0))</f>
        <v>FORNECIMENTO E INSTALAÇÃO  PILAR PRÉ-MOLDADO 0,20 X 0,25 M X 6,55 M</v>
      </c>
      <c r="D38" s="129" t="str">
        <f ca="1">IF(OFFSET(PO!O$12,ROW(D38)-ROW(D$12),0)=0,"",OFFSET(PO!O$12,ROW(D38)-ROW(D$12),0))</f>
        <v xml:space="preserve">UN </v>
      </c>
      <c r="E38" s="165">
        <f ca="1">IF($A38&lt;&gt;"Serviço",0,ROUND(SUMIF($F$9:$P$9,"&lt;&gt;",$F38:$P38),15-13*PO!$X$3))</f>
        <v>2</v>
      </c>
      <c r="F38" s="215">
        <f ca="1">OFFSET(PO!$P$12,ROW($E38)-ROW(F$12),0)</f>
        <v>2</v>
      </c>
      <c r="G38" s="215"/>
      <c r="H38" s="215"/>
      <c r="I38" s="215"/>
      <c r="J38" s="215"/>
      <c r="K38" s="215"/>
      <c r="L38" s="215"/>
      <c r="M38" s="215"/>
      <c r="N38" s="215"/>
      <c r="O38" s="215"/>
      <c r="U38" s="215"/>
    </row>
    <row r="39" spans="1:21" s="4" customFormat="1" x14ac:dyDescent="0.2">
      <c r="A39" s="128" t="str">
        <f ca="1">OFFSET(PO!J$12,ROW(A39)-ROW($A$12),0)</f>
        <v>Nível 3</v>
      </c>
      <c r="B39" s="130" t="str">
        <f ca="1">IF($A39=0,"",OFFSET(PO!K$12,ROW(B39)-ROW(B$12),0))</f>
        <v>1.5.2.</v>
      </c>
      <c r="C39" s="127" t="str">
        <f ca="1">IF(OFFSET(PO!N$12,ROW(C39)-ROW(C$12),0)=0,"",OFFSET(PO!N$12,ROW(C39)-ROW(C$12),0))</f>
        <v>CONCRETO PRÉ-MOLDADO - VIGAS DE RESPALDO</v>
      </c>
      <c r="D39" s="129" t="str">
        <f ca="1">IF(OFFSET(PO!O$12,ROW(D39)-ROW(D$12),0)=0,"",OFFSET(PO!O$12,ROW(D39)-ROW(D$12),0))</f>
        <v/>
      </c>
      <c r="E39" s="165">
        <f ca="1">IF($A39&lt;&gt;"Serviço",0,ROUND(SUMIF($F$9:$P$9,"&lt;&gt;",$F39:$P39),15-13*PO!$X$3))</f>
        <v>0</v>
      </c>
      <c r="F39" s="215">
        <f ca="1">OFFSET(PO!$P$12,ROW($E39)-ROW(F$12),0)</f>
        <v>0</v>
      </c>
      <c r="G39" s="215"/>
      <c r="H39" s="215"/>
      <c r="I39" s="215"/>
      <c r="J39" s="215"/>
      <c r="K39" s="215"/>
      <c r="L39" s="215"/>
      <c r="M39" s="215"/>
      <c r="N39" s="215"/>
      <c r="O39" s="215"/>
      <c r="U39" s="215"/>
    </row>
    <row r="40" spans="1:21" s="4" customFormat="1" ht="25.5" x14ac:dyDescent="0.2">
      <c r="A40" s="128" t="str">
        <f ca="1">OFFSET(PO!J$12,ROW(A40)-ROW($A$12),0)</f>
        <v>Serviço</v>
      </c>
      <c r="B40" s="130" t="str">
        <f ca="1">IF($A40=0,"",OFFSET(PO!K$12,ROW(B40)-ROW(B$12),0))</f>
        <v>1.5.2.1.</v>
      </c>
      <c r="C40" s="127" t="str">
        <f ca="1">IF(OFFSET(PO!N$12,ROW(C40)-ROW(C$12),0)=0,"",OFFSET(PO!N$12,ROW(C40)-ROW(C$12),0))</f>
        <v xml:space="preserve">FORNECIMENTO E INSTALAÇÃO VIGA DE RESPALDO PRÉ-MOLDADA 0,15 X 0,30 M 2,68 M </v>
      </c>
      <c r="D40" s="129" t="str">
        <f ca="1">IF(OFFSET(PO!O$12,ROW(D40)-ROW(D$12),0)=0,"",OFFSET(PO!O$12,ROW(D40)-ROW(D$12),0))</f>
        <v xml:space="preserve">UN </v>
      </c>
      <c r="E40" s="165">
        <f ca="1">IF($A40&lt;&gt;"Serviço",0,ROUND(SUMIF($F$9:$P$9,"&lt;&gt;",$F40:$P40),15-13*PO!$X$3))</f>
        <v>3</v>
      </c>
      <c r="F40" s="215">
        <f ca="1">OFFSET(PO!$P$12,ROW($E40)-ROW(F$12),0)</f>
        <v>3</v>
      </c>
      <c r="G40" s="215"/>
      <c r="H40" s="215"/>
      <c r="I40" s="215"/>
      <c r="J40" s="215"/>
      <c r="K40" s="215"/>
      <c r="L40" s="215"/>
      <c r="M40" s="215"/>
      <c r="N40" s="215"/>
      <c r="O40" s="215"/>
      <c r="U40" s="215"/>
    </row>
    <row r="41" spans="1:21" s="4" customFormat="1" ht="25.5" x14ac:dyDescent="0.2">
      <c r="A41" s="128" t="str">
        <f ca="1">OFFSET(PO!J$12,ROW(A41)-ROW($A$12),0)</f>
        <v>Serviço</v>
      </c>
      <c r="B41" s="130" t="str">
        <f ca="1">IF($A41=0,"",OFFSET(PO!K$12,ROW(B41)-ROW(B$12),0))</f>
        <v>1.5.2.2.</v>
      </c>
      <c r="C41" s="127" t="str">
        <f ca="1">IF(OFFSET(PO!N$12,ROW(C41)-ROW(C$12),0)=0,"",OFFSET(PO!N$12,ROW(C41)-ROW(C$12),0))</f>
        <v xml:space="preserve">FORNECIMENTO E INSTALAÇÃO VIGA DE RESPALDO PRÉ-MOLDADA 0,15 X 0,30 M 3,12 M </v>
      </c>
      <c r="D41" s="129" t="str">
        <f ca="1">IF(OFFSET(PO!O$12,ROW(D41)-ROW(D$12),0)=0,"",OFFSET(PO!O$12,ROW(D41)-ROW(D$12),0))</f>
        <v xml:space="preserve">UN </v>
      </c>
      <c r="E41" s="165">
        <f ca="1">IF($A41&lt;&gt;"Serviço",0,ROUND(SUMIF($F$9:$P$9,"&lt;&gt;",$F41:$P41),15-13*PO!$X$3))</f>
        <v>12</v>
      </c>
      <c r="F41" s="215">
        <f ca="1">OFFSET(PO!$P$12,ROW($E41)-ROW(F$12),0)</f>
        <v>12</v>
      </c>
      <c r="G41" s="215"/>
      <c r="H41" s="215"/>
      <c r="I41" s="215"/>
      <c r="J41" s="215"/>
      <c r="K41" s="215"/>
      <c r="L41" s="215"/>
      <c r="M41" s="215"/>
      <c r="N41" s="215"/>
      <c r="O41" s="215"/>
      <c r="U41" s="215"/>
    </row>
    <row r="42" spans="1:21" s="4" customFormat="1" ht="25.5" x14ac:dyDescent="0.2">
      <c r="A42" s="128" t="str">
        <f ca="1">OFFSET(PO!J$12,ROW(A42)-ROW($A$12),0)</f>
        <v>Serviço</v>
      </c>
      <c r="B42" s="130" t="str">
        <f ca="1">IF($A42=0,"",OFFSET(PO!K$12,ROW(B42)-ROW(B$12),0))</f>
        <v>1.5.2.3.</v>
      </c>
      <c r="C42" s="127" t="str">
        <f ca="1">IF(OFFSET(PO!N$12,ROW(C42)-ROW(C$12),0)=0,"",OFFSET(PO!N$12,ROW(C42)-ROW(C$12),0))</f>
        <v xml:space="preserve">FORNECIMENTO E INSTALAÇÃO VIGA DE RESPALDO PRÉ-MOLDADA 0,15 X 0,30 M 5,40 M </v>
      </c>
      <c r="D42" s="129" t="str">
        <f ca="1">IF(OFFSET(PO!O$12,ROW(D42)-ROW(D$12),0)=0,"",OFFSET(PO!O$12,ROW(D42)-ROW(D$12),0))</f>
        <v xml:space="preserve">UN </v>
      </c>
      <c r="E42" s="165">
        <f ca="1">IF($A42&lt;&gt;"Serviço",0,ROUND(SUMIF($F$9:$P$9,"&lt;&gt;",$F42:$P42),15-13*PO!$X$3))</f>
        <v>1</v>
      </c>
      <c r="F42" s="215">
        <f ca="1">OFFSET(PO!$P$12,ROW($E42)-ROW(F$12),0)</f>
        <v>1</v>
      </c>
      <c r="G42" s="215"/>
      <c r="H42" s="215"/>
      <c r="I42" s="215"/>
      <c r="J42" s="215"/>
      <c r="K42" s="215"/>
      <c r="L42" s="215"/>
      <c r="M42" s="215"/>
      <c r="N42" s="215"/>
      <c r="O42" s="215"/>
      <c r="U42" s="215"/>
    </row>
    <row r="43" spans="1:21" s="4" customFormat="1" x14ac:dyDescent="0.2">
      <c r="A43" s="128" t="str">
        <f ca="1">OFFSET(PO!J$12,ROW(A43)-ROW($A$12),0)</f>
        <v>Nível 2</v>
      </c>
      <c r="B43" s="130" t="str">
        <f ca="1">IF($A43=0,"",OFFSET(PO!K$12,ROW(B43)-ROW(B$12),0))</f>
        <v>1.6.</v>
      </c>
      <c r="C43" s="127" t="str">
        <f ca="1">IF(OFFSET(PO!N$12,ROW(C43)-ROW(C$12),0)=0,"",OFFSET(PO!N$12,ROW(C43)-ROW(C$12),0))</f>
        <v>IMPERMEABILIZAÇÃO</v>
      </c>
      <c r="D43" s="129" t="str">
        <f ca="1">IF(OFFSET(PO!O$12,ROW(D43)-ROW(D$12),0)=0,"",OFFSET(PO!O$12,ROW(D43)-ROW(D$12),0))</f>
        <v/>
      </c>
      <c r="E43" s="165">
        <f ca="1">IF($A43&lt;&gt;"Serviço",0,ROUND(SUMIF($F$9:$P$9,"&lt;&gt;",$F43:$P43),15-13*PO!$X$3))</f>
        <v>0</v>
      </c>
      <c r="F43" s="215">
        <f ca="1">OFFSET(PO!$P$12,ROW($E43)-ROW(F$12),0)</f>
        <v>0</v>
      </c>
      <c r="G43" s="215"/>
      <c r="H43" s="215"/>
      <c r="I43" s="215"/>
      <c r="J43" s="215"/>
      <c r="K43" s="215"/>
      <c r="L43" s="215"/>
      <c r="M43" s="215"/>
      <c r="N43" s="215"/>
      <c r="O43" s="215"/>
      <c r="U43" s="215"/>
    </row>
    <row r="44" spans="1:21" s="4" customFormat="1" ht="25.5" x14ac:dyDescent="0.2">
      <c r="A44" s="128" t="str">
        <f ca="1">OFFSET(PO!J$12,ROW(A44)-ROW($A$12),0)</f>
        <v>Serviço</v>
      </c>
      <c r="B44" s="130" t="str">
        <f ca="1">IF($A44=0,"",OFFSET(PO!K$12,ROW(B44)-ROW(B$12),0))</f>
        <v>1.6.0.1.</v>
      </c>
      <c r="C44" s="127" t="str">
        <f ca="1">IF(OFFSET(PO!N$12,ROW(C44)-ROW(C$12),0)=0,"",OFFSET(PO!N$12,ROW(C44)-ROW(C$12),0))</f>
        <v>IMPERMEABILIZAÇÃO DE SUPERFÍCIE COM EMULSÃO ASFÁLTICA, 2 DEMÃOS. AF_09/2023</v>
      </c>
      <c r="D44" s="129" t="str">
        <f ca="1">IF(OFFSET(PO!O$12,ROW(D44)-ROW(D$12),0)=0,"",OFFSET(PO!O$12,ROW(D44)-ROW(D$12),0))</f>
        <v>M2</v>
      </c>
      <c r="E44" s="165">
        <f ca="1">IF($A44&lt;&gt;"Serviço",0,ROUND(SUMIF($F$9:$P$9,"&lt;&gt;",$F44:$P44),15-13*PO!$X$3))</f>
        <v>46.17</v>
      </c>
      <c r="F44" s="215">
        <f ca="1">OFFSET(PO!$P$12,ROW($E44)-ROW(F$12),0)</f>
        <v>46.17</v>
      </c>
      <c r="G44" s="215"/>
      <c r="H44" s="215"/>
      <c r="I44" s="215"/>
      <c r="J44" s="215"/>
      <c r="K44" s="215"/>
      <c r="L44" s="215"/>
      <c r="M44" s="215"/>
      <c r="N44" s="215"/>
      <c r="O44" s="215"/>
      <c r="U44" s="215"/>
    </row>
    <row r="45" spans="1:21" s="4" customFormat="1" x14ac:dyDescent="0.2">
      <c r="A45" s="128" t="str">
        <f ca="1">OFFSET(PO!J$12,ROW(A45)-ROW($A$12),0)</f>
        <v>Nível 2</v>
      </c>
      <c r="B45" s="130" t="str">
        <f ca="1">IF($A45=0,"",OFFSET(PO!K$12,ROW(B45)-ROW(B$12),0))</f>
        <v>1.7.</v>
      </c>
      <c r="C45" s="127" t="str">
        <f ca="1">IF(OFFSET(PO!N$12,ROW(C45)-ROW(C$12),0)=0,"",OFFSET(PO!N$12,ROW(C45)-ROW(C$12),0))</f>
        <v>SISTEMA DE VEDAÇÃO VERTICAL</v>
      </c>
      <c r="D45" s="129" t="str">
        <f ca="1">IF(OFFSET(PO!O$12,ROW(D45)-ROW(D$12),0)=0,"",OFFSET(PO!O$12,ROW(D45)-ROW(D$12),0))</f>
        <v/>
      </c>
      <c r="E45" s="165">
        <f ca="1">IF($A45&lt;&gt;"Serviço",0,ROUND(SUMIF($F$9:$P$9,"&lt;&gt;",$F45:$P45),15-13*PO!$X$3))</f>
        <v>0</v>
      </c>
      <c r="F45" s="215">
        <f ca="1">OFFSET(PO!$P$12,ROW($E45)-ROW(F$12),0)</f>
        <v>0</v>
      </c>
      <c r="G45" s="215"/>
      <c r="H45" s="215"/>
      <c r="I45" s="215"/>
      <c r="J45" s="215"/>
      <c r="K45" s="215"/>
      <c r="L45" s="215"/>
      <c r="M45" s="215"/>
      <c r="N45" s="215"/>
      <c r="O45" s="215"/>
      <c r="U45" s="215"/>
    </row>
    <row r="46" spans="1:21" s="4" customFormat="1" ht="51" x14ac:dyDescent="0.2">
      <c r="A46" s="128" t="str">
        <f ca="1">OFFSET(PO!J$12,ROW(A46)-ROW($A$12),0)</f>
        <v>Serviço</v>
      </c>
      <c r="B46" s="130" t="str">
        <f ca="1">IF($A46=0,"",OFFSET(PO!K$12,ROW(B46)-ROW(B$12),0))</f>
        <v>1.7.0.1.</v>
      </c>
      <c r="C46" s="127" t="str">
        <f ca="1">IF(OFFSET(PO!N$12,ROW(C46)-ROW(C$12),0)=0,"",OFFSET(PO!N$12,ROW(C46)-ROW(C$12),0))</f>
        <v>ALVENARIA DE VEDAÇÃO DE BLOCOS  VAZADOS DE CONCRETO APARENTE DE 14X19X39 CM (ESPESSURA 14 CM) E ARGAMASSA DE ASSENTAMENTO COM PREPARO EM BETONEIRA. AF_12/2021</v>
      </c>
      <c r="D46" s="129" t="str">
        <f ca="1">IF(OFFSET(PO!O$12,ROW(D46)-ROW(D$12),0)=0,"",OFFSET(PO!O$12,ROW(D46)-ROW(D$12),0))</f>
        <v>M2</v>
      </c>
      <c r="E46" s="165">
        <f ca="1">IF($A46&lt;&gt;"Serviço",0,ROUND(SUMIF($F$9:$P$9,"&lt;&gt;",$F46:$P46),15-13*PO!$X$3))</f>
        <v>204.21</v>
      </c>
      <c r="F46" s="215">
        <f ca="1">OFFSET(PO!$P$12,ROW($E46)-ROW(F$12),0)</f>
        <v>204.21</v>
      </c>
      <c r="G46" s="215"/>
      <c r="H46" s="215"/>
      <c r="I46" s="215"/>
      <c r="J46" s="215"/>
      <c r="K46" s="215"/>
      <c r="L46" s="215"/>
      <c r="M46" s="215"/>
      <c r="N46" s="215"/>
      <c r="O46" s="215"/>
      <c r="U46" s="215"/>
    </row>
    <row r="47" spans="1:21" s="4" customFormat="1" ht="38.25" x14ac:dyDescent="0.2">
      <c r="A47" s="128" t="str">
        <f ca="1">OFFSET(PO!J$12,ROW(A47)-ROW($A$12),0)</f>
        <v>Serviço</v>
      </c>
      <c r="B47" s="130" t="str">
        <f ca="1">IF($A47=0,"",OFFSET(PO!K$12,ROW(B47)-ROW(B$12),0))</f>
        <v>1.7.0.2.</v>
      </c>
      <c r="C47" s="127" t="str">
        <f ca="1">IF(OFFSET(PO!N$12,ROW(C47)-ROW(C$12),0)=0,"",OFFSET(PO!N$12,ROW(C47)-ROW(C$12),0))</f>
        <v>ALVENARIA DE VEDAÇÃO COM ELEMENTO VAZADO DE CONCRETO (COBOGÓ) DE 7X50X50CM E ARGAMASSA DE ASSENTAMENTO COM PREPARO EM BETONEIRA. AF_05/2020</v>
      </c>
      <c r="D47" s="129" t="str">
        <f ca="1">IF(OFFSET(PO!O$12,ROW(D47)-ROW(D$12),0)=0,"",OFFSET(PO!O$12,ROW(D47)-ROW(D$12),0))</f>
        <v>M2</v>
      </c>
      <c r="E47" s="165">
        <f ca="1">IF($A47&lt;&gt;"Serviço",0,ROUND(SUMIF($F$9:$P$9,"&lt;&gt;",$F47:$P47),15-13*PO!$X$3))</f>
        <v>37.44</v>
      </c>
      <c r="F47" s="215">
        <f ca="1">OFFSET(PO!$P$12,ROW($E47)-ROW(F$12),0)</f>
        <v>37.44</v>
      </c>
      <c r="G47" s="215"/>
      <c r="H47" s="215"/>
      <c r="I47" s="215"/>
      <c r="J47" s="215"/>
      <c r="K47" s="215"/>
      <c r="L47" s="215"/>
      <c r="M47" s="215"/>
      <c r="N47" s="215"/>
      <c r="O47" s="215"/>
      <c r="U47" s="215"/>
    </row>
    <row r="48" spans="1:21" s="4" customFormat="1" ht="25.5" x14ac:dyDescent="0.2">
      <c r="A48" s="128" t="str">
        <f ca="1">OFFSET(PO!J$12,ROW(A48)-ROW($A$12),0)</f>
        <v>Serviço</v>
      </c>
      <c r="B48" s="130" t="str">
        <f ca="1">IF($A48=0,"",OFFSET(PO!K$12,ROW(B48)-ROW(B$12),0))</f>
        <v>1.7.0.3.</v>
      </c>
      <c r="C48" s="127" t="str">
        <f ca="1">IF(OFFSET(PO!N$12,ROW(C48)-ROW(C$12),0)=0,"",OFFSET(PO!N$12,ROW(C48)-ROW(C$12),0))</f>
        <v>DEMOLIÇÃO DE ALVENARIA DE BLOCO FURADO, DE FORMA MANUAL, SEM REAPROVEITAMENTO. AF_09/2023</v>
      </c>
      <c r="D48" s="129" t="str">
        <f ca="1">IF(OFFSET(PO!O$12,ROW(D48)-ROW(D$12),0)=0,"",OFFSET(PO!O$12,ROW(D48)-ROW(D$12),0))</f>
        <v>M3</v>
      </c>
      <c r="E48" s="165">
        <f ca="1">IF($A48&lt;&gt;"Serviço",0,ROUND(SUMIF($F$9:$P$9,"&lt;&gt;",$F48:$P48),15-13*PO!$X$3))</f>
        <v>1.62</v>
      </c>
      <c r="F48" s="215">
        <f ca="1">OFFSET(PO!$P$12,ROW($E48)-ROW(F$12),0)</f>
        <v>1.62</v>
      </c>
      <c r="G48" s="215"/>
      <c r="H48" s="215"/>
      <c r="I48" s="215"/>
      <c r="J48" s="215"/>
      <c r="K48" s="215"/>
      <c r="L48" s="215"/>
      <c r="M48" s="215"/>
      <c r="N48" s="215"/>
      <c r="O48" s="215"/>
      <c r="U48" s="215"/>
    </row>
    <row r="49" spans="1:21" s="4" customFormat="1" ht="25.5" x14ac:dyDescent="0.2">
      <c r="A49" s="128" t="str">
        <f ca="1">OFFSET(PO!J$12,ROW(A49)-ROW($A$12),0)</f>
        <v>Serviço</v>
      </c>
      <c r="B49" s="130" t="str">
        <f ca="1">IF($A49=0,"",OFFSET(PO!K$12,ROW(B49)-ROW(B$12),0))</f>
        <v>1.7.0.4.</v>
      </c>
      <c r="C49" s="127" t="str">
        <f ca="1">IF(OFFSET(PO!N$12,ROW(C49)-ROW(C$12),0)=0,"",OFFSET(PO!N$12,ROW(C49)-ROW(C$12),0))</f>
        <v>CONTRAVERGA MOLDADA IN LOCO EM CONCRETO PARA VÃOS DE MAIS DE 1,5 M DE COMPRIMENTO. AF_03/2016</v>
      </c>
      <c r="D49" s="129" t="str">
        <f ca="1">IF(OFFSET(PO!O$12,ROW(D49)-ROW(D$12),0)=0,"",OFFSET(PO!O$12,ROW(D49)-ROW(D$12),0))</f>
        <v>M</v>
      </c>
      <c r="E49" s="165">
        <f ca="1">IF($A49&lt;&gt;"Serviço",0,ROUND(SUMIF($F$9:$P$9,"&lt;&gt;",$F49:$P49),15-13*PO!$X$3))</f>
        <v>56.16</v>
      </c>
      <c r="F49" s="215">
        <f ca="1">OFFSET(PO!$P$12,ROW($E49)-ROW(F$12),0)</f>
        <v>56.16</v>
      </c>
      <c r="G49" s="215"/>
      <c r="H49" s="215"/>
      <c r="I49" s="215"/>
      <c r="J49" s="215"/>
      <c r="K49" s="215"/>
      <c r="L49" s="215"/>
      <c r="M49" s="215"/>
      <c r="N49" s="215"/>
      <c r="O49" s="215"/>
      <c r="U49" s="215"/>
    </row>
    <row r="50" spans="1:21" s="4" customFormat="1" ht="25.5" x14ac:dyDescent="0.2">
      <c r="A50" s="128" t="str">
        <f ca="1">OFFSET(PO!J$12,ROW(A50)-ROW($A$12),0)</f>
        <v>Serviço</v>
      </c>
      <c r="B50" s="130" t="str">
        <f ca="1">IF($A50=0,"",OFFSET(PO!K$12,ROW(B50)-ROW(B$12),0))</f>
        <v>1.7.0.5.</v>
      </c>
      <c r="C50" s="127" t="str">
        <f ca="1">IF(OFFSET(PO!N$12,ROW(C50)-ROW(C$12),0)=0,"",OFFSET(PO!N$12,ROW(C50)-ROW(C$12),0))</f>
        <v>VERGA MOLDADA IN LOCO EM CONCRETO PARA JANELAS COM MAIS DE 1,5 M DE VÃO. AF_03/2016</v>
      </c>
      <c r="D50" s="129" t="str">
        <f ca="1">IF(OFFSET(PO!O$12,ROW(D50)-ROW(D$12),0)=0,"",OFFSET(PO!O$12,ROW(D50)-ROW(D$12),0))</f>
        <v>M</v>
      </c>
      <c r="E50" s="165">
        <f ca="1">IF($A50&lt;&gt;"Serviço",0,ROUND(SUMIF($F$9:$P$9,"&lt;&gt;",$F50:$P50),15-13*PO!$X$3))</f>
        <v>24.12</v>
      </c>
      <c r="F50" s="215">
        <f ca="1">OFFSET(PO!$P$12,ROW($E50)-ROW(F$12),0)</f>
        <v>24.12</v>
      </c>
      <c r="G50" s="215"/>
      <c r="H50" s="215"/>
      <c r="I50" s="215"/>
      <c r="J50" s="215"/>
      <c r="K50" s="215"/>
      <c r="L50" s="215"/>
      <c r="M50" s="215"/>
      <c r="N50" s="215"/>
      <c r="O50" s="215"/>
      <c r="U50" s="215"/>
    </row>
    <row r="51" spans="1:21" s="4" customFormat="1" x14ac:dyDescent="0.2">
      <c r="A51" s="128" t="str">
        <f ca="1">OFFSET(PO!J$12,ROW(A51)-ROW($A$12),0)</f>
        <v>Nível 2</v>
      </c>
      <c r="B51" s="130" t="str">
        <f ca="1">IF($A51=0,"",OFFSET(PO!K$12,ROW(B51)-ROW(B$12),0))</f>
        <v>1.8.</v>
      </c>
      <c r="C51" s="127" t="str">
        <f ca="1">IF(OFFSET(PO!N$12,ROW(C51)-ROW(C$12),0)=0,"",OFFSET(PO!N$12,ROW(C51)-ROW(C$12),0))</f>
        <v>SISTEMA DE COBERTURA</v>
      </c>
      <c r="D51" s="129" t="str">
        <f ca="1">IF(OFFSET(PO!O$12,ROW(D51)-ROW(D$12),0)=0,"",OFFSET(PO!O$12,ROW(D51)-ROW(D$12),0))</f>
        <v/>
      </c>
      <c r="E51" s="165">
        <f ca="1">IF($A51&lt;&gt;"Serviço",0,ROUND(SUMIF($F$9:$P$9,"&lt;&gt;",$F51:$P51),15-13*PO!$X$3))</f>
        <v>0</v>
      </c>
      <c r="F51" s="215">
        <f ca="1">OFFSET(PO!$P$12,ROW($E51)-ROW(F$12),0)</f>
        <v>0</v>
      </c>
      <c r="G51" s="215"/>
      <c r="H51" s="215"/>
      <c r="I51" s="215"/>
      <c r="J51" s="215"/>
      <c r="K51" s="215"/>
      <c r="L51" s="215"/>
      <c r="M51" s="215"/>
      <c r="N51" s="215"/>
      <c r="O51" s="215"/>
      <c r="U51" s="215"/>
    </row>
    <row r="52" spans="1:21" s="4" customFormat="1" x14ac:dyDescent="0.2">
      <c r="A52" s="128" t="str">
        <f ca="1">OFFSET(PO!J$12,ROW(A52)-ROW($A$12),0)</f>
        <v>Nível 3</v>
      </c>
      <c r="B52" s="130" t="str">
        <f ca="1">IF($A52=0,"",OFFSET(PO!K$12,ROW(B52)-ROW(B$12),0))</f>
        <v>1.8.1.</v>
      </c>
      <c r="C52" s="127" t="str">
        <f ca="1">IF(OFFSET(PO!N$12,ROW(C52)-ROW(C$12),0)=0,"",OFFSET(PO!N$12,ROW(C52)-ROW(C$12),0))</f>
        <v>COBERTURA</v>
      </c>
      <c r="D52" s="129" t="str">
        <f ca="1">IF(OFFSET(PO!O$12,ROW(D52)-ROW(D$12),0)=0,"",OFFSET(PO!O$12,ROW(D52)-ROW(D$12),0))</f>
        <v/>
      </c>
      <c r="E52" s="165">
        <f ca="1">IF($A52&lt;&gt;"Serviço",0,ROUND(SUMIF($F$9:$P$9,"&lt;&gt;",$F52:$P52),15-13*PO!$X$3))</f>
        <v>0</v>
      </c>
      <c r="F52" s="215">
        <f ca="1">OFFSET(PO!$P$12,ROW($E52)-ROW(F$12),0)</f>
        <v>0</v>
      </c>
      <c r="G52" s="215"/>
      <c r="H52" s="215"/>
      <c r="I52" s="215"/>
      <c r="J52" s="215"/>
      <c r="K52" s="215"/>
      <c r="L52" s="215"/>
      <c r="M52" s="215"/>
      <c r="N52" s="215"/>
      <c r="O52" s="215"/>
      <c r="U52" s="215"/>
    </row>
    <row r="53" spans="1:21" s="4" customFormat="1" ht="51" x14ac:dyDescent="0.2">
      <c r="A53" s="128" t="str">
        <f ca="1">OFFSET(PO!J$12,ROW(A53)-ROW($A$12),0)</f>
        <v>Serviço</v>
      </c>
      <c r="B53" s="130" t="str">
        <f ca="1">IF($A53=0,"",OFFSET(PO!K$12,ROW(B53)-ROW(B$12),0))</f>
        <v>1.8.1.1.</v>
      </c>
      <c r="C53" s="127" t="str">
        <f ca="1">IF(OFFSET(PO!N$12,ROW(C53)-ROW(C$12),0)=0,"",OFFSET(PO!N$12,ROW(C53)-ROW(C$12),0))</f>
        <v>FABRICAÇÃO E INSTALAÇÃO DE TESOURA INTEIRA EM AÇO, VÃO DE 9 M, PARA TELHA ONDULADA DE FIBROCIMENTO, METÁLICA, PLÁSTICA OU TERMOACÚSTICA, INCLUSO IÇAMENTO. AF_12/2015</v>
      </c>
      <c r="D53" s="129" t="str">
        <f ca="1">IF(OFFSET(PO!O$12,ROW(D53)-ROW(D$12),0)=0,"",OFFSET(PO!O$12,ROW(D53)-ROW(D$12),0))</f>
        <v>UN</v>
      </c>
      <c r="E53" s="165">
        <f ca="1">IF($A53&lt;&gt;"Serviço",0,ROUND(SUMIF($F$9:$P$9,"&lt;&gt;",$F53:$P53),15-13*PO!$X$3))</f>
        <v>8</v>
      </c>
      <c r="F53" s="215">
        <f ca="1">OFFSET(PO!$P$12,ROW($E53)-ROW(F$12),0)</f>
        <v>8</v>
      </c>
      <c r="G53" s="215"/>
      <c r="H53" s="215"/>
      <c r="I53" s="215"/>
      <c r="J53" s="215"/>
      <c r="K53" s="215"/>
      <c r="L53" s="215"/>
      <c r="M53" s="215"/>
      <c r="N53" s="215"/>
      <c r="O53" s="215"/>
      <c r="U53" s="215"/>
    </row>
    <row r="54" spans="1:21" s="4" customFormat="1" ht="51" x14ac:dyDescent="0.2">
      <c r="A54" s="128" t="str">
        <f ca="1">OFFSET(PO!J$12,ROW(A54)-ROW($A$12),0)</f>
        <v>Serviço</v>
      </c>
      <c r="B54" s="130" t="str">
        <f ca="1">IF($A54=0,"",OFFSET(PO!K$12,ROW(B54)-ROW(B$12),0))</f>
        <v>1.8.1.2.</v>
      </c>
      <c r="C54" s="127" t="str">
        <f ca="1">IF(OFFSET(PO!N$12,ROW(C54)-ROW(C$12),0)=0,"",OFFSET(PO!N$12,ROW(C54)-ROW(C$12),0))</f>
        <v>TRAMA DE AÇO COMPOSTA POR TERÇAS PARA TELHADOS DE ATÉ 2 ÁGUAS PARA TELHA ONDULADA DE FIBROCIMENTO, METÁLICA, PLÁSTICA OU TERMOACÚSTICA, INCLUSO TRANSPORTE VERTICAL. AF_07/2019</v>
      </c>
      <c r="D54" s="129" t="str">
        <f ca="1">IF(OFFSET(PO!O$12,ROW(D54)-ROW(D$12),0)=0,"",OFFSET(PO!O$12,ROW(D54)-ROW(D$12),0))</f>
        <v>M2</v>
      </c>
      <c r="E54" s="165">
        <f ca="1">IF($A54&lt;&gt;"Serviço",0,ROUND(SUMIF($F$9:$P$9,"&lt;&gt;",$F54:$P54),15-13*PO!$X$3))</f>
        <v>257.08</v>
      </c>
      <c r="F54" s="215">
        <f ca="1">OFFSET(PO!$P$12,ROW($E54)-ROW(F$12),0)</f>
        <v>257.08</v>
      </c>
      <c r="G54" s="215"/>
      <c r="H54" s="215"/>
      <c r="I54" s="215"/>
      <c r="J54" s="215"/>
      <c r="K54" s="215"/>
      <c r="L54" s="215"/>
      <c r="M54" s="215"/>
      <c r="N54" s="215"/>
      <c r="O54" s="215"/>
      <c r="U54" s="215"/>
    </row>
    <row r="55" spans="1:21" s="4" customFormat="1" ht="25.5" x14ac:dyDescent="0.2">
      <c r="A55" s="128" t="str">
        <f ca="1">OFFSET(PO!J$12,ROW(A55)-ROW($A$12),0)</f>
        <v>Serviço</v>
      </c>
      <c r="B55" s="130" t="str">
        <f ca="1">IF($A55=0,"",OFFSET(PO!K$12,ROW(B55)-ROW(B$12),0))</f>
        <v>1.8.1.3.</v>
      </c>
      <c r="C55" s="127" t="str">
        <f ca="1">IF(OFFSET(PO!N$12,ROW(C55)-ROW(C$12),0)=0,"",OFFSET(PO!N$12,ROW(C55)-ROW(C$12),0))</f>
        <v>TELHAMENTO COM TELHA DE AÇO/ALUMÍNIO E = 0,5 MM, COM ATÉ 2 ÁGUAS, INCLUSO IÇAMENTO. AF_07/2019</v>
      </c>
      <c r="D55" s="129" t="str">
        <f ca="1">IF(OFFSET(PO!O$12,ROW(D55)-ROW(D$12),0)=0,"",OFFSET(PO!O$12,ROW(D55)-ROW(D$12),0))</f>
        <v>M2</v>
      </c>
      <c r="E55" s="165">
        <f ca="1">IF($A55&lt;&gt;"Serviço",0,ROUND(SUMIF($F$9:$P$9,"&lt;&gt;",$F55:$P55),15-13*PO!$X$3))</f>
        <v>257.08</v>
      </c>
      <c r="F55" s="215">
        <f ca="1">OFFSET(PO!$P$12,ROW($E55)-ROW(F$12),0)</f>
        <v>257.08</v>
      </c>
      <c r="G55" s="215"/>
      <c r="H55" s="215"/>
      <c r="I55" s="215"/>
      <c r="J55" s="215"/>
      <c r="K55" s="215"/>
      <c r="L55" s="215"/>
      <c r="M55" s="215"/>
      <c r="N55" s="215"/>
      <c r="O55" s="215"/>
      <c r="U55" s="215"/>
    </row>
    <row r="56" spans="1:21" s="4" customFormat="1" x14ac:dyDescent="0.2">
      <c r="A56" s="128" t="str">
        <f ca="1">OFFSET(PO!J$12,ROW(A56)-ROW($A$12),0)</f>
        <v>Nível 3</v>
      </c>
      <c r="B56" s="130" t="str">
        <f ca="1">IF($A56=0,"",OFFSET(PO!K$12,ROW(B56)-ROW(B$12),0))</f>
        <v>1.8.2.</v>
      </c>
      <c r="C56" s="127" t="str">
        <f ca="1">IF(OFFSET(PO!N$12,ROW(C56)-ROW(C$12),0)=0,"",OFFSET(PO!N$12,ROW(C56)-ROW(C$12),0))</f>
        <v>PLUVIAL</v>
      </c>
      <c r="D56" s="129" t="str">
        <f ca="1">IF(OFFSET(PO!O$12,ROW(D56)-ROW(D$12),0)=0,"",OFFSET(PO!O$12,ROW(D56)-ROW(D$12),0))</f>
        <v/>
      </c>
      <c r="E56" s="165">
        <f ca="1">IF($A56&lt;&gt;"Serviço",0,ROUND(SUMIF($F$9:$P$9,"&lt;&gt;",$F56:$P56),15-13*PO!$X$3))</f>
        <v>0</v>
      </c>
      <c r="F56" s="215">
        <f ca="1">OFFSET(PO!$P$12,ROW($E56)-ROW(F$12),0)</f>
        <v>0</v>
      </c>
      <c r="G56" s="215"/>
      <c r="H56" s="215"/>
      <c r="I56" s="215"/>
      <c r="J56" s="215"/>
      <c r="K56" s="215"/>
      <c r="L56" s="215"/>
      <c r="M56" s="215"/>
      <c r="N56" s="215"/>
      <c r="O56" s="215"/>
      <c r="U56" s="215"/>
    </row>
    <row r="57" spans="1:21" s="4" customFormat="1" ht="38.25" x14ac:dyDescent="0.2">
      <c r="A57" s="128" t="str">
        <f ca="1">OFFSET(PO!J$12,ROW(A57)-ROW($A$12),0)</f>
        <v>Serviço</v>
      </c>
      <c r="B57" s="130" t="str">
        <f ca="1">IF($A57=0,"",OFFSET(PO!K$12,ROW(B57)-ROW(B$12),0))</f>
        <v>1.8.2.1.</v>
      </c>
      <c r="C57" s="127" t="str">
        <f ca="1">IF(OFFSET(PO!N$12,ROW(C57)-ROW(C$12),0)=0,"",OFFSET(PO!N$12,ROW(C57)-ROW(C$12),0))</f>
        <v>CALHA EM CHAPA DE AÇO GALVANIZADO NÚMERO 24, DESENVOLVIMENTO DE 33 CM, INCLUSO TRANSPORTE VERTICAL. AF_07/2019</v>
      </c>
      <c r="D57" s="129" t="str">
        <f ca="1">IF(OFFSET(PO!O$12,ROW(D57)-ROW(D$12),0)=0,"",OFFSET(PO!O$12,ROW(D57)-ROW(D$12),0))</f>
        <v>M</v>
      </c>
      <c r="E57" s="165">
        <f ca="1">IF($A57&lt;&gt;"Serviço",0,ROUND(SUMIF($F$9:$P$9,"&lt;&gt;",$F57:$P57),15-13*PO!$X$3))</f>
        <v>26.1</v>
      </c>
      <c r="F57" s="215">
        <f ca="1">OFFSET(PO!$P$12,ROW($E57)-ROW(F$12),0)</f>
        <v>26.1</v>
      </c>
      <c r="G57" s="215"/>
      <c r="H57" s="215"/>
      <c r="I57" s="215"/>
      <c r="J57" s="215"/>
      <c r="K57" s="215"/>
      <c r="L57" s="215"/>
      <c r="M57" s="215"/>
      <c r="N57" s="215"/>
      <c r="O57" s="215"/>
      <c r="U57" s="215"/>
    </row>
    <row r="58" spans="1:21" s="4" customFormat="1" ht="38.25" x14ac:dyDescent="0.2">
      <c r="A58" s="128" t="str">
        <f ca="1">OFFSET(PO!J$12,ROW(A58)-ROW($A$12),0)</f>
        <v>Serviço</v>
      </c>
      <c r="B58" s="130" t="str">
        <f ca="1">IF($A58=0,"",OFFSET(PO!K$12,ROW(B58)-ROW(B$12),0))</f>
        <v>1.8.2.2.</v>
      </c>
      <c r="C58" s="127" t="str">
        <f ca="1">IF(OFFSET(PO!N$12,ROW(C58)-ROW(C$12),0)=0,"",OFFSET(PO!N$12,ROW(C58)-ROW(C$12),0))</f>
        <v>TUBO PVC, SÉRIE R, ÁGUA PLUVIAL, DN 100 MM, FORNECIDO E INSTALADO EM CONDUTORES VERTICAIS DE ÁGUAS PLUVIAIS. AF_06/2022</v>
      </c>
      <c r="D58" s="129" t="str">
        <f ca="1">IF(OFFSET(PO!O$12,ROW(D58)-ROW(D$12),0)=0,"",OFFSET(PO!O$12,ROW(D58)-ROW(D$12),0))</f>
        <v>M</v>
      </c>
      <c r="E58" s="165">
        <f ca="1">IF($A58&lt;&gt;"Serviço",0,ROUND(SUMIF($F$9:$P$9,"&lt;&gt;",$F58:$P58),15-13*PO!$X$3))</f>
        <v>20</v>
      </c>
      <c r="F58" s="215">
        <f ca="1">OFFSET(PO!$P$12,ROW($E58)-ROW(F$12),0)</f>
        <v>20</v>
      </c>
      <c r="G58" s="215"/>
      <c r="H58" s="215"/>
      <c r="I58" s="215"/>
      <c r="J58" s="215"/>
      <c r="K58" s="215"/>
      <c r="L58" s="215"/>
      <c r="M58" s="215"/>
      <c r="N58" s="215"/>
      <c r="O58" s="215"/>
      <c r="U58" s="215"/>
    </row>
    <row r="59" spans="1:21" s="4" customFormat="1" ht="25.5" x14ac:dyDescent="0.2">
      <c r="A59" s="128" t="str">
        <f ca="1">OFFSET(PO!J$12,ROW(A59)-ROW($A$12),0)</f>
        <v>Serviço</v>
      </c>
      <c r="B59" s="130" t="str">
        <f ca="1">IF($A59=0,"",OFFSET(PO!K$12,ROW(B59)-ROW(B$12),0))</f>
        <v>1.8.2.3.</v>
      </c>
      <c r="C59" s="127" t="str">
        <f ca="1">IF(OFFSET(PO!N$12,ROW(C59)-ROW(C$12),0)=0,"",OFFSET(PO!N$12,ROW(C59)-ROW(C$12),0))</f>
        <v>TUBO PVC, SÉRIE R, ÁGUA PLUVIAL, DN 150 MM, FORNECIDO E INSTALADO EM RAMAL DE ENCAMINHAMENTO. AF_06/2022</v>
      </c>
      <c r="D59" s="129" t="str">
        <f ca="1">IF(OFFSET(PO!O$12,ROW(D59)-ROW(D$12),0)=0,"",OFFSET(PO!O$12,ROW(D59)-ROW(D$12),0))</f>
        <v>M</v>
      </c>
      <c r="E59" s="165">
        <f ca="1">IF($A59&lt;&gt;"Serviço",0,ROUND(SUMIF($F$9:$P$9,"&lt;&gt;",$F59:$P59),15-13*PO!$X$3))</f>
        <v>30</v>
      </c>
      <c r="F59" s="215">
        <f ca="1">OFFSET(PO!$P$12,ROW($E59)-ROW(F$12),0)</f>
        <v>30</v>
      </c>
      <c r="G59" s="215"/>
      <c r="H59" s="215"/>
      <c r="I59" s="215"/>
      <c r="J59" s="215"/>
      <c r="K59" s="215"/>
      <c r="L59" s="215"/>
      <c r="M59" s="215"/>
      <c r="N59" s="215"/>
      <c r="O59" s="215"/>
      <c r="U59" s="215"/>
    </row>
    <row r="60" spans="1:21" s="4" customFormat="1" x14ac:dyDescent="0.2">
      <c r="A60" s="128" t="str">
        <f ca="1">OFFSET(PO!J$12,ROW(A60)-ROW($A$12),0)</f>
        <v>Nível 2</v>
      </c>
      <c r="B60" s="130" t="str">
        <f ca="1">IF($A60=0,"",OFFSET(PO!K$12,ROW(B60)-ROW(B$12),0))</f>
        <v>1.9.</v>
      </c>
      <c r="C60" s="127" t="str">
        <f ca="1">IF(OFFSET(PO!N$12,ROW(C60)-ROW(C$12),0)=0,"",OFFSET(PO!N$12,ROW(C60)-ROW(C$12),0))</f>
        <v>PAVIMENTAÇÃO</v>
      </c>
      <c r="D60" s="129" t="str">
        <f ca="1">IF(OFFSET(PO!O$12,ROW(D60)-ROW(D$12),0)=0,"",OFFSET(PO!O$12,ROW(D60)-ROW(D$12),0))</f>
        <v/>
      </c>
      <c r="E60" s="165">
        <f ca="1">IF($A60&lt;&gt;"Serviço",0,ROUND(SUMIF($F$9:$P$9,"&lt;&gt;",$F60:$P60),15-13*PO!$X$3))</f>
        <v>0</v>
      </c>
      <c r="F60" s="215">
        <f ca="1">OFFSET(PO!$P$12,ROW($E60)-ROW(F$12),0)</f>
        <v>0</v>
      </c>
      <c r="G60" s="215"/>
      <c r="H60" s="215"/>
      <c r="I60" s="215"/>
      <c r="J60" s="215"/>
      <c r="K60" s="215"/>
      <c r="L60" s="215"/>
      <c r="M60" s="215"/>
      <c r="N60" s="215"/>
      <c r="O60" s="215"/>
      <c r="U60" s="215"/>
    </row>
    <row r="61" spans="1:21" s="4" customFormat="1" x14ac:dyDescent="0.2">
      <c r="A61" s="128" t="str">
        <f ca="1">OFFSET(PO!J$12,ROW(A61)-ROW($A$12),0)</f>
        <v>Nível 3</v>
      </c>
      <c r="B61" s="130" t="str">
        <f ca="1">IF($A61=0,"",OFFSET(PO!K$12,ROW(B61)-ROW(B$12),0))</f>
        <v>1.9.1.</v>
      </c>
      <c r="C61" s="127" t="str">
        <f ca="1">IF(OFFSET(PO!N$12,ROW(C61)-ROW(C$12),0)=0,"",OFFSET(PO!N$12,ROW(C61)-ROW(C$12),0))</f>
        <v>PISO QUADRA</v>
      </c>
      <c r="D61" s="129" t="str">
        <f ca="1">IF(OFFSET(PO!O$12,ROW(D61)-ROW(D$12),0)=0,"",OFFSET(PO!O$12,ROW(D61)-ROW(D$12),0))</f>
        <v/>
      </c>
      <c r="E61" s="165">
        <f ca="1">IF($A61&lt;&gt;"Serviço",0,ROUND(SUMIF($F$9:$P$9,"&lt;&gt;",$F61:$P61),15-13*PO!$X$3))</f>
        <v>0</v>
      </c>
      <c r="F61" s="215">
        <f ca="1">OFFSET(PO!$P$12,ROW($E61)-ROW(F$12),0)</f>
        <v>0</v>
      </c>
      <c r="G61" s="215"/>
      <c r="H61" s="215"/>
      <c r="I61" s="215"/>
      <c r="J61" s="215"/>
      <c r="K61" s="215"/>
      <c r="L61" s="215"/>
      <c r="M61" s="215"/>
      <c r="N61" s="215"/>
      <c r="O61" s="215"/>
      <c r="U61" s="215"/>
    </row>
    <row r="62" spans="1:21" s="4" customFormat="1" ht="38.25" x14ac:dyDescent="0.2">
      <c r="A62" s="128" t="str">
        <f ca="1">OFFSET(PO!J$12,ROW(A62)-ROW($A$12),0)</f>
        <v>Serviço</v>
      </c>
      <c r="B62" s="130" t="str">
        <f ca="1">IF($A62=0,"",OFFSET(PO!K$12,ROW(B62)-ROW(B$12),0))</f>
        <v>1.9.1.1.</v>
      </c>
      <c r="C62" s="127" t="str">
        <f ca="1">IF(OFFSET(PO!N$12,ROW(C62)-ROW(C$12),0)=0,"",OFFSET(PO!N$12,ROW(C62)-ROW(C$12),0))</f>
        <v>CORREÇÃO DE TRINCAS COM ADESIVO ESTRUTURAL A BASE DE EPOXI COM ABERTURA DAS TRINCAS CORTADOR A GASOLINA</v>
      </c>
      <c r="D62" s="129" t="str">
        <f ca="1">IF(OFFSET(PO!O$12,ROW(D62)-ROW(D$12),0)=0,"",OFFSET(PO!O$12,ROW(D62)-ROW(D$12),0))</f>
        <v>M</v>
      </c>
      <c r="E62" s="165">
        <f ca="1">IF($A62&lt;&gt;"Serviço",0,ROUND(SUMIF($F$9:$P$9,"&lt;&gt;",$F62:$P62),15-13*PO!$X$3))</f>
        <v>208.4</v>
      </c>
      <c r="F62" s="215">
        <f ca="1">OFFSET(PO!$P$12,ROW($E62)-ROW(F$12),0)</f>
        <v>208.4</v>
      </c>
      <c r="G62" s="215"/>
      <c r="H62" s="215"/>
      <c r="I62" s="215"/>
      <c r="J62" s="215"/>
      <c r="K62" s="215"/>
      <c r="L62" s="215"/>
      <c r="M62" s="215"/>
      <c r="N62" s="215"/>
      <c r="O62" s="215"/>
      <c r="U62" s="215"/>
    </row>
    <row r="63" spans="1:21" s="4" customFormat="1" x14ac:dyDescent="0.2">
      <c r="A63" s="128" t="str">
        <f ca="1">OFFSET(PO!J$12,ROW(A63)-ROW($A$12),0)</f>
        <v>Nível 3</v>
      </c>
      <c r="B63" s="130" t="str">
        <f ca="1">IF($A63=0,"",OFFSET(PO!K$12,ROW(B63)-ROW(B$12),0))</f>
        <v>1.9.2.</v>
      </c>
      <c r="C63" s="127" t="str">
        <f ca="1">IF(OFFSET(PO!N$12,ROW(C63)-ROW(C$12),0)=0,"",OFFSET(PO!N$12,ROW(C63)-ROW(C$12),0))</f>
        <v>PISO CANCHA</v>
      </c>
      <c r="D63" s="129" t="str">
        <f ca="1">IF(OFFSET(PO!O$12,ROW(D63)-ROW(D$12),0)=0,"",OFFSET(PO!O$12,ROW(D63)-ROW(D$12),0))</f>
        <v/>
      </c>
      <c r="E63" s="165">
        <f ca="1">IF($A63&lt;&gt;"Serviço",0,ROUND(SUMIF($F$9:$P$9,"&lt;&gt;",$F63:$P63),15-13*PO!$X$3))</f>
        <v>0</v>
      </c>
      <c r="F63" s="215">
        <f ca="1">OFFSET(PO!$P$12,ROW($E63)-ROW(F$12),0)</f>
        <v>0</v>
      </c>
      <c r="G63" s="215"/>
      <c r="H63" s="215"/>
      <c r="I63" s="215"/>
      <c r="J63" s="215"/>
      <c r="K63" s="215"/>
      <c r="L63" s="215"/>
      <c r="M63" s="215"/>
      <c r="N63" s="215"/>
      <c r="O63" s="215"/>
      <c r="U63" s="215"/>
    </row>
    <row r="64" spans="1:21" s="4" customFormat="1" ht="25.5" x14ac:dyDescent="0.2">
      <c r="A64" s="128" t="str">
        <f ca="1">OFFSET(PO!J$12,ROW(A64)-ROW($A$12),0)</f>
        <v>Serviço</v>
      </c>
      <c r="B64" s="130" t="str">
        <f ca="1">IF($A64=0,"",OFFSET(PO!K$12,ROW(B64)-ROW(B$12),0))</f>
        <v>1.9.2.1.</v>
      </c>
      <c r="C64" s="127" t="str">
        <f ca="1">IF(OFFSET(PO!N$12,ROW(C64)-ROW(C$12),0)=0,"",OFFSET(PO!N$12,ROW(C64)-ROW(C$12),0))</f>
        <v>DEMOLIÇÃO DE REVESTIMENTO CERÂMICO, DE FORMA MANUAL, SEM REAPROVEITAMENTO. AF_09/2023</v>
      </c>
      <c r="D64" s="129" t="str">
        <f ca="1">IF(OFFSET(PO!O$12,ROW(D64)-ROW(D$12),0)=0,"",OFFSET(PO!O$12,ROW(D64)-ROW(D$12),0))</f>
        <v>M2</v>
      </c>
      <c r="E64" s="165">
        <f ca="1">IF($A64&lt;&gt;"Serviço",0,ROUND(SUMIF($F$9:$P$9,"&lt;&gt;",$F64:$P64),15-13*PO!$X$3))</f>
        <v>42</v>
      </c>
      <c r="F64" s="215">
        <f ca="1">OFFSET(PO!$P$12,ROW($E64)-ROW(F$12),0)</f>
        <v>42</v>
      </c>
      <c r="G64" s="215"/>
      <c r="H64" s="215"/>
      <c r="I64" s="215"/>
      <c r="J64" s="215"/>
      <c r="K64" s="215"/>
      <c r="L64" s="215"/>
      <c r="M64" s="215"/>
      <c r="N64" s="215"/>
      <c r="O64" s="215"/>
      <c r="U64" s="215"/>
    </row>
    <row r="65" spans="1:21" s="4" customFormat="1" ht="51" x14ac:dyDescent="0.2">
      <c r="A65" s="128" t="str">
        <f ca="1">OFFSET(PO!J$12,ROW(A65)-ROW($A$12),0)</f>
        <v>Serviço</v>
      </c>
      <c r="B65" s="130" t="str">
        <f ca="1">IF($A65=0,"",OFFSET(PO!K$12,ROW(B65)-ROW(B$12),0))</f>
        <v>1.9.2.2.</v>
      </c>
      <c r="C65" s="127" t="str">
        <f ca="1">IF(OFFSET(PO!N$12,ROW(C65)-ROW(C$12),0)=0,"",OFFSET(PO!N$12,ROW(C65)-ROW(C$12),0))</f>
        <v>CONTRAPISO EM ARGAMASSA TRAÇO 1:4 (CIMENTO E AREIA), PREPARO MECÂNICO COM BETONEIRA 400 L, APLICADO EM ÁREAS SECAS SOBRE LAJE, ADERIDO, ACABAMENTO NÃO REFORÇADO, ESPESSURA 3CM. AF_07/2021</v>
      </c>
      <c r="D65" s="129" t="str">
        <f ca="1">IF(OFFSET(PO!O$12,ROW(D65)-ROW(D$12),0)=0,"",OFFSET(PO!O$12,ROW(D65)-ROW(D$12),0))</f>
        <v>M2</v>
      </c>
      <c r="E65" s="165">
        <f ca="1">IF($A65&lt;&gt;"Serviço",0,ROUND(SUMIF($F$9:$P$9,"&lt;&gt;",$F65:$P65),15-13*PO!$X$3))</f>
        <v>56.49</v>
      </c>
      <c r="F65" s="215">
        <f ca="1">OFFSET(PO!$P$12,ROW($E65)-ROW(F$12),0)</f>
        <v>56.49</v>
      </c>
      <c r="G65" s="215"/>
      <c r="H65" s="215"/>
      <c r="I65" s="215"/>
      <c r="J65" s="215"/>
      <c r="K65" s="215"/>
      <c r="L65" s="215"/>
      <c r="M65" s="215"/>
      <c r="N65" s="215"/>
      <c r="O65" s="215"/>
      <c r="U65" s="215"/>
    </row>
    <row r="66" spans="1:21" s="4" customFormat="1" ht="38.25" x14ac:dyDescent="0.2">
      <c r="A66" s="128" t="str">
        <f ca="1">OFFSET(PO!J$12,ROW(A66)-ROW($A$12),0)</f>
        <v>Serviço</v>
      </c>
      <c r="B66" s="130" t="str">
        <f ca="1">IF($A66=0,"",OFFSET(PO!K$12,ROW(B66)-ROW(B$12),0))</f>
        <v>1.9.2.3.</v>
      </c>
      <c r="C66" s="127" t="str">
        <f ca="1">IF(OFFSET(PO!N$12,ROW(C66)-ROW(C$12),0)=0,"",OFFSET(PO!N$12,ROW(C66)-ROW(C$12),0))</f>
        <v>REVESTIMENTO CERÂMICO PARA PISO COM PLACAS TIPO ESMALTADA EXTRA DE DIMENSÕES 45X45 CM APLICADA EM AMBIENTES DE ÁREA MAIOR QUE 10 M2. AF_02/2023_PE</v>
      </c>
      <c r="D66" s="129" t="str">
        <f ca="1">IF(OFFSET(PO!O$12,ROW(D66)-ROW(D$12),0)=0,"",OFFSET(PO!O$12,ROW(D66)-ROW(D$12),0))</f>
        <v>M2</v>
      </c>
      <c r="E66" s="165">
        <f ca="1">IF($A66&lt;&gt;"Serviço",0,ROUND(SUMIF($F$9:$P$9,"&lt;&gt;",$F66:$P66),15-13*PO!$X$3))</f>
        <v>58.49</v>
      </c>
      <c r="F66" s="215">
        <f ca="1">OFFSET(PO!$P$12,ROW($E66)-ROW(F$12),0)</f>
        <v>58.49</v>
      </c>
      <c r="G66" s="215"/>
      <c r="H66" s="215"/>
      <c r="I66" s="215"/>
      <c r="J66" s="215"/>
      <c r="K66" s="215"/>
      <c r="L66" s="215"/>
      <c r="M66" s="215"/>
      <c r="N66" s="215"/>
      <c r="O66" s="215"/>
      <c r="U66" s="215"/>
    </row>
    <row r="67" spans="1:21" s="4" customFormat="1" ht="51" x14ac:dyDescent="0.2">
      <c r="A67" s="128" t="str">
        <f ca="1">OFFSET(PO!J$12,ROW(A67)-ROW($A$12),0)</f>
        <v>Serviço</v>
      </c>
      <c r="B67" s="130" t="str">
        <f ca="1">IF($A67=0,"",OFFSET(PO!K$12,ROW(B67)-ROW(B$12),0))</f>
        <v>1.9.2.4.</v>
      </c>
      <c r="C67" s="127" t="str">
        <f ca="1">IF(OFFSET(PO!N$12,ROW(C67)-ROW(C$12),0)=0,"",OFFSET(PO!N$12,ROW(C67)-ROW(C$12),0))</f>
        <v>EXECUÇÃO DE PASSEIO (CALÇADA) OU PISO DE CONCRETO COM CONCRETO MOLDADO IN LOCO, FEITO EM OBRA, ACABAMENTO CONVENCIONAL, ESPESSURA 8 CM, ARMADO. AF_08/2022</v>
      </c>
      <c r="D67" s="129" t="str">
        <f ca="1">IF(OFFSET(PO!O$12,ROW(D67)-ROW(D$12),0)=0,"",OFFSET(PO!O$12,ROW(D67)-ROW(D$12),0))</f>
        <v>M2</v>
      </c>
      <c r="E67" s="165">
        <f ca="1">IF($A67&lt;&gt;"Serviço",0,ROUND(SUMIF($F$9:$P$9,"&lt;&gt;",$F67:$P67),15-13*PO!$X$3))</f>
        <v>11.2</v>
      </c>
      <c r="F67" s="215">
        <f ca="1">OFFSET(PO!$P$12,ROW($E67)-ROW(F$12),0)</f>
        <v>11.2</v>
      </c>
      <c r="G67" s="215"/>
      <c r="H67" s="215"/>
      <c r="I67" s="215"/>
      <c r="J67" s="215"/>
      <c r="K67" s="215"/>
      <c r="L67" s="215"/>
      <c r="M67" s="215"/>
      <c r="N67" s="215"/>
      <c r="O67" s="215"/>
      <c r="U67" s="215"/>
    </row>
    <row r="68" spans="1:21" s="4" customFormat="1" x14ac:dyDescent="0.2">
      <c r="A68" s="128" t="str">
        <f ca="1">OFFSET(PO!J$12,ROW(A68)-ROW($A$12),0)</f>
        <v>Nível 2</v>
      </c>
      <c r="B68" s="130" t="str">
        <f ca="1">IF($A68=0,"",OFFSET(PO!K$12,ROW(B68)-ROW(B$12),0))</f>
        <v>1.10.</v>
      </c>
      <c r="C68" s="127" t="str">
        <f ca="1">IF(OFFSET(PO!N$12,ROW(C68)-ROW(C$12),0)=0,"",OFFSET(PO!N$12,ROW(C68)-ROW(C$12),0))</f>
        <v>ESQUADRIAS</v>
      </c>
      <c r="D68" s="129" t="str">
        <f ca="1">IF(OFFSET(PO!O$12,ROW(D68)-ROW(D$12),0)=0,"",OFFSET(PO!O$12,ROW(D68)-ROW(D$12),0))</f>
        <v/>
      </c>
      <c r="E68" s="165">
        <f ca="1">IF($A68&lt;&gt;"Serviço",0,ROUND(SUMIF($F$9:$P$9,"&lt;&gt;",$F68:$P68),15-13*PO!$X$3))</f>
        <v>0</v>
      </c>
      <c r="F68" s="215">
        <f ca="1">OFFSET(PO!$P$12,ROW($E68)-ROW(F$12),0)</f>
        <v>0</v>
      </c>
      <c r="G68" s="215"/>
      <c r="H68" s="215"/>
      <c r="I68" s="215"/>
      <c r="J68" s="215"/>
      <c r="K68" s="215"/>
      <c r="L68" s="215"/>
      <c r="M68" s="215"/>
      <c r="N68" s="215"/>
      <c r="O68" s="215"/>
      <c r="U68" s="215"/>
    </row>
    <row r="69" spans="1:21" s="4" customFormat="1" x14ac:dyDescent="0.2">
      <c r="A69" s="128" t="str">
        <f ca="1">OFFSET(PO!J$12,ROW(A69)-ROW($A$12),0)</f>
        <v>Nível 3</v>
      </c>
      <c r="B69" s="130" t="str">
        <f ca="1">IF($A69=0,"",OFFSET(PO!K$12,ROW(B69)-ROW(B$12),0))</f>
        <v>1.10.1.</v>
      </c>
      <c r="C69" s="127" t="str">
        <f ca="1">IF(OFFSET(PO!N$12,ROW(C69)-ROW(C$12),0)=0,"",OFFSET(PO!N$12,ROW(C69)-ROW(C$12),0))</f>
        <v>PORTAS</v>
      </c>
      <c r="D69" s="129" t="str">
        <f ca="1">IF(OFFSET(PO!O$12,ROW(D69)-ROW(D$12),0)=0,"",OFFSET(PO!O$12,ROW(D69)-ROW(D$12),0))</f>
        <v/>
      </c>
      <c r="E69" s="165">
        <f ca="1">IF($A69&lt;&gt;"Serviço",0,ROUND(SUMIF($F$9:$P$9,"&lt;&gt;",$F69:$P69),15-13*PO!$X$3))</f>
        <v>0</v>
      </c>
      <c r="F69" s="215">
        <f ca="1">OFFSET(PO!$P$12,ROW($E69)-ROW(F$12),0)</f>
        <v>0</v>
      </c>
      <c r="G69" s="215"/>
      <c r="H69" s="215"/>
      <c r="I69" s="215"/>
      <c r="J69" s="215"/>
      <c r="K69" s="215"/>
      <c r="L69" s="215"/>
      <c r="M69" s="215"/>
      <c r="N69" s="215"/>
      <c r="O69" s="215"/>
      <c r="U69" s="215"/>
    </row>
    <row r="70" spans="1:21" s="4" customFormat="1" ht="25.5" x14ac:dyDescent="0.2">
      <c r="A70" s="128" t="str">
        <f ca="1">OFFSET(PO!J$12,ROW(A70)-ROW($A$12),0)</f>
        <v>Serviço</v>
      </c>
      <c r="B70" s="130" t="str">
        <f ca="1">IF($A70=0,"",OFFSET(PO!K$12,ROW(B70)-ROW(B$12),0))</f>
        <v>1.10.1.1.</v>
      </c>
      <c r="C70" s="127" t="str">
        <f ca="1">IF(OFFSET(PO!N$12,ROW(C70)-ROW(C$12),0)=0,"",OFFSET(PO!N$12,ROW(C70)-ROW(C$12),0))</f>
        <v>PORTA DE FERRO, DE ABRIR, TIPO GRADE COM CHAPA, COM GUARNIÇÕES. AF_12/2019</v>
      </c>
      <c r="D70" s="129" t="str">
        <f ca="1">IF(OFFSET(PO!O$12,ROW(D70)-ROW(D$12),0)=0,"",OFFSET(PO!O$12,ROW(D70)-ROW(D$12),0))</f>
        <v>M2</v>
      </c>
      <c r="E70" s="165">
        <f ca="1">IF($A70&lt;&gt;"Serviço",0,ROUND(SUMIF($F$9:$P$9,"&lt;&gt;",$F70:$P70),15-13*PO!$X$3))</f>
        <v>30.76</v>
      </c>
      <c r="F70" s="215">
        <f ca="1">OFFSET(PO!$P$12,ROW($E70)-ROW(F$12),0)</f>
        <v>30.76</v>
      </c>
      <c r="G70" s="215"/>
      <c r="H70" s="215"/>
      <c r="I70" s="215"/>
      <c r="J70" s="215"/>
      <c r="K70" s="215"/>
      <c r="L70" s="215"/>
      <c r="M70" s="215"/>
      <c r="N70" s="215"/>
      <c r="O70" s="215"/>
      <c r="U70" s="215"/>
    </row>
    <row r="71" spans="1:21" s="4" customFormat="1" x14ac:dyDescent="0.2">
      <c r="A71" s="128" t="str">
        <f ca="1">OFFSET(PO!J$12,ROW(A71)-ROW($A$12),0)</f>
        <v>Nível 2</v>
      </c>
      <c r="B71" s="130" t="str">
        <f ca="1">IF($A71=0,"",OFFSET(PO!K$12,ROW(B71)-ROW(B$12),0))</f>
        <v>1.11.</v>
      </c>
      <c r="C71" s="127" t="str">
        <f ca="1">IF(OFFSET(PO!N$12,ROW(C71)-ROW(C$12),0)=0,"",OFFSET(PO!N$12,ROW(C71)-ROW(C$12),0))</f>
        <v>PINTURA</v>
      </c>
      <c r="D71" s="129" t="str">
        <f ca="1">IF(OFFSET(PO!O$12,ROW(D71)-ROW(D$12),0)=0,"",OFFSET(PO!O$12,ROW(D71)-ROW(D$12),0))</f>
        <v/>
      </c>
      <c r="E71" s="165">
        <f ca="1">IF($A71&lt;&gt;"Serviço",0,ROUND(SUMIF($F$9:$P$9,"&lt;&gt;",$F71:$P71),15-13*PO!$X$3))</f>
        <v>0</v>
      </c>
      <c r="F71" s="215">
        <f ca="1">OFFSET(PO!$P$12,ROW($E71)-ROW(F$12),0)</f>
        <v>0</v>
      </c>
      <c r="G71" s="215"/>
      <c r="H71" s="215"/>
      <c r="I71" s="215"/>
      <c r="J71" s="215"/>
      <c r="K71" s="215"/>
      <c r="L71" s="215"/>
      <c r="M71" s="215"/>
      <c r="N71" s="215"/>
      <c r="O71" s="215"/>
      <c r="U71" s="215"/>
    </row>
    <row r="72" spans="1:21" s="4" customFormat="1" x14ac:dyDescent="0.2">
      <c r="A72" s="128" t="str">
        <f ca="1">OFFSET(PO!J$12,ROW(A72)-ROW($A$12),0)</f>
        <v>Nível 3</v>
      </c>
      <c r="B72" s="130" t="str">
        <f ca="1">IF($A72=0,"",OFFSET(PO!K$12,ROW(B72)-ROW(B$12),0))</f>
        <v>1.11.1.</v>
      </c>
      <c r="C72" s="127" t="str">
        <f ca="1">IF(OFFSET(PO!N$12,ROW(C72)-ROW(C$12),0)=0,"",OFFSET(PO!N$12,ROW(C72)-ROW(C$12),0))</f>
        <v>PINTURA QUADRA</v>
      </c>
      <c r="D72" s="129" t="str">
        <f ca="1">IF(OFFSET(PO!O$12,ROW(D72)-ROW(D$12),0)=0,"",OFFSET(PO!O$12,ROW(D72)-ROW(D$12),0))</f>
        <v/>
      </c>
      <c r="E72" s="165">
        <f ca="1">IF($A72&lt;&gt;"Serviço",0,ROUND(SUMIF($F$9:$P$9,"&lt;&gt;",$F72:$P72),15-13*PO!$X$3))</f>
        <v>0</v>
      </c>
      <c r="F72" s="215">
        <f ca="1">OFFSET(PO!$P$12,ROW($E72)-ROW(F$12),0)</f>
        <v>0</v>
      </c>
      <c r="G72" s="215"/>
      <c r="H72" s="215"/>
      <c r="I72" s="215"/>
      <c r="J72" s="215"/>
      <c r="K72" s="215"/>
      <c r="L72" s="215"/>
      <c r="M72" s="215"/>
      <c r="N72" s="215"/>
      <c r="O72" s="215"/>
      <c r="U72" s="215"/>
    </row>
    <row r="73" spans="1:21" s="4" customFormat="1" ht="25.5" x14ac:dyDescent="0.2">
      <c r="A73" s="128" t="str">
        <f ca="1">OFFSET(PO!J$12,ROW(A73)-ROW($A$12),0)</f>
        <v>Serviço</v>
      </c>
      <c r="B73" s="130" t="str">
        <f ca="1">IF($A73=0,"",OFFSET(PO!K$12,ROW(B73)-ROW(B$12),0))</f>
        <v>1.11.1.1.</v>
      </c>
      <c r="C73" s="127" t="str">
        <f ca="1">IF(OFFSET(PO!N$12,ROW(C73)-ROW(C$12),0)=0,"",OFFSET(PO!N$12,ROW(C73)-ROW(C$12),0))</f>
        <v>PREPARO DO PISO CIMENTADO PARA PINTURA - LIXAMENTO E LIMPEZA. AF_05/2021</v>
      </c>
      <c r="D73" s="129" t="str">
        <f ca="1">IF(OFFSET(PO!O$12,ROW(D73)-ROW(D$12),0)=0,"",OFFSET(PO!O$12,ROW(D73)-ROW(D$12),0))</f>
        <v>M2</v>
      </c>
      <c r="E73" s="165">
        <f ca="1">IF($A73&lt;&gt;"Serviço",0,ROUND(SUMIF($F$9:$P$9,"&lt;&gt;",$F73:$P73),15-13*PO!$X$3))</f>
        <v>641.23</v>
      </c>
      <c r="F73" s="215">
        <f ca="1">OFFSET(PO!$P$12,ROW($E73)-ROW(F$12),0)</f>
        <v>641.23</v>
      </c>
      <c r="G73" s="215"/>
      <c r="H73" s="215"/>
      <c r="I73" s="215"/>
      <c r="J73" s="215"/>
      <c r="K73" s="215"/>
      <c r="L73" s="215"/>
      <c r="M73" s="215"/>
      <c r="N73" s="215"/>
      <c r="O73" s="215"/>
      <c r="U73" s="215"/>
    </row>
    <row r="74" spans="1:21" s="4" customFormat="1" ht="25.5" x14ac:dyDescent="0.2">
      <c r="A74" s="128" t="str">
        <f ca="1">OFFSET(PO!J$12,ROW(A74)-ROW($A$12),0)</f>
        <v>Serviço</v>
      </c>
      <c r="B74" s="130" t="str">
        <f ca="1">IF($A74=0,"",OFFSET(PO!K$12,ROW(B74)-ROW(B$12),0))</f>
        <v>1.11.1.2.</v>
      </c>
      <c r="C74" s="127" t="str">
        <f ca="1">IF(OFFSET(PO!N$12,ROW(C74)-ROW(C$12),0)=0,"",OFFSET(PO!N$12,ROW(C74)-ROW(C$12),0))</f>
        <v>PINTURA DE PISO COM TINTA EPÓXI, APLICAÇÃO MANUAL, 2 DEMÃOS, INCLUSO PRIMER EPÓXI. AF_05/2021</v>
      </c>
      <c r="D74" s="129" t="str">
        <f ca="1">IF(OFFSET(PO!O$12,ROW(D74)-ROW(D$12),0)=0,"",OFFSET(PO!O$12,ROW(D74)-ROW(D$12),0))</f>
        <v>M2</v>
      </c>
      <c r="E74" s="165">
        <f ca="1">IF($A74&lt;&gt;"Serviço",0,ROUND(SUMIF($F$9:$P$9,"&lt;&gt;",$F74:$P74),15-13*PO!$X$3))</f>
        <v>641.23</v>
      </c>
      <c r="F74" s="215">
        <f ca="1">OFFSET(PO!$P$12,ROW($E74)-ROW(F$12),0)</f>
        <v>641.23</v>
      </c>
      <c r="G74" s="215"/>
      <c r="H74" s="215"/>
      <c r="I74" s="215"/>
      <c r="J74" s="215"/>
      <c r="K74" s="215"/>
      <c r="L74" s="215"/>
      <c r="M74" s="215"/>
      <c r="N74" s="215"/>
      <c r="O74" s="215"/>
      <c r="U74" s="215"/>
    </row>
    <row r="75" spans="1:21" s="4" customFormat="1" ht="25.5" x14ac:dyDescent="0.2">
      <c r="A75" s="128" t="str">
        <f ca="1">OFFSET(PO!J$12,ROW(A75)-ROW($A$12),0)</f>
        <v>Serviço</v>
      </c>
      <c r="B75" s="130" t="str">
        <f ca="1">IF($A75=0,"",OFFSET(PO!K$12,ROW(B75)-ROW(B$12),0))</f>
        <v>1.11.1.3.</v>
      </c>
      <c r="C75" s="127" t="str">
        <f ca="1">IF(OFFSET(PO!N$12,ROW(C75)-ROW(C$12),0)=0,"",OFFSET(PO!N$12,ROW(C75)-ROW(C$12),0))</f>
        <v>PINTURA DE DEMARCAÇÃO DE QUADRA POLIESPORTIVA COM TINTA EPÓXI, E = 5 CM, APLICAÇÃO MANUAL. AF_05/2021</v>
      </c>
      <c r="D75" s="129" t="str">
        <f ca="1">IF(OFFSET(PO!O$12,ROW(D75)-ROW(D$12),0)=0,"",OFFSET(PO!O$12,ROW(D75)-ROW(D$12),0))</f>
        <v>M</v>
      </c>
      <c r="E75" s="165">
        <f ca="1">IF($A75&lt;&gt;"Serviço",0,ROUND(SUMIF($F$9:$P$9,"&lt;&gt;",$F75:$P75),15-13*PO!$X$3))</f>
        <v>297</v>
      </c>
      <c r="F75" s="215">
        <f ca="1">OFFSET(PO!$P$12,ROW($E75)-ROW(F$12),0)</f>
        <v>297</v>
      </c>
      <c r="G75" s="215"/>
      <c r="H75" s="215"/>
      <c r="I75" s="215"/>
      <c r="J75" s="215"/>
      <c r="K75" s="215"/>
      <c r="L75" s="215"/>
      <c r="M75" s="215"/>
      <c r="N75" s="215"/>
      <c r="O75" s="215"/>
      <c r="U75" s="215"/>
    </row>
    <row r="76" spans="1:21" s="4" customFormat="1" x14ac:dyDescent="0.2">
      <c r="A76" s="128" t="str">
        <f ca="1">OFFSET(PO!J$12,ROW(A76)-ROW($A$12),0)</f>
        <v>Nível 3</v>
      </c>
      <c r="B76" s="130" t="str">
        <f ca="1">IF($A76=0,"",OFFSET(PO!K$12,ROW(B76)-ROW(B$12),0))</f>
        <v>1.11.2.</v>
      </c>
      <c r="C76" s="127" t="str">
        <f ca="1">IF(OFFSET(PO!N$12,ROW(C76)-ROW(C$12),0)=0,"",OFFSET(PO!N$12,ROW(C76)-ROW(C$12),0))</f>
        <v>PINTURA ALVENARIA</v>
      </c>
      <c r="D76" s="129" t="str">
        <f ca="1">IF(OFFSET(PO!O$12,ROW(D76)-ROW(D$12),0)=0,"",OFFSET(PO!O$12,ROW(D76)-ROW(D$12),0))</f>
        <v/>
      </c>
      <c r="E76" s="165">
        <f ca="1">IF($A76&lt;&gt;"Serviço",0,ROUND(SUMIF($F$9:$P$9,"&lt;&gt;",$F76:$P76),15-13*PO!$X$3))</f>
        <v>0</v>
      </c>
      <c r="F76" s="215">
        <f ca="1">OFFSET(PO!$P$12,ROW($E76)-ROW(F$12),0)</f>
        <v>0</v>
      </c>
      <c r="G76" s="215"/>
      <c r="H76" s="215"/>
      <c r="I76" s="215"/>
      <c r="J76" s="215"/>
      <c r="K76" s="215"/>
      <c r="L76" s="215"/>
      <c r="M76" s="215"/>
      <c r="N76" s="215"/>
      <c r="O76" s="215"/>
      <c r="U76" s="215"/>
    </row>
    <row r="77" spans="1:21" s="4" customFormat="1" ht="25.5" x14ac:dyDescent="0.2">
      <c r="A77" s="128" t="str">
        <f ca="1">OFFSET(PO!J$12,ROW(A77)-ROW($A$12),0)</f>
        <v>Serviço</v>
      </c>
      <c r="B77" s="130" t="str">
        <f ca="1">IF($A77=0,"",OFFSET(PO!K$12,ROW(B77)-ROW(B$12),0))</f>
        <v>1.11.2.1.</v>
      </c>
      <c r="C77" s="127" t="str">
        <f ca="1">IF(OFFSET(PO!N$12,ROW(C77)-ROW(C$12),0)=0,"",OFFSET(PO!N$12,ROW(C77)-ROW(C$12),0))</f>
        <v>PINTURA LÁTEX ACRÍLICA PREMIUM, APLICAÇÃO MANUAL EM PAREDES, DUAS DEMÃOS. AF_04/2023</v>
      </c>
      <c r="D77" s="129" t="str">
        <f ca="1">IF(OFFSET(PO!O$12,ROW(D77)-ROW(D$12),0)=0,"",OFFSET(PO!O$12,ROW(D77)-ROW(D$12),0))</f>
        <v>M2</v>
      </c>
      <c r="E77" s="165">
        <f ca="1">IF($A77&lt;&gt;"Serviço",0,ROUND(SUMIF($F$9:$P$9,"&lt;&gt;",$F77:$P77),15-13*PO!$X$3))</f>
        <v>57.8</v>
      </c>
      <c r="F77" s="215">
        <f ca="1">OFFSET(PO!$P$12,ROW($E77)-ROW(F$12),0)</f>
        <v>57.8</v>
      </c>
      <c r="G77" s="215"/>
      <c r="H77" s="215"/>
      <c r="I77" s="215"/>
      <c r="J77" s="215"/>
      <c r="K77" s="215"/>
      <c r="L77" s="215"/>
      <c r="M77" s="215"/>
      <c r="N77" s="215"/>
      <c r="O77" s="215"/>
      <c r="U77" s="215"/>
    </row>
    <row r="78" spans="1:21" s="4" customFormat="1" ht="25.5" x14ac:dyDescent="0.2">
      <c r="A78" s="128" t="str">
        <f ca="1">OFFSET(PO!J$12,ROW(A78)-ROW($A$12),0)</f>
        <v>Serviço</v>
      </c>
      <c r="B78" s="130" t="str">
        <f ca="1">IF($A78=0,"",OFFSET(PO!K$12,ROW(B78)-ROW(B$12),0))</f>
        <v>1.11.2.2.</v>
      </c>
      <c r="C78" s="127" t="str">
        <f ca="1">IF(OFFSET(PO!N$12,ROW(C78)-ROW(C$12),0)=0,"",OFFSET(PO!N$12,ROW(C78)-ROW(C$12),0))</f>
        <v>PINTURA TINTA DE ACABAMENTO (PIGMENTADA) ESMALTE SINTÉTICO BRILHANTE EM MADEIRA, 2 DEMÃOS. AF_01/2021</v>
      </c>
      <c r="D78" s="129" t="str">
        <f ca="1">IF(OFFSET(PO!O$12,ROW(D78)-ROW(D$12),0)=0,"",OFFSET(PO!O$12,ROW(D78)-ROW(D$12),0))</f>
        <v>M2</v>
      </c>
      <c r="E78" s="165">
        <f ca="1">IF($A78&lt;&gt;"Serviço",0,ROUND(SUMIF($F$9:$P$9,"&lt;&gt;",$F78:$P78),15-13*PO!$X$3))</f>
        <v>100</v>
      </c>
      <c r="F78" s="215">
        <f ca="1">OFFSET(PO!$P$12,ROW($E78)-ROW(F$12),0)</f>
        <v>100</v>
      </c>
      <c r="G78" s="215"/>
      <c r="H78" s="215"/>
      <c r="I78" s="215"/>
      <c r="J78" s="215"/>
      <c r="K78" s="215"/>
      <c r="L78" s="215"/>
      <c r="M78" s="215"/>
      <c r="N78" s="215"/>
      <c r="O78" s="215"/>
      <c r="U78" s="215"/>
    </row>
    <row r="79" spans="1:21" s="4" customFormat="1" x14ac:dyDescent="0.2">
      <c r="A79" s="128" t="str">
        <f ca="1">OFFSET(PO!J$12,ROW(A79)-ROW($A$12),0)</f>
        <v>Nível 2</v>
      </c>
      <c r="B79" s="130" t="str">
        <f ca="1">IF($A79=0,"",OFFSET(PO!K$12,ROW(B79)-ROW(B$12),0))</f>
        <v>1.12.</v>
      </c>
      <c r="C79" s="127" t="str">
        <f ca="1">IF(OFFSET(PO!N$12,ROW(C79)-ROW(C$12),0)=0,"",OFFSET(PO!N$12,ROW(C79)-ROW(C$12),0))</f>
        <v>INSTALAÇÃO ELÉTRICA</v>
      </c>
      <c r="D79" s="129" t="str">
        <f ca="1">IF(OFFSET(PO!O$12,ROW(D79)-ROW(D$12),0)=0,"",OFFSET(PO!O$12,ROW(D79)-ROW(D$12),0))</f>
        <v/>
      </c>
      <c r="E79" s="165">
        <f ca="1">IF($A79&lt;&gt;"Serviço",0,ROUND(SUMIF($F$9:$P$9,"&lt;&gt;",$F79:$P79),15-13*PO!$X$3))</f>
        <v>0</v>
      </c>
      <c r="F79" s="215">
        <f ca="1">OFFSET(PO!$P$12,ROW($E79)-ROW(F$12),0)</f>
        <v>0</v>
      </c>
      <c r="G79" s="215"/>
      <c r="H79" s="215"/>
      <c r="I79" s="215"/>
      <c r="J79" s="215"/>
      <c r="K79" s="215"/>
      <c r="L79" s="215"/>
      <c r="M79" s="215"/>
      <c r="N79" s="215"/>
      <c r="O79" s="215"/>
      <c r="U79" s="215"/>
    </row>
    <row r="80" spans="1:21" s="4" customFormat="1" x14ac:dyDescent="0.2">
      <c r="A80" s="128" t="str">
        <f ca="1">OFFSET(PO!J$12,ROW(A80)-ROW($A$12),0)</f>
        <v>Nível 3</v>
      </c>
      <c r="B80" s="130" t="str">
        <f ca="1">IF($A80=0,"",OFFSET(PO!K$12,ROW(B80)-ROW(B$12),0))</f>
        <v>1.12.1.</v>
      </c>
      <c r="C80" s="127" t="str">
        <f ca="1">IF(OFFSET(PO!N$12,ROW(C80)-ROW(C$12),0)=0,"",OFFSET(PO!N$12,ROW(C80)-ROW(C$12),0))</f>
        <v>CENTRO DE DISTRIBUIÇÃO</v>
      </c>
      <c r="D80" s="129" t="str">
        <f ca="1">IF(OFFSET(PO!O$12,ROW(D80)-ROW(D$12),0)=0,"",OFFSET(PO!O$12,ROW(D80)-ROW(D$12),0))</f>
        <v/>
      </c>
      <c r="E80" s="165">
        <f ca="1">IF($A80&lt;&gt;"Serviço",0,ROUND(SUMIF($F$9:$P$9,"&lt;&gt;",$F80:$P80),15-13*PO!$X$3))</f>
        <v>0</v>
      </c>
      <c r="F80" s="215">
        <f ca="1">OFFSET(PO!$P$12,ROW($E80)-ROW(F$12),0)</f>
        <v>0</v>
      </c>
      <c r="G80" s="215"/>
      <c r="H80" s="215"/>
      <c r="I80" s="215"/>
      <c r="J80" s="215"/>
      <c r="K80" s="215"/>
      <c r="L80" s="215"/>
      <c r="M80" s="215"/>
      <c r="N80" s="215"/>
      <c r="O80" s="215"/>
      <c r="U80" s="215"/>
    </row>
    <row r="81" spans="1:21" s="4" customFormat="1" ht="25.5" x14ac:dyDescent="0.2">
      <c r="A81" s="128" t="str">
        <f ca="1">OFFSET(PO!J$12,ROW(A81)-ROW($A$12),0)</f>
        <v>Serviço</v>
      </c>
      <c r="B81" s="130" t="str">
        <f ca="1">IF($A81=0,"",OFFSET(PO!K$12,ROW(B81)-ROW(B$12),0))</f>
        <v>1.12.1.1.</v>
      </c>
      <c r="C81" s="127" t="str">
        <f ca="1">IF(OFFSET(PO!N$12,ROW(C81)-ROW(C$12),0)=0,"",OFFSET(PO!N$12,ROW(C81)-ROW(C$12),0))</f>
        <v>DISJUNTOR MONOPOLAR TIPO DIN, CORRENTE NOMINAL DE 16A - FORNECIMENTO E INSTALAÇÃO. AF_10/2020</v>
      </c>
      <c r="D81" s="129" t="str">
        <f ca="1">IF(OFFSET(PO!O$12,ROW(D81)-ROW(D$12),0)=0,"",OFFSET(PO!O$12,ROW(D81)-ROW(D$12),0))</f>
        <v>UN</v>
      </c>
      <c r="E81" s="165">
        <f ca="1">IF($A81&lt;&gt;"Serviço",0,ROUND(SUMIF($F$9:$P$9,"&lt;&gt;",$F81:$P81),15-13*PO!$X$3))</f>
        <v>3</v>
      </c>
      <c r="F81" s="215">
        <f ca="1">OFFSET(PO!$P$12,ROW($E81)-ROW(F$12),0)</f>
        <v>3</v>
      </c>
      <c r="G81" s="215"/>
      <c r="H81" s="215"/>
      <c r="I81" s="215"/>
      <c r="J81" s="215"/>
      <c r="K81" s="215"/>
      <c r="L81" s="215"/>
      <c r="M81" s="215"/>
      <c r="N81" s="215"/>
      <c r="O81" s="215"/>
      <c r="U81" s="215"/>
    </row>
    <row r="82" spans="1:21" s="4" customFormat="1" ht="25.5" x14ac:dyDescent="0.2">
      <c r="A82" s="128" t="str">
        <f ca="1">OFFSET(PO!J$12,ROW(A82)-ROW($A$12),0)</f>
        <v>Serviço</v>
      </c>
      <c r="B82" s="130" t="str">
        <f ca="1">IF($A82=0,"",OFFSET(PO!K$12,ROW(B82)-ROW(B$12),0))</f>
        <v>1.12.1.2.</v>
      </c>
      <c r="C82" s="127" t="str">
        <f ca="1">IF(OFFSET(PO!N$12,ROW(C82)-ROW(C$12),0)=0,"",OFFSET(PO!N$12,ROW(C82)-ROW(C$12),0))</f>
        <v>DISJUNTOR MONOPOLAR TIPO DIN, CORRENTE NOMINAL DE 25A - FORNECIMENTO E INSTALAÇÃO. AF_10/2020</v>
      </c>
      <c r="D82" s="129" t="str">
        <f ca="1">IF(OFFSET(PO!O$12,ROW(D82)-ROW(D$12),0)=0,"",OFFSET(PO!O$12,ROW(D82)-ROW(D$12),0))</f>
        <v>UN</v>
      </c>
      <c r="E82" s="165">
        <f ca="1">IF($A82&lt;&gt;"Serviço",0,ROUND(SUMIF($F$9:$P$9,"&lt;&gt;",$F82:$P82),15-13*PO!$X$3))</f>
        <v>2</v>
      </c>
      <c r="F82" s="215">
        <f ca="1">OFFSET(PO!$P$12,ROW($E82)-ROW(F$12),0)</f>
        <v>2</v>
      </c>
      <c r="G82" s="215"/>
      <c r="H82" s="215"/>
      <c r="I82" s="215"/>
      <c r="J82" s="215"/>
      <c r="K82" s="215"/>
      <c r="L82" s="215"/>
      <c r="M82" s="215"/>
      <c r="N82" s="215"/>
      <c r="O82" s="215"/>
      <c r="U82" s="215"/>
    </row>
    <row r="83" spans="1:21" s="4" customFormat="1" x14ac:dyDescent="0.2">
      <c r="A83" s="128" t="str">
        <f ca="1">OFFSET(PO!J$12,ROW(A83)-ROW($A$12),0)</f>
        <v>Nível 3</v>
      </c>
      <c r="B83" s="130" t="str">
        <f ca="1">IF($A83=0,"",OFFSET(PO!K$12,ROW(B83)-ROW(B$12),0))</f>
        <v>1.12.2.</v>
      </c>
      <c r="C83" s="127" t="str">
        <f ca="1">IF(OFFSET(PO!N$12,ROW(C83)-ROW(C$12),0)=0,"",OFFSET(PO!N$12,ROW(C83)-ROW(C$12),0))</f>
        <v>ELETRODUTOS E ACESSÓRIOS</v>
      </c>
      <c r="D83" s="129" t="str">
        <f ca="1">IF(OFFSET(PO!O$12,ROW(D83)-ROW(D$12),0)=0,"",OFFSET(PO!O$12,ROW(D83)-ROW(D$12),0))</f>
        <v/>
      </c>
      <c r="E83" s="165">
        <f ca="1">IF($A83&lt;&gt;"Serviço",0,ROUND(SUMIF($F$9:$P$9,"&lt;&gt;",$F83:$P83),15-13*PO!$X$3))</f>
        <v>0</v>
      </c>
      <c r="F83" s="215">
        <f ca="1">OFFSET(PO!$P$12,ROW($E83)-ROW(F$12),0)</f>
        <v>0</v>
      </c>
      <c r="G83" s="215"/>
      <c r="H83" s="215"/>
      <c r="I83" s="215"/>
      <c r="J83" s="215"/>
      <c r="K83" s="215"/>
      <c r="L83" s="215"/>
      <c r="M83" s="215"/>
      <c r="N83" s="215"/>
      <c r="O83" s="215"/>
      <c r="U83" s="215"/>
    </row>
    <row r="84" spans="1:21" s="4" customFormat="1" ht="38.25" x14ac:dyDescent="0.2">
      <c r="A84" s="128" t="str">
        <f ca="1">OFFSET(PO!J$12,ROW(A84)-ROW($A$12),0)</f>
        <v>Serviço</v>
      </c>
      <c r="B84" s="130" t="str">
        <f ca="1">IF($A84=0,"",OFFSET(PO!K$12,ROW(B84)-ROW(B$12),0))</f>
        <v>1.12.2.1.</v>
      </c>
      <c r="C84" s="127" t="str">
        <f ca="1">IF(OFFSET(PO!N$12,ROW(C84)-ROW(C$12),0)=0,"",OFFSET(PO!N$12,ROW(C84)-ROW(C$12),0))</f>
        <v>ELETRODUTO RÍGIDO ROSCÁVEL, PVC, DN 20 MM (1/2"), PARA CIRCUITOS TERMINAIS, INSTALADO EM FORRO - FORNECIMENTO E INSTALAÇÃO. AF_03/2023</v>
      </c>
      <c r="D84" s="129" t="str">
        <f ca="1">IF(OFFSET(PO!O$12,ROW(D84)-ROW(D$12),0)=0,"",OFFSET(PO!O$12,ROW(D84)-ROW(D$12),0))</f>
        <v>M</v>
      </c>
      <c r="E84" s="165">
        <f ca="1">IF($A84&lt;&gt;"Serviço",0,ROUND(SUMIF($F$9:$P$9,"&lt;&gt;",$F84:$P84),15-13*PO!$X$3))</f>
        <v>69.75</v>
      </c>
      <c r="F84" s="215">
        <f ca="1">OFFSET(PO!$P$12,ROW($E84)-ROW(F$12),0)</f>
        <v>69.75</v>
      </c>
      <c r="G84" s="215"/>
      <c r="H84" s="215"/>
      <c r="I84" s="215"/>
      <c r="J84" s="215"/>
      <c r="K84" s="215"/>
      <c r="L84" s="215"/>
      <c r="M84" s="215"/>
      <c r="N84" s="215"/>
      <c r="O84" s="215"/>
      <c r="U84" s="215"/>
    </row>
    <row r="85" spans="1:21" s="4" customFormat="1" ht="38.25" x14ac:dyDescent="0.2">
      <c r="A85" s="128" t="str">
        <f ca="1">OFFSET(PO!J$12,ROW(A85)-ROW($A$12),0)</f>
        <v>Serviço</v>
      </c>
      <c r="B85" s="130" t="str">
        <f ca="1">IF($A85=0,"",OFFSET(PO!K$12,ROW(B85)-ROW(B$12),0))</f>
        <v>1.12.2.2.</v>
      </c>
      <c r="C85" s="127" t="str">
        <f ca="1">IF(OFFSET(PO!N$12,ROW(C85)-ROW(C$12),0)=0,"",OFFSET(PO!N$12,ROW(C85)-ROW(C$12),0))</f>
        <v>ELETRODUTO RÍGIDO ROSCÁVEL, PVC, DN 20 MM (1/2"), PARA CIRCUITOS TERMINAIS, INSTALADO EM PAREDE - FORNECIMENTO E INSTALAÇÃO. AF_03/2023</v>
      </c>
      <c r="D85" s="129" t="str">
        <f ca="1">IF(OFFSET(PO!O$12,ROW(D85)-ROW(D$12),0)=0,"",OFFSET(PO!O$12,ROW(D85)-ROW(D$12),0))</f>
        <v>M</v>
      </c>
      <c r="E85" s="165">
        <f ca="1">IF($A85&lt;&gt;"Serviço",0,ROUND(SUMIF($F$9:$P$9,"&lt;&gt;",$F85:$P85),15-13*PO!$X$3))</f>
        <v>27</v>
      </c>
      <c r="F85" s="215">
        <f ca="1">OFFSET(PO!$P$12,ROW($E85)-ROW(F$12),0)</f>
        <v>27</v>
      </c>
      <c r="G85" s="215"/>
      <c r="H85" s="215"/>
      <c r="I85" s="215"/>
      <c r="J85" s="215"/>
      <c r="K85" s="215"/>
      <c r="L85" s="215"/>
      <c r="M85" s="215"/>
      <c r="N85" s="215"/>
      <c r="O85" s="215"/>
      <c r="U85" s="215"/>
    </row>
    <row r="86" spans="1:21" s="4" customFormat="1" ht="38.25" x14ac:dyDescent="0.2">
      <c r="A86" s="128" t="str">
        <f ca="1">OFFSET(PO!J$12,ROW(A86)-ROW($A$12),0)</f>
        <v>Serviço</v>
      </c>
      <c r="B86" s="130" t="str">
        <f ca="1">IF($A86=0,"",OFFSET(PO!K$12,ROW(B86)-ROW(B$12),0))</f>
        <v>1.12.2.3.</v>
      </c>
      <c r="C86" s="127" t="str">
        <f ca="1">IF(OFFSET(PO!N$12,ROW(C86)-ROW(C$12),0)=0,"",OFFSET(PO!N$12,ROW(C86)-ROW(C$12),0))</f>
        <v>CURVA 90 GRAUS PARA ELETRODUTO, PVC, ROSCÁVEL, DN 20 MM (1/2"), PARA CIRCUITOS TERMINAIS, INSTALADA EM FORRO - FORNECIMENTO E INSTALAÇÃO. AF_03/2023</v>
      </c>
      <c r="D86" s="129" t="str">
        <f ca="1">IF(OFFSET(PO!O$12,ROW(D86)-ROW(D$12),0)=0,"",OFFSET(PO!O$12,ROW(D86)-ROW(D$12),0))</f>
        <v>UN</v>
      </c>
      <c r="E86" s="165">
        <f ca="1">IF($A86&lt;&gt;"Serviço",0,ROUND(SUMIF($F$9:$P$9,"&lt;&gt;",$F86:$P86),15-13*PO!$X$3))</f>
        <v>10</v>
      </c>
      <c r="F86" s="215">
        <f ca="1">OFFSET(PO!$P$12,ROW($E86)-ROW(F$12),0)</f>
        <v>10</v>
      </c>
      <c r="G86" s="215"/>
      <c r="H86" s="215"/>
      <c r="I86" s="215"/>
      <c r="J86" s="215"/>
      <c r="K86" s="215"/>
      <c r="L86" s="215"/>
      <c r="M86" s="215"/>
      <c r="N86" s="215"/>
      <c r="O86" s="215"/>
      <c r="U86" s="215"/>
    </row>
    <row r="87" spans="1:21" s="4" customFormat="1" ht="38.25" x14ac:dyDescent="0.2">
      <c r="A87" s="128" t="str">
        <f ca="1">OFFSET(PO!J$12,ROW(A87)-ROW($A$12),0)</f>
        <v>Serviço</v>
      </c>
      <c r="B87" s="130" t="str">
        <f ca="1">IF($A87=0,"",OFFSET(PO!K$12,ROW(B87)-ROW(B$12),0))</f>
        <v>1.12.2.4.</v>
      </c>
      <c r="C87" s="127" t="str">
        <f ca="1">IF(OFFSET(PO!N$12,ROW(C87)-ROW(C$12),0)=0,"",OFFSET(PO!N$12,ROW(C87)-ROW(C$12),0))</f>
        <v>CAIXA ENTERRADA ELÉTRICA RETANGULAR, EM CONCRETO PRÉ-MOLDADO, FUNDO COM BRITA, DIMENSÕES INTERNAS: 0,3X0,3X0,3 M. AF_12/2020</v>
      </c>
      <c r="D87" s="129" t="str">
        <f ca="1">IF(OFFSET(PO!O$12,ROW(D87)-ROW(D$12),0)=0,"",OFFSET(PO!O$12,ROW(D87)-ROW(D$12),0))</f>
        <v>UN</v>
      </c>
      <c r="E87" s="165">
        <f ca="1">IF($A87&lt;&gt;"Serviço",0,ROUND(SUMIF($F$9:$P$9,"&lt;&gt;",$F87:$P87),15-13*PO!$X$3))</f>
        <v>1</v>
      </c>
      <c r="F87" s="215">
        <f ca="1">OFFSET(PO!$P$12,ROW($E87)-ROW(F$12),0)</f>
        <v>1</v>
      </c>
      <c r="G87" s="215"/>
      <c r="H87" s="215"/>
      <c r="I87" s="215"/>
      <c r="J87" s="215"/>
      <c r="K87" s="215"/>
      <c r="L87" s="215"/>
      <c r="M87" s="215"/>
      <c r="N87" s="215"/>
      <c r="O87" s="215"/>
      <c r="U87" s="215"/>
    </row>
    <row r="88" spans="1:21" s="4" customFormat="1" ht="25.5" x14ac:dyDescent="0.2">
      <c r="A88" s="128" t="str">
        <f ca="1">OFFSET(PO!J$12,ROW(A88)-ROW($A$12),0)</f>
        <v>Serviço</v>
      </c>
      <c r="B88" s="130" t="str">
        <f ca="1">IF($A88=0,"",OFFSET(PO!K$12,ROW(B88)-ROW(B$12),0))</f>
        <v>1.12.2.5.</v>
      </c>
      <c r="C88" s="127" t="str">
        <f ca="1">IF(OFFSET(PO!N$12,ROW(C88)-ROW(C$12),0)=0,"",OFFSET(PO!N$12,ROW(C88)-ROW(C$12),0))</f>
        <v>HASTE DE ATERRAMENTO, DIÂMETRO 3/4", COM 3 METROS - FORNECIMENTO E INSTALAÇÃO. AF_08/2023</v>
      </c>
      <c r="D88" s="129" t="str">
        <f ca="1">IF(OFFSET(PO!O$12,ROW(D88)-ROW(D$12),0)=0,"",OFFSET(PO!O$12,ROW(D88)-ROW(D$12),0))</f>
        <v>UN</v>
      </c>
      <c r="E88" s="165">
        <f ca="1">IF($A88&lt;&gt;"Serviço",0,ROUND(SUMIF($F$9:$P$9,"&lt;&gt;",$F88:$P88),15-13*PO!$X$3))</f>
        <v>3</v>
      </c>
      <c r="F88" s="215">
        <f ca="1">OFFSET(PO!$P$12,ROW($E88)-ROW(F$12),0)</f>
        <v>3</v>
      </c>
      <c r="G88" s="215"/>
      <c r="H88" s="215"/>
      <c r="I88" s="215"/>
      <c r="J88" s="215"/>
      <c r="K88" s="215"/>
      <c r="L88" s="215"/>
      <c r="M88" s="215"/>
      <c r="N88" s="215"/>
      <c r="O88" s="215"/>
      <c r="U88" s="215"/>
    </row>
    <row r="89" spans="1:21" s="4" customFormat="1" ht="25.5" x14ac:dyDescent="0.2">
      <c r="A89" s="128" t="str">
        <f ca="1">OFFSET(PO!J$12,ROW(A89)-ROW($A$12),0)</f>
        <v>Serviço</v>
      </c>
      <c r="B89" s="130" t="str">
        <f ca="1">IF($A89=0,"",OFFSET(PO!K$12,ROW(B89)-ROW(B$12),0))</f>
        <v>1.12.2.6.</v>
      </c>
      <c r="C89" s="127" t="str">
        <f ca="1">IF(OFFSET(PO!N$12,ROW(C89)-ROW(C$12),0)=0,"",OFFSET(PO!N$12,ROW(C89)-ROW(C$12),0))</f>
        <v xml:space="preserve">CONECTOR METALICO TIPO PARAFUSO FENDIDO (SPLIT BOLT), PARA CABOS ATE 35 MM2                                                                                                                                                                                                                                                                                                                                                                                                                               </v>
      </c>
      <c r="D89" s="129" t="str">
        <f ca="1">IF(OFFSET(PO!O$12,ROW(D89)-ROW(D$12),0)=0,"",OFFSET(PO!O$12,ROW(D89)-ROW(D$12),0))</f>
        <v xml:space="preserve">UN    </v>
      </c>
      <c r="E89" s="165">
        <f ca="1">IF($A89&lt;&gt;"Serviço",0,ROUND(SUMIF($F$9:$P$9,"&lt;&gt;",$F89:$P89),15-13*PO!$X$3))</f>
        <v>3</v>
      </c>
      <c r="F89" s="215">
        <f ca="1">OFFSET(PO!$P$12,ROW($E89)-ROW(F$12),0)</f>
        <v>3</v>
      </c>
      <c r="G89" s="215"/>
      <c r="H89" s="215"/>
      <c r="I89" s="215"/>
      <c r="J89" s="215"/>
      <c r="K89" s="215"/>
      <c r="L89" s="215"/>
      <c r="M89" s="215"/>
      <c r="N89" s="215"/>
      <c r="O89" s="215"/>
      <c r="U89" s="215"/>
    </row>
    <row r="90" spans="1:21" s="4" customFormat="1" ht="25.5" x14ac:dyDescent="0.2">
      <c r="A90" s="128" t="str">
        <f ca="1">OFFSET(PO!J$12,ROW(A90)-ROW($A$12),0)</f>
        <v>Serviço</v>
      </c>
      <c r="B90" s="130" t="str">
        <f ca="1">IF($A90=0,"",OFFSET(PO!K$12,ROW(B90)-ROW(B$12),0))</f>
        <v>1.12.2.7.</v>
      </c>
      <c r="C90" s="127" t="str">
        <f ca="1">IF(OFFSET(PO!N$12,ROW(C90)-ROW(C$12),0)=0,"",OFFSET(PO!N$12,ROW(C90)-ROW(C$12),0))</f>
        <v xml:space="preserve">GRAMPO METALICO TIPO OLHAL PARA HASTE DE ATERRAMENTO DE 3/4'', CONDUTOR DE *10* A 50 MM2                                                                                                                                                                                                                                                                                                                                                                                                                  </v>
      </c>
      <c r="D90" s="129" t="str">
        <f ca="1">IF(OFFSET(PO!O$12,ROW(D90)-ROW(D$12),0)=0,"",OFFSET(PO!O$12,ROW(D90)-ROW(D$12),0))</f>
        <v xml:space="preserve">UN    </v>
      </c>
      <c r="E90" s="165">
        <f ca="1">IF($A90&lt;&gt;"Serviço",0,ROUND(SUMIF($F$9:$P$9,"&lt;&gt;",$F90:$P90),15-13*PO!$X$3))</f>
        <v>3</v>
      </c>
      <c r="F90" s="215">
        <f ca="1">OFFSET(PO!$P$12,ROW($E90)-ROW(F$12),0)</f>
        <v>3</v>
      </c>
      <c r="G90" s="215"/>
      <c r="H90" s="215"/>
      <c r="I90" s="215"/>
      <c r="J90" s="215"/>
      <c r="K90" s="215"/>
      <c r="L90" s="215"/>
      <c r="M90" s="215"/>
      <c r="N90" s="215"/>
      <c r="O90" s="215"/>
      <c r="U90" s="215"/>
    </row>
    <row r="91" spans="1:21" s="4" customFormat="1" x14ac:dyDescent="0.2">
      <c r="A91" s="128" t="str">
        <f ca="1">OFFSET(PO!J$12,ROW(A91)-ROW($A$12),0)</f>
        <v>Nível 3</v>
      </c>
      <c r="B91" s="130" t="str">
        <f ca="1">IF($A91=0,"",OFFSET(PO!K$12,ROW(B91)-ROW(B$12),0))</f>
        <v>1.12.3.</v>
      </c>
      <c r="C91" s="127" t="str">
        <f ca="1">IF(OFFSET(PO!N$12,ROW(C91)-ROW(C$12),0)=0,"",OFFSET(PO!N$12,ROW(C91)-ROW(C$12),0))</f>
        <v>CABOS E FIOS CONDUTORES</v>
      </c>
      <c r="D91" s="129" t="str">
        <f ca="1">IF(OFFSET(PO!O$12,ROW(D91)-ROW(D$12),0)=0,"",OFFSET(PO!O$12,ROW(D91)-ROW(D$12),0))</f>
        <v/>
      </c>
      <c r="E91" s="165">
        <f ca="1">IF($A91&lt;&gt;"Serviço",0,ROUND(SUMIF($F$9:$P$9,"&lt;&gt;",$F91:$P91),15-13*PO!$X$3))</f>
        <v>0</v>
      </c>
      <c r="F91" s="215">
        <f ca="1">OFFSET(PO!$P$12,ROW($E91)-ROW(F$12),0)</f>
        <v>0</v>
      </c>
      <c r="G91" s="215"/>
      <c r="H91" s="215"/>
      <c r="I91" s="215"/>
      <c r="J91" s="215"/>
      <c r="K91" s="215"/>
      <c r="L91" s="215"/>
      <c r="M91" s="215"/>
      <c r="N91" s="215"/>
      <c r="O91" s="215"/>
      <c r="U91" s="215"/>
    </row>
    <row r="92" spans="1:21" s="4" customFormat="1" ht="38.25" x14ac:dyDescent="0.2">
      <c r="A92" s="128" t="str">
        <f ca="1">OFFSET(PO!J$12,ROW(A92)-ROW($A$12),0)</f>
        <v>Serviço</v>
      </c>
      <c r="B92" s="130" t="str">
        <f ca="1">IF($A92=0,"",OFFSET(PO!K$12,ROW(B92)-ROW(B$12),0))</f>
        <v>1.12.3.1.</v>
      </c>
      <c r="C92" s="127" t="str">
        <f ca="1">IF(OFFSET(PO!N$12,ROW(C92)-ROW(C$12),0)=0,"",OFFSET(PO!N$12,ROW(C92)-ROW(C$12),0))</f>
        <v>CABO DE COBRE FLEXÍVEL ISOLADO, 2,5 MM², ANTI-CHAMA 450/750 V, PARA CIRCUITOS TERMINAIS - FORNECIMENTO E INSTALAÇÃO. AF_03/2023</v>
      </c>
      <c r="D92" s="129" t="str">
        <f ca="1">IF(OFFSET(PO!O$12,ROW(D92)-ROW(D$12),0)=0,"",OFFSET(PO!O$12,ROW(D92)-ROW(D$12),0))</f>
        <v>M</v>
      </c>
      <c r="E92" s="165">
        <f ca="1">IF($A92&lt;&gt;"Serviço",0,ROUND(SUMIF($F$9:$P$9,"&lt;&gt;",$F92:$P92),15-13*PO!$X$3))</f>
        <v>200</v>
      </c>
      <c r="F92" s="215">
        <f ca="1">OFFSET(PO!$P$12,ROW($E92)-ROW(F$12),0)</f>
        <v>200</v>
      </c>
      <c r="G92" s="215"/>
      <c r="H92" s="215"/>
      <c r="I92" s="215"/>
      <c r="J92" s="215"/>
      <c r="K92" s="215"/>
      <c r="L92" s="215"/>
      <c r="M92" s="215"/>
      <c r="N92" s="215"/>
      <c r="O92" s="215"/>
      <c r="U92" s="215"/>
    </row>
    <row r="93" spans="1:21" s="4" customFormat="1" ht="38.25" x14ac:dyDescent="0.2">
      <c r="A93" s="128" t="str">
        <f ca="1">OFFSET(PO!J$12,ROW(A93)-ROW($A$12),0)</f>
        <v>Serviço</v>
      </c>
      <c r="B93" s="130" t="str">
        <f ca="1">IF($A93=0,"",OFFSET(PO!K$12,ROW(B93)-ROW(B$12),0))</f>
        <v>1.12.3.2.</v>
      </c>
      <c r="C93" s="127" t="str">
        <f ca="1">IF(OFFSET(PO!N$12,ROW(C93)-ROW(C$12),0)=0,"",OFFSET(PO!N$12,ROW(C93)-ROW(C$12),0))</f>
        <v>CABO DE COBRE FLEXÍVEL ISOLADO, 6 MM², ANTI-CHAMA 450/750 V, PARA CIRCUITOS TERMINAIS - FORNECIMENTO E INSTALAÇÃO. AF_03/2023</v>
      </c>
      <c r="D93" s="129" t="str">
        <f ca="1">IF(OFFSET(PO!O$12,ROW(D93)-ROW(D$12),0)=0,"",OFFSET(PO!O$12,ROW(D93)-ROW(D$12),0))</f>
        <v>M</v>
      </c>
      <c r="E93" s="165">
        <f ca="1">IF($A93&lt;&gt;"Serviço",0,ROUND(SUMIF($F$9:$P$9,"&lt;&gt;",$F93:$P93),15-13*PO!$X$3))</f>
        <v>40</v>
      </c>
      <c r="F93" s="215">
        <f ca="1">OFFSET(PO!$P$12,ROW($E93)-ROW(F$12),0)</f>
        <v>40</v>
      </c>
      <c r="G93" s="215"/>
      <c r="H93" s="215"/>
      <c r="I93" s="215"/>
      <c r="J93" s="215"/>
      <c r="K93" s="215"/>
      <c r="L93" s="215"/>
      <c r="M93" s="215"/>
      <c r="N93" s="215"/>
      <c r="O93" s="215"/>
      <c r="U93" s="215"/>
    </row>
    <row r="94" spans="1:21" s="4" customFormat="1" ht="38.25" x14ac:dyDescent="0.2">
      <c r="A94" s="128" t="str">
        <f ca="1">OFFSET(PO!J$12,ROW(A94)-ROW($A$12),0)</f>
        <v>Serviço</v>
      </c>
      <c r="B94" s="130" t="str">
        <f ca="1">IF($A94=0,"",OFFSET(PO!K$12,ROW(B94)-ROW(B$12),0))</f>
        <v>1.12.3.3.</v>
      </c>
      <c r="C94" s="127" t="str">
        <f ca="1">IF(OFFSET(PO!N$12,ROW(C94)-ROW(C$12),0)=0,"",OFFSET(PO!N$12,ROW(C94)-ROW(C$12),0))</f>
        <v>CABO DE COBRE FLEXÍVEL ISOLADO, 10 MM², ANTI-CHAMA 450/750 V, PARA DISTRIBUIÇÃO - FORNECIMENTO E INSTALAÇÃO. AF_12/2015</v>
      </c>
      <c r="D94" s="129" t="str">
        <f ca="1">IF(OFFSET(PO!O$12,ROW(D94)-ROW(D$12),0)=0,"",OFFSET(PO!O$12,ROW(D94)-ROW(D$12),0))</f>
        <v>M</v>
      </c>
      <c r="E94" s="165">
        <f ca="1">IF($A94&lt;&gt;"Serviço",0,ROUND(SUMIF($F$9:$P$9,"&lt;&gt;",$F94:$P94),15-13*PO!$X$3))</f>
        <v>30</v>
      </c>
      <c r="F94" s="215">
        <f ca="1">OFFSET(PO!$P$12,ROW($E94)-ROW(F$12),0)</f>
        <v>30</v>
      </c>
      <c r="G94" s="215"/>
      <c r="H94" s="215"/>
      <c r="I94" s="215"/>
      <c r="J94" s="215"/>
      <c r="K94" s="215"/>
      <c r="L94" s="215"/>
      <c r="M94" s="215"/>
      <c r="N94" s="215"/>
      <c r="O94" s="215"/>
      <c r="U94" s="215"/>
    </row>
    <row r="95" spans="1:21" s="4" customFormat="1" x14ac:dyDescent="0.2">
      <c r="A95" s="128" t="str">
        <f ca="1">OFFSET(PO!J$12,ROW(A95)-ROW($A$12),0)</f>
        <v>Nível 3</v>
      </c>
      <c r="B95" s="130" t="str">
        <f ca="1">IF($A95=0,"",OFFSET(PO!K$12,ROW(B95)-ROW(B$12),0))</f>
        <v>1.12.4.</v>
      </c>
      <c r="C95" s="127" t="str">
        <f ca="1">IF(OFFSET(PO!N$12,ROW(C95)-ROW(C$12),0)=0,"",OFFSET(PO!N$12,ROW(C95)-ROW(C$12),0))</f>
        <v>LUMINÁRIAS, TOMADAS E INTERRUPTORES</v>
      </c>
      <c r="D95" s="129" t="str">
        <f ca="1">IF(OFFSET(PO!O$12,ROW(D95)-ROW(D$12),0)=0,"",OFFSET(PO!O$12,ROW(D95)-ROW(D$12),0))</f>
        <v/>
      </c>
      <c r="E95" s="165">
        <f ca="1">IF($A95&lt;&gt;"Serviço",0,ROUND(SUMIF($F$9:$P$9,"&lt;&gt;",$F95:$P95),15-13*PO!$X$3))</f>
        <v>0</v>
      </c>
      <c r="F95" s="215">
        <f ca="1">OFFSET(PO!$P$12,ROW($E95)-ROW(F$12),0)</f>
        <v>0</v>
      </c>
      <c r="G95" s="215"/>
      <c r="H95" s="215"/>
      <c r="I95" s="215"/>
      <c r="J95" s="215"/>
      <c r="K95" s="215"/>
      <c r="L95" s="215"/>
      <c r="M95" s="215"/>
      <c r="N95" s="215"/>
      <c r="O95" s="215"/>
      <c r="U95" s="215"/>
    </row>
    <row r="96" spans="1:21" s="4" customFormat="1" ht="25.5" x14ac:dyDescent="0.2">
      <c r="A96" s="128" t="str">
        <f ca="1">OFFSET(PO!J$12,ROW(A96)-ROW($A$12),0)</f>
        <v>Serviço</v>
      </c>
      <c r="B96" s="130" t="str">
        <f ca="1">IF($A96=0,"",OFFSET(PO!K$12,ROW(B96)-ROW(B$12),0))</f>
        <v>1.12.4.1.</v>
      </c>
      <c r="C96" s="127" t="str">
        <f ca="1">IF(OFFSET(PO!N$12,ROW(C96)-ROW(C$12),0)=0,"",OFFSET(PO!N$12,ROW(C96)-ROW(C$12),0))</f>
        <v xml:space="preserve">INTERRUPTOR SIMPLES 10A, 250V, CONJUNTO MONTADO PARA SOBREPOR 4" X 2" (CAIXA + 2 MODULOS)                                                                                                                                                                                                                                                                                                                                                                                                                 </v>
      </c>
      <c r="D96" s="129" t="str">
        <f ca="1">IF(OFFSET(PO!O$12,ROW(D96)-ROW(D$12),0)=0,"",OFFSET(PO!O$12,ROW(D96)-ROW(D$12),0))</f>
        <v xml:space="preserve">UN    </v>
      </c>
      <c r="E96" s="165">
        <f ca="1">IF($A96&lt;&gt;"Serviço",0,ROUND(SUMIF($F$9:$P$9,"&lt;&gt;",$F96:$P96),15-13*PO!$X$3))</f>
        <v>3</v>
      </c>
      <c r="F96" s="215">
        <f ca="1">OFFSET(PO!$P$12,ROW($E96)-ROW(F$12),0)</f>
        <v>3</v>
      </c>
      <c r="G96" s="215"/>
      <c r="H96" s="215"/>
      <c r="I96" s="215"/>
      <c r="J96" s="215"/>
      <c r="K96" s="215"/>
      <c r="L96" s="215"/>
      <c r="M96" s="215"/>
      <c r="N96" s="215"/>
      <c r="O96" s="215"/>
      <c r="U96" s="215"/>
    </row>
    <row r="97" spans="1:21" s="4" customFormat="1" ht="25.5" x14ac:dyDescent="0.2">
      <c r="A97" s="128" t="str">
        <f ca="1">OFFSET(PO!J$12,ROW(A97)-ROW($A$12),0)</f>
        <v>Serviço</v>
      </c>
      <c r="B97" s="130" t="str">
        <f ca="1">IF($A97=0,"",OFFSET(PO!K$12,ROW(B97)-ROW(B$12),0))</f>
        <v>1.12.4.2.</v>
      </c>
      <c r="C97" s="127" t="str">
        <f ca="1">IF(OFFSET(PO!N$12,ROW(C97)-ROW(C$12),0)=0,"",OFFSET(PO!N$12,ROW(C97)-ROW(C$12),0))</f>
        <v xml:space="preserve">TOMADA 2P+T 10A, 250V, CONJUNTO MONTADO PARA SOBREPOR 4" X 2" (CAIXA + MODULO)                                                                                                                                                                                                                                                                                                                                                                                                                            </v>
      </c>
      <c r="D97" s="129" t="str">
        <f ca="1">IF(OFFSET(PO!O$12,ROW(D97)-ROW(D$12),0)=0,"",OFFSET(PO!O$12,ROW(D97)-ROW(D$12),0))</f>
        <v xml:space="preserve">UN    </v>
      </c>
      <c r="E97" s="165">
        <f ca="1">IF($A97&lt;&gt;"Serviço",0,ROUND(SUMIF($F$9:$P$9,"&lt;&gt;",$F97:$P97),15-13*PO!$X$3))</f>
        <v>5</v>
      </c>
      <c r="F97" s="215">
        <f ca="1">OFFSET(PO!$P$12,ROW($E97)-ROW(F$12),0)</f>
        <v>5</v>
      </c>
      <c r="G97" s="215"/>
      <c r="H97" s="215"/>
      <c r="I97" s="215"/>
      <c r="J97" s="215"/>
      <c r="K97" s="215"/>
      <c r="L97" s="215"/>
      <c r="M97" s="215"/>
      <c r="N97" s="215"/>
      <c r="O97" s="215"/>
      <c r="U97" s="215"/>
    </row>
    <row r="98" spans="1:21" s="4" customFormat="1" x14ac:dyDescent="0.2">
      <c r="A98" s="128" t="str">
        <f ca="1">OFFSET(PO!J$12,ROW(A98)-ROW($A$12),0)</f>
        <v>Serviço</v>
      </c>
      <c r="B98" s="130" t="str">
        <f ca="1">IF($A98=0,"",OFFSET(PO!K$12,ROW(B98)-ROW(B$12),0))</f>
        <v>1.12.4.3.</v>
      </c>
      <c r="C98" s="127" t="str">
        <f ca="1">IF(OFFSET(PO!N$12,ROW(C98)-ROW(C$12),0)=0,"",OFFSET(PO!N$12,ROW(C98)-ROW(C$12),0))</f>
        <v xml:space="preserve">TOMADA 2P+T 20A, 250V  (APENAS MODULO)                                                                                                                                                                                                                                                                                                                                                                                                                                                                    </v>
      </c>
      <c r="D98" s="129" t="str">
        <f ca="1">IF(OFFSET(PO!O$12,ROW(D98)-ROW(D$12),0)=0,"",OFFSET(PO!O$12,ROW(D98)-ROW(D$12),0))</f>
        <v xml:space="preserve">UN    </v>
      </c>
      <c r="E98" s="165">
        <f ca="1">IF($A98&lt;&gt;"Serviço",0,ROUND(SUMIF($F$9:$P$9,"&lt;&gt;",$F98:$P98),15-13*PO!$X$3))</f>
        <v>2</v>
      </c>
      <c r="F98" s="215">
        <f ca="1">OFFSET(PO!$P$12,ROW($E98)-ROW(F$12),0)</f>
        <v>2</v>
      </c>
      <c r="G98" s="215"/>
      <c r="H98" s="215"/>
      <c r="I98" s="215"/>
      <c r="J98" s="215"/>
      <c r="K98" s="215"/>
      <c r="L98" s="215"/>
      <c r="M98" s="215"/>
      <c r="N98" s="215"/>
      <c r="O98" s="215"/>
      <c r="U98" s="215"/>
    </row>
    <row r="99" spans="1:21" s="4" customFormat="1" ht="38.25" x14ac:dyDescent="0.2">
      <c r="A99" s="128" t="str">
        <f ca="1">OFFSET(PO!J$12,ROW(A99)-ROW($A$12),0)</f>
        <v>Serviço</v>
      </c>
      <c r="B99" s="130" t="str">
        <f ca="1">IF($A99=0,"",OFFSET(PO!K$12,ROW(B99)-ROW(B$12),0))</f>
        <v>1.12.4.4.</v>
      </c>
      <c r="C99" s="127" t="str">
        <f ca="1">IF(OFFSET(PO!N$12,ROW(C99)-ROW(C$12),0)=0,"",OFFSET(PO!N$12,ROW(C99)-ROW(C$12),0))</f>
        <v>CONDULETE DE PVC, TIPO X, PARA ELETRODUTO DE PVC SOLDÁVEL DN 20 MM (1/2''), APARENTE - FORNECIMENTO E INSTALAÇÃO. AF_10/2022</v>
      </c>
      <c r="D99" s="129" t="str">
        <f ca="1">IF(OFFSET(PO!O$12,ROW(D99)-ROW(D$12),0)=0,"",OFFSET(PO!O$12,ROW(D99)-ROW(D$12),0))</f>
        <v>UN</v>
      </c>
      <c r="E99" s="165">
        <f ca="1">IF($A99&lt;&gt;"Serviço",0,ROUND(SUMIF($F$9:$P$9,"&lt;&gt;",$F99:$P99),15-13*PO!$X$3))</f>
        <v>23</v>
      </c>
      <c r="F99" s="215">
        <f ca="1">OFFSET(PO!$P$12,ROW($E99)-ROW(F$12),0)</f>
        <v>23</v>
      </c>
      <c r="G99" s="215"/>
      <c r="H99" s="215"/>
      <c r="I99" s="215"/>
      <c r="J99" s="215"/>
      <c r="K99" s="215"/>
      <c r="L99" s="215"/>
      <c r="M99" s="215"/>
      <c r="N99" s="215"/>
      <c r="O99" s="215"/>
      <c r="U99" s="215"/>
    </row>
    <row r="100" spans="1:21" s="4" customFormat="1" ht="25.5" x14ac:dyDescent="0.2">
      <c r="A100" s="128" t="str">
        <f ca="1">OFFSET(PO!J$12,ROW(A100)-ROW($A$12),0)</f>
        <v>Serviço</v>
      </c>
      <c r="B100" s="130" t="str">
        <f ca="1">IF($A100=0,"",OFFSET(PO!K$12,ROW(B100)-ROW(B$12),0))</f>
        <v>1.12.4.5.</v>
      </c>
      <c r="C100" s="127" t="str">
        <f ca="1">IF(OFFSET(PO!N$12,ROW(C100)-ROW(C$12),0)=0,"",OFFSET(PO!N$12,ROW(C100)-ROW(C$12),0))</f>
        <v xml:space="preserve">LUMINARIA LED REFLETOR RETANGULAR BIVOLT, LUZ BRANCA, 50 W                                                                                                                                                                                                                                                                                                                                                                                                                                                </v>
      </c>
      <c r="D100" s="129" t="str">
        <f ca="1">IF(OFFSET(PO!O$12,ROW(D100)-ROW(D$12),0)=0,"",OFFSET(PO!O$12,ROW(D100)-ROW(D$12),0))</f>
        <v xml:space="preserve">UN    </v>
      </c>
      <c r="E100" s="165">
        <f ca="1">IF($A100&lt;&gt;"Serviço",0,ROUND(SUMIF($F$9:$P$9,"&lt;&gt;",$F100:$P100),15-13*PO!$X$3))</f>
        <v>14</v>
      </c>
      <c r="F100" s="215">
        <f ca="1">OFFSET(PO!$P$12,ROW($E100)-ROW(F$12),0)</f>
        <v>14</v>
      </c>
      <c r="G100" s="215"/>
      <c r="H100" s="215"/>
      <c r="I100" s="215"/>
      <c r="J100" s="215"/>
      <c r="K100" s="215"/>
      <c r="L100" s="215"/>
      <c r="M100" s="215"/>
      <c r="N100" s="215"/>
      <c r="O100" s="215"/>
      <c r="U100" s="215"/>
    </row>
    <row r="101" spans="1:21" s="4" customFormat="1" x14ac:dyDescent="0.2">
      <c r="A101" s="128" t="str">
        <f ca="1">OFFSET(PO!J$12,ROW(A101)-ROW($A$12),0)</f>
        <v>Nível 2</v>
      </c>
      <c r="B101" s="130" t="str">
        <f ca="1">IF($A101=0,"",OFFSET(PO!K$12,ROW(B101)-ROW(B$12),0))</f>
        <v>1.13.</v>
      </c>
      <c r="C101" s="127" t="str">
        <f ca="1">IF(OFFSET(PO!N$12,ROW(C101)-ROW(C$12),0)=0,"",OFFSET(PO!N$12,ROW(C101)-ROW(C$12),0))</f>
        <v xml:space="preserve">SISTEMA DE PROTEÇÃO CONTRA INCÊNDIO </v>
      </c>
      <c r="D101" s="129" t="str">
        <f ca="1">IF(OFFSET(PO!O$12,ROW(D101)-ROW(D$12),0)=0,"",OFFSET(PO!O$12,ROW(D101)-ROW(D$12),0))</f>
        <v/>
      </c>
      <c r="E101" s="165">
        <f ca="1">IF($A101&lt;&gt;"Serviço",0,ROUND(SUMIF($F$9:$P$9,"&lt;&gt;",$F101:$P101),15-13*PO!$X$3))</f>
        <v>0</v>
      </c>
      <c r="F101" s="215">
        <f ca="1">OFFSET(PO!$P$12,ROW($E101)-ROW(F$12),0)</f>
        <v>0</v>
      </c>
      <c r="G101" s="215"/>
      <c r="H101" s="215"/>
      <c r="I101" s="215"/>
      <c r="J101" s="215"/>
      <c r="K101" s="215"/>
      <c r="L101" s="215"/>
      <c r="M101" s="215"/>
      <c r="N101" s="215"/>
      <c r="O101" s="215"/>
      <c r="U101" s="215"/>
    </row>
    <row r="102" spans="1:21" s="4" customFormat="1" x14ac:dyDescent="0.2">
      <c r="A102" s="128" t="str">
        <f ca="1">OFFSET(PO!J$12,ROW(A102)-ROW($A$12),0)</f>
        <v>Nível 3</v>
      </c>
      <c r="B102" s="130" t="str">
        <f ca="1">IF($A102=0,"",OFFSET(PO!K$12,ROW(B102)-ROW(B$12),0))</f>
        <v>1.13.1.</v>
      </c>
      <c r="C102" s="127" t="str">
        <f ca="1">IF(OFFSET(PO!N$12,ROW(C102)-ROW(C$12),0)=0,"",OFFSET(PO!N$12,ROW(C102)-ROW(C$12),0))</f>
        <v>Equipamento, Extintores e Sinalização</v>
      </c>
      <c r="D102" s="129" t="str">
        <f ca="1">IF(OFFSET(PO!O$12,ROW(D102)-ROW(D$12),0)=0,"",OFFSET(PO!O$12,ROW(D102)-ROW(D$12),0))</f>
        <v/>
      </c>
      <c r="E102" s="165">
        <f ca="1">IF($A102&lt;&gt;"Serviço",0,ROUND(SUMIF($F$9:$P$9,"&lt;&gt;",$F102:$P102),15-13*PO!$X$3))</f>
        <v>0</v>
      </c>
      <c r="F102" s="215">
        <f ca="1">OFFSET(PO!$P$12,ROW($E102)-ROW(F$12),0)</f>
        <v>0</v>
      </c>
      <c r="G102" s="215"/>
      <c r="H102" s="215"/>
      <c r="I102" s="215"/>
      <c r="J102" s="215"/>
      <c r="K102" s="215"/>
      <c r="L102" s="215"/>
      <c r="M102" s="215"/>
      <c r="N102" s="215"/>
      <c r="O102" s="215"/>
      <c r="U102" s="215"/>
    </row>
    <row r="103" spans="1:21" s="4" customFormat="1" ht="25.5" x14ac:dyDescent="0.2">
      <c r="A103" s="128" t="str">
        <f ca="1">OFFSET(PO!J$12,ROW(A103)-ROW($A$12),0)</f>
        <v>Serviço</v>
      </c>
      <c r="B103" s="130" t="str">
        <f ca="1">IF($A103=0,"",OFFSET(PO!K$12,ROW(B103)-ROW(B$12),0))</f>
        <v>1.13.1.1.</v>
      </c>
      <c r="C103" s="127" t="str">
        <f ca="1">IF(OFFSET(PO!N$12,ROW(C103)-ROW(C$12),0)=0,"",OFFSET(PO!N$12,ROW(C103)-ROW(C$12),0))</f>
        <v xml:space="preserve">BARRA ANTIPANICO SIMPLES, COM FECHADURA LADO OPOSTO, COR CINZA                                                                                                                                                                                                                                                                                                                                                                                                                                            </v>
      </c>
      <c r="D103" s="129" t="str">
        <f ca="1">IF(OFFSET(PO!O$12,ROW(D103)-ROW(D$12),0)=0,"",OFFSET(PO!O$12,ROW(D103)-ROW(D$12),0))</f>
        <v xml:space="preserve">UN    </v>
      </c>
      <c r="E103" s="165">
        <f ca="1">IF($A103&lt;&gt;"Serviço",0,ROUND(SUMIF($F$9:$P$9,"&lt;&gt;",$F103:$P103),15-13*PO!$X$3))</f>
        <v>2</v>
      </c>
      <c r="F103" s="215">
        <f ca="1">OFFSET(PO!$P$12,ROW($E103)-ROW(F$12),0)</f>
        <v>2</v>
      </c>
      <c r="G103" s="215"/>
      <c r="H103" s="215"/>
      <c r="I103" s="215"/>
      <c r="J103" s="215"/>
      <c r="K103" s="215"/>
      <c r="L103" s="215"/>
      <c r="M103" s="215"/>
      <c r="N103" s="215"/>
      <c r="O103" s="215"/>
      <c r="U103" s="215"/>
    </row>
    <row r="104" spans="1:21" s="4" customFormat="1" ht="25.5" x14ac:dyDescent="0.2">
      <c r="A104" s="128" t="str">
        <f ca="1">OFFSET(PO!J$12,ROW(A104)-ROW($A$12),0)</f>
        <v>Serviço</v>
      </c>
      <c r="B104" s="130" t="str">
        <f ca="1">IF($A104=0,"",OFFSET(PO!K$12,ROW(B104)-ROW(B$12),0))</f>
        <v>1.13.1.2.</v>
      </c>
      <c r="C104" s="127" t="str">
        <f ca="1">IF(OFFSET(PO!N$12,ROW(C104)-ROW(C$12),0)=0,"",OFFSET(PO!N$12,ROW(C104)-ROW(C$12),0))</f>
        <v>CORRIMÃO SIMPLES, DIÂMETRO EXTERNO = 1 1/2, EM AÇO GALVANIZADO. AF_04/2019_PS</v>
      </c>
      <c r="D104" s="129" t="str">
        <f ca="1">IF(OFFSET(PO!O$12,ROW(D104)-ROW(D$12),0)=0,"",OFFSET(PO!O$12,ROW(D104)-ROW(D$12),0))</f>
        <v>M</v>
      </c>
      <c r="E104" s="165">
        <f ca="1">IF($A104&lt;&gt;"Serviço",0,ROUND(SUMIF($F$9:$P$9,"&lt;&gt;",$F104:$P104),15-13*PO!$X$3))</f>
        <v>12</v>
      </c>
      <c r="F104" s="215">
        <f ca="1">OFFSET(PO!$P$12,ROW($E104)-ROW(F$12),0)</f>
        <v>12</v>
      </c>
      <c r="G104" s="215"/>
      <c r="H104" s="215"/>
      <c r="I104" s="215"/>
      <c r="J104" s="215"/>
      <c r="K104" s="215"/>
      <c r="L104" s="215"/>
      <c r="M104" s="215"/>
      <c r="N104" s="215"/>
      <c r="O104" s="215"/>
      <c r="U104" s="215"/>
    </row>
    <row r="105" spans="1:21" s="4" customFormat="1" ht="38.25" x14ac:dyDescent="0.2">
      <c r="A105" s="128" t="str">
        <f ca="1">OFFSET(PO!J$12,ROW(A105)-ROW($A$12),0)</f>
        <v>Serviço</v>
      </c>
      <c r="B105" s="130" t="str">
        <f ca="1">IF($A105=0,"",OFFSET(PO!K$12,ROW(B105)-ROW(B$12),0))</f>
        <v>1.13.1.3.</v>
      </c>
      <c r="C105" s="127" t="str">
        <f ca="1">IF(OFFSET(PO!N$12,ROW(C105)-ROW(C$12),0)=0,"",OFFSET(PO!N$12,ROW(C105)-ROW(C$12),0))</f>
        <v>EXTINTOR DE INCÊNDIO PORTÁTIL COM CARGA DE PQS DE 4 KG, CLASSE BC - FORNECIMENTO E INSTALAÇÃO. AF_10/2020_PE</v>
      </c>
      <c r="D105" s="129" t="str">
        <f ca="1">IF(OFFSET(PO!O$12,ROW(D105)-ROW(D$12),0)=0,"",OFFSET(PO!O$12,ROW(D105)-ROW(D$12),0))</f>
        <v>UN</v>
      </c>
      <c r="E105" s="165">
        <f ca="1">IF($A105&lt;&gt;"Serviço",0,ROUND(SUMIF($F$9:$P$9,"&lt;&gt;",$F105:$P105),15-13*PO!$X$3))</f>
        <v>10</v>
      </c>
      <c r="F105" s="215">
        <f ca="1">OFFSET(PO!$P$12,ROW($E105)-ROW(F$12),0)</f>
        <v>10</v>
      </c>
      <c r="G105" s="215"/>
      <c r="H105" s="215"/>
      <c r="I105" s="215"/>
      <c r="J105" s="215"/>
      <c r="K105" s="215"/>
      <c r="L105" s="215"/>
      <c r="M105" s="215"/>
      <c r="N105" s="215"/>
      <c r="O105" s="215"/>
      <c r="U105" s="215"/>
    </row>
    <row r="106" spans="1:21" s="4" customFormat="1" ht="25.5" x14ac:dyDescent="0.2">
      <c r="A106" s="128" t="str">
        <f ca="1">OFFSET(PO!J$12,ROW(A106)-ROW($A$12),0)</f>
        <v>Serviço</v>
      </c>
      <c r="B106" s="130" t="str">
        <f ca="1">IF($A106=0,"",OFFSET(PO!K$12,ROW(B106)-ROW(B$12),0))</f>
        <v>1.13.1.4.</v>
      </c>
      <c r="C106" s="127" t="str">
        <f ca="1">IF(OFFSET(PO!N$12,ROW(C106)-ROW(C$12),0)=0,"",OFFSET(PO!N$12,ROW(C106)-ROW(C$12),0))</f>
        <v>LUMINÁRIA DE EMERGÊNCIA, COM 30 LÂMPADAS LED DE 2 W, SEM REATOR - FORNECIMENTO E INSTALAÇÃO. AF_02/2020</v>
      </c>
      <c r="D106" s="129" t="str">
        <f ca="1">IF(OFFSET(PO!O$12,ROW(D106)-ROW(D$12),0)=0,"",OFFSET(PO!O$12,ROW(D106)-ROW(D$12),0))</f>
        <v>UN</v>
      </c>
      <c r="E106" s="165">
        <f ca="1">IF($A106&lt;&gt;"Serviço",0,ROUND(SUMIF($F$9:$P$9,"&lt;&gt;",$F106:$P106),15-13*PO!$X$3))</f>
        <v>4</v>
      </c>
      <c r="F106" s="215">
        <f ca="1">OFFSET(PO!$P$12,ROW($E106)-ROW(F$12),0)</f>
        <v>4</v>
      </c>
      <c r="G106" s="215"/>
      <c r="H106" s="215"/>
      <c r="I106" s="215"/>
      <c r="J106" s="215"/>
      <c r="K106" s="215"/>
      <c r="L106" s="215"/>
      <c r="M106" s="215"/>
      <c r="N106" s="215"/>
      <c r="O106" s="215"/>
      <c r="U106" s="215"/>
    </row>
    <row r="107" spans="1:21" s="4" customFormat="1" ht="25.5" x14ac:dyDescent="0.2">
      <c r="A107" s="128" t="str">
        <f ca="1">OFFSET(PO!J$12,ROW(A107)-ROW($A$12),0)</f>
        <v>Serviço</v>
      </c>
      <c r="B107" s="130" t="str">
        <f ca="1">IF($A107=0,"",OFFSET(PO!K$12,ROW(B107)-ROW(B$12),0))</f>
        <v>1.13.1.5.</v>
      </c>
      <c r="C107" s="127" t="str">
        <f ca="1">IF(OFFSET(PO!N$12,ROW(C107)-ROW(C$12),0)=0,"",OFFSET(PO!N$12,ROW(C107)-ROW(C$12),0))</f>
        <v xml:space="preserve">BARRA ANTIPANICO DUPLA, CEGA EM LADO OPOSTO, COR CINZA                                                                                                                                                                                                                                                                                                                                                                                                                                                    </v>
      </c>
      <c r="D107" s="129" t="str">
        <f ca="1">IF(OFFSET(PO!O$12,ROW(D107)-ROW(D$12),0)=0,"",OFFSET(PO!O$12,ROW(D107)-ROW(D$12),0))</f>
        <v xml:space="preserve">PAR   </v>
      </c>
      <c r="E107" s="165">
        <f ca="1">IF($A107&lt;&gt;"Serviço",0,ROUND(SUMIF($F$9:$P$9,"&lt;&gt;",$F107:$P107),15-13*PO!$X$3))</f>
        <v>4</v>
      </c>
      <c r="F107" s="215">
        <f ca="1">OFFSET(PO!$P$12,ROW($E107)-ROW(F$12),0)</f>
        <v>4</v>
      </c>
      <c r="G107" s="215"/>
      <c r="H107" s="215"/>
      <c r="I107" s="215"/>
      <c r="J107" s="215"/>
      <c r="K107" s="215"/>
      <c r="L107" s="215"/>
      <c r="M107" s="215"/>
      <c r="N107" s="215"/>
      <c r="O107" s="215"/>
      <c r="U107" s="215"/>
    </row>
    <row r="108" spans="1:21" s="4" customFormat="1" ht="51" x14ac:dyDescent="0.2">
      <c r="A108" s="128" t="str">
        <f ca="1">OFFSET(PO!J$12,ROW(A108)-ROW($A$12),0)</f>
        <v>Serviço</v>
      </c>
      <c r="B108" s="130" t="str">
        <f ca="1">IF($A108=0,"",OFFSET(PO!K$12,ROW(B108)-ROW(B$12),0))</f>
        <v>1.13.1.6.</v>
      </c>
      <c r="C108" s="127" t="str">
        <f ca="1">IF(OFFSET(PO!N$12,ROW(C108)-ROW(C$12),0)=0,"",OFFSET(PO!N$12,ROW(C108)-ROW(C$12),0))</f>
        <v xml:space="preserve">PLACA DE SINALIZACAO DE SEGURANCA CONTRA INCENDIO, FOTOLUMINESCENTE, RETANGULAR, *12 X 40* CM, EM PVC *2* MM ANTI-CHAMAS (SIMBOLOS, CORES E PICTOGRAMAS CONFORME NBR 16820)                                                                                                                                                                                                                                                                                                                               </v>
      </c>
      <c r="D108" s="129" t="str">
        <f ca="1">IF(OFFSET(PO!O$12,ROW(D108)-ROW(D$12),0)=0,"",OFFSET(PO!O$12,ROW(D108)-ROW(D$12),0))</f>
        <v xml:space="preserve">UN    </v>
      </c>
      <c r="E108" s="165">
        <f ca="1">IF($A108&lt;&gt;"Serviço",0,ROUND(SUMIF($F$9:$P$9,"&lt;&gt;",$F108:$P108),15-13*PO!$X$3))</f>
        <v>23</v>
      </c>
      <c r="F108" s="215">
        <f ca="1">OFFSET(PO!$P$12,ROW($E108)-ROW(F$12),0)</f>
        <v>23</v>
      </c>
      <c r="G108" s="215"/>
      <c r="H108" s="215"/>
      <c r="I108" s="215"/>
      <c r="J108" s="215"/>
      <c r="K108" s="215"/>
      <c r="L108" s="215"/>
      <c r="M108" s="215"/>
      <c r="N108" s="215"/>
      <c r="O108" s="215"/>
      <c r="U108" s="215"/>
    </row>
    <row r="109" spans="1:21" s="4" customFormat="1" ht="51" x14ac:dyDescent="0.2">
      <c r="A109" s="128" t="str">
        <f ca="1">OFFSET(PO!J$12,ROW(A109)-ROW($A$12),0)</f>
        <v>Serviço</v>
      </c>
      <c r="B109" s="130" t="str">
        <f ca="1">IF($A109=0,"",OFFSET(PO!K$12,ROW(B109)-ROW(B$12),0))</f>
        <v>1.13.1.7.</v>
      </c>
      <c r="C109" s="127" t="str">
        <f ca="1">IF(OFFSET(PO!N$12,ROW(C109)-ROW(C$12),0)=0,"",OFFSET(PO!N$12,ROW(C109)-ROW(C$12),0))</f>
        <v xml:space="preserve">PLACA DE SINALIZACAO DE SEGURANCA CONTRA INCENDIO, FOTOLUMINESCENTE, QUADRADA, *20 X 20* CM, EM PVC *2* MM ANTI-CHAMAS (SIMBOLOS, CORES E PICTOGRAMAS CONFORME NBR 16820)                                                                                                                                                                                                                                                                                                                                 </v>
      </c>
      <c r="D109" s="129" t="str">
        <f ca="1">IF(OFFSET(PO!O$12,ROW(D109)-ROW(D$12),0)=0,"",OFFSET(PO!O$12,ROW(D109)-ROW(D$12),0))</f>
        <v xml:space="preserve">UN    </v>
      </c>
      <c r="E109" s="165">
        <f ca="1">IF($A109&lt;&gt;"Serviço",0,ROUND(SUMIF($F$9:$P$9,"&lt;&gt;",$F109:$P109),15-13*PO!$X$3))</f>
        <v>10</v>
      </c>
      <c r="F109" s="215">
        <f ca="1">OFFSET(PO!$P$12,ROW($E109)-ROW(F$12),0)</f>
        <v>10</v>
      </c>
      <c r="G109" s="215"/>
      <c r="H109" s="215"/>
      <c r="I109" s="215"/>
      <c r="J109" s="215"/>
      <c r="K109" s="215"/>
      <c r="L109" s="215"/>
      <c r="M109" s="215"/>
      <c r="N109" s="215"/>
      <c r="O109" s="215"/>
      <c r="U109" s="215"/>
    </row>
    <row r="110" spans="1:21" s="4" customFormat="1" x14ac:dyDescent="0.2">
      <c r="A110" s="128" t="str">
        <f ca="1">OFFSET(PO!J$12,ROW(A110)-ROW($A$12),0)</f>
        <v>Nível 3</v>
      </c>
      <c r="B110" s="130" t="str">
        <f ca="1">IF($A110=0,"",OFFSET(PO!K$12,ROW(B110)-ROW(B$12),0))</f>
        <v>1.13.2.</v>
      </c>
      <c r="C110" s="127" t="str">
        <f ca="1">IF(OFFSET(PO!N$12,ROW(C110)-ROW(C$12),0)=0,"",OFFSET(PO!N$12,ROW(C110)-ROW(C$12),0))</f>
        <v>ALARME DE INCÊNDIO</v>
      </c>
      <c r="D110" s="129" t="str">
        <f ca="1">IF(OFFSET(PO!O$12,ROW(D110)-ROW(D$12),0)=0,"",OFFSET(PO!O$12,ROW(D110)-ROW(D$12),0))</f>
        <v/>
      </c>
      <c r="E110" s="165">
        <f ca="1">IF($A110&lt;&gt;"Serviço",0,ROUND(SUMIF($F$9:$P$9,"&lt;&gt;",$F110:$P110),15-13*PO!$X$3))</f>
        <v>0</v>
      </c>
      <c r="F110" s="215">
        <f ca="1">OFFSET(PO!$P$12,ROW($E110)-ROW(F$12),0)</f>
        <v>0</v>
      </c>
      <c r="G110" s="215"/>
      <c r="H110" s="215"/>
      <c r="I110" s="215"/>
      <c r="J110" s="215"/>
      <c r="K110" s="215"/>
      <c r="L110" s="215"/>
      <c r="M110" s="215"/>
      <c r="N110" s="215"/>
      <c r="O110" s="215"/>
      <c r="U110" s="215"/>
    </row>
    <row r="111" spans="1:21" s="4" customFormat="1" ht="38.25" x14ac:dyDescent="0.2">
      <c r="A111" s="128" t="str">
        <f ca="1">OFFSET(PO!J$12,ROW(A111)-ROW($A$12),0)</f>
        <v>Serviço</v>
      </c>
      <c r="B111" s="130" t="str">
        <f ca="1">IF($A111=0,"",OFFSET(PO!K$12,ROW(B111)-ROW(B$12),0))</f>
        <v>1.13.2.1.</v>
      </c>
      <c r="C111" s="127" t="str">
        <f ca="1">IF(OFFSET(PO!N$12,ROW(C111)-ROW(C$12),0)=0,"",OFFSET(PO!N$12,ROW(C111)-ROW(C$12),0))</f>
        <v>ELETRODUTO DE AÇO GALVANIZADO, CLASSE LEVE, DN 20 MM (3/4), APARENTE, INSTALADO EM PAREDE - FORNECIMENTO E INSTALAÇÃO. AF_11/2016_P REFERENCIA SINAPI 95749</v>
      </c>
      <c r="D111" s="129" t="str">
        <f ca="1">IF(OFFSET(PO!O$12,ROW(D111)-ROW(D$12),0)=0,"",OFFSET(PO!O$12,ROW(D111)-ROW(D$12),0))</f>
        <v>M</v>
      </c>
      <c r="E111" s="165">
        <f ca="1">IF($A111&lt;&gt;"Serviço",0,ROUND(SUMIF($F$9:$P$9,"&lt;&gt;",$F111:$P111),15-13*PO!$X$3))</f>
        <v>120.45</v>
      </c>
      <c r="F111" s="215">
        <f ca="1">OFFSET(PO!$P$12,ROW($E111)-ROW(F$12),0)</f>
        <v>120.45</v>
      </c>
      <c r="G111" s="215"/>
      <c r="H111" s="215"/>
      <c r="I111" s="215"/>
      <c r="J111" s="215"/>
      <c r="K111" s="215"/>
      <c r="L111" s="215"/>
      <c r="M111" s="215"/>
      <c r="N111" s="215"/>
      <c r="O111" s="215"/>
      <c r="U111" s="215"/>
    </row>
    <row r="112" spans="1:21" s="4" customFormat="1" ht="25.5" x14ac:dyDescent="0.2">
      <c r="A112" s="128" t="str">
        <f ca="1">OFFSET(PO!J$12,ROW(A112)-ROW($A$12),0)</f>
        <v>Serviço</v>
      </c>
      <c r="B112" s="130" t="str">
        <f ca="1">IF($A112=0,"",OFFSET(PO!K$12,ROW(B112)-ROW(B$12),0))</f>
        <v>1.13.2.2.</v>
      </c>
      <c r="C112" s="127" t="str">
        <f ca="1">IF(OFFSET(PO!N$12,ROW(C112)-ROW(C$12),0)=0,"",OFFSET(PO!N$12,ROW(C112)-ROW(C$12),0))</f>
        <v xml:space="preserve">CURVA 90 GRAUS, PARA ELETRODUTO, EM ACO GALVANIZADO ELETROLITICO, DIAMETRO DE 20 MM (3/4")                                                                                                                                                                                                                                                                                                                                                                                                                </v>
      </c>
      <c r="D112" s="129" t="str">
        <f ca="1">IF(OFFSET(PO!O$12,ROW(D112)-ROW(D$12),0)=0,"",OFFSET(PO!O$12,ROW(D112)-ROW(D$12),0))</f>
        <v xml:space="preserve">UN    </v>
      </c>
      <c r="E112" s="165">
        <f ca="1">IF($A112&lt;&gt;"Serviço",0,ROUND(SUMIF($F$9:$P$9,"&lt;&gt;",$F112:$P112),15-13*PO!$X$3))</f>
        <v>18</v>
      </c>
      <c r="F112" s="215">
        <f ca="1">OFFSET(PO!$P$12,ROW($E112)-ROW(F$12),0)</f>
        <v>18</v>
      </c>
      <c r="G112" s="215"/>
      <c r="H112" s="215"/>
      <c r="I112" s="215"/>
      <c r="J112" s="215"/>
      <c r="K112" s="215"/>
      <c r="L112" s="215"/>
      <c r="M112" s="215"/>
      <c r="N112" s="215"/>
      <c r="O112" s="215"/>
      <c r="U112" s="215"/>
    </row>
    <row r="113" spans="1:21" s="4" customFormat="1" ht="38.25" x14ac:dyDescent="0.2">
      <c r="A113" s="128" t="str">
        <f ca="1">OFFSET(PO!J$12,ROW(A113)-ROW($A$12),0)</f>
        <v>Serviço</v>
      </c>
      <c r="B113" s="130" t="str">
        <f ca="1">IF($A113=0,"",OFFSET(PO!K$12,ROW(B113)-ROW(B$12),0))</f>
        <v>1.13.2.3.</v>
      </c>
      <c r="C113" s="127" t="str">
        <f ca="1">IF(OFFSET(PO!N$12,ROW(C113)-ROW(C$12),0)=0,"",OFFSET(PO!N$12,ROW(C113)-ROW(C$12),0))</f>
        <v>CABO DE COBRE FLEXÍVEL ISOLADO, 1,5 MM², ANTI-CHAMA 450/750 V, PARA CIRCUITOS TERMINAIS - FORNECIMENTO E INSTALAÇÃO. AF_03/2023</v>
      </c>
      <c r="D113" s="129" t="str">
        <f ca="1">IF(OFFSET(PO!O$12,ROW(D113)-ROW(D$12),0)=0,"",OFFSET(PO!O$12,ROW(D113)-ROW(D$12),0))</f>
        <v>M</v>
      </c>
      <c r="E113" s="165">
        <f ca="1">IF($A113&lt;&gt;"Serviço",0,ROUND(SUMIF($F$9:$P$9,"&lt;&gt;",$F113:$P113),15-13*PO!$X$3))</f>
        <v>400</v>
      </c>
      <c r="F113" s="215">
        <f ca="1">OFFSET(PO!$P$12,ROW($E113)-ROW(F$12),0)</f>
        <v>400</v>
      </c>
      <c r="G113" s="215"/>
      <c r="H113" s="215"/>
      <c r="I113" s="215"/>
      <c r="J113" s="215"/>
      <c r="K113" s="215"/>
      <c r="L113" s="215"/>
      <c r="M113" s="215"/>
      <c r="N113" s="215"/>
      <c r="O113" s="215"/>
      <c r="U113" s="215"/>
    </row>
    <row r="114" spans="1:21" s="4" customFormat="1" ht="25.5" x14ac:dyDescent="0.2">
      <c r="A114" s="128" t="str">
        <f ca="1">OFFSET(PO!J$12,ROW(A114)-ROW($A$12),0)</f>
        <v>Serviço</v>
      </c>
      <c r="B114" s="130" t="str">
        <f ca="1">IF($A114=0,"",OFFSET(PO!K$12,ROW(B114)-ROW(B$12),0))</f>
        <v>1.13.2.4.</v>
      </c>
      <c r="C114" s="127" t="str">
        <f ca="1">IF(OFFSET(PO!N$12,ROW(C114)-ROW(C$12),0)=0,"",OFFSET(PO!N$12,ROW(C114)-ROW(C$12),0))</f>
        <v>ACIONADOR MANUAL DE ALARME DE INCÊNDIO</v>
      </c>
      <c r="D114" s="129" t="str">
        <f ca="1">IF(OFFSET(PO!O$12,ROW(D114)-ROW(D$12),0)=0,"",OFFSET(PO!O$12,ROW(D114)-ROW(D$12),0))</f>
        <v>UNIDADE</v>
      </c>
      <c r="E114" s="165">
        <f ca="1">IF($A114&lt;&gt;"Serviço",0,ROUND(SUMIF($F$9:$P$9,"&lt;&gt;",$F114:$P114),15-13*PO!$X$3))</f>
        <v>7</v>
      </c>
      <c r="F114" s="215">
        <f ca="1">OFFSET(PO!$P$12,ROW($E114)-ROW(F$12),0)</f>
        <v>7</v>
      </c>
      <c r="G114" s="215"/>
      <c r="H114" s="215"/>
      <c r="I114" s="215"/>
      <c r="J114" s="215"/>
      <c r="K114" s="215"/>
      <c r="L114" s="215"/>
      <c r="M114" s="215"/>
      <c r="N114" s="215"/>
      <c r="O114" s="215"/>
      <c r="U114" s="215"/>
    </row>
    <row r="115" spans="1:21" s="4" customFormat="1" ht="25.5" x14ac:dyDescent="0.2">
      <c r="A115" s="128" t="str">
        <f ca="1">OFFSET(PO!J$12,ROW(A115)-ROW($A$12),0)</f>
        <v>Serviço</v>
      </c>
      <c r="B115" s="130" t="str">
        <f ca="1">IF($A115=0,"",OFFSET(PO!K$12,ROW(B115)-ROW(B$12),0))</f>
        <v>1.13.2.5.</v>
      </c>
      <c r="C115" s="127" t="str">
        <f ca="1">IF(OFFSET(PO!N$12,ROW(C115)-ROW(C$12),0)=0,"",OFFSET(PO!N$12,ROW(C115)-ROW(C$12),0))</f>
        <v>CENTRAL DE ALARME CONVENCIONAL COM BATERIA</v>
      </c>
      <c r="D115" s="129" t="str">
        <f ca="1">IF(OFFSET(PO!O$12,ROW(D115)-ROW(D$12),0)=0,"",OFFSET(PO!O$12,ROW(D115)-ROW(D$12),0))</f>
        <v>UNIDADE</v>
      </c>
      <c r="E115" s="165">
        <f ca="1">IF($A115&lt;&gt;"Serviço",0,ROUND(SUMIF($F$9:$P$9,"&lt;&gt;",$F115:$P115),15-13*PO!$X$3))</f>
        <v>1</v>
      </c>
      <c r="F115" s="215">
        <f ca="1">OFFSET(PO!$P$12,ROW($E115)-ROW(F$12),0)</f>
        <v>1</v>
      </c>
      <c r="G115" s="215"/>
      <c r="H115" s="215"/>
      <c r="I115" s="215"/>
      <c r="J115" s="215"/>
      <c r="K115" s="215"/>
      <c r="L115" s="215"/>
      <c r="M115" s="215"/>
      <c r="N115" s="215"/>
      <c r="O115" s="215"/>
      <c r="U115" s="215"/>
    </row>
    <row r="116" spans="1:21" s="4" customFormat="1" ht="51" x14ac:dyDescent="0.2">
      <c r="A116" s="128" t="str">
        <f ca="1">OFFSET(PO!J$12,ROW(A116)-ROW($A$12),0)</f>
        <v>Serviço</v>
      </c>
      <c r="B116" s="130" t="str">
        <f ca="1">IF($A116=0,"",OFFSET(PO!K$12,ROW(B116)-ROW(B$12),0))</f>
        <v>1.13.2.6.</v>
      </c>
      <c r="C116" s="127" t="str">
        <f ca="1">IF(OFFSET(PO!N$12,ROW(C116)-ROW(C$12),0)=0,"",OFFSET(PO!N$12,ROW(C116)-ROW(C$12),0))</f>
        <v>SIRENE ELETRÔNICA AUDIOVISUAL 12V - BITONAL ELETRÔNICA; COR: BRANCA C/ TAMPA VERMELHA TRANSLÚCIDA; ILUMINAÇÃO: LUZ VERMELHA PISCANTE; SIRENE EM ABS; APLICAÇÃO: INCÊNDIO</v>
      </c>
      <c r="D116" s="129" t="str">
        <f ca="1">IF(OFFSET(PO!O$12,ROW(D116)-ROW(D$12),0)=0,"",OFFSET(PO!O$12,ROW(D116)-ROW(D$12),0))</f>
        <v>UNIDADE</v>
      </c>
      <c r="E116" s="165">
        <f ca="1">IF($A116&lt;&gt;"Serviço",0,ROUND(SUMIF($F$9:$P$9,"&lt;&gt;",$F116:$P116),15-13*PO!$X$3))</f>
        <v>7</v>
      </c>
      <c r="F116" s="215">
        <f ca="1">OFFSET(PO!$P$12,ROW($E116)-ROW(F$12),0)</f>
        <v>7</v>
      </c>
      <c r="G116" s="215"/>
      <c r="H116" s="215"/>
      <c r="I116" s="215"/>
      <c r="J116" s="215"/>
      <c r="K116" s="215"/>
      <c r="L116" s="215"/>
      <c r="M116" s="215"/>
      <c r="N116" s="215"/>
      <c r="O116" s="215"/>
      <c r="U116" s="215"/>
    </row>
    <row r="117" spans="1:21" s="4" customFormat="1" ht="25.5" x14ac:dyDescent="0.2">
      <c r="A117" s="128" t="str">
        <f ca="1">OFFSET(PO!J$12,ROW(A117)-ROW($A$12),0)</f>
        <v>Serviço</v>
      </c>
      <c r="B117" s="130" t="str">
        <f ca="1">IF($A117=0,"",OFFSET(PO!K$12,ROW(B117)-ROW(B$12),0))</f>
        <v>1.13.2.7.</v>
      </c>
      <c r="C117" s="127" t="str">
        <f ca="1">IF(OFFSET(PO!N$12,ROW(C117)-ROW(C$12),0)=0,"",OFFSET(PO!N$12,ROW(C117)-ROW(C$12),0))</f>
        <v>DISJUNTOR BIPOLAR TIPO NEMA, CORRENTE NOMINAL DE 10 ATÉ 50A - FORNECIMENTO E INSTALAÇÃO. AF_10/2020</v>
      </c>
      <c r="D117" s="129" t="str">
        <f ca="1">IF(OFFSET(PO!O$12,ROW(D117)-ROW(D$12),0)=0,"",OFFSET(PO!O$12,ROW(D117)-ROW(D$12),0))</f>
        <v>UN</v>
      </c>
      <c r="E117" s="165">
        <f ca="1">IF($A117&lt;&gt;"Serviço",0,ROUND(SUMIF($F$9:$P$9,"&lt;&gt;",$F117:$P117),15-13*PO!$X$3))</f>
        <v>1</v>
      </c>
      <c r="F117" s="215">
        <f ca="1">OFFSET(PO!$P$12,ROW($E117)-ROW(F$12),0)</f>
        <v>1</v>
      </c>
      <c r="G117" s="215"/>
      <c r="H117" s="215"/>
      <c r="I117" s="215"/>
      <c r="J117" s="215"/>
      <c r="K117" s="215"/>
      <c r="L117" s="215"/>
      <c r="M117" s="215"/>
      <c r="N117" s="215"/>
      <c r="O117" s="215"/>
      <c r="U117" s="215"/>
    </row>
    <row r="118" spans="1:21" s="4" customFormat="1" x14ac:dyDescent="0.2">
      <c r="A118" s="128" t="str">
        <f ca="1">OFFSET(PO!J$12,ROW(A118)-ROW($A$12),0)</f>
        <v>Nível 3</v>
      </c>
      <c r="B118" s="130" t="str">
        <f ca="1">IF($A118=0,"",OFFSET(PO!K$12,ROW(B118)-ROW(B$12),0))</f>
        <v>1.13.3.</v>
      </c>
      <c r="C118" s="127" t="str">
        <f ca="1">IF(OFFSET(PO!N$12,ROW(C118)-ROW(C$12),0)=0,"",OFFSET(PO!N$12,ROW(C118)-ROW(C$12),0))</f>
        <v>HIDRANTE E MANGOTINHO</v>
      </c>
      <c r="D118" s="129" t="str">
        <f ca="1">IF(OFFSET(PO!O$12,ROW(D118)-ROW(D$12),0)=0,"",OFFSET(PO!O$12,ROW(D118)-ROW(D$12),0))</f>
        <v/>
      </c>
      <c r="E118" s="165">
        <f ca="1">IF($A118&lt;&gt;"Serviço",0,ROUND(SUMIF($F$9:$P$9,"&lt;&gt;",$F118:$P118),15-13*PO!$X$3))</f>
        <v>0</v>
      </c>
      <c r="F118" s="215">
        <f ca="1">OFFSET(PO!$P$12,ROW($E118)-ROW(F$12),0)</f>
        <v>0</v>
      </c>
      <c r="G118" s="215"/>
      <c r="H118" s="215"/>
      <c r="I118" s="215"/>
      <c r="J118" s="215"/>
      <c r="K118" s="215"/>
      <c r="L118" s="215"/>
      <c r="M118" s="215"/>
      <c r="N118" s="215"/>
      <c r="O118" s="215"/>
      <c r="U118" s="215"/>
    </row>
    <row r="119" spans="1:21" s="4" customFormat="1" ht="63.75" x14ac:dyDescent="0.2">
      <c r="A119" s="128" t="str">
        <f ca="1">OFFSET(PO!J$12,ROW(A119)-ROW($A$12),0)</f>
        <v>Serviço</v>
      </c>
      <c r="B119" s="130" t="str">
        <f ca="1">IF($A119=0,"",OFFSET(PO!K$12,ROW(B119)-ROW(B$12),0))</f>
        <v>1.13.3.1.</v>
      </c>
      <c r="C119" s="127" t="str">
        <f ca="1">IF(OFFSET(PO!N$12,ROW(C119)-ROW(C$12),0)=0,"",OFFSET(PO!N$12,ROW(C119)-ROW(C$12),0))</f>
        <v>ABRIGO PARA HIDRANTE, 75X45X17CM, COM REGISTRO GLOBO ANGULAR 45 GRAUS 2 1/2", ADAPTADOR STORZ 2 1/2", MANGUEIRA DE INCÊNDIO 15M 2 1/2" E ESGUICHO EM LATÃO 2 1/2" - FORNECIMENTO E INSTALAÇÃO. AF_10/2020 REFERENCIA SINAPI 101912</v>
      </c>
      <c r="D119" s="129" t="str">
        <f ca="1">IF(OFFSET(PO!O$12,ROW(D119)-ROW(D$12),0)=0,"",OFFSET(PO!O$12,ROW(D119)-ROW(D$12),0))</f>
        <v xml:space="preserve">UN    </v>
      </c>
      <c r="E119" s="165">
        <f ca="1">IF($A119&lt;&gt;"Serviço",0,ROUND(SUMIF($F$9:$P$9,"&lt;&gt;",$F119:$P119),15-13*PO!$X$3))</f>
        <v>3</v>
      </c>
      <c r="F119" s="215">
        <f ca="1">OFFSET(PO!$P$12,ROW($E119)-ROW(F$12),0)</f>
        <v>3</v>
      </c>
      <c r="G119" s="215"/>
      <c r="H119" s="215"/>
      <c r="I119" s="215"/>
      <c r="J119" s="215"/>
      <c r="K119" s="215"/>
      <c r="L119" s="215"/>
      <c r="M119" s="215"/>
      <c r="N119" s="215"/>
      <c r="O119" s="215"/>
      <c r="U119" s="215"/>
    </row>
    <row r="120" spans="1:21" s="4" customFormat="1" ht="51" x14ac:dyDescent="0.2">
      <c r="A120" s="128" t="str">
        <f ca="1">OFFSET(PO!J$12,ROW(A120)-ROW($A$12),0)</f>
        <v>Serviço</v>
      </c>
      <c r="B120" s="130" t="str">
        <f ca="1">IF($A120=0,"",OFFSET(PO!K$12,ROW(B120)-ROW(B$12),0))</f>
        <v>1.13.3.2.</v>
      </c>
      <c r="C120" s="127" t="str">
        <f ca="1">IF(OFFSET(PO!N$12,ROW(C120)-ROW(C$12),0)=0,"",OFFSET(PO!N$12,ROW(C120)-ROW(C$12),0))</f>
        <v>TUBO DE AÇO GALVANIZADO COM COSTURA, CLASSE MÉDIA, DN 65 (2 1/2"), CONEXÃO ROSQUEADA, INSTALADO EM REDE DE ALIMENTAÇÃO PARA HIDRANTE - FORNECIMENTO E INSTALAÇÃO. AF_10/2020</v>
      </c>
      <c r="D120" s="129" t="str">
        <f ca="1">IF(OFFSET(PO!O$12,ROW(D120)-ROW(D$12),0)=0,"",OFFSET(PO!O$12,ROW(D120)-ROW(D$12),0))</f>
        <v>M</v>
      </c>
      <c r="E120" s="165">
        <f ca="1">IF($A120&lt;&gt;"Serviço",0,ROUND(SUMIF($F$9:$P$9,"&lt;&gt;",$F120:$P120),15-13*PO!$X$3))</f>
        <v>59</v>
      </c>
      <c r="F120" s="215">
        <f ca="1">OFFSET(PO!$P$12,ROW($E120)-ROW(F$12),0)</f>
        <v>59</v>
      </c>
      <c r="G120" s="215"/>
      <c r="H120" s="215"/>
      <c r="I120" s="215"/>
      <c r="J120" s="215"/>
      <c r="K120" s="215"/>
      <c r="L120" s="215"/>
      <c r="M120" s="215"/>
      <c r="N120" s="215"/>
      <c r="O120" s="215"/>
      <c r="U120" s="215"/>
    </row>
    <row r="121" spans="1:21" s="4" customFormat="1" ht="38.25" x14ac:dyDescent="0.2">
      <c r="A121" s="128" t="str">
        <f ca="1">OFFSET(PO!J$12,ROW(A121)-ROW($A$12),0)</f>
        <v>Serviço</v>
      </c>
      <c r="B121" s="130" t="str">
        <f ca="1">IF($A121=0,"",OFFSET(PO!K$12,ROW(B121)-ROW(B$12),0))</f>
        <v>1.13.3.3.</v>
      </c>
      <c r="C121" s="127" t="str">
        <f ca="1">IF(OFFSET(PO!N$12,ROW(C121)-ROW(C$12),0)=0,"",OFFSET(PO!N$12,ROW(C121)-ROW(C$12),0))</f>
        <v>TÊ, EM FERRO GALVANIZADO, CONEXÃO ROSQUEADA, DN 65 (2 1/2"), INSTALADO EM REDE DE ALIMENTAÇÃO PARA HIDRANTE - FORNECIMENTO E INSTALAÇÃO. AF_10/2020</v>
      </c>
      <c r="D121" s="129" t="str">
        <f ca="1">IF(OFFSET(PO!O$12,ROW(D121)-ROW(D$12),0)=0,"",OFFSET(PO!O$12,ROW(D121)-ROW(D$12),0))</f>
        <v>UN</v>
      </c>
      <c r="E121" s="165">
        <f ca="1">IF($A121&lt;&gt;"Serviço",0,ROUND(SUMIF($F$9:$P$9,"&lt;&gt;",$F121:$P121),15-13*PO!$X$3))</f>
        <v>2</v>
      </c>
      <c r="F121" s="215">
        <f ca="1">OFFSET(PO!$P$12,ROW($E121)-ROW(F$12),0)</f>
        <v>2</v>
      </c>
      <c r="G121" s="215"/>
      <c r="H121" s="215"/>
      <c r="I121" s="215"/>
      <c r="J121" s="215"/>
      <c r="K121" s="215"/>
      <c r="L121" s="215"/>
      <c r="M121" s="215"/>
      <c r="N121" s="215"/>
      <c r="O121" s="215"/>
      <c r="U121" s="215"/>
    </row>
    <row r="122" spans="1:21" s="4" customFormat="1" ht="51" x14ac:dyDescent="0.2">
      <c r="A122" s="128" t="str">
        <f ca="1">OFFSET(PO!J$12,ROW(A122)-ROW($A$12),0)</f>
        <v>Serviço</v>
      </c>
      <c r="B122" s="130" t="str">
        <f ca="1">IF($A122=0,"",OFFSET(PO!K$12,ROW(B122)-ROW(B$12),0))</f>
        <v>1.13.3.4.</v>
      </c>
      <c r="C122" s="127" t="str">
        <f ca="1">IF(OFFSET(PO!N$12,ROW(C122)-ROW(C$12),0)=0,"",OFFSET(PO!N$12,ROW(C122)-ROW(C$12),0))</f>
        <v>JOELHO 90 GRAUS, EM FERRO GALVANIZADO, DN 65 (2 1/2"), CONEXÃO ROSQUEADA, INSTALADO EM REDE DE ALIMENTAÇÃO PARA HIDRANTE - FORNECIMENTO E INSTALAÇÃO. AF_10/2020</v>
      </c>
      <c r="D122" s="129" t="str">
        <f ca="1">IF(OFFSET(PO!O$12,ROW(D122)-ROW(D$12),0)=0,"",OFFSET(PO!O$12,ROW(D122)-ROW(D$12),0))</f>
        <v>UN</v>
      </c>
      <c r="E122" s="165">
        <f ca="1">IF($A122&lt;&gt;"Serviço",0,ROUND(SUMIF($F$9:$P$9,"&lt;&gt;",$F122:$P122),15-13*PO!$X$3))</f>
        <v>5</v>
      </c>
      <c r="F122" s="215">
        <f ca="1">OFFSET(PO!$P$12,ROW($E122)-ROW(F$12),0)</f>
        <v>5</v>
      </c>
      <c r="G122" s="215"/>
      <c r="H122" s="215"/>
      <c r="I122" s="215"/>
      <c r="J122" s="215"/>
      <c r="K122" s="215"/>
      <c r="L122" s="215"/>
      <c r="M122" s="215"/>
      <c r="N122" s="215"/>
      <c r="O122" s="215"/>
      <c r="U122" s="215"/>
    </row>
    <row r="123" spans="1:21" s="4" customFormat="1" ht="25.5" x14ac:dyDescent="0.2">
      <c r="A123" s="128" t="str">
        <f ca="1">OFFSET(PO!J$12,ROW(A123)-ROW($A$12),0)</f>
        <v>Serviço</v>
      </c>
      <c r="B123" s="130" t="str">
        <f ca="1">IF($A123=0,"",OFFSET(PO!K$12,ROW(B123)-ROW(B$12),0))</f>
        <v>1.13.3.5.</v>
      </c>
      <c r="C123" s="127" t="str">
        <f ca="1">IF(OFFSET(PO!N$12,ROW(C123)-ROW(C$12),0)=0,"",OFFSET(PO!N$12,ROW(C123)-ROW(C$12),0))</f>
        <v xml:space="preserve">REGISTRO GAVETA BRUTO EM LATAO FORJADO, BITOLA 2 1/2 " (REF 1509)                                                                                                                                                                                                                                                                                                                                                                                                                                         </v>
      </c>
      <c r="D123" s="129" t="str">
        <f ca="1">IF(OFFSET(PO!O$12,ROW(D123)-ROW(D$12),0)=0,"",OFFSET(PO!O$12,ROW(D123)-ROW(D$12),0))</f>
        <v xml:space="preserve">UN    </v>
      </c>
      <c r="E123" s="165">
        <f ca="1">IF($A123&lt;&gt;"Serviço",0,ROUND(SUMIF($F$9:$P$9,"&lt;&gt;",$F123:$P123),15-13*PO!$X$3))</f>
        <v>1</v>
      </c>
      <c r="F123" s="215">
        <f ca="1">OFFSET(PO!$P$12,ROW($E123)-ROW(F$12),0)</f>
        <v>1</v>
      </c>
      <c r="G123" s="215"/>
      <c r="H123" s="215"/>
      <c r="I123" s="215"/>
      <c r="J123" s="215"/>
      <c r="K123" s="215"/>
      <c r="L123" s="215"/>
      <c r="M123" s="215"/>
      <c r="N123" s="215"/>
      <c r="O123" s="215"/>
      <c r="U123" s="215"/>
    </row>
    <row r="124" spans="1:21" s="4" customFormat="1" ht="38.25" x14ac:dyDescent="0.2">
      <c r="A124" s="128" t="str">
        <f ca="1">OFFSET(PO!J$12,ROW(A124)-ROW($A$12),0)</f>
        <v>Serviço</v>
      </c>
      <c r="B124" s="130" t="str">
        <f ca="1">IF($A124=0,"",OFFSET(PO!K$12,ROW(B124)-ROW(B$12),0))</f>
        <v>1.13.3.6.</v>
      </c>
      <c r="C124" s="127" t="str">
        <f ca="1">IF(OFFSET(PO!N$12,ROW(C124)-ROW(C$12),0)=0,"",OFFSET(PO!N$12,ROW(C124)-ROW(C$12),0))</f>
        <v>VÁLVULA DE RETENÇÃO HORIZONTAL, DE BRONZE, ROSCÁVEL, 2 1/2" - FORNECIMENTO E INSTALAÇÃO. AF_08/2021</v>
      </c>
      <c r="D124" s="129" t="str">
        <f ca="1">IF(OFFSET(PO!O$12,ROW(D124)-ROW(D$12),0)=0,"",OFFSET(PO!O$12,ROW(D124)-ROW(D$12),0))</f>
        <v>UN</v>
      </c>
      <c r="E124" s="165">
        <f ca="1">IF($A124&lt;&gt;"Serviço",0,ROUND(SUMIF($F$9:$P$9,"&lt;&gt;",$F124:$P124),15-13*PO!$X$3))</f>
        <v>1</v>
      </c>
      <c r="F124" s="215">
        <f ca="1">OFFSET(PO!$P$12,ROW($E124)-ROW(F$12),0)</f>
        <v>1</v>
      </c>
      <c r="G124" s="215"/>
      <c r="H124" s="215"/>
      <c r="I124" s="215"/>
      <c r="J124" s="215"/>
      <c r="K124" s="215"/>
      <c r="L124" s="215"/>
      <c r="M124" s="215"/>
      <c r="N124" s="215"/>
      <c r="O124" s="215"/>
      <c r="U124" s="215"/>
    </row>
    <row r="125" spans="1:21" s="4" customFormat="1" ht="51" x14ac:dyDescent="0.2">
      <c r="A125" s="128" t="str">
        <f ca="1">OFFSET(PO!J$12,ROW(A125)-ROW($A$12),0)</f>
        <v>Serviço</v>
      </c>
      <c r="B125" s="130" t="str">
        <f ca="1">IF($A125=0,"",OFFSET(PO!K$12,ROW(B125)-ROW(B$12),0))</f>
        <v>1.13.3.7.</v>
      </c>
      <c r="C125" s="127" t="str">
        <f ca="1">IF(OFFSET(PO!N$12,ROW(C125)-ROW(C$12),0)=0,"",OFFSET(PO!N$12,ROW(C125)-ROW(C$12),0))</f>
        <v>CONJUNTO HIDRÁULICO PARA INSTALAÇÃO DE BOMBA EM AÇO ROSCÁVEL, DN SUCÇÃO 32 (1 1/4) E DN RECALQUE 25 (1), PARA EDIFICAÇÃO ATÉ 4 PAVIMENTOS  FORNECIMENTO E INSTALAÇÃO. AF_06/2016</v>
      </c>
      <c r="D125" s="129" t="str">
        <f ca="1">IF(OFFSET(PO!O$12,ROW(D125)-ROW(D$12),0)=0,"",OFFSET(PO!O$12,ROW(D125)-ROW(D$12),0))</f>
        <v>UN</v>
      </c>
      <c r="E125" s="165">
        <f ca="1">IF($A125&lt;&gt;"Serviço",0,ROUND(SUMIF($F$9:$P$9,"&lt;&gt;",$F125:$P125),15-13*PO!$X$3))</f>
        <v>1</v>
      </c>
      <c r="F125" s="215">
        <f ca="1">OFFSET(PO!$P$12,ROW($E125)-ROW(F$12),0)</f>
        <v>1</v>
      </c>
      <c r="G125" s="215"/>
      <c r="H125" s="215"/>
      <c r="I125" s="215"/>
      <c r="J125" s="215"/>
      <c r="K125" s="215"/>
      <c r="L125" s="215"/>
      <c r="M125" s="215"/>
      <c r="N125" s="215"/>
      <c r="O125" s="215"/>
      <c r="U125" s="215"/>
    </row>
    <row r="126" spans="1:21" s="4" customFormat="1" ht="25.5" x14ac:dyDescent="0.2">
      <c r="A126" s="128" t="str">
        <f ca="1">OFFSET(PO!J$12,ROW(A126)-ROW($A$12),0)</f>
        <v>Serviço</v>
      </c>
      <c r="B126" s="130" t="str">
        <f ca="1">IF($A126=0,"",OFFSET(PO!K$12,ROW(B126)-ROW(B$12),0))</f>
        <v>1.13.3.8.</v>
      </c>
      <c r="C126" s="127" t="str">
        <f ca="1">IF(OFFSET(PO!N$12,ROW(C126)-ROW(C$12),0)=0,"",OFFSET(PO!N$12,ROW(C126)-ROW(C$12),0))</f>
        <v>BOMBA PRINCIPAL CENTRÍFUGA 5 CV  TRIFASICA</v>
      </c>
      <c r="D126" s="129" t="str">
        <f ca="1">IF(OFFSET(PO!O$12,ROW(D126)-ROW(D$12),0)=0,"",OFFSET(PO!O$12,ROW(D126)-ROW(D$12),0))</f>
        <v>UNIDADE</v>
      </c>
      <c r="E126" s="165">
        <f ca="1">IF($A126&lt;&gt;"Serviço",0,ROUND(SUMIF($F$9:$P$9,"&lt;&gt;",$F126:$P126),15-13*PO!$X$3))</f>
        <v>1</v>
      </c>
      <c r="F126" s="215">
        <f ca="1">OFFSET(PO!$P$12,ROW($E126)-ROW(F$12),0)</f>
        <v>1</v>
      </c>
      <c r="G126" s="215"/>
      <c r="H126" s="215"/>
      <c r="I126" s="215"/>
      <c r="J126" s="215"/>
      <c r="K126" s="215"/>
      <c r="L126" s="215"/>
      <c r="M126" s="215"/>
      <c r="N126" s="215"/>
      <c r="O126" s="215"/>
      <c r="U126" s="215"/>
    </row>
    <row r="127" spans="1:21" s="4" customFormat="1" ht="25.5" x14ac:dyDescent="0.2">
      <c r="A127" s="128" t="str">
        <f ca="1">OFFSET(PO!J$12,ROW(A127)-ROW($A$12),0)</f>
        <v>Serviço</v>
      </c>
      <c r="B127" s="130" t="str">
        <f ca="1">IF($A127=0,"",OFFSET(PO!K$12,ROW(B127)-ROW(B$12),0))</f>
        <v>1.13.3.9.</v>
      </c>
      <c r="C127" s="127" t="str">
        <f ca="1">IF(OFFSET(PO!N$12,ROW(C127)-ROW(C$12),0)=0,"",OFFSET(PO!N$12,ROW(C127)-ROW(C$12),0))</f>
        <v xml:space="preserve">BOMBA AUXILIAR JOCKEY 1 CV </v>
      </c>
      <c r="D127" s="129" t="str">
        <f ca="1">IF(OFFSET(PO!O$12,ROW(D127)-ROW(D$12),0)=0,"",OFFSET(PO!O$12,ROW(D127)-ROW(D$12),0))</f>
        <v>UNIDADE</v>
      </c>
      <c r="E127" s="165">
        <f ca="1">IF($A127&lt;&gt;"Serviço",0,ROUND(SUMIF($F$9:$P$9,"&lt;&gt;",$F127:$P127),15-13*PO!$X$3))</f>
        <v>1</v>
      </c>
      <c r="F127" s="215">
        <f ca="1">OFFSET(PO!$P$12,ROW($E127)-ROW(F$12),0)</f>
        <v>1</v>
      </c>
      <c r="G127" s="215"/>
      <c r="H127" s="215"/>
      <c r="I127" s="215"/>
      <c r="J127" s="215"/>
      <c r="K127" s="215"/>
      <c r="L127" s="215"/>
      <c r="M127" s="215"/>
      <c r="N127" s="215"/>
      <c r="O127" s="215"/>
      <c r="U127" s="215"/>
    </row>
    <row r="128" spans="1:21" s="4" customFormat="1" ht="25.5" x14ac:dyDescent="0.2">
      <c r="A128" s="128" t="str">
        <f ca="1">OFFSET(PO!J$12,ROW(A128)-ROW($A$12),0)</f>
        <v>Serviço</v>
      </c>
      <c r="B128" s="130" t="str">
        <f ca="1">IF($A128=0,"",OFFSET(PO!K$12,ROW(B128)-ROW(B$12),0))</f>
        <v>1.13.3.10.</v>
      </c>
      <c r="C128" s="127" t="str">
        <f ca="1">IF(OFFSET(PO!N$12,ROW(C128)-ROW(C$12),0)=0,"",OFFSET(PO!N$12,ROW(C128)-ROW(C$12),0))</f>
        <v>QUADRO DE COMANDO PARA BOMBAS DE HIDRANTE: UMA PRINCIPAL E UMA AUXILIAR JOCKEY</v>
      </c>
      <c r="D128" s="129" t="str">
        <f ca="1">IF(OFFSET(PO!O$12,ROW(D128)-ROW(D$12),0)=0,"",OFFSET(PO!O$12,ROW(D128)-ROW(D$12),0))</f>
        <v>UNIDADE</v>
      </c>
      <c r="E128" s="165">
        <f ca="1">IF($A128&lt;&gt;"Serviço",0,ROUND(SUMIF($F$9:$P$9,"&lt;&gt;",$F128:$P128),15-13*PO!$X$3))</f>
        <v>1</v>
      </c>
      <c r="F128" s="215">
        <f ca="1">OFFSET(PO!$P$12,ROW($E128)-ROW(F$12),0)</f>
        <v>1</v>
      </c>
      <c r="G128" s="215"/>
      <c r="H128" s="215"/>
      <c r="I128" s="215"/>
      <c r="J128" s="215"/>
      <c r="K128" s="215"/>
      <c r="L128" s="215"/>
      <c r="M128" s="215"/>
      <c r="N128" s="215"/>
      <c r="O128" s="215"/>
      <c r="U128" s="215"/>
    </row>
    <row r="129" spans="1:21" s="4" customFormat="1" ht="38.25" x14ac:dyDescent="0.2">
      <c r="A129" s="128" t="str">
        <f ca="1">OFFSET(PO!J$12,ROW(A129)-ROW($A$12),0)</f>
        <v>Serviço</v>
      </c>
      <c r="B129" s="130" t="str">
        <f ca="1">IF($A129=0,"",OFFSET(PO!K$12,ROW(B129)-ROW(B$12),0))</f>
        <v>1.13.3.11.</v>
      </c>
      <c r="C129" s="127" t="str">
        <f ca="1">IF(OFFSET(PO!N$12,ROW(C129)-ROW(C$12),0)=0,"",OFFSET(PO!N$12,ROW(C129)-ROW(C$12),0))</f>
        <v>CABO DE COBRE FLEXÍVEL ISOLADO, 4 MM², ANTI-CHAMA 450/750 V, PARA CIRCUITOS TERMINAIS - FORNECIMENTO E INSTALAÇÃO. AF_03/2023</v>
      </c>
      <c r="D129" s="129" t="str">
        <f ca="1">IF(OFFSET(PO!O$12,ROW(D129)-ROW(D$12),0)=0,"",OFFSET(PO!O$12,ROW(D129)-ROW(D$12),0))</f>
        <v>M</v>
      </c>
      <c r="E129" s="165">
        <f ca="1">IF($A129&lt;&gt;"Serviço",0,ROUND(SUMIF($F$9:$P$9,"&lt;&gt;",$F129:$P129),15-13*PO!$X$3))</f>
        <v>30</v>
      </c>
      <c r="F129" s="215">
        <f ca="1">OFFSET(PO!$P$12,ROW($E129)-ROW(F$12),0)</f>
        <v>30</v>
      </c>
      <c r="G129" s="215"/>
      <c r="H129" s="215"/>
      <c r="I129" s="215"/>
      <c r="J129" s="215"/>
      <c r="K129" s="215"/>
      <c r="L129" s="215"/>
      <c r="M129" s="215"/>
      <c r="N129" s="215"/>
      <c r="O129" s="215"/>
      <c r="U129" s="215"/>
    </row>
    <row r="130" spans="1:21" s="4" customFormat="1" ht="25.5" x14ac:dyDescent="0.2">
      <c r="A130" s="128" t="str">
        <f ca="1">OFFSET(PO!J$12,ROW(A130)-ROW($A$12),0)</f>
        <v>Serviço</v>
      </c>
      <c r="B130" s="130" t="str">
        <f ca="1">IF($A130=0,"",OFFSET(PO!K$12,ROW(B130)-ROW(B$12),0))</f>
        <v>1.13.3.12.</v>
      </c>
      <c r="C130" s="127" t="str">
        <f ca="1">IF(OFFSET(PO!N$12,ROW(C130)-ROW(C$12),0)=0,"",OFFSET(PO!N$12,ROW(C130)-ROW(C$12),0))</f>
        <v>DISJUNTOR BIPOLAR TIPO NEMA, CORRENTE NOMINAL DE 10 ATÉ 50A - FORNECIMENTO E INSTALAÇÃO. AF_10/2020</v>
      </c>
      <c r="D130" s="129" t="str">
        <f ca="1">IF(OFFSET(PO!O$12,ROW(D130)-ROW(D$12),0)=0,"",OFFSET(PO!O$12,ROW(D130)-ROW(D$12),0))</f>
        <v>UN</v>
      </c>
      <c r="E130" s="165">
        <f ca="1">IF($A130&lt;&gt;"Serviço",0,ROUND(SUMIF($F$9:$P$9,"&lt;&gt;",$F130:$P130),15-13*PO!$X$3))</f>
        <v>1</v>
      </c>
      <c r="F130" s="215">
        <f ca="1">OFFSET(PO!$P$12,ROW($E130)-ROW(F$12),0)</f>
        <v>1</v>
      </c>
      <c r="G130" s="215"/>
      <c r="H130" s="215"/>
      <c r="I130" s="215"/>
      <c r="J130" s="215"/>
      <c r="K130" s="215"/>
      <c r="L130" s="215"/>
      <c r="M130" s="215"/>
      <c r="N130" s="215"/>
      <c r="O130" s="215"/>
      <c r="U130" s="215"/>
    </row>
    <row r="131" spans="1:21" s="4" customFormat="1" x14ac:dyDescent="0.2">
      <c r="A131" s="128" t="str">
        <f ca="1">OFFSET(PO!J$12,ROW(A131)-ROW($A$12),0)</f>
        <v>Nível 3</v>
      </c>
      <c r="B131" s="130" t="str">
        <f ca="1">IF($A131=0,"",OFFSET(PO!K$12,ROW(B131)-ROW(B$12),0))</f>
        <v>1.13.4.</v>
      </c>
      <c r="C131" s="127" t="str">
        <f ca="1">IF(OFFSET(PO!N$12,ROW(C131)-ROW(C$12),0)=0,"",OFFSET(PO!N$12,ROW(C131)-ROW(C$12),0))</f>
        <v>RESERVATÓRIO E PISO DE SUPORTE</v>
      </c>
      <c r="D131" s="129" t="str">
        <f ca="1">IF(OFFSET(PO!O$12,ROW(D131)-ROW(D$12),0)=0,"",OFFSET(PO!O$12,ROW(D131)-ROW(D$12),0))</f>
        <v/>
      </c>
      <c r="E131" s="165">
        <f ca="1">IF($A131&lt;&gt;"Serviço",0,ROUND(SUMIF($F$9:$P$9,"&lt;&gt;",$F131:$P131),15-13*PO!$X$3))</f>
        <v>0</v>
      </c>
      <c r="F131" s="215">
        <f ca="1">OFFSET(PO!$P$12,ROW($E131)-ROW(F$12),0)</f>
        <v>0</v>
      </c>
      <c r="G131" s="215"/>
      <c r="H131" s="215"/>
      <c r="I131" s="215"/>
      <c r="J131" s="215"/>
      <c r="K131" s="215"/>
      <c r="L131" s="215"/>
      <c r="M131" s="215"/>
      <c r="N131" s="215"/>
      <c r="O131" s="215"/>
      <c r="U131" s="215"/>
    </row>
    <row r="132" spans="1:21" s="4" customFormat="1" ht="25.5" x14ac:dyDescent="0.2">
      <c r="A132" s="128" t="str">
        <f ca="1">OFFSET(PO!J$12,ROW(A132)-ROW($A$12),0)</f>
        <v>Serviço</v>
      </c>
      <c r="B132" s="130" t="str">
        <f ca="1">IF($A132=0,"",OFFSET(PO!K$12,ROW(B132)-ROW(B$12),0))</f>
        <v>1.13.4.1.</v>
      </c>
      <c r="C132" s="127" t="str">
        <f ca="1">IF(OFFSET(PO!N$12,ROW(C132)-ROW(C$12),0)=0,"",OFFSET(PO!N$12,ROW(C132)-ROW(C$12),0))</f>
        <v>RESERVATÓRIO EM FIBRA DE VIDRO, 10.000 LITROS, COM INSTALAÇÃO E ACESSÓRIOS</v>
      </c>
      <c r="D132" s="129" t="str">
        <f ca="1">IF(OFFSET(PO!O$12,ROW(D132)-ROW(D$12),0)=0,"",OFFSET(PO!O$12,ROW(D132)-ROW(D$12),0))</f>
        <v>UN</v>
      </c>
      <c r="E132" s="165">
        <f ca="1">IF($A132&lt;&gt;"Serviço",0,ROUND(SUMIF($F$9:$P$9,"&lt;&gt;",$F132:$P132),15-13*PO!$X$3))</f>
        <v>1</v>
      </c>
      <c r="F132" s="215">
        <f ca="1">OFFSET(PO!$P$12,ROW($E132)-ROW(F$12),0)</f>
        <v>1</v>
      </c>
      <c r="G132" s="215"/>
      <c r="H132" s="215"/>
      <c r="I132" s="215"/>
      <c r="J132" s="215"/>
      <c r="K132" s="215"/>
      <c r="L132" s="215"/>
      <c r="M132" s="215"/>
      <c r="N132" s="215"/>
      <c r="O132" s="215"/>
      <c r="U132" s="215"/>
    </row>
    <row r="133" spans="1:21" s="4" customFormat="1" ht="51" x14ac:dyDescent="0.2">
      <c r="A133" s="128" t="str">
        <f ca="1">OFFSET(PO!J$12,ROW(A133)-ROW($A$12),0)</f>
        <v>Serviço</v>
      </c>
      <c r="B133" s="130" t="str">
        <f ca="1">IF($A133=0,"",OFFSET(PO!K$12,ROW(B133)-ROW(B$12),0))</f>
        <v>1.13.4.2.</v>
      </c>
      <c r="C133" s="127" t="str">
        <f ca="1">IF(OFFSET(PO!N$12,ROW(C133)-ROW(C$12),0)=0,"",OFFSET(PO!N$12,ROW(C133)-ROW(C$12),0))</f>
        <v xml:space="preserve">PISO PARA SUPORTE DOS RESERVATÓRIOS - PISO DE CONCRETO USINADO BOMBEÁVEL FCK 20MPA, E=15CM - LANÇAMENTO, ADENSAMENTO E ACABAMENTO ARMADO COM MALHA DE FERRO 15X15CM CA-60 4.2MM </v>
      </c>
      <c r="D133" s="129" t="str">
        <f ca="1">IF(OFFSET(PO!O$12,ROW(D133)-ROW(D$12),0)=0,"",OFFSET(PO!O$12,ROW(D133)-ROW(D$12),0))</f>
        <v>M2</v>
      </c>
      <c r="E133" s="165">
        <f ca="1">IF($A133&lt;&gt;"Serviço",0,ROUND(SUMIF($F$9:$P$9,"&lt;&gt;",$F133:$P133),15-13*PO!$X$3))</f>
        <v>12.25</v>
      </c>
      <c r="F133" s="215">
        <f ca="1">OFFSET(PO!$P$12,ROW($E133)-ROW(F$12),0)</f>
        <v>12.25</v>
      </c>
      <c r="G133" s="215"/>
      <c r="H133" s="215"/>
      <c r="I133" s="215"/>
      <c r="J133" s="215"/>
      <c r="K133" s="215"/>
      <c r="L133" s="215"/>
      <c r="M133" s="215"/>
      <c r="N133" s="215"/>
      <c r="O133" s="215"/>
      <c r="U133" s="215"/>
    </row>
    <row r="134" spans="1:21" s="4" customFormat="1" x14ac:dyDescent="0.2">
      <c r="A134" s="128" t="str">
        <f ca="1">OFFSET(PO!J$12,ROW(A134)-ROW($A$12),0)</f>
        <v>Nível 2</v>
      </c>
      <c r="B134" s="130" t="str">
        <f ca="1">IF($A134=0,"",OFFSET(PO!K$12,ROW(B134)-ROW(B$12),0))</f>
        <v>1.14.</v>
      </c>
      <c r="C134" s="127" t="str">
        <f ca="1">IF(OFFSET(PO!N$12,ROW(C134)-ROW(C$12),0)=0,"",OFFSET(PO!N$12,ROW(C134)-ROW(C$12),0))</f>
        <v>EQUIPAMENTOS</v>
      </c>
      <c r="D134" s="129" t="str">
        <f ca="1">IF(OFFSET(PO!O$12,ROW(D134)-ROW(D$12),0)=0,"",OFFSET(PO!O$12,ROW(D134)-ROW(D$12),0))</f>
        <v/>
      </c>
      <c r="E134" s="165">
        <f ca="1">IF($A134&lt;&gt;"Serviço",0,ROUND(SUMIF($F$9:$P$9,"&lt;&gt;",$F134:$P134),15-13*PO!$X$3))</f>
        <v>0</v>
      </c>
      <c r="F134" s="215">
        <f ca="1">OFFSET(PO!$P$12,ROW($E134)-ROW(F$12),0)</f>
        <v>0</v>
      </c>
      <c r="G134" s="215"/>
      <c r="H134" s="215"/>
      <c r="I134" s="215"/>
      <c r="J134" s="215"/>
      <c r="K134" s="215"/>
      <c r="L134" s="215"/>
      <c r="M134" s="215"/>
      <c r="N134" s="215"/>
      <c r="O134" s="215"/>
      <c r="U134" s="215"/>
    </row>
    <row r="135" spans="1:21" s="4" customFormat="1" ht="25.5" x14ac:dyDescent="0.2">
      <c r="A135" s="128" t="str">
        <f ca="1">OFFSET(PO!J$12,ROW(A135)-ROW($A$12),0)</f>
        <v>Serviço</v>
      </c>
      <c r="B135" s="130" t="str">
        <f ca="1">IF($A135=0,"",OFFSET(PO!K$12,ROW(B135)-ROW(B$12),0))</f>
        <v>1.14.0.1.</v>
      </c>
      <c r="C135" s="127" t="str">
        <f ca="1">IF(OFFSET(PO!N$12,ROW(C135)-ROW(C$12),0)=0,"",OFFSET(PO!N$12,ROW(C135)-ROW(C$12),0))</f>
        <v>MESA EM CONCRETO MOLDADO IN LOCO COM TABULEIRO DE XADREZ EM GRANITO</v>
      </c>
      <c r="D135" s="129" t="str">
        <f ca="1">IF(OFFSET(PO!O$12,ROW(D135)-ROW(D$12),0)=0,"",OFFSET(PO!O$12,ROW(D135)-ROW(D$12),0))</f>
        <v>UN</v>
      </c>
      <c r="E135" s="165">
        <f ca="1">IF($A135&lt;&gt;"Serviço",0,ROUND(SUMIF($F$9:$P$9,"&lt;&gt;",$F135:$P135),15-13*PO!$X$3))</f>
        <v>2</v>
      </c>
      <c r="F135" s="215">
        <f ca="1">OFFSET(PO!$P$12,ROW($E135)-ROW(F$12),0)</f>
        <v>2</v>
      </c>
      <c r="G135" s="215"/>
      <c r="H135" s="215"/>
      <c r="I135" s="215"/>
      <c r="J135" s="215"/>
      <c r="K135" s="215"/>
      <c r="L135" s="215"/>
      <c r="M135" s="215"/>
      <c r="N135" s="215"/>
      <c r="O135" s="215"/>
      <c r="U135" s="215"/>
    </row>
    <row r="136" spans="1:21" s="4" customFormat="1" ht="25.5" x14ac:dyDescent="0.2">
      <c r="A136" s="128" t="str">
        <f ca="1">OFFSET(PO!J$12,ROW(A136)-ROW($A$12),0)</f>
        <v>Serviço</v>
      </c>
      <c r="B136" s="130" t="str">
        <f ca="1">IF($A136=0,"",OFFSET(PO!K$12,ROW(B136)-ROW(B$12),0))</f>
        <v>1.14.0.2.</v>
      </c>
      <c r="C136" s="127" t="str">
        <f ca="1">IF(OFFSET(PO!N$12,ROW(C136)-ROW(C$12),0)=0,"",OFFSET(PO!N$12,ROW(C136)-ROW(C$12),0))</f>
        <v>BANCOS EM CONCRETO MOLDADO IN LOCO COM DIMENSÃO DE 35X35CM</v>
      </c>
      <c r="D136" s="129" t="str">
        <f ca="1">IF(OFFSET(PO!O$12,ROW(D136)-ROW(D$12),0)=0,"",OFFSET(PO!O$12,ROW(D136)-ROW(D$12),0))</f>
        <v>UN</v>
      </c>
      <c r="E136" s="165">
        <f ca="1">IF($A136&lt;&gt;"Serviço",0,ROUND(SUMIF($F$9:$P$9,"&lt;&gt;",$F136:$P136),15-13*PO!$X$3))</f>
        <v>8</v>
      </c>
      <c r="F136" s="215">
        <f ca="1">OFFSET(PO!$P$12,ROW($E136)-ROW(F$12),0)</f>
        <v>8</v>
      </c>
      <c r="G136" s="215"/>
      <c r="H136" s="215"/>
      <c r="I136" s="215"/>
      <c r="J136" s="215"/>
      <c r="K136" s="215"/>
      <c r="L136" s="215"/>
      <c r="M136" s="215"/>
      <c r="N136" s="215"/>
      <c r="O136" s="215"/>
      <c r="U136" s="215"/>
    </row>
    <row r="137" spans="1:21" s="4" customFormat="1" x14ac:dyDescent="0.2">
      <c r="A137" s="128" t="str">
        <f ca="1">OFFSET(PO!J$12,ROW(A137)-ROW($A$12),0)</f>
        <v>Nível 2</v>
      </c>
      <c r="B137" s="130" t="str">
        <f ca="1">IF($A137=0,"",OFFSET(PO!K$12,ROW(B137)-ROW(B$12),0))</f>
        <v>1.15.</v>
      </c>
      <c r="C137" s="127" t="str">
        <f ca="1">IF(OFFSET(PO!N$12,ROW(C137)-ROW(C$12),0)=0,"",OFFSET(PO!N$12,ROW(C137)-ROW(C$12),0))</f>
        <v>SERVIÇOS FINAIS</v>
      </c>
      <c r="D137" s="129" t="str">
        <f ca="1">IF(OFFSET(PO!O$12,ROW(D137)-ROW(D$12),0)=0,"",OFFSET(PO!O$12,ROW(D137)-ROW(D$12),0))</f>
        <v/>
      </c>
      <c r="E137" s="165">
        <f ca="1">IF($A137&lt;&gt;"Serviço",0,ROUND(SUMIF($F$9:$P$9,"&lt;&gt;",$F137:$P137),15-13*PO!$X$3))</f>
        <v>0</v>
      </c>
      <c r="F137" s="215">
        <f ca="1">OFFSET(PO!$P$12,ROW($E137)-ROW(F$12),0)</f>
        <v>0</v>
      </c>
      <c r="G137" s="215"/>
      <c r="H137" s="215"/>
      <c r="I137" s="215"/>
      <c r="J137" s="215"/>
      <c r="K137" s="215"/>
      <c r="L137" s="215"/>
      <c r="M137" s="215"/>
      <c r="N137" s="215"/>
      <c r="O137" s="215"/>
      <c r="U137" s="215"/>
    </row>
    <row r="138" spans="1:21" s="4" customFormat="1" ht="25.5" x14ac:dyDescent="0.2">
      <c r="A138" s="128" t="str">
        <f ca="1">OFFSET(PO!J$12,ROW(A138)-ROW($A$12),0)</f>
        <v>Serviço</v>
      </c>
      <c r="B138" s="130" t="str">
        <f ca="1">IF($A138=0,"",OFFSET(PO!K$12,ROW(B138)-ROW(B$12),0))</f>
        <v>1.15.0.1.</v>
      </c>
      <c r="C138" s="127" t="str">
        <f ca="1">IF(OFFSET(PO!N$12,ROW(C138)-ROW(C$12),0)=0,"",OFFSET(PO!N$12,ROW(C138)-ROW(C$12),0))</f>
        <v>LIMPEZA DE PISO CERÂMICO OU PORCELANATO COM VASSOURA A SECO. AF_04/2019</v>
      </c>
      <c r="D138" s="129" t="str">
        <f ca="1">IF(OFFSET(PO!O$12,ROW(D138)-ROW(D$12),0)=0,"",OFFSET(PO!O$12,ROW(D138)-ROW(D$12),0))</f>
        <v>M2</v>
      </c>
      <c r="E138" s="165">
        <f ca="1">IF($A138&lt;&gt;"Serviço",0,ROUND(SUMIF($F$9:$P$9,"&lt;&gt;",$F138:$P138),15-13*PO!$X$3))</f>
        <v>58.49</v>
      </c>
      <c r="F138" s="215">
        <f ca="1">OFFSET(PO!$P$12,ROW($E138)-ROW(F$12),0)</f>
        <v>58.49</v>
      </c>
      <c r="G138" s="215"/>
      <c r="H138" s="215"/>
      <c r="I138" s="215"/>
      <c r="J138" s="215"/>
      <c r="K138" s="215"/>
      <c r="L138" s="215"/>
      <c r="M138" s="215"/>
      <c r="N138" s="215"/>
      <c r="O138" s="215"/>
      <c r="U138" s="215"/>
    </row>
    <row r="139" spans="1:21" s="4" customFormat="1" x14ac:dyDescent="0.2">
      <c r="A139" s="83"/>
      <c r="B139" s="83"/>
      <c r="C139" s="83"/>
      <c r="D139" s="83"/>
      <c r="E139" s="83"/>
      <c r="F139" s="83"/>
      <c r="G139" s="83"/>
      <c r="H139" s="83"/>
      <c r="I139" s="83"/>
      <c r="J139" s="83"/>
      <c r="K139" s="83"/>
      <c r="L139" s="83"/>
      <c r="M139" s="83"/>
      <c r="N139" s="83"/>
      <c r="O139" s="83"/>
      <c r="U139" s="83"/>
    </row>
    <row r="140" spans="1:21" s="4" customFormat="1" x14ac:dyDescent="0.2">
      <c r="B140" s="9"/>
      <c r="C140" s="14"/>
      <c r="D140" s="9"/>
      <c r="E140" s="16"/>
      <c r="F140" s="16"/>
      <c r="G140" s="16"/>
      <c r="H140" s="16"/>
      <c r="I140" s="16"/>
      <c r="J140" s="16"/>
      <c r="K140" s="16"/>
      <c r="L140" s="16"/>
      <c r="M140" s="16"/>
      <c r="N140" s="16"/>
      <c r="O140" s="16"/>
      <c r="U140" s="16"/>
    </row>
    <row r="141" spans="1:21" s="4" customFormat="1" x14ac:dyDescent="0.2">
      <c r="B141" s="373" t="str">
        <f>PO!$K$150</f>
        <v>ALPESTRE/RS</v>
      </c>
      <c r="C141" s="373"/>
      <c r="D141" s="9"/>
      <c r="E141" s="16"/>
      <c r="F141" s="16"/>
      <c r="G141" s="16"/>
      <c r="H141" s="16"/>
      <c r="I141" s="16"/>
      <c r="J141" s="16"/>
      <c r="K141" s="16"/>
      <c r="L141" s="16"/>
      <c r="M141" s="16"/>
      <c r="N141" s="16"/>
      <c r="O141" s="16"/>
      <c r="U141" s="16"/>
    </row>
    <row r="142" spans="1:21" s="4" customFormat="1" x14ac:dyDescent="0.2">
      <c r="B142" s="113" t="s">
        <v>121</v>
      </c>
      <c r="C142" s="14"/>
      <c r="D142" s="9"/>
      <c r="E142" s="16"/>
      <c r="F142" s="16"/>
      <c r="G142" s="16"/>
      <c r="H142" s="16"/>
      <c r="I142" s="16"/>
      <c r="J142" s="16"/>
      <c r="K142" s="16"/>
      <c r="L142" s="16"/>
      <c r="M142" s="16"/>
      <c r="N142" s="16"/>
      <c r="O142" s="16"/>
      <c r="U142" s="16"/>
    </row>
    <row r="143" spans="1:21" s="4" customFormat="1" x14ac:dyDescent="0.2">
      <c r="B143" s="14"/>
      <c r="C143" s="14"/>
      <c r="D143" s="9"/>
      <c r="E143" s="16"/>
      <c r="F143" s="16"/>
      <c r="G143" s="16"/>
      <c r="H143" s="16"/>
      <c r="I143" s="16"/>
      <c r="J143" s="16"/>
      <c r="K143" s="16"/>
      <c r="L143" s="16"/>
      <c r="M143" s="16"/>
      <c r="N143" s="16"/>
      <c r="O143" s="16"/>
      <c r="U143" s="16"/>
    </row>
    <row r="144" spans="1:21" s="4" customFormat="1" x14ac:dyDescent="0.2">
      <c r="B144" s="374" t="str">
        <f>PO!$K$153</f>
        <v>27 de maio de 2024</v>
      </c>
      <c r="C144" s="374"/>
      <c r="D144" s="9"/>
      <c r="E144" s="16"/>
      <c r="F144" s="16"/>
      <c r="G144" s="16"/>
      <c r="H144" s="16"/>
      <c r="I144" s="16"/>
      <c r="J144" s="16"/>
      <c r="K144" s="16"/>
      <c r="L144" s="16"/>
      <c r="M144" s="16"/>
      <c r="N144" s="16"/>
      <c r="O144" s="16"/>
      <c r="U144" s="16"/>
    </row>
    <row r="145" spans="2:21" s="4" customFormat="1" x14ac:dyDescent="0.2">
      <c r="B145" s="142" t="s">
        <v>122</v>
      </c>
      <c r="C145" s="143"/>
      <c r="D145" s="9"/>
      <c r="E145" s="16"/>
      <c r="F145" s="16"/>
      <c r="G145" s="16"/>
      <c r="H145" s="16"/>
      <c r="I145" s="16"/>
      <c r="J145" s="16"/>
      <c r="K145" s="16"/>
      <c r="L145" s="16"/>
      <c r="M145" s="16"/>
      <c r="N145" s="16"/>
      <c r="O145" s="16"/>
      <c r="U145" s="16"/>
    </row>
  </sheetData>
  <sheetProtection algorithmName="SHA-512" hashValue="8XfAGAj5v89l4hr1Ank5iSkm9M3t//GaABisIgCrB7XDwzZRTCZxJjvWul1sI4ofPsD54ZFc4hs0iX3yHldUiA==" saltValue="DIiGBrEZn0r+84g1n7a6Ag==" spinCount="100000" sheet="1" objects="1" scenarios="1"/>
  <mergeCells count="2">
    <mergeCell ref="B141:C141"/>
    <mergeCell ref="B144:C144"/>
  </mergeCells>
  <phoneticPr fontId="25" type="noConversion"/>
  <conditionalFormatting sqref="D11:E11 D13:E13 D16:E19 D21:E26 D55:E58 D63:E66 D68:E71 D60:E61 D103:E104 D77:E101 D51:E52 D43:E47 D137:E138 D28:E32 D35:E41 D106:E133">
    <cfRule type="expression" dxfId="244" priority="1886" stopIfTrue="1">
      <formula>$A11="Meta"</formula>
    </cfRule>
    <cfRule type="expression" dxfId="243" priority="1887" stopIfTrue="1">
      <formula>$A11&lt;&gt;"Serviço"</formula>
    </cfRule>
  </conditionalFormatting>
  <conditionalFormatting sqref="C11 C13 C16:C19 C21:C26 C55:C58 C63:C66 C68:C71 C60:C61 C103:C104 C77:C101 C51:C52 C43:C47 C137:C138 C28:C32 C35:C41 C106:C133">
    <cfRule type="expression" dxfId="242" priority="1888" stopIfTrue="1">
      <formula>$A11="Meta"</formula>
    </cfRule>
    <cfRule type="expression" dxfId="241" priority="1889" stopIfTrue="1">
      <formula>$A11&lt;&gt;"Serviço"</formula>
    </cfRule>
  </conditionalFormatting>
  <conditionalFormatting sqref="A11:B11 A13:B13 A16:B19 A21:B26 A55:B58 A63:B66 A68:B71 A60:B61 A103:B104 A77:B101 A51:B52 A43:B47 A137:B138 A28:B32 A35:B41 A106:B133">
    <cfRule type="expression" dxfId="240" priority="1890" stopIfTrue="1">
      <formula>$A11="Meta"</formula>
    </cfRule>
    <cfRule type="expression" dxfId="239" priority="1891" stopIfTrue="1">
      <formula>LEFT($A11,5)="Nível"</formula>
    </cfRule>
    <cfRule type="expression" dxfId="238" priority="1892" stopIfTrue="1">
      <formula>$A11=0</formula>
    </cfRule>
  </conditionalFormatting>
  <conditionalFormatting sqref="U11 U13:U19 F13:O19 F21:O26 U21:U26 U28:U138 F28:O138">
    <cfRule type="expression" dxfId="237" priority="1902" stopIfTrue="1">
      <formula>$A11="Meta"</formula>
    </cfRule>
    <cfRule type="expression" dxfId="236" priority="1903" stopIfTrue="1">
      <formula>OR(F$9=0,$A11&lt;&gt;"Serviço")</formula>
    </cfRule>
    <cfRule type="expression" dxfId="235" priority="1904" stopIfTrue="1">
      <formula>TipoOrçamento="Licitado"</formula>
    </cfRule>
  </conditionalFormatting>
  <conditionalFormatting sqref="U9">
    <cfRule type="expression" dxfId="234" priority="1324" stopIfTrue="1">
      <formula>AND(T9=0,U9=0)</formula>
    </cfRule>
    <cfRule type="expression" dxfId="233" priority="1325" stopIfTrue="1">
      <formula>TipoOrçamento="Licitado"</formula>
    </cfRule>
  </conditionalFormatting>
  <conditionalFormatting sqref="F11:O11">
    <cfRule type="expression" dxfId="232" priority="1284" stopIfTrue="1">
      <formula>$A11="Meta"</formula>
    </cfRule>
    <cfRule type="expression" dxfId="231" priority="1285" stopIfTrue="1">
      <formula>OR(F$9=0,$A11&lt;&gt;"Serviço")</formula>
    </cfRule>
    <cfRule type="expression" dxfId="230" priority="1286" stopIfTrue="1">
      <formula>TipoOrçamento="Licitado"</formula>
    </cfRule>
  </conditionalFormatting>
  <conditionalFormatting sqref="F9:O9">
    <cfRule type="expression" dxfId="229" priority="1282" stopIfTrue="1">
      <formula>AND(E9=0,F9=0)</formula>
    </cfRule>
    <cfRule type="expression" dxfId="228" priority="1283" stopIfTrue="1">
      <formula>TipoOrçamento="Licitado"</formula>
    </cfRule>
  </conditionalFormatting>
  <conditionalFormatting sqref="D14:E14">
    <cfRule type="expression" dxfId="227" priority="680" stopIfTrue="1">
      <formula>$A14="Meta"</formula>
    </cfRule>
    <cfRule type="expression" dxfId="226" priority="681" stopIfTrue="1">
      <formula>$A14&lt;&gt;"Serviço"</formula>
    </cfRule>
  </conditionalFormatting>
  <conditionalFormatting sqref="C14">
    <cfRule type="expression" dxfId="225" priority="682" stopIfTrue="1">
      <formula>$A14="Meta"</formula>
    </cfRule>
    <cfRule type="expression" dxfId="224" priority="683" stopIfTrue="1">
      <formula>$A14&lt;&gt;"Serviço"</formula>
    </cfRule>
  </conditionalFormatting>
  <conditionalFormatting sqref="A14:B14">
    <cfRule type="expression" dxfId="223" priority="684" stopIfTrue="1">
      <formula>$A14="Meta"</formula>
    </cfRule>
    <cfRule type="expression" dxfId="222" priority="685" stopIfTrue="1">
      <formula>LEFT($A14,5)="Nível"</formula>
    </cfRule>
    <cfRule type="expression" dxfId="221" priority="686" stopIfTrue="1">
      <formula>$A14=0</formula>
    </cfRule>
  </conditionalFormatting>
  <conditionalFormatting sqref="D54:E54">
    <cfRule type="expression" dxfId="220" priority="589" stopIfTrue="1">
      <formula>$A54="Meta"</formula>
    </cfRule>
    <cfRule type="expression" dxfId="219" priority="590" stopIfTrue="1">
      <formula>$A54&lt;&gt;"Serviço"</formula>
    </cfRule>
  </conditionalFormatting>
  <conditionalFormatting sqref="C54">
    <cfRule type="expression" dxfId="218" priority="591" stopIfTrue="1">
      <formula>$A54="Meta"</formula>
    </cfRule>
    <cfRule type="expression" dxfId="217" priority="592" stopIfTrue="1">
      <formula>$A54&lt;&gt;"Serviço"</formula>
    </cfRule>
  </conditionalFormatting>
  <conditionalFormatting sqref="A54:B54">
    <cfRule type="expression" dxfId="216" priority="593" stopIfTrue="1">
      <formula>$A54="Meta"</formula>
    </cfRule>
    <cfRule type="expression" dxfId="215" priority="594" stopIfTrue="1">
      <formula>LEFT($A54,5)="Nível"</formula>
    </cfRule>
    <cfRule type="expression" dxfId="214" priority="595" stopIfTrue="1">
      <formula>$A54=0</formula>
    </cfRule>
  </conditionalFormatting>
  <conditionalFormatting sqref="D15:E15">
    <cfRule type="expression" dxfId="213" priority="394" stopIfTrue="1">
      <formula>$A15="Meta"</formula>
    </cfRule>
    <cfRule type="expression" dxfId="212" priority="395" stopIfTrue="1">
      <formula>$A15&lt;&gt;"Serviço"</formula>
    </cfRule>
  </conditionalFormatting>
  <conditionalFormatting sqref="C15">
    <cfRule type="expression" dxfId="211" priority="396" stopIfTrue="1">
      <formula>$A15="Meta"</formula>
    </cfRule>
    <cfRule type="expression" dxfId="210" priority="397" stopIfTrue="1">
      <formula>$A15&lt;&gt;"Serviço"</formula>
    </cfRule>
  </conditionalFormatting>
  <conditionalFormatting sqref="A15:B15">
    <cfRule type="expression" dxfId="209" priority="398" stopIfTrue="1">
      <formula>$A15="Meta"</formula>
    </cfRule>
    <cfRule type="expression" dxfId="208" priority="399" stopIfTrue="1">
      <formula>LEFT($A15,5)="Nível"</formula>
    </cfRule>
    <cfRule type="expression" dxfId="207" priority="400" stopIfTrue="1">
      <formula>$A15=0</formula>
    </cfRule>
  </conditionalFormatting>
  <conditionalFormatting sqref="D20:E20">
    <cfRule type="expression" dxfId="206" priority="381" stopIfTrue="1">
      <formula>$A20="Meta"</formula>
    </cfRule>
    <cfRule type="expression" dxfId="205" priority="382" stopIfTrue="1">
      <formula>$A20&lt;&gt;"Serviço"</formula>
    </cfRule>
  </conditionalFormatting>
  <conditionalFormatting sqref="C20">
    <cfRule type="expression" dxfId="204" priority="383" stopIfTrue="1">
      <formula>$A20="Meta"</formula>
    </cfRule>
    <cfRule type="expression" dxfId="203" priority="384" stopIfTrue="1">
      <formula>$A20&lt;&gt;"Serviço"</formula>
    </cfRule>
  </conditionalFormatting>
  <conditionalFormatting sqref="A20:B20">
    <cfRule type="expression" dxfId="202" priority="385" stopIfTrue="1">
      <formula>$A20="Meta"</formula>
    </cfRule>
    <cfRule type="expression" dxfId="201" priority="386" stopIfTrue="1">
      <formula>LEFT($A20,5)="Nível"</formula>
    </cfRule>
    <cfRule type="expression" dxfId="200" priority="387" stopIfTrue="1">
      <formula>$A20=0</formula>
    </cfRule>
  </conditionalFormatting>
  <conditionalFormatting sqref="U20">
    <cfRule type="expression" dxfId="199" priority="388" stopIfTrue="1">
      <formula>$A20="Meta"</formula>
    </cfRule>
    <cfRule type="expression" dxfId="198" priority="389" stopIfTrue="1">
      <formula>OR(U$9=0,$A20&lt;&gt;"Serviço")</formula>
    </cfRule>
    <cfRule type="expression" dxfId="197" priority="390" stopIfTrue="1">
      <formula>TipoOrçamento="Licitado"</formula>
    </cfRule>
  </conditionalFormatting>
  <conditionalFormatting sqref="F20:O20">
    <cfRule type="expression" dxfId="196" priority="378" stopIfTrue="1">
      <formula>$A20="Meta"</formula>
    </cfRule>
    <cfRule type="expression" dxfId="195" priority="379" stopIfTrue="1">
      <formula>OR(F$9=0,$A20&lt;&gt;"Serviço")</formula>
    </cfRule>
    <cfRule type="expression" dxfId="194" priority="380" stopIfTrue="1">
      <formula>TipoOrçamento="Licitado"</formula>
    </cfRule>
  </conditionalFormatting>
  <conditionalFormatting sqref="D27:E27">
    <cfRule type="expression" dxfId="193" priority="368" stopIfTrue="1">
      <formula>$A27="Meta"</formula>
    </cfRule>
    <cfRule type="expression" dxfId="192" priority="369" stopIfTrue="1">
      <formula>$A27&lt;&gt;"Serviço"</formula>
    </cfRule>
  </conditionalFormatting>
  <conditionalFormatting sqref="C27">
    <cfRule type="expression" dxfId="191" priority="370" stopIfTrue="1">
      <formula>$A27="Meta"</formula>
    </cfRule>
    <cfRule type="expression" dxfId="190" priority="371" stopIfTrue="1">
      <formula>$A27&lt;&gt;"Serviço"</formula>
    </cfRule>
  </conditionalFormatting>
  <conditionalFormatting sqref="A27:B27">
    <cfRule type="expression" dxfId="189" priority="372" stopIfTrue="1">
      <formula>$A27="Meta"</formula>
    </cfRule>
    <cfRule type="expression" dxfId="188" priority="373" stopIfTrue="1">
      <formula>LEFT($A27,5)="Nível"</formula>
    </cfRule>
    <cfRule type="expression" dxfId="187" priority="374" stopIfTrue="1">
      <formula>$A27=0</formula>
    </cfRule>
  </conditionalFormatting>
  <conditionalFormatting sqref="U27">
    <cfRule type="expression" dxfId="186" priority="375" stopIfTrue="1">
      <formula>$A27="Meta"</formula>
    </cfRule>
    <cfRule type="expression" dxfId="185" priority="376" stopIfTrue="1">
      <formula>OR(U$9=0,$A27&lt;&gt;"Serviço")</formula>
    </cfRule>
    <cfRule type="expression" dxfId="184" priority="377" stopIfTrue="1">
      <formula>TipoOrçamento="Licitado"</formula>
    </cfRule>
  </conditionalFormatting>
  <conditionalFormatting sqref="F27:O27">
    <cfRule type="expression" dxfId="183" priority="365" stopIfTrue="1">
      <formula>$A27="Meta"</formula>
    </cfRule>
    <cfRule type="expression" dxfId="182" priority="366" stopIfTrue="1">
      <formula>OR(F$9=0,$A27&lt;&gt;"Serviço")</formula>
    </cfRule>
    <cfRule type="expression" dxfId="181" priority="367" stopIfTrue="1">
      <formula>TipoOrçamento="Licitado"</formula>
    </cfRule>
  </conditionalFormatting>
  <conditionalFormatting sqref="D72:E73 D76:E76">
    <cfRule type="expression" dxfId="180" priority="342" stopIfTrue="1">
      <formula>$A72="Meta"</formula>
    </cfRule>
    <cfRule type="expression" dxfId="179" priority="343" stopIfTrue="1">
      <formula>$A72&lt;&gt;"Serviço"</formula>
    </cfRule>
  </conditionalFormatting>
  <conditionalFormatting sqref="C72:C73 C76">
    <cfRule type="expression" dxfId="178" priority="344" stopIfTrue="1">
      <formula>$A72="Meta"</formula>
    </cfRule>
    <cfRule type="expression" dxfId="177" priority="345" stopIfTrue="1">
      <formula>$A72&lt;&gt;"Serviço"</formula>
    </cfRule>
  </conditionalFormatting>
  <conditionalFormatting sqref="A72:B73 A76:B76">
    <cfRule type="expression" dxfId="176" priority="346" stopIfTrue="1">
      <formula>$A72="Meta"</formula>
    </cfRule>
    <cfRule type="expression" dxfId="175" priority="347" stopIfTrue="1">
      <formula>LEFT($A72,5)="Nível"</formula>
    </cfRule>
    <cfRule type="expression" dxfId="174" priority="348" stopIfTrue="1">
      <formula>$A72=0</formula>
    </cfRule>
  </conditionalFormatting>
  <conditionalFormatting sqref="D74:E75">
    <cfRule type="expression" dxfId="173" priority="329" stopIfTrue="1">
      <formula>$A74="Meta"</formula>
    </cfRule>
    <cfRule type="expression" dxfId="172" priority="330" stopIfTrue="1">
      <formula>$A74&lt;&gt;"Serviço"</formula>
    </cfRule>
  </conditionalFormatting>
  <conditionalFormatting sqref="C74:C75">
    <cfRule type="expression" dxfId="171" priority="331" stopIfTrue="1">
      <formula>$A74="Meta"</formula>
    </cfRule>
    <cfRule type="expression" dxfId="170" priority="332" stopIfTrue="1">
      <formula>$A74&lt;&gt;"Serviço"</formula>
    </cfRule>
  </conditionalFormatting>
  <conditionalFormatting sqref="A74:B75">
    <cfRule type="expression" dxfId="169" priority="333" stopIfTrue="1">
      <formula>$A74="Meta"</formula>
    </cfRule>
    <cfRule type="expression" dxfId="168" priority="334" stopIfTrue="1">
      <formula>LEFT($A74,5)="Nível"</formula>
    </cfRule>
    <cfRule type="expression" dxfId="167" priority="335" stopIfTrue="1">
      <formula>$A74=0</formula>
    </cfRule>
  </conditionalFormatting>
  <conditionalFormatting sqref="D62:E62">
    <cfRule type="expression" dxfId="166" priority="264" stopIfTrue="1">
      <formula>$A62="Meta"</formula>
    </cfRule>
    <cfRule type="expression" dxfId="165" priority="265" stopIfTrue="1">
      <formula>$A62&lt;&gt;"Serviço"</formula>
    </cfRule>
  </conditionalFormatting>
  <conditionalFormatting sqref="C62">
    <cfRule type="expression" dxfId="164" priority="266" stopIfTrue="1">
      <formula>$A62="Meta"</formula>
    </cfRule>
    <cfRule type="expression" dxfId="163" priority="267" stopIfTrue="1">
      <formula>$A62&lt;&gt;"Serviço"</formula>
    </cfRule>
  </conditionalFormatting>
  <conditionalFormatting sqref="A62:B62">
    <cfRule type="expression" dxfId="162" priority="268" stopIfTrue="1">
      <formula>$A62="Meta"</formula>
    </cfRule>
    <cfRule type="expression" dxfId="161" priority="269" stopIfTrue="1">
      <formula>LEFT($A62,5)="Nível"</formula>
    </cfRule>
    <cfRule type="expression" dxfId="160" priority="270" stopIfTrue="1">
      <formula>$A62=0</formula>
    </cfRule>
  </conditionalFormatting>
  <conditionalFormatting sqref="D53:E53">
    <cfRule type="expression" dxfId="159" priority="225" stopIfTrue="1">
      <formula>$A53="Meta"</formula>
    </cfRule>
    <cfRule type="expression" dxfId="158" priority="226" stopIfTrue="1">
      <formula>$A53&lt;&gt;"Serviço"</formula>
    </cfRule>
  </conditionalFormatting>
  <conditionalFormatting sqref="C53">
    <cfRule type="expression" dxfId="157" priority="227" stopIfTrue="1">
      <formula>$A53="Meta"</formula>
    </cfRule>
    <cfRule type="expression" dxfId="156" priority="228" stopIfTrue="1">
      <formula>$A53&lt;&gt;"Serviço"</formula>
    </cfRule>
  </conditionalFormatting>
  <conditionalFormatting sqref="A53:B53">
    <cfRule type="expression" dxfId="155" priority="229" stopIfTrue="1">
      <formula>$A53="Meta"</formula>
    </cfRule>
    <cfRule type="expression" dxfId="154" priority="230" stopIfTrue="1">
      <formula>LEFT($A53,5)="Nível"</formula>
    </cfRule>
    <cfRule type="expression" dxfId="153" priority="231" stopIfTrue="1">
      <formula>$A53=0</formula>
    </cfRule>
  </conditionalFormatting>
  <conditionalFormatting sqref="D42:E42">
    <cfRule type="expression" dxfId="152" priority="186" stopIfTrue="1">
      <formula>$A42="Meta"</formula>
    </cfRule>
    <cfRule type="expression" dxfId="151" priority="187" stopIfTrue="1">
      <formula>$A42&lt;&gt;"Serviço"</formula>
    </cfRule>
  </conditionalFormatting>
  <conditionalFormatting sqref="C42">
    <cfRule type="expression" dxfId="150" priority="188" stopIfTrue="1">
      <formula>$A42="Meta"</formula>
    </cfRule>
    <cfRule type="expression" dxfId="149" priority="189" stopIfTrue="1">
      <formula>$A42&lt;&gt;"Serviço"</formula>
    </cfRule>
  </conditionalFormatting>
  <conditionalFormatting sqref="A42:B42">
    <cfRule type="expression" dxfId="148" priority="190" stopIfTrue="1">
      <formula>$A42="Meta"</formula>
    </cfRule>
    <cfRule type="expression" dxfId="147" priority="191" stopIfTrue="1">
      <formula>LEFT($A42,5)="Nível"</formula>
    </cfRule>
    <cfRule type="expression" dxfId="146" priority="192" stopIfTrue="1">
      <formula>$A42=0</formula>
    </cfRule>
  </conditionalFormatting>
  <conditionalFormatting sqref="D59:E59">
    <cfRule type="expression" dxfId="145" priority="173" stopIfTrue="1">
      <formula>$A59="Meta"</formula>
    </cfRule>
    <cfRule type="expression" dxfId="144" priority="174" stopIfTrue="1">
      <formula>$A59&lt;&gt;"Serviço"</formula>
    </cfRule>
  </conditionalFormatting>
  <conditionalFormatting sqref="C59">
    <cfRule type="expression" dxfId="143" priority="175" stopIfTrue="1">
      <formula>$A59="Meta"</formula>
    </cfRule>
    <cfRule type="expression" dxfId="142" priority="176" stopIfTrue="1">
      <formula>$A59&lt;&gt;"Serviço"</formula>
    </cfRule>
  </conditionalFormatting>
  <conditionalFormatting sqref="A59:B59">
    <cfRule type="expression" dxfId="141" priority="177" stopIfTrue="1">
      <formula>$A59="Meta"</formula>
    </cfRule>
    <cfRule type="expression" dxfId="140" priority="178" stopIfTrue="1">
      <formula>LEFT($A59,5)="Nível"</formula>
    </cfRule>
    <cfRule type="expression" dxfId="139" priority="179" stopIfTrue="1">
      <formula>$A59=0</formula>
    </cfRule>
  </conditionalFormatting>
  <conditionalFormatting sqref="D105:E105">
    <cfRule type="expression" dxfId="138" priority="160" stopIfTrue="1">
      <formula>$A105="Meta"</formula>
    </cfRule>
    <cfRule type="expression" dxfId="137" priority="161" stopIfTrue="1">
      <formula>$A105&lt;&gt;"Serviço"</formula>
    </cfRule>
  </conditionalFormatting>
  <conditionalFormatting sqref="C105">
    <cfRule type="expression" dxfId="136" priority="162" stopIfTrue="1">
      <formula>$A105="Meta"</formula>
    </cfRule>
    <cfRule type="expression" dxfId="135" priority="163" stopIfTrue="1">
      <formula>$A105&lt;&gt;"Serviço"</formula>
    </cfRule>
  </conditionalFormatting>
  <conditionalFormatting sqref="A105:B105">
    <cfRule type="expression" dxfId="134" priority="164" stopIfTrue="1">
      <formula>$A105="Meta"</formula>
    </cfRule>
    <cfRule type="expression" dxfId="133" priority="165" stopIfTrue="1">
      <formula>LEFT($A105,5)="Nível"</formula>
    </cfRule>
    <cfRule type="expression" dxfId="132" priority="166" stopIfTrue="1">
      <formula>$A105=0</formula>
    </cfRule>
  </conditionalFormatting>
  <conditionalFormatting sqref="D67:E67">
    <cfRule type="expression" dxfId="131" priority="134" stopIfTrue="1">
      <formula>$A67="Meta"</formula>
    </cfRule>
    <cfRule type="expression" dxfId="130" priority="135" stopIfTrue="1">
      <formula>$A67&lt;&gt;"Serviço"</formula>
    </cfRule>
  </conditionalFormatting>
  <conditionalFormatting sqref="C67">
    <cfRule type="expression" dxfId="129" priority="136" stopIfTrue="1">
      <formula>$A67="Meta"</formula>
    </cfRule>
    <cfRule type="expression" dxfId="128" priority="137" stopIfTrue="1">
      <formula>$A67&lt;&gt;"Serviço"</formula>
    </cfRule>
  </conditionalFormatting>
  <conditionalFormatting sqref="A67:B67">
    <cfRule type="expression" dxfId="127" priority="138" stopIfTrue="1">
      <formula>$A67="Meta"</formula>
    </cfRule>
    <cfRule type="expression" dxfId="126" priority="139" stopIfTrue="1">
      <formula>LEFT($A67,5)="Nível"</formula>
    </cfRule>
    <cfRule type="expression" dxfId="125" priority="140" stopIfTrue="1">
      <formula>$A67=0</formula>
    </cfRule>
  </conditionalFormatting>
  <conditionalFormatting sqref="D102:E102">
    <cfRule type="expression" dxfId="124" priority="95" stopIfTrue="1">
      <formula>$A102="Meta"</formula>
    </cfRule>
    <cfRule type="expression" dxfId="123" priority="96" stopIfTrue="1">
      <formula>$A102&lt;&gt;"Serviço"</formula>
    </cfRule>
  </conditionalFormatting>
  <conditionalFormatting sqref="C102">
    <cfRule type="expression" dxfId="122" priority="97" stopIfTrue="1">
      <formula>$A102="Meta"</formula>
    </cfRule>
    <cfRule type="expression" dxfId="121" priority="98" stopIfTrue="1">
      <formula>$A102&lt;&gt;"Serviço"</formula>
    </cfRule>
  </conditionalFormatting>
  <conditionalFormatting sqref="A102:B102">
    <cfRule type="expression" dxfId="120" priority="99" stopIfTrue="1">
      <formula>$A102="Meta"</formula>
    </cfRule>
    <cfRule type="expression" dxfId="119" priority="100" stopIfTrue="1">
      <formula>LEFT($A102,5)="Nível"</formula>
    </cfRule>
    <cfRule type="expression" dxfId="118" priority="101" stopIfTrue="1">
      <formula>$A102=0</formula>
    </cfRule>
  </conditionalFormatting>
  <conditionalFormatting sqref="D48:E48">
    <cfRule type="expression" dxfId="117" priority="82" stopIfTrue="1">
      <formula>$A48="Meta"</formula>
    </cfRule>
    <cfRule type="expression" dxfId="116" priority="83" stopIfTrue="1">
      <formula>$A48&lt;&gt;"Serviço"</formula>
    </cfRule>
  </conditionalFormatting>
  <conditionalFormatting sqref="C48">
    <cfRule type="expression" dxfId="115" priority="84" stopIfTrue="1">
      <formula>$A48="Meta"</formula>
    </cfRule>
    <cfRule type="expression" dxfId="114" priority="85" stopIfTrue="1">
      <formula>$A48&lt;&gt;"Serviço"</formula>
    </cfRule>
  </conditionalFormatting>
  <conditionalFormatting sqref="A48:B48">
    <cfRule type="expression" dxfId="113" priority="86" stopIfTrue="1">
      <formula>$A48="Meta"</formula>
    </cfRule>
    <cfRule type="expression" dxfId="112" priority="87" stopIfTrue="1">
      <formula>LEFT($A48,5)="Nível"</formula>
    </cfRule>
    <cfRule type="expression" dxfId="111" priority="88" stopIfTrue="1">
      <formula>$A48=0</formula>
    </cfRule>
  </conditionalFormatting>
  <conditionalFormatting sqref="D49:E50">
    <cfRule type="expression" dxfId="110" priority="69" stopIfTrue="1">
      <formula>$A49="Meta"</formula>
    </cfRule>
    <cfRule type="expression" dxfId="109" priority="70" stopIfTrue="1">
      <formula>$A49&lt;&gt;"Serviço"</formula>
    </cfRule>
  </conditionalFormatting>
  <conditionalFormatting sqref="C49:C50">
    <cfRule type="expression" dxfId="108" priority="71" stopIfTrue="1">
      <formula>$A49="Meta"</formula>
    </cfRule>
    <cfRule type="expression" dxfId="107" priority="72" stopIfTrue="1">
      <formula>$A49&lt;&gt;"Serviço"</formula>
    </cfRule>
  </conditionalFormatting>
  <conditionalFormatting sqref="A49:B50">
    <cfRule type="expression" dxfId="106" priority="73" stopIfTrue="1">
      <formula>$A49="Meta"</formula>
    </cfRule>
    <cfRule type="expression" dxfId="105" priority="74" stopIfTrue="1">
      <formula>LEFT($A49,5)="Nível"</formula>
    </cfRule>
    <cfRule type="expression" dxfId="104" priority="75" stopIfTrue="1">
      <formula>$A49=0</formula>
    </cfRule>
  </conditionalFormatting>
  <conditionalFormatting sqref="D134:E136">
    <cfRule type="expression" dxfId="103" priority="56" stopIfTrue="1">
      <formula>$A134="Meta"</formula>
    </cfRule>
    <cfRule type="expression" dxfId="102" priority="57" stopIfTrue="1">
      <formula>$A134&lt;&gt;"Serviço"</formula>
    </cfRule>
  </conditionalFormatting>
  <conditionalFormatting sqref="C134:C136">
    <cfRule type="expression" dxfId="101" priority="58" stopIfTrue="1">
      <formula>$A134="Meta"</formula>
    </cfRule>
    <cfRule type="expression" dxfId="100" priority="59" stopIfTrue="1">
      <formula>$A134&lt;&gt;"Serviço"</formula>
    </cfRule>
  </conditionalFormatting>
  <conditionalFormatting sqref="A134:B136">
    <cfRule type="expression" dxfId="99" priority="60" stopIfTrue="1">
      <formula>$A134="Meta"</formula>
    </cfRule>
    <cfRule type="expression" dxfId="98" priority="61" stopIfTrue="1">
      <formula>LEFT($A134,5)="Nível"</formula>
    </cfRule>
    <cfRule type="expression" dxfId="97" priority="62" stopIfTrue="1">
      <formula>$A134=0</formula>
    </cfRule>
  </conditionalFormatting>
  <conditionalFormatting sqref="D33:E33">
    <cfRule type="expression" dxfId="96" priority="17" stopIfTrue="1">
      <formula>$A33="Meta"</formula>
    </cfRule>
    <cfRule type="expression" dxfId="95" priority="18" stopIfTrue="1">
      <formula>$A33&lt;&gt;"Serviço"</formula>
    </cfRule>
  </conditionalFormatting>
  <conditionalFormatting sqref="C33">
    <cfRule type="expression" dxfId="94" priority="19" stopIfTrue="1">
      <formula>$A33="Meta"</formula>
    </cfRule>
    <cfRule type="expression" dxfId="93" priority="20" stopIfTrue="1">
      <formula>$A33&lt;&gt;"Serviço"</formula>
    </cfRule>
  </conditionalFormatting>
  <conditionalFormatting sqref="A33:B33">
    <cfRule type="expression" dxfId="92" priority="21" stopIfTrue="1">
      <formula>$A33="Meta"</formula>
    </cfRule>
    <cfRule type="expression" dxfId="91" priority="22" stopIfTrue="1">
      <formula>LEFT($A33,5)="Nível"</formula>
    </cfRule>
    <cfRule type="expression" dxfId="90" priority="23" stopIfTrue="1">
      <formula>$A33=0</formula>
    </cfRule>
  </conditionalFormatting>
  <conditionalFormatting sqref="D34:E34">
    <cfRule type="expression" dxfId="89" priority="4" stopIfTrue="1">
      <formula>$A34="Meta"</formula>
    </cfRule>
    <cfRule type="expression" dxfId="88" priority="5" stopIfTrue="1">
      <formula>$A34&lt;&gt;"Serviço"</formula>
    </cfRule>
  </conditionalFormatting>
  <conditionalFormatting sqref="C34">
    <cfRule type="expression" dxfId="87" priority="6" stopIfTrue="1">
      <formula>$A34="Meta"</formula>
    </cfRule>
    <cfRule type="expression" dxfId="86" priority="7" stopIfTrue="1">
      <formula>$A34&lt;&gt;"Serviço"</formula>
    </cfRule>
  </conditionalFormatting>
  <conditionalFormatting sqref="A34:B34">
    <cfRule type="expression" dxfId="85" priority="8" stopIfTrue="1">
      <formula>$A34="Meta"</formula>
    </cfRule>
    <cfRule type="expression" dxfId="84" priority="9" stopIfTrue="1">
      <formula>LEFT($A34,5)="Nível"</formula>
    </cfRule>
    <cfRule type="expression" dxfId="83" priority="10" stopIfTrue="1">
      <formula>$A34=0</formula>
    </cfRule>
  </conditionalFormatting>
  <dataValidations count="1">
    <dataValidation type="decimal" operator="greaterThanOrEqual" allowBlank="1" showInputMessage="1" showErrorMessage="1" error="Digite apenas números._x000a__x000a_preferencialmente com 02 casas de precisão." sqref="U11 F11:O11 U14:U138 F14:O138">
      <formula1>0</formula1>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ignoredErrors>
    <ignoredError sqref="B144 B141" unlockedFormula="1"/>
    <ignoredError sqref="A12 C12" formula="1"/>
  </ignoredError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Plan6">
    <tabColor rgb="FFFFFF00"/>
    <outlinePr summaryBelow="0"/>
  </sheetPr>
  <dimension ref="A1:AC76"/>
  <sheetViews>
    <sheetView showGridLines="0" topLeftCell="L1" zoomScaleNormal="100" zoomScaleSheetLayoutView="100" workbookViewId="0">
      <selection activeCell="T64" sqref="T64"/>
    </sheetView>
  </sheetViews>
  <sheetFormatPr defaultRowHeight="12.75" x14ac:dyDescent="0.2"/>
  <cols>
    <col min="1" max="4" width="9.140625" style="42" hidden="1" customWidth="1"/>
    <col min="5" max="8" width="5.7109375" style="42" hidden="1" customWidth="1"/>
    <col min="9" max="10" width="6.7109375" style="42" hidden="1" customWidth="1"/>
    <col min="11" max="11" width="10.7109375" style="42" hidden="1" customWidth="1"/>
    <col min="12" max="12" width="10.7109375" style="42" customWidth="1"/>
    <col min="13" max="13" width="40.5703125" style="42" customWidth="1"/>
    <col min="14" max="14" width="16.42578125" style="47" customWidth="1"/>
    <col min="15" max="15" width="16.5703125" style="42" bestFit="1" customWidth="1"/>
    <col min="16" max="23" width="15.7109375" style="42" customWidth="1"/>
    <col min="24" max="24" width="0.85546875" style="46" customWidth="1"/>
    <col min="25" max="28" width="9.140625" style="42"/>
    <col min="29" max="29" width="15.7109375" style="42" hidden="1" customWidth="1"/>
    <col min="30" max="16384" width="9.140625" style="42"/>
  </cols>
  <sheetData>
    <row r="1" spans="1:29" s="41" customFormat="1" ht="12.95" customHeight="1" x14ac:dyDescent="0.2">
      <c r="A1" s="21"/>
      <c r="B1" s="21"/>
      <c r="C1" s="21"/>
      <c r="D1" s="21"/>
      <c r="E1" s="172"/>
      <c r="F1" s="172"/>
      <c r="G1" s="172"/>
      <c r="H1" s="172"/>
      <c r="I1" s="172"/>
      <c r="J1" s="172"/>
      <c r="K1" s="172"/>
      <c r="L1" s="21"/>
      <c r="M1" s="21"/>
      <c r="N1" s="21"/>
      <c r="O1" s="173" t="s">
        <v>22</v>
      </c>
      <c r="P1" s="174" t="s">
        <v>116</v>
      </c>
      <c r="Q1" s="175"/>
      <c r="R1" s="21"/>
      <c r="S1" s="21"/>
      <c r="T1" s="21"/>
      <c r="U1" s="1"/>
      <c r="V1" s="1"/>
      <c r="W1" s="1"/>
      <c r="X1" s="1"/>
      <c r="AC1" s="1"/>
    </row>
    <row r="2" spans="1:29" s="41" customFormat="1" ht="12.75" customHeight="1" x14ac:dyDescent="0.2">
      <c r="A2" s="1"/>
      <c r="B2" s="1"/>
      <c r="C2" s="1"/>
      <c r="D2" s="1"/>
      <c r="E2" s="1"/>
      <c r="F2" s="1"/>
      <c r="G2" s="1"/>
      <c r="H2" s="1"/>
      <c r="I2" s="1"/>
      <c r="J2" s="1"/>
      <c r="K2" s="1"/>
      <c r="L2" s="1"/>
      <c r="M2" s="1"/>
      <c r="N2" s="1"/>
      <c r="O2" s="173"/>
      <c r="P2" s="176" t="str">
        <f>CHOOSE(1+LOG(1+2*(TipoOrçamento="BASE")+4*(TipoOrçamento="LICITADO")+8*(TipoOrçamento="REPROGRAMADOAC")+16*(TipoOrçamento="REPROGRAMADONPL"),2),"nada","Cronograma Base para Licitação","Cronograma Licitado","Cronograma Licitado Reprogramado","Cronograma Base para Licitação - Reprogramado")</f>
        <v>Cronograma Base para Licitação</v>
      </c>
      <c r="Q2" s="1"/>
      <c r="R2" s="1"/>
      <c r="S2" s="1"/>
      <c r="T2" s="1"/>
      <c r="U2" s="1"/>
      <c r="V2" s="174"/>
      <c r="W2" s="1"/>
      <c r="X2" s="1"/>
      <c r="AC2" s="1"/>
    </row>
    <row r="3" spans="1:29" s="41" customFormat="1" ht="12.75" customHeight="1" x14ac:dyDescent="0.2">
      <c r="A3" s="1"/>
      <c r="B3" s="1"/>
      <c r="C3" s="1"/>
      <c r="D3" s="1"/>
      <c r="E3" s="1"/>
      <c r="F3" s="1"/>
      <c r="G3" s="1"/>
      <c r="H3" s="1"/>
      <c r="I3" s="1"/>
      <c r="J3" s="1"/>
      <c r="K3" s="1"/>
      <c r="L3" s="1"/>
      <c r="M3" s="1"/>
      <c r="N3" s="1"/>
      <c r="O3" s="1"/>
      <c r="P3" s="1"/>
      <c r="Q3" s="1"/>
      <c r="R3" s="1"/>
      <c r="S3" s="82"/>
      <c r="T3" s="1"/>
      <c r="U3" s="1"/>
      <c r="V3" s="1"/>
      <c r="W3" s="1"/>
      <c r="X3" s="1"/>
      <c r="AC3" s="1"/>
    </row>
    <row r="4" spans="1:29" s="41" customFormat="1" ht="24.95" customHeight="1" x14ac:dyDescent="0.2">
      <c r="A4" s="1"/>
      <c r="B4" s="1"/>
      <c r="C4" s="1"/>
      <c r="D4" s="1"/>
      <c r="E4" s="1"/>
      <c r="F4" s="1"/>
      <c r="G4" s="1"/>
      <c r="H4" s="1"/>
      <c r="I4" s="1"/>
      <c r="J4" s="1"/>
      <c r="K4" s="1"/>
      <c r="L4" s="1"/>
      <c r="M4" s="1"/>
      <c r="N4" s="1"/>
      <c r="O4" s="1"/>
      <c r="P4" s="1"/>
      <c r="Q4" s="1"/>
      <c r="R4" s="1"/>
      <c r="S4" s="1"/>
      <c r="T4" s="1"/>
      <c r="U4" s="1"/>
      <c r="V4" s="1"/>
      <c r="W4" s="1"/>
      <c r="X4" s="1"/>
      <c r="AC4" s="1"/>
    </row>
    <row r="5" spans="1:29" s="41" customFormat="1" ht="24.95" customHeight="1" x14ac:dyDescent="0.2">
      <c r="A5" s="1"/>
      <c r="B5" s="1"/>
      <c r="C5" s="1"/>
      <c r="D5" s="1"/>
      <c r="E5" s="1"/>
      <c r="F5" s="1"/>
      <c r="G5" s="1"/>
      <c r="H5" s="1"/>
      <c r="I5" s="1"/>
      <c r="J5" s="1"/>
      <c r="K5" s="1"/>
      <c r="L5" s="1"/>
      <c r="M5" s="1"/>
      <c r="N5" s="1"/>
      <c r="O5" s="1"/>
      <c r="P5" s="1"/>
      <c r="Q5" s="1"/>
      <c r="R5" s="1"/>
      <c r="S5" s="1"/>
      <c r="T5" s="1"/>
      <c r="U5" s="1"/>
      <c r="V5" s="1"/>
      <c r="W5" s="1"/>
      <c r="X5" s="1"/>
      <c r="AC5" s="1"/>
    </row>
    <row r="6" spans="1:29" s="41" customFormat="1" ht="24.95" customHeight="1" x14ac:dyDescent="0.2">
      <c r="A6" s="1"/>
      <c r="B6" s="1"/>
      <c r="C6" s="1"/>
      <c r="D6" s="1"/>
      <c r="E6" s="1"/>
      <c r="F6" s="1"/>
      <c r="G6" s="1"/>
      <c r="H6" s="1"/>
      <c r="I6" s="1"/>
      <c r="J6" s="1"/>
      <c r="K6" s="1"/>
      <c r="L6" s="1"/>
      <c r="M6" s="1"/>
      <c r="N6" s="1"/>
      <c r="O6" s="1"/>
      <c r="P6" s="1"/>
      <c r="Q6" s="1"/>
      <c r="R6" s="1"/>
      <c r="S6" s="1"/>
      <c r="T6" s="1"/>
      <c r="U6" s="1"/>
      <c r="V6" s="1"/>
      <c r="W6" s="1"/>
      <c r="X6" s="1"/>
      <c r="AC6" s="1"/>
    </row>
    <row r="7" spans="1:29" s="41" customFormat="1" ht="21.75" customHeight="1" x14ac:dyDescent="0.2">
      <c r="A7" s="1"/>
      <c r="B7" s="1"/>
      <c r="C7" s="1"/>
      <c r="D7" s="1"/>
      <c r="E7" s="1"/>
      <c r="F7" s="1"/>
      <c r="G7" s="1"/>
      <c r="H7" s="1"/>
      <c r="I7" s="1"/>
      <c r="J7" s="1"/>
      <c r="K7" s="1"/>
      <c r="L7" s="1"/>
      <c r="M7" s="1"/>
      <c r="N7" s="1"/>
      <c r="O7" s="1"/>
      <c r="P7" s="1"/>
      <c r="Q7" s="1"/>
      <c r="R7" s="1"/>
      <c r="S7" s="1"/>
      <c r="T7" s="1"/>
      <c r="U7" s="1"/>
      <c r="V7" s="1"/>
      <c r="W7" s="1"/>
      <c r="X7" s="1"/>
      <c r="AC7" s="1"/>
    </row>
    <row r="8" spans="1:29" s="41" customFormat="1" ht="30" customHeight="1" x14ac:dyDescent="0.2">
      <c r="A8" s="177" t="s">
        <v>177</v>
      </c>
      <c r="B8" s="1"/>
      <c r="C8" s="1"/>
      <c r="D8" s="1"/>
      <c r="E8" s="1"/>
      <c r="F8" s="1"/>
      <c r="G8" s="1"/>
      <c r="H8" s="1"/>
      <c r="I8" s="1"/>
      <c r="J8" s="1"/>
      <c r="K8" s="1"/>
      <c r="L8" s="381" t="str">
        <f ca="1">IF(MAX($A$14:$A$67)&lt;&gt;MAX(PO!$V$12:$V$139),"ERRO: CRONOGRAMA DESATUALIZADO",IF(OR(COUNTIF($O$16:$X$16,"&gt;1")&gt;0,OFFSET($X$17,0,-1)&lt;&gt;$N$14),"ERRO: CRONOGRAMA NÃO FECHA EM 100%",""))</f>
        <v/>
      </c>
      <c r="M8" s="381"/>
      <c r="N8" s="160" t="str">
        <f>IF(TipoOrçamento="REPROGRAMADOAC","Qtde de Medições realizadas","")</f>
        <v/>
      </c>
      <c r="O8" s="178"/>
      <c r="P8" s="179"/>
      <c r="Q8" s="1"/>
      <c r="R8" s="1"/>
      <c r="S8" s="1"/>
      <c r="T8" s="1"/>
      <c r="U8" s="1"/>
      <c r="V8" s="1"/>
      <c r="W8" s="1"/>
      <c r="X8" s="1"/>
      <c r="AC8" s="1"/>
    </row>
    <row r="9" spans="1:29" s="41" customFormat="1" ht="14.1" customHeight="1" x14ac:dyDescent="0.2">
      <c r="A9" s="166">
        <v>2</v>
      </c>
      <c r="B9" s="1"/>
      <c r="C9" s="1"/>
      <c r="D9" s="1"/>
      <c r="E9" s="1"/>
      <c r="F9" s="1"/>
      <c r="G9" s="1"/>
      <c r="H9" s="1"/>
      <c r="I9" s="1"/>
      <c r="J9" s="1"/>
      <c r="K9" s="1"/>
      <c r="L9" s="82"/>
      <c r="M9" s="82"/>
      <c r="N9" s="159">
        <v>1</v>
      </c>
      <c r="O9" s="149">
        <f>IF(AND(TipoOrçamento="REPROGRAMADOAC",$N$9&gt;0),$N$9-1,0)</f>
        <v>0</v>
      </c>
      <c r="P9" s="148">
        <f t="shared" ref="P9:W9" ca="1" si="0">OFFSET(P9,0,-1)+1</f>
        <v>1</v>
      </c>
      <c r="Q9" s="148">
        <f t="shared" ca="1" si="0"/>
        <v>2</v>
      </c>
      <c r="R9" s="148">
        <f t="shared" ca="1" si="0"/>
        <v>3</v>
      </c>
      <c r="S9" s="148">
        <f t="shared" ca="1" si="0"/>
        <v>4</v>
      </c>
      <c r="T9" s="148">
        <f t="shared" ca="1" si="0"/>
        <v>5</v>
      </c>
      <c r="U9" s="148">
        <f t="shared" ca="1" si="0"/>
        <v>6</v>
      </c>
      <c r="V9" s="148">
        <f t="shared" ca="1" si="0"/>
        <v>7</v>
      </c>
      <c r="W9" s="148">
        <f t="shared" ca="1" si="0"/>
        <v>8</v>
      </c>
      <c r="X9" s="1"/>
      <c r="AC9" s="148">
        <f ca="1">OFFSET(AC9,0,-1)+1</f>
        <v>1</v>
      </c>
    </row>
    <row r="10" spans="1:29" s="43" customFormat="1" ht="30" customHeight="1" x14ac:dyDescent="0.2">
      <c r="A10" s="180" t="s">
        <v>162</v>
      </c>
      <c r="B10" s="180" t="s">
        <v>130</v>
      </c>
      <c r="C10" s="180" t="s">
        <v>3</v>
      </c>
      <c r="D10" s="180" t="s">
        <v>124</v>
      </c>
      <c r="E10" s="180" t="s">
        <v>110</v>
      </c>
      <c r="F10" s="180" t="s">
        <v>111</v>
      </c>
      <c r="G10" s="180" t="s">
        <v>128</v>
      </c>
      <c r="H10" s="180" t="s">
        <v>129</v>
      </c>
      <c r="I10" s="180" t="s">
        <v>125</v>
      </c>
      <c r="J10" s="180" t="s">
        <v>126</v>
      </c>
      <c r="K10" s="180" t="s">
        <v>179</v>
      </c>
      <c r="L10" s="181" t="s">
        <v>148</v>
      </c>
      <c r="M10" s="182" t="s">
        <v>161</v>
      </c>
      <c r="N10" s="183" t="s">
        <v>140</v>
      </c>
      <c r="O10" s="218" t="str">
        <f>IF(TipoOrçamento="REPROGRAMADOAC","Reinício de Obra","Início de Obra")&amp;CHAR(10)&amp;TEXT(DADOS!A48,"dd/mm/aa")</f>
        <v>Início de Obra
14/10/24</v>
      </c>
      <c r="P10" s="219" t="str">
        <f ca="1">IF(AND(TipoOrçamento="REPROGRAMADOAC",$N$9&gt;0,N10="Valores Totais (R$)"),"Parcela "&amp;$N$9&amp;" Executado","Parcela "&amp;P$9&amp;CHAR(10)&amp;TEXT(DATE(YEAR(DADOS!$A$48),MONTH(DADOS!$A$48)+P$9-IF(AND(TipoOrçamento="REPROGRAMADOAC",$N$9&gt;0),$N$9,0),1),"mmm/aa"))</f>
        <v>Parcela 1
nov/24</v>
      </c>
      <c r="Q10" s="210" t="str">
        <f ca="1">IF(AND(TipoOrçamento="REPROGRAMADOAC",$N$9&gt;0,O10="Valores Totais (R$)"),"Parcela "&amp;$N$9&amp;" Executado","Parcela "&amp;Q$9&amp;CHAR(10)&amp;TEXT(DATE(YEAR(DADOS!$A$48),MONTH(DADOS!$A$48)+Q$9-IF(AND(TipoOrçamento="REPROGRAMADOAC",$N$9&gt;0),$N$9,0),1),"mmm/aa"))</f>
        <v>Parcela 2
dez/24</v>
      </c>
      <c r="R10" s="210" t="str">
        <f ca="1">IF(AND(TipoOrçamento="REPROGRAMADOAC",$N$9&gt;0,P10="Valores Totais (R$)"),"Parcela "&amp;$N$9&amp;" Executado","Parcela "&amp;R$9&amp;CHAR(10)&amp;TEXT(DATE(YEAR(DADOS!$A$48),MONTH(DADOS!$A$48)+R$9-IF(AND(TipoOrçamento="REPROGRAMADOAC",$N$9&gt;0),$N$9,0),1),"mmm/aa"))</f>
        <v>Parcela 3
jan/25</v>
      </c>
      <c r="S10" s="210" t="str">
        <f ca="1">IF(AND(TipoOrçamento="REPROGRAMADOAC",$N$9&gt;0,Q10="Valores Totais (R$)"),"Parcela "&amp;$N$9&amp;" Executado","Parcela "&amp;S$9&amp;CHAR(10)&amp;TEXT(DATE(YEAR(DADOS!$A$48),MONTH(DADOS!$A$48)+S$9-IF(AND(TipoOrçamento="REPROGRAMADOAC",$N$9&gt;0),$N$9,0),1),"mmm/aa"))</f>
        <v>Parcela 4
fev/25</v>
      </c>
      <c r="T10" s="210" t="str">
        <f ca="1">IF(AND(TipoOrçamento="REPROGRAMADOAC",$N$9&gt;0,R10="Valores Totais (R$)"),"Parcela "&amp;$N$9&amp;" Executado","Parcela "&amp;T$9&amp;CHAR(10)&amp;TEXT(DATE(YEAR(DADOS!$A$48),MONTH(DADOS!$A$48)+T$9-IF(AND(TipoOrçamento="REPROGRAMADOAC",$N$9&gt;0),$N$9,0),1),"mmm/aa"))</f>
        <v>Parcela 5
mar/25</v>
      </c>
      <c r="U10" s="210" t="str">
        <f ca="1">IF(AND(TipoOrçamento="REPROGRAMADOAC",$N$9&gt;0,S10="Valores Totais (R$)"),"Parcela "&amp;$N$9&amp;" Executado","Parcela "&amp;U$9&amp;CHAR(10)&amp;TEXT(DATE(YEAR(DADOS!$A$48),MONTH(DADOS!$A$48)+U$9-IF(AND(TipoOrçamento="REPROGRAMADOAC",$N$9&gt;0),$N$9,0),1),"mmm/aa"))</f>
        <v>Parcela 6
abr/25</v>
      </c>
      <c r="V10" s="210" t="str">
        <f ca="1">IF(AND(TipoOrçamento="REPROGRAMADOAC",$N$9&gt;0,T10="Valores Totais (R$)"),"Parcela "&amp;$N$9&amp;" Executado","Parcela "&amp;V$9&amp;CHAR(10)&amp;TEXT(DATE(YEAR(DADOS!$A$48),MONTH(DADOS!$A$48)+V$9-IF(AND(TipoOrçamento="REPROGRAMADOAC",$N$9&gt;0),$N$9,0),1),"mmm/aa"))</f>
        <v>Parcela 7
mai/25</v>
      </c>
      <c r="W10" s="222" t="str">
        <f ca="1">IF(AND(TipoOrçamento="REPROGRAMADOAC",$N$9&gt;0,U10="Valores Totais (R$)"),"Parcela "&amp;$N$9&amp;" Executado","Parcela "&amp;W$9&amp;CHAR(10)&amp;TEXT(DATE(YEAR(DADOS!$A$48),MONTH(DADOS!$A$48)+W$9-IF(AND(TipoOrçamento="REPROGRAMADOAC",$N$9&gt;0),$N$9,0),1),"mmm/aa"))</f>
        <v>Parcela 8
jun/25</v>
      </c>
      <c r="X10" s="195"/>
      <c r="AC10" s="210" t="str">
        <f ca="1">IF(AND(TipoOrçamento="REPROGRAMADOAC",$N$9&gt;0,AA10="Valores Totais (R$)"),"Parcela "&amp;$N$9&amp;" Executado","Parcela "&amp;AC$9&amp;CHAR(10)&amp;TEXT(DATE(YEAR(DADOS!$A$48),MONTH(DADOS!$A$48)+AC$9-IF(AND(TipoOrçamento="REPROGRAMADOAC",$N$9&gt;0),$N$9,0),1),"mmm/aa"))</f>
        <v>Parcela 1
nov/24</v>
      </c>
    </row>
    <row r="11" spans="1:29" customFormat="1" ht="14.25" hidden="1" customHeight="1" x14ac:dyDescent="0.2">
      <c r="A11" s="82"/>
      <c r="B11" s="82"/>
      <c r="C11" s="82"/>
      <c r="D11" s="82"/>
      <c r="E11" s="82"/>
      <c r="F11" s="82"/>
      <c r="G11" s="82"/>
      <c r="H11" s="82"/>
      <c r="I11" s="82"/>
      <c r="J11" s="82"/>
      <c r="K11" s="82"/>
      <c r="L11" s="375" t="e">
        <f ca="1">INDEX(PO!K$12:K$139,MATCH($A13,PO!$V$12:$V$139,0))</f>
        <v>#VALUE!</v>
      </c>
      <c r="M11" s="377" t="e">
        <f ca="1">INDEX(PO!N$12:N$139,MATCH($A13,PO!$V$12:$V$139,0))</f>
        <v>#VALUE!</v>
      </c>
      <c r="N11" s="379" t="e">
        <f ca="1">IF(ROUND(K13,2)=0,K13,ROUND(K13,2))</f>
        <v>#VALUE!</v>
      </c>
      <c r="O11" s="220" t="s">
        <v>144</v>
      </c>
      <c r="P11" s="225" t="e">
        <f ca="1">IF($B13,0,P12-IF(ISNUMBER(O12),O12,0))</f>
        <v>#VALUE!</v>
      </c>
      <c r="Q11" s="226" t="e">
        <f t="shared" ref="Q11:W11" ca="1" si="1">IF($B13,0,Q12-IF(ISNUMBER(P12),P12,0))</f>
        <v>#VALUE!</v>
      </c>
      <c r="R11" s="226" t="e">
        <f t="shared" ca="1" si="1"/>
        <v>#VALUE!</v>
      </c>
      <c r="S11" s="226" t="e">
        <f t="shared" ca="1" si="1"/>
        <v>#VALUE!</v>
      </c>
      <c r="T11" s="226" t="e">
        <f t="shared" ca="1" si="1"/>
        <v>#VALUE!</v>
      </c>
      <c r="U11" s="226" t="e">
        <f t="shared" ca="1" si="1"/>
        <v>#VALUE!</v>
      </c>
      <c r="V11" s="226" t="e">
        <f t="shared" ca="1" si="1"/>
        <v>#VALUE!</v>
      </c>
      <c r="W11" s="227" t="e">
        <f t="shared" ca="1" si="1"/>
        <v>#VALUE!</v>
      </c>
      <c r="X11" s="196"/>
      <c r="AC11" s="221" t="e">
        <f ca="1">IF($B13,0,AC12-IF(ISNUMBER(AB12),AB12,0))</f>
        <v>#VALUE!</v>
      </c>
    </row>
    <row r="12" spans="1:29" customFormat="1" ht="14.25" hidden="1" x14ac:dyDescent="0.2">
      <c r="A12" s="184"/>
      <c r="B12" s="184"/>
      <c r="C12" s="184"/>
      <c r="D12" s="184"/>
      <c r="E12" s="184"/>
      <c r="F12" s="184"/>
      <c r="G12" s="184"/>
      <c r="H12" s="184"/>
      <c r="I12" s="184"/>
      <c r="J12" s="184"/>
      <c r="K12" s="184"/>
      <c r="L12" s="376"/>
      <c r="M12" s="378"/>
      <c r="N12" s="380"/>
      <c r="O12" s="170" t="s">
        <v>146</v>
      </c>
      <c r="P12" s="198" t="e">
        <f ca="1">MIN(IF($B13,P11+IF(ISNUMBER(O12),O12,0),P13/$N11),1)</f>
        <v>#VALUE!</v>
      </c>
      <c r="Q12" s="168" t="e">
        <f t="shared" ref="Q12:W12" ca="1" si="2">MIN(IF($B13,Q11+IF(ISNUMBER(P12),P12,0),Q13/$N11),1)</f>
        <v>#VALUE!</v>
      </c>
      <c r="R12" s="168" t="e">
        <f t="shared" ca="1" si="2"/>
        <v>#VALUE!</v>
      </c>
      <c r="S12" s="168" t="e">
        <f t="shared" ca="1" si="2"/>
        <v>#VALUE!</v>
      </c>
      <c r="T12" s="168" t="e">
        <f t="shared" ca="1" si="2"/>
        <v>#VALUE!</v>
      </c>
      <c r="U12" s="168" t="e">
        <f t="shared" ca="1" si="2"/>
        <v>#VALUE!</v>
      </c>
      <c r="V12" s="168" t="e">
        <f t="shared" ca="1" si="2"/>
        <v>#VALUE!</v>
      </c>
      <c r="W12" s="168" t="e">
        <f t="shared" ca="1" si="2"/>
        <v>#VALUE!</v>
      </c>
      <c r="X12" s="196"/>
      <c r="AC12" s="168" t="e">
        <f ca="1">MIN(IF($B13,AC11+IF(ISNUMBER(AB12),AB12,0),AC13/$N11),1)</f>
        <v>#VALUE!</v>
      </c>
    </row>
    <row r="13" spans="1:29" customFormat="1" ht="14.25" hidden="1" x14ac:dyDescent="0.2">
      <c r="A13" s="184" t="e">
        <f ca="1">OFFSET(A13,-CFF.NumLinha,0)+1</f>
        <v>#VALUE!</v>
      </c>
      <c r="B13" s="184" t="e">
        <f ca="1">$C13&gt;=OFFSET($C13,CFF.NumLinha,0)</f>
        <v>#VALUE!</v>
      </c>
      <c r="C13" s="184" t="e">
        <f ca="1">INDEX(PO!A$12:A$139,MATCH($A13,PO!$V$12:$V$139,0))</f>
        <v>#VALUE!</v>
      </c>
      <c r="D13" s="184" t="e">
        <f ca="1">IF(ISERROR(J13),I13,SMALL(I13:J13,1))-1</f>
        <v>#VALUE!</v>
      </c>
      <c r="E13" s="184" t="e">
        <f ca="1">IF($C13=1,OFFSET(E13,-CFF.NumLinha,0)+1,OFFSET(E13,-CFF.NumLinha,0))</f>
        <v>#VALUE!</v>
      </c>
      <c r="F13" s="184" t="e">
        <f ca="1">IF($C13=1,0,IF($C13=2,OFFSET(F13,-CFF.NumLinha,0)+1,OFFSET(F13,-CFF.NumLinha,0)))</f>
        <v>#VALUE!</v>
      </c>
      <c r="G13" s="184" t="e">
        <f ca="1">IF(AND($C13&lt;=2,$C13&lt;&gt;0),0,IF($C13=3,OFFSET(G13,-CFF.NumLinha,0)+1,OFFSET(G13,-CFF.NumLinha,0)))</f>
        <v>#VALUE!</v>
      </c>
      <c r="H13" s="184" t="e">
        <f ca="1">IF(AND($C13&lt;=3,$C13&lt;&gt;0),0,IF($C13=4,OFFSET(H13,-CFF.NumLinha,0)+1,OFFSET(H13,-CFF.NumLinha,0)))</f>
        <v>#VALUE!</v>
      </c>
      <c r="I13" s="184" t="e">
        <f ca="1">MATCH(0,OFFSET($D13,1,$C13,ROW($A$66)-ROW($A13)),0)</f>
        <v>#VALUE!</v>
      </c>
      <c r="J13" s="184" t="e">
        <f ca="1">MATCH(OFFSET($D13,0,$C13)+1,OFFSET($D13,1,$C13,ROW($A$66)-ROW($A13)),0)</f>
        <v>#VALUE!</v>
      </c>
      <c r="K13" s="185" t="e">
        <f ca="1">ROUND(INDEX(PO!T$12:T$139,MATCH($A13,PO!$V$12:$V$139,0)),2)+10^-12</f>
        <v>#VALUE!</v>
      </c>
      <c r="L13" s="376"/>
      <c r="M13" s="378"/>
      <c r="N13" s="380"/>
      <c r="O13" s="204" t="s">
        <v>20</v>
      </c>
      <c r="P13" s="199" t="e">
        <f ca="1">IF($B13,ROUND(P12*$N11,2),ROUND(SUMIF(OFFSET($B13,1,0,$D13),TRUE,OFFSET(P13,1,0,$D13))/SUMIF(OFFSET($B13,1,0,$D13),TRUE,OFFSET($K13,1,0,$D13))*$N11,2))</f>
        <v>#VALUE!</v>
      </c>
      <c r="Q13" s="169" t="e">
        <f t="shared" ref="Q13:W13" ca="1" si="3">IF($B13,ROUND(Q12*$N11,2),ROUND(SUMIF(OFFSET($B13,1,0,$D13),TRUE,OFFSET(Q13,1,0,$D13))/SUMIF(OFFSET($B13,1,0,$D13),TRUE,OFFSET($K13,1,0,$D13))*$N11,2))</f>
        <v>#VALUE!</v>
      </c>
      <c r="R13" s="169" t="e">
        <f t="shared" ca="1" si="3"/>
        <v>#VALUE!</v>
      </c>
      <c r="S13" s="169" t="e">
        <f t="shared" ca="1" si="3"/>
        <v>#VALUE!</v>
      </c>
      <c r="T13" s="169" t="e">
        <f t="shared" ca="1" si="3"/>
        <v>#VALUE!</v>
      </c>
      <c r="U13" s="169" t="e">
        <f t="shared" ca="1" si="3"/>
        <v>#VALUE!</v>
      </c>
      <c r="V13" s="169" t="e">
        <f t="shared" ca="1" si="3"/>
        <v>#VALUE!</v>
      </c>
      <c r="W13" s="207" t="e">
        <f t="shared" ca="1" si="3"/>
        <v>#VALUE!</v>
      </c>
      <c r="X13" s="196"/>
      <c r="AC13" s="169" t="e">
        <f ca="1">IF($B13,ROUND(AC12*$N11,2),ROUND(SUMIF(OFFSET($B13,1,0,$D13),TRUE,OFFSET(AC13,1,0,$D13))/SUMIF(OFFSET($B13,1,0,$D13),TRUE,OFFSET($K13,1,0,$D13))*$N11,2))</f>
        <v>#VALUE!</v>
      </c>
    </row>
    <row r="14" spans="1:29" s="44" customFormat="1" ht="12.75" customHeight="1" x14ac:dyDescent="0.2">
      <c r="A14" s="1"/>
      <c r="B14" s="1"/>
      <c r="C14" s="1"/>
      <c r="D14" s="1"/>
      <c r="E14" s="1"/>
      <c r="F14" s="1"/>
      <c r="G14" s="1"/>
      <c r="H14" s="1"/>
      <c r="I14" s="1"/>
      <c r="J14" s="1"/>
      <c r="K14" s="1"/>
      <c r="L14" s="387" t="s">
        <v>19</v>
      </c>
      <c r="M14" s="388"/>
      <c r="N14" s="393">
        <f ca="1">IF(PO!$T$12=0,10^-12,PO!$T$12)</f>
        <v>373964.07</v>
      </c>
      <c r="O14" s="167" t="s">
        <v>144</v>
      </c>
      <c r="P14" s="205">
        <f ca="1">ROUND(P15/$N14,4)</f>
        <v>0.1217</v>
      </c>
      <c r="Q14" s="206">
        <f t="shared" ref="Q14:W14" ca="1" si="4">ROUND(Q15/$N14,4)</f>
        <v>0.14960000000000001</v>
      </c>
      <c r="R14" s="206">
        <f t="shared" ca="1" si="4"/>
        <v>0.17069999999999999</v>
      </c>
      <c r="S14" s="206">
        <f t="shared" ca="1" si="4"/>
        <v>0.20449999999999999</v>
      </c>
      <c r="T14" s="206">
        <f t="shared" ca="1" si="4"/>
        <v>0.18290000000000001</v>
      </c>
      <c r="U14" s="206">
        <f t="shared" ca="1" si="4"/>
        <v>0.1706</v>
      </c>
      <c r="V14" s="206">
        <f t="shared" ca="1" si="4"/>
        <v>0</v>
      </c>
      <c r="W14" s="206">
        <f t="shared" ca="1" si="4"/>
        <v>0</v>
      </c>
      <c r="X14" s="171"/>
      <c r="AC14" s="206">
        <f ca="1">ROUND(AC15/$N14,4)</f>
        <v>0</v>
      </c>
    </row>
    <row r="15" spans="1:29" s="44" customFormat="1" ht="12.75" customHeight="1" x14ac:dyDescent="0.2">
      <c r="A15" s="1"/>
      <c r="B15" s="1"/>
      <c r="C15" s="1"/>
      <c r="D15" s="1"/>
      <c r="E15" s="1"/>
      <c r="F15" s="1"/>
      <c r="G15" s="1"/>
      <c r="H15" s="1"/>
      <c r="I15" s="1"/>
      <c r="J15" s="1"/>
      <c r="K15" s="1"/>
      <c r="L15" s="389"/>
      <c r="M15" s="390"/>
      <c r="N15" s="394"/>
      <c r="O15" s="156" t="s">
        <v>145</v>
      </c>
      <c r="P15" s="200">
        <f ca="1">P17-IF(ISNUMBER(O17),O17,0)</f>
        <v>45516.94</v>
      </c>
      <c r="Q15" s="150">
        <f t="shared" ref="Q15:W15" ca="1" si="5">Q17-IF(ISNUMBER(P17),P17,0)</f>
        <v>55947.33</v>
      </c>
      <c r="R15" s="150">
        <f t="shared" ca="1" si="5"/>
        <v>63819.180000000008</v>
      </c>
      <c r="S15" s="150">
        <f t="shared" ca="1" si="5"/>
        <v>76462.899999999994</v>
      </c>
      <c r="T15" s="150">
        <f t="shared" ca="1" si="5"/>
        <v>68402.879999999976</v>
      </c>
      <c r="U15" s="150">
        <f t="shared" ca="1" si="5"/>
        <v>63814.840000000026</v>
      </c>
      <c r="V15" s="150">
        <f t="shared" ca="1" si="5"/>
        <v>0</v>
      </c>
      <c r="W15" s="150">
        <f t="shared" ca="1" si="5"/>
        <v>0</v>
      </c>
      <c r="X15" s="171"/>
      <c r="AC15" s="150">
        <f ca="1">AC17-IF(ISNUMBER(AB17),AB17,0)</f>
        <v>0</v>
      </c>
    </row>
    <row r="16" spans="1:29" s="44" customFormat="1" ht="12.75" customHeight="1" x14ac:dyDescent="0.2">
      <c r="A16" s="1"/>
      <c r="B16" s="1"/>
      <c r="C16" s="1"/>
      <c r="D16" s="1"/>
      <c r="E16" s="1"/>
      <c r="F16" s="1"/>
      <c r="G16" s="1"/>
      <c r="H16" s="1"/>
      <c r="I16" s="1"/>
      <c r="J16" s="1"/>
      <c r="K16" s="1"/>
      <c r="L16" s="389"/>
      <c r="M16" s="390"/>
      <c r="N16" s="394"/>
      <c r="O16" s="157" t="s">
        <v>146</v>
      </c>
      <c r="P16" s="201">
        <f ca="1">ROUND(P17/$N14,4)</f>
        <v>0.1217</v>
      </c>
      <c r="Q16" s="151">
        <f t="shared" ref="Q16:W16" ca="1" si="6">ROUND(Q17/$N14,4)</f>
        <v>0.27129999999999999</v>
      </c>
      <c r="R16" s="151">
        <f t="shared" ca="1" si="6"/>
        <v>0.442</v>
      </c>
      <c r="S16" s="151">
        <f t="shared" ca="1" si="6"/>
        <v>0.64639999999999997</v>
      </c>
      <c r="T16" s="151">
        <f t="shared" ca="1" si="6"/>
        <v>0.82940000000000003</v>
      </c>
      <c r="U16" s="151">
        <f t="shared" ca="1" si="6"/>
        <v>1</v>
      </c>
      <c r="V16" s="151">
        <f t="shared" ca="1" si="6"/>
        <v>1</v>
      </c>
      <c r="W16" s="151">
        <f t="shared" ca="1" si="6"/>
        <v>1</v>
      </c>
      <c r="X16" s="171"/>
      <c r="AC16" s="151">
        <f ca="1">ROUND(AC17/$N14,4)</f>
        <v>0</v>
      </c>
    </row>
    <row r="17" spans="1:29" s="44" customFormat="1" ht="12.75" customHeight="1" x14ac:dyDescent="0.2">
      <c r="A17" s="114">
        <v>0</v>
      </c>
      <c r="B17" s="1"/>
      <c r="C17" s="1"/>
      <c r="D17" s="114">
        <f>ROW(D$66)-ROW(D18)</f>
        <v>48</v>
      </c>
      <c r="E17" s="1"/>
      <c r="F17" s="1"/>
      <c r="G17" s="1"/>
      <c r="H17" s="1"/>
      <c r="I17" s="1"/>
      <c r="J17" s="1"/>
      <c r="K17" s="1"/>
      <c r="L17" s="391"/>
      <c r="M17" s="392"/>
      <c r="N17" s="395"/>
      <c r="O17" s="158" t="s">
        <v>20</v>
      </c>
      <c r="P17" s="202">
        <f ca="1">SUMIF(OFFSET($C17,1,0):$C$66,1,OFFSET(P17,1,0):P$66)</f>
        <v>45516.94</v>
      </c>
      <c r="Q17" s="152">
        <f ca="1">SUMIF(OFFSET($C17,1,0):$C$66,1,OFFSET(Q17,1,0):Q$66)</f>
        <v>101464.27</v>
      </c>
      <c r="R17" s="152">
        <f ca="1">SUMIF(OFFSET($C17,1,0):$C$66,1,OFFSET(R17,1,0):R$66)</f>
        <v>165283.45000000001</v>
      </c>
      <c r="S17" s="152">
        <f ca="1">SUMIF(OFFSET($C17,1,0):$C$66,1,OFFSET(S17,1,0):S$66)</f>
        <v>241746.35</v>
      </c>
      <c r="T17" s="152">
        <f ca="1">SUMIF(OFFSET($C17,1,0):$C$66,1,OFFSET(T17,1,0):T$66)</f>
        <v>310149.23</v>
      </c>
      <c r="U17" s="152">
        <f ca="1">SUMIF(OFFSET($C17,1,0):$C$66,1,OFFSET(U17,1,0):U$66)</f>
        <v>373964.07</v>
      </c>
      <c r="V17" s="152">
        <f ca="1">SUMIF(OFFSET($C17,1,0):$C$66,1,OFFSET(V17,1,0):V$66)</f>
        <v>373964.07</v>
      </c>
      <c r="W17" s="152">
        <f ca="1">SUMIF(OFFSET($C17,1,0):$C$66,1,OFFSET(W17,1,0):W$66)</f>
        <v>373964.07</v>
      </c>
      <c r="X17" s="171"/>
      <c r="AC17" s="152">
        <f ca="1">SUMIF(OFFSET($C17,1,0):$C$66,1,OFFSET(AC17,1,0):AC$66)</f>
        <v>0</v>
      </c>
    </row>
    <row r="18" spans="1:29" customFormat="1" ht="14.25" customHeight="1" x14ac:dyDescent="0.2">
      <c r="A18" s="1"/>
      <c r="B18" s="1"/>
      <c r="C18" s="1"/>
      <c r="D18" s="1"/>
      <c r="E18" s="1"/>
      <c r="F18" s="1"/>
      <c r="G18" s="1"/>
      <c r="H18" s="1"/>
      <c r="I18" s="1"/>
      <c r="J18" s="1"/>
      <c r="K18" s="1"/>
      <c r="L18" s="375" t="str">
        <f ca="1">INDEX(PO!K$12:K$139,MATCH($A20,PO!$V$12:$V$139,0))</f>
        <v>1.</v>
      </c>
      <c r="M18" s="377" t="str">
        <f ca="1">INDEX(PO!N$12:N$139,MATCH($A20,PO!$V$12:$V$139,0))</f>
        <v>RECUPERAÇÃO DE COMPLEXO ESPORTIVO DO DISTRITO DE SERTÃZINHO</v>
      </c>
      <c r="N18" s="379">
        <f ca="1">IF(ROUND(K20,2)=0,K20,ROUND(K20,2))</f>
        <v>373964.07</v>
      </c>
      <c r="O18" s="203" t="s">
        <v>144</v>
      </c>
      <c r="P18" s="225">
        <f t="shared" ref="P18:W18" ca="1" si="7">IF($B20,0,P19-IF(ISNUMBER(O19),O19,0))</f>
        <v>0.12171474120495052</v>
      </c>
      <c r="Q18" s="226">
        <f t="shared" ca="1" si="7"/>
        <v>0.14960616403602622</v>
      </c>
      <c r="R18" s="226">
        <f t="shared" ca="1" si="7"/>
        <v>0.17065591354805826</v>
      </c>
      <c r="S18" s="226">
        <f t="shared" ca="1" si="7"/>
        <v>0.20446589962506295</v>
      </c>
      <c r="T18" s="226">
        <f t="shared" ca="1" si="7"/>
        <v>0.18291297343084312</v>
      </c>
      <c r="U18" s="226">
        <f t="shared" ca="1" si="7"/>
        <v>0.17064430815505893</v>
      </c>
      <c r="V18" s="226">
        <f t="shared" ca="1" si="7"/>
        <v>0</v>
      </c>
      <c r="W18" s="227">
        <f t="shared" ca="1" si="7"/>
        <v>0</v>
      </c>
      <c r="X18" s="197" t="s">
        <v>107</v>
      </c>
      <c r="AC18" s="221">
        <f ca="1">IF($B20,0,AC19-IF(ISNUMBER(AB19),AB19,0))</f>
        <v>0</v>
      </c>
    </row>
    <row r="19" spans="1:29" customFormat="1" ht="14.25" x14ac:dyDescent="0.2">
      <c r="A19" s="1"/>
      <c r="B19" s="1"/>
      <c r="C19" s="1"/>
      <c r="D19" s="1"/>
      <c r="E19" s="1"/>
      <c r="F19" s="1"/>
      <c r="G19" s="1"/>
      <c r="H19" s="1"/>
      <c r="I19" s="1"/>
      <c r="J19" s="1"/>
      <c r="K19" s="1"/>
      <c r="L19" s="376"/>
      <c r="M19" s="378"/>
      <c r="N19" s="380"/>
      <c r="O19" s="170" t="s">
        <v>146</v>
      </c>
      <c r="P19" s="198">
        <f t="shared" ref="P19:W19" ca="1" si="8">MIN(IF($B20,P18+IF(ISNUMBER(O19),O19,0),P20/$N18),1)</f>
        <v>0.12171474120495052</v>
      </c>
      <c r="Q19" s="168">
        <f t="shared" ca="1" si="8"/>
        <v>0.27132090524097674</v>
      </c>
      <c r="R19" s="168">
        <f t="shared" ca="1" si="8"/>
        <v>0.441976818789035</v>
      </c>
      <c r="S19" s="168">
        <f t="shared" ca="1" si="8"/>
        <v>0.64644271841409795</v>
      </c>
      <c r="T19" s="168">
        <f t="shared" ca="1" si="8"/>
        <v>0.82935569184494107</v>
      </c>
      <c r="U19" s="168">
        <f t="shared" ca="1" si="8"/>
        <v>1</v>
      </c>
      <c r="V19" s="168">
        <f t="shared" ca="1" si="8"/>
        <v>1</v>
      </c>
      <c r="W19" s="168">
        <f t="shared" ca="1" si="8"/>
        <v>1</v>
      </c>
      <c r="X19" s="196"/>
      <c r="AC19" s="168">
        <f ca="1">MIN(IF($B20,AC18+IF(ISNUMBER(AB19),AB19,0),AC20/$N18),1)</f>
        <v>0</v>
      </c>
    </row>
    <row r="20" spans="1:29" customFormat="1" ht="14.25" x14ac:dyDescent="0.2">
      <c r="A20" s="114">
        <f ca="1">OFFSET(A20,-CFF.NumLinha,0)+1</f>
        <v>1</v>
      </c>
      <c r="B20" s="1" t="b">
        <f ca="1">$C20&gt;=OFFSET($C20,CFF.NumLinha,0)</f>
        <v>0</v>
      </c>
      <c r="C20" s="184">
        <f ca="1">INDEX(PO!A$12:A$139,MATCH($A20,PO!$V$12:$V$139,0))</f>
        <v>1</v>
      </c>
      <c r="D20" s="184">
        <f ca="1">IF(ISERROR(J20),I20,SMALL(I20:J20,1))-1</f>
        <v>45</v>
      </c>
      <c r="E20" s="184">
        <f ca="1">IF($C20=1,OFFSET(E20,-CFF.NumLinha,0)+1,OFFSET(E20,-CFF.NumLinha,0))</f>
        <v>1</v>
      </c>
      <c r="F20" s="184">
        <f ca="1">IF($C20=1,0,IF($C20=2,OFFSET(F20,-CFF.NumLinha,0)+1,OFFSET(F20,-CFF.NumLinha,0)))</f>
        <v>0</v>
      </c>
      <c r="G20" s="184">
        <f ca="1">IF(AND($C20&lt;=2,$C20&lt;&gt;0),0,IF($C20=3,OFFSET(G20,-CFF.NumLinha,0)+1,OFFSET(G20,-CFF.NumLinha,0)))</f>
        <v>0</v>
      </c>
      <c r="H20" s="184">
        <f ca="1">IF(AND($C20&lt;=3,$C20&lt;&gt;0),0,IF($C20=4,OFFSET(H20,-CFF.NumLinha,0)+1,OFFSET(H20,-CFF.NumLinha,0)))</f>
        <v>0</v>
      </c>
      <c r="I20" s="184">
        <f ca="1">MATCH(0,OFFSET($D20,1,$C20,ROW($A$66)-ROW($A20)),0)</f>
        <v>46</v>
      </c>
      <c r="J20" s="184" t="e">
        <f ca="1">MATCH(OFFSET($D20,0,$C20)+1,OFFSET($D20,1,$C20,ROW($A$66)-ROW($A20)),0)</f>
        <v>#N/A</v>
      </c>
      <c r="K20" s="185">
        <f ca="1">ROUND(INDEX(PO!T$12:T$139,MATCH($A20,PO!$V$12:$V$139,0)),2)+10^-12</f>
        <v>373964.07</v>
      </c>
      <c r="L20" s="376"/>
      <c r="M20" s="378"/>
      <c r="N20" s="380"/>
      <c r="O20" s="204" t="s">
        <v>20</v>
      </c>
      <c r="P20" s="199">
        <f t="shared" ref="P20:W20" ca="1" si="9">IF($B20,ROUND(P19*$N18,2),ROUND(SUMIF(OFFSET($B20,1,0,$D20),TRUE,OFFSET(P20,1,0,$D20))/SUMIF(OFFSET($B20,1,0,$D20),TRUE,OFFSET($K20,1,0,$D20))*$N18,2))</f>
        <v>45516.94</v>
      </c>
      <c r="Q20" s="169">
        <f t="shared" ca="1" si="9"/>
        <v>101464.27</v>
      </c>
      <c r="R20" s="169">
        <f t="shared" ca="1" si="9"/>
        <v>165283.45000000001</v>
      </c>
      <c r="S20" s="169">
        <f t="shared" ca="1" si="9"/>
        <v>241746.35</v>
      </c>
      <c r="T20" s="169">
        <f t="shared" ca="1" si="9"/>
        <v>310149.23</v>
      </c>
      <c r="U20" s="169">
        <f t="shared" ca="1" si="9"/>
        <v>373964.07</v>
      </c>
      <c r="V20" s="169">
        <f t="shared" ca="1" si="9"/>
        <v>373964.07</v>
      </c>
      <c r="W20" s="207">
        <f t="shared" ca="1" si="9"/>
        <v>373964.07</v>
      </c>
      <c r="X20" s="196"/>
      <c r="AC20" s="169">
        <f ca="1">IF($B20,ROUND(AC19*$N18,2),ROUND(SUMIF(OFFSET($B20,1,0,$D20),TRUE,OFFSET(AC20,1,0,$D20))/SUMIF(OFFSET($B20,1,0,$D20),TRUE,OFFSET($K20,1,0,$D20))*$N18,2))</f>
        <v>0</v>
      </c>
    </row>
    <row r="21" spans="1:29" customFormat="1" ht="14.25" customHeight="1" x14ac:dyDescent="0.2">
      <c r="A21" s="82"/>
      <c r="B21" s="82"/>
      <c r="C21" s="82"/>
      <c r="D21" s="82"/>
      <c r="E21" s="82"/>
      <c r="F21" s="82"/>
      <c r="G21" s="82"/>
      <c r="H21" s="82"/>
      <c r="I21" s="82"/>
      <c r="J21" s="82"/>
      <c r="K21" s="82"/>
      <c r="L21" s="375" t="str">
        <f ca="1">INDEX(PO!K$12:K$139,MATCH($A23,PO!$V$12:$V$139,0))</f>
        <v>1.1.</v>
      </c>
      <c r="M21" s="377" t="str">
        <f ca="1">INDEX(PO!N$12:N$139,MATCH($A23,PO!$V$12:$V$139,0))</f>
        <v>SERVIÇOS INICIAIS</v>
      </c>
      <c r="N21" s="379">
        <f t="shared" ref="N21" ca="1" si="10">IF(ROUND(K23,2)=0,K23,ROUND(K23,2))</f>
        <v>5722.49</v>
      </c>
      <c r="O21" s="220" t="s">
        <v>144</v>
      </c>
      <c r="P21" s="225">
        <v>1</v>
      </c>
      <c r="Q21" s="226">
        <f t="shared" ref="Q21" ca="1" si="11">IF($B23,0,Q22-IF(ISNUMBER(P22),P22,0))</f>
        <v>0</v>
      </c>
      <c r="R21" s="226">
        <f t="shared" ref="R21" ca="1" si="12">IF($B23,0,R22-IF(ISNUMBER(Q22),Q22,0))</f>
        <v>0</v>
      </c>
      <c r="S21" s="226">
        <f t="shared" ref="S21" ca="1" si="13">IF($B23,0,S22-IF(ISNUMBER(R22),R22,0))</f>
        <v>0</v>
      </c>
      <c r="T21" s="226">
        <f t="shared" ref="T21" ca="1" si="14">IF($B23,0,T22-IF(ISNUMBER(S22),S22,0))</f>
        <v>0</v>
      </c>
      <c r="U21" s="226">
        <f t="shared" ref="U21" ca="1" si="15">IF($B23,0,U22-IF(ISNUMBER(T22),T22,0))</f>
        <v>0</v>
      </c>
      <c r="V21" s="226">
        <f t="shared" ref="V21" ca="1" si="16">IF($B23,0,V22-IF(ISNUMBER(U22),U22,0))</f>
        <v>0</v>
      </c>
      <c r="W21" s="227">
        <f t="shared" ref="W21" ca="1" si="17">IF($B23,0,W22-IF(ISNUMBER(V22),V22,0))</f>
        <v>0</v>
      </c>
      <c r="X21" s="196"/>
      <c r="AC21" s="221">
        <f t="shared" ref="AC21" ca="1" si="18">IF($B23,0,AC22-IF(ISNUMBER(AB22),AB22,0))</f>
        <v>0</v>
      </c>
    </row>
    <row r="22" spans="1:29" customFormat="1" ht="14.25" x14ac:dyDescent="0.2">
      <c r="A22" s="184"/>
      <c r="B22" s="184"/>
      <c r="C22" s="184"/>
      <c r="D22" s="184"/>
      <c r="E22" s="184"/>
      <c r="F22" s="184"/>
      <c r="G22" s="184"/>
      <c r="H22" s="184"/>
      <c r="I22" s="184"/>
      <c r="J22" s="184"/>
      <c r="K22" s="184"/>
      <c r="L22" s="376"/>
      <c r="M22" s="378"/>
      <c r="N22" s="380"/>
      <c r="O22" s="170" t="s">
        <v>146</v>
      </c>
      <c r="P22" s="198">
        <f t="shared" ref="P22" ca="1" si="19">MIN(IF($B23,P21+IF(ISNUMBER(O22),O22,0),P23/$N21),1)</f>
        <v>1</v>
      </c>
      <c r="Q22" s="168">
        <f t="shared" ref="Q22" ca="1" si="20">MIN(IF($B23,Q21+IF(ISNUMBER(P22),P22,0),Q23/$N21),1)</f>
        <v>1</v>
      </c>
      <c r="R22" s="168">
        <f t="shared" ref="R22" ca="1" si="21">MIN(IF($B23,R21+IF(ISNUMBER(Q22),Q22,0),R23/$N21),1)</f>
        <v>1</v>
      </c>
      <c r="S22" s="168">
        <f t="shared" ref="S22" ca="1" si="22">MIN(IF($B23,S21+IF(ISNUMBER(R22),R22,0),S23/$N21),1)</f>
        <v>1</v>
      </c>
      <c r="T22" s="168">
        <f t="shared" ref="T22" ca="1" si="23">MIN(IF($B23,T21+IF(ISNUMBER(S22),S22,0),T23/$N21),1)</f>
        <v>1</v>
      </c>
      <c r="U22" s="168">
        <f t="shared" ref="U22" ca="1" si="24">MIN(IF($B23,U21+IF(ISNUMBER(T22),T22,0),U23/$N21),1)</f>
        <v>1</v>
      </c>
      <c r="V22" s="168">
        <f t="shared" ref="V22" ca="1" si="25">MIN(IF($B23,V21+IF(ISNUMBER(U22),U22,0),V23/$N21),1)</f>
        <v>1</v>
      </c>
      <c r="W22" s="168">
        <f t="shared" ref="W22" ca="1" si="26">MIN(IF($B23,W21+IF(ISNUMBER(V22),V22,0),W23/$N21),1)</f>
        <v>1</v>
      </c>
      <c r="X22" s="196"/>
      <c r="AC22" s="168">
        <f t="shared" ref="AC22" ca="1" si="27">MIN(IF($B23,AC21+IF(ISNUMBER(AB22),AB22,0),AC23/$N21),1)</f>
        <v>0</v>
      </c>
    </row>
    <row r="23" spans="1:29" customFormat="1" ht="14.25" x14ac:dyDescent="0.2">
      <c r="A23" s="184">
        <f ca="1">OFFSET(A23,-CFF.NumLinha,0)+1</f>
        <v>2</v>
      </c>
      <c r="B23" s="184" t="b">
        <f ca="1">$C23&gt;=OFFSET($C23,CFF.NumLinha,0)</f>
        <v>1</v>
      </c>
      <c r="C23" s="184">
        <f ca="1">INDEX(PO!A$12:A$139,MATCH($A23,PO!$V$12:$V$139,0))</f>
        <v>2</v>
      </c>
      <c r="D23" s="184">
        <f t="shared" ref="D23" ca="1" si="28">IF(ISERROR(J23),I23,SMALL(I23:J23,1))-1</f>
        <v>2</v>
      </c>
      <c r="E23" s="184">
        <f ca="1">IF($C23=1,OFFSET(E23,-CFF.NumLinha,0)+1,OFFSET(E23,-CFF.NumLinha,0))</f>
        <v>1</v>
      </c>
      <c r="F23" s="184">
        <f ca="1">IF($C23=1,0,IF($C23=2,OFFSET(F23,-CFF.NumLinha,0)+1,OFFSET(F23,-CFF.NumLinha,0)))</f>
        <v>1</v>
      </c>
      <c r="G23" s="184">
        <f ca="1">IF(AND($C23&lt;=2,$C23&lt;&gt;0),0,IF($C23=3,OFFSET(G23,-CFF.NumLinha,0)+1,OFFSET(G23,-CFF.NumLinha,0)))</f>
        <v>0</v>
      </c>
      <c r="H23" s="184">
        <f ca="1">IF(AND($C23&lt;=3,$C23&lt;&gt;0),0,IF($C23=4,OFFSET(H23,-CFF.NumLinha,0)+1,OFFSET(H23,-CFF.NumLinha,0)))</f>
        <v>0</v>
      </c>
      <c r="I23" s="184">
        <f ca="1">MATCH(0,OFFSET($D23,1,$C23,ROW($A$66)-ROW($A23)),0)</f>
        <v>43</v>
      </c>
      <c r="J23" s="184">
        <f ca="1">MATCH(OFFSET($D23,0,$C23)+1,OFFSET($D23,1,$C23,ROW($A$66)-ROW($A23)),0)</f>
        <v>3</v>
      </c>
      <c r="K23" s="185">
        <f ca="1">ROUND(INDEX(PO!T$12:T$139,MATCH($A23,PO!$V$12:$V$139,0)),2)+10^-12</f>
        <v>5722.4900000000007</v>
      </c>
      <c r="L23" s="376"/>
      <c r="M23" s="378"/>
      <c r="N23" s="380"/>
      <c r="O23" s="204" t="s">
        <v>20</v>
      </c>
      <c r="P23" s="199">
        <f t="shared" ref="P23:W23" ca="1" si="29">IF($B23,ROUND(P22*$N21,2),ROUND(SUMIF(OFFSET($B23,1,0,$D23),TRUE,OFFSET(P23,1,0,$D23))/SUMIF(OFFSET($B23,1,0,$D23),TRUE,OFFSET($K23,1,0,$D23))*$N21,2))</f>
        <v>5722.49</v>
      </c>
      <c r="Q23" s="169">
        <f t="shared" ca="1" si="29"/>
        <v>5722.49</v>
      </c>
      <c r="R23" s="169">
        <f t="shared" ca="1" si="29"/>
        <v>5722.49</v>
      </c>
      <c r="S23" s="169">
        <f t="shared" ca="1" si="29"/>
        <v>5722.49</v>
      </c>
      <c r="T23" s="169">
        <f t="shared" ca="1" si="29"/>
        <v>5722.49</v>
      </c>
      <c r="U23" s="169">
        <f t="shared" ca="1" si="29"/>
        <v>5722.49</v>
      </c>
      <c r="V23" s="169">
        <f t="shared" ca="1" si="29"/>
        <v>5722.49</v>
      </c>
      <c r="W23" s="207">
        <f t="shared" ca="1" si="29"/>
        <v>5722.49</v>
      </c>
      <c r="X23" s="196"/>
      <c r="AC23" s="169">
        <f t="shared" ref="AC23" ca="1" si="30">IF($B23,ROUND(AC22*$N21,2),ROUND(SUMIF(OFFSET($B23,1,0,$D23),TRUE,OFFSET(AC23,1,0,$D23))/SUMIF(OFFSET($B23,1,0,$D23),TRUE,OFFSET($K23,1,0,$D23))*$N21,2))</f>
        <v>0</v>
      </c>
    </row>
    <row r="24" spans="1:29" customFormat="1" ht="14.25" customHeight="1" x14ac:dyDescent="0.2">
      <c r="A24" s="82"/>
      <c r="B24" s="82"/>
      <c r="C24" s="82"/>
      <c r="D24" s="82"/>
      <c r="E24" s="82"/>
      <c r="F24" s="82"/>
      <c r="G24" s="82"/>
      <c r="H24" s="82"/>
      <c r="I24" s="82"/>
      <c r="J24" s="82"/>
      <c r="K24" s="82"/>
      <c r="L24" s="375" t="str">
        <f ca="1">INDEX(PO!K$12:K$139,MATCH($A26,PO!$V$12:$V$139,0))</f>
        <v>1.2.</v>
      </c>
      <c r="M24" s="377" t="str">
        <f ca="1">INDEX(PO!N$12:N$139,MATCH($A26,PO!$V$12:$V$139,0))</f>
        <v>MOVIMENTOS EM TERRA</v>
      </c>
      <c r="N24" s="379">
        <f t="shared" ref="N24" ca="1" si="31">IF(ROUND(K26,2)=0,K26,ROUND(K26,2))</f>
        <v>2300.4299999999998</v>
      </c>
      <c r="O24" s="220" t="s">
        <v>144</v>
      </c>
      <c r="P24" s="225">
        <v>1</v>
      </c>
      <c r="Q24" s="226">
        <f t="shared" ref="Q24" ca="1" si="32">IF($B26,0,Q25-IF(ISNUMBER(P25),P25,0))</f>
        <v>0</v>
      </c>
      <c r="R24" s="226">
        <f t="shared" ref="R24" ca="1" si="33">IF($B26,0,R25-IF(ISNUMBER(Q25),Q25,0))</f>
        <v>0</v>
      </c>
      <c r="S24" s="226">
        <f t="shared" ref="S24" ca="1" si="34">IF($B26,0,S25-IF(ISNUMBER(R25),R25,0))</f>
        <v>0</v>
      </c>
      <c r="T24" s="226">
        <f t="shared" ref="T24" ca="1" si="35">IF($B26,0,T25-IF(ISNUMBER(S25),S25,0))</f>
        <v>0</v>
      </c>
      <c r="U24" s="226">
        <f t="shared" ref="U24" ca="1" si="36">IF($B26,0,U25-IF(ISNUMBER(T25),T25,0))</f>
        <v>0</v>
      </c>
      <c r="V24" s="226">
        <f t="shared" ref="V24" ca="1" si="37">IF($B26,0,V25-IF(ISNUMBER(U25),U25,0))</f>
        <v>0</v>
      </c>
      <c r="W24" s="227">
        <f t="shared" ref="W24" ca="1" si="38">IF($B26,0,W25-IF(ISNUMBER(V25),V25,0))</f>
        <v>0</v>
      </c>
      <c r="X24" s="196"/>
      <c r="AC24" s="221">
        <f t="shared" ref="AC24" ca="1" si="39">IF($B26,0,AC25-IF(ISNUMBER(AB25),AB25,0))</f>
        <v>0</v>
      </c>
    </row>
    <row r="25" spans="1:29" customFormat="1" ht="14.25" x14ac:dyDescent="0.2">
      <c r="A25" s="184"/>
      <c r="B25" s="184"/>
      <c r="C25" s="184"/>
      <c r="D25" s="184"/>
      <c r="E25" s="184"/>
      <c r="F25" s="184"/>
      <c r="G25" s="184"/>
      <c r="H25" s="184"/>
      <c r="I25" s="184"/>
      <c r="J25" s="184"/>
      <c r="K25" s="184"/>
      <c r="L25" s="376"/>
      <c r="M25" s="378"/>
      <c r="N25" s="380"/>
      <c r="O25" s="170" t="s">
        <v>146</v>
      </c>
      <c r="P25" s="198">
        <f t="shared" ref="P25" ca="1" si="40">MIN(IF($B26,P24+IF(ISNUMBER(O25),O25,0),P26/$N24),1)</f>
        <v>1</v>
      </c>
      <c r="Q25" s="168">
        <f t="shared" ref="Q25" ca="1" si="41">MIN(IF($B26,Q24+IF(ISNUMBER(P25),P25,0),Q26/$N24),1)</f>
        <v>1</v>
      </c>
      <c r="R25" s="168">
        <f t="shared" ref="R25" ca="1" si="42">MIN(IF($B26,R24+IF(ISNUMBER(Q25),Q25,0),R26/$N24),1)</f>
        <v>1</v>
      </c>
      <c r="S25" s="168">
        <f t="shared" ref="S25" ca="1" si="43">MIN(IF($B26,S24+IF(ISNUMBER(R25),R25,0),S26/$N24),1)</f>
        <v>1</v>
      </c>
      <c r="T25" s="168">
        <f t="shared" ref="T25" ca="1" si="44">MIN(IF($B26,T24+IF(ISNUMBER(S25),S25,0),T26/$N24),1)</f>
        <v>1</v>
      </c>
      <c r="U25" s="168">
        <f t="shared" ref="U25" ca="1" si="45">MIN(IF($B26,U24+IF(ISNUMBER(T25),T25,0),U26/$N24),1)</f>
        <v>1</v>
      </c>
      <c r="V25" s="168">
        <f t="shared" ref="V25" ca="1" si="46">MIN(IF($B26,V24+IF(ISNUMBER(U25),U25,0),V26/$N24),1)</f>
        <v>1</v>
      </c>
      <c r="W25" s="168">
        <f t="shared" ref="W25" ca="1" si="47">MIN(IF($B26,W24+IF(ISNUMBER(V25),V25,0),W26/$N24),1)</f>
        <v>1</v>
      </c>
      <c r="X25" s="196"/>
      <c r="AC25" s="168">
        <f t="shared" ref="AC25" ca="1" si="48">MIN(IF($B26,AC24+IF(ISNUMBER(AB25),AB25,0),AC26/$N24),1)</f>
        <v>0</v>
      </c>
    </row>
    <row r="26" spans="1:29" customFormat="1" ht="14.25" x14ac:dyDescent="0.2">
      <c r="A26" s="184">
        <f ca="1">OFFSET(A26,-CFF.NumLinha,0)+1</f>
        <v>3</v>
      </c>
      <c r="B26" s="184" t="b">
        <f ca="1">$C26&gt;=OFFSET($C26,CFF.NumLinha,0)</f>
        <v>1</v>
      </c>
      <c r="C26" s="184">
        <f ca="1">INDEX(PO!A$12:A$139,MATCH($A26,PO!$V$12:$V$139,0))</f>
        <v>2</v>
      </c>
      <c r="D26" s="184">
        <f t="shared" ref="D26" ca="1" si="49">IF(ISERROR(J26),I26,SMALL(I26:J26,1))-1</f>
        <v>2</v>
      </c>
      <c r="E26" s="184">
        <f ca="1">IF($C26=1,OFFSET(E26,-CFF.NumLinha,0)+1,OFFSET(E26,-CFF.NumLinha,0))</f>
        <v>1</v>
      </c>
      <c r="F26" s="184">
        <f ca="1">IF($C26=1,0,IF($C26=2,OFFSET(F26,-CFF.NumLinha,0)+1,OFFSET(F26,-CFF.NumLinha,0)))</f>
        <v>2</v>
      </c>
      <c r="G26" s="184">
        <f ca="1">IF(AND($C26&lt;=2,$C26&lt;&gt;0),0,IF($C26=3,OFFSET(G26,-CFF.NumLinha,0)+1,OFFSET(G26,-CFF.NumLinha,0)))</f>
        <v>0</v>
      </c>
      <c r="H26" s="184">
        <f ca="1">IF(AND($C26&lt;=3,$C26&lt;&gt;0),0,IF($C26=4,OFFSET(H26,-CFF.NumLinha,0)+1,OFFSET(H26,-CFF.NumLinha,0)))</f>
        <v>0</v>
      </c>
      <c r="I26" s="184">
        <f ca="1">MATCH(0,OFFSET($D26,1,$C26,ROW($A$66)-ROW($A26)),0)</f>
        <v>40</v>
      </c>
      <c r="J26" s="184">
        <f ca="1">MATCH(OFFSET($D26,0,$C26)+1,OFFSET($D26,1,$C26,ROW($A$66)-ROW($A26)),0)</f>
        <v>3</v>
      </c>
      <c r="K26" s="185">
        <f ca="1">ROUND(INDEX(PO!T$12:T$139,MATCH($A26,PO!$V$12:$V$139,0)),2)+10^-12</f>
        <v>2300.4300000000007</v>
      </c>
      <c r="L26" s="376"/>
      <c r="M26" s="378"/>
      <c r="N26" s="380"/>
      <c r="O26" s="204" t="s">
        <v>20</v>
      </c>
      <c r="P26" s="199">
        <f t="shared" ref="P26:W26" ca="1" si="50">IF($B26,ROUND(P25*$N24,2),ROUND(SUMIF(OFFSET($B26,1,0,$D26),TRUE,OFFSET(P26,1,0,$D26))/SUMIF(OFFSET($B26,1,0,$D26),TRUE,OFFSET($K26,1,0,$D26))*$N24,2))</f>
        <v>2300.4299999999998</v>
      </c>
      <c r="Q26" s="169">
        <f t="shared" ca="1" si="50"/>
        <v>2300.4299999999998</v>
      </c>
      <c r="R26" s="169">
        <f t="shared" ca="1" si="50"/>
        <v>2300.4299999999998</v>
      </c>
      <c r="S26" s="169">
        <f t="shared" ca="1" si="50"/>
        <v>2300.4299999999998</v>
      </c>
      <c r="T26" s="169">
        <f t="shared" ca="1" si="50"/>
        <v>2300.4299999999998</v>
      </c>
      <c r="U26" s="169">
        <f t="shared" ca="1" si="50"/>
        <v>2300.4299999999998</v>
      </c>
      <c r="V26" s="169">
        <f t="shared" ca="1" si="50"/>
        <v>2300.4299999999998</v>
      </c>
      <c r="W26" s="207">
        <f t="shared" ca="1" si="50"/>
        <v>2300.4299999999998</v>
      </c>
      <c r="X26" s="196"/>
      <c r="AC26" s="169">
        <f t="shared" ref="AC26" ca="1" si="51">IF($B26,ROUND(AC25*$N24,2),ROUND(SUMIF(OFFSET($B26,1,0,$D26),TRUE,OFFSET(AC26,1,0,$D26))/SUMIF(OFFSET($B26,1,0,$D26),TRUE,OFFSET($K26,1,0,$D26))*$N24,2))</f>
        <v>0</v>
      </c>
    </row>
    <row r="27" spans="1:29" customFormat="1" ht="14.25" customHeight="1" x14ac:dyDescent="0.2">
      <c r="A27" s="82"/>
      <c r="B27" s="82"/>
      <c r="C27" s="82"/>
      <c r="D27" s="82"/>
      <c r="E27" s="82"/>
      <c r="F27" s="82"/>
      <c r="G27" s="82"/>
      <c r="H27" s="82"/>
      <c r="I27" s="82"/>
      <c r="J27" s="82"/>
      <c r="K27" s="82"/>
      <c r="L27" s="375" t="str">
        <f ca="1">INDEX(PO!K$12:K$139,MATCH($A29,PO!$V$12:$V$139,0))</f>
        <v>1.3.</v>
      </c>
      <c r="M27" s="377" t="str">
        <f ca="1">INDEX(PO!N$12:N$139,MATCH($A29,PO!$V$12:$V$139,0))</f>
        <v>INFRAESTRUTRA - FUNDAÇÕES</v>
      </c>
      <c r="N27" s="379">
        <f t="shared" ref="N27" ca="1" si="52">IF(ROUND(K29,2)=0,K29,ROUND(K29,2))</f>
        <v>14204.19</v>
      </c>
      <c r="O27" s="220" t="s">
        <v>144</v>
      </c>
      <c r="P27" s="225">
        <v>1</v>
      </c>
      <c r="Q27" s="226">
        <f t="shared" ref="Q27" ca="1" si="53">IF($B29,0,Q28-IF(ISNUMBER(P28),P28,0))</f>
        <v>0</v>
      </c>
      <c r="R27" s="226">
        <f t="shared" ref="R27" ca="1" si="54">IF($B29,0,R28-IF(ISNUMBER(Q28),Q28,0))</f>
        <v>0</v>
      </c>
      <c r="S27" s="226">
        <f t="shared" ref="S27" ca="1" si="55">IF($B29,0,S28-IF(ISNUMBER(R28),R28,0))</f>
        <v>0</v>
      </c>
      <c r="T27" s="226">
        <f t="shared" ref="T27" ca="1" si="56">IF($B29,0,T28-IF(ISNUMBER(S28),S28,0))</f>
        <v>0</v>
      </c>
      <c r="U27" s="226">
        <f t="shared" ref="U27" ca="1" si="57">IF($B29,0,U28-IF(ISNUMBER(T28),T28,0))</f>
        <v>0</v>
      </c>
      <c r="V27" s="226">
        <f t="shared" ref="V27" ca="1" si="58">IF($B29,0,V28-IF(ISNUMBER(U28),U28,0))</f>
        <v>0</v>
      </c>
      <c r="W27" s="227">
        <f t="shared" ref="W27" ca="1" si="59">IF($B29,0,W28-IF(ISNUMBER(V28),V28,0))</f>
        <v>0</v>
      </c>
      <c r="X27" s="196"/>
      <c r="AC27" s="221">
        <f t="shared" ref="AC27" ca="1" si="60">IF($B29,0,AC28-IF(ISNUMBER(AB28),AB28,0))</f>
        <v>0</v>
      </c>
    </row>
    <row r="28" spans="1:29" customFormat="1" ht="14.25" x14ac:dyDescent="0.2">
      <c r="A28" s="184"/>
      <c r="B28" s="184"/>
      <c r="C28" s="184"/>
      <c r="D28" s="184"/>
      <c r="E28" s="184"/>
      <c r="F28" s="184"/>
      <c r="G28" s="184"/>
      <c r="H28" s="184"/>
      <c r="I28" s="184"/>
      <c r="J28" s="184"/>
      <c r="K28" s="184"/>
      <c r="L28" s="376"/>
      <c r="M28" s="378"/>
      <c r="N28" s="380"/>
      <c r="O28" s="170" t="s">
        <v>146</v>
      </c>
      <c r="P28" s="198">
        <f t="shared" ref="P28" ca="1" si="61">MIN(IF($B29,P27+IF(ISNUMBER(O28),O28,0),P29/$N27),1)</f>
        <v>1</v>
      </c>
      <c r="Q28" s="168">
        <f t="shared" ref="Q28" ca="1" si="62">MIN(IF($B29,Q27+IF(ISNUMBER(P28),P28,0),Q29/$N27),1)</f>
        <v>1</v>
      </c>
      <c r="R28" s="168">
        <f t="shared" ref="R28" ca="1" si="63">MIN(IF($B29,R27+IF(ISNUMBER(Q28),Q28,0),R29/$N27),1)</f>
        <v>1</v>
      </c>
      <c r="S28" s="168">
        <f t="shared" ref="S28" ca="1" si="64">MIN(IF($B29,S27+IF(ISNUMBER(R28),R28,0),S29/$N27),1)</f>
        <v>1</v>
      </c>
      <c r="T28" s="168">
        <f t="shared" ref="T28" ca="1" si="65">MIN(IF($B29,T27+IF(ISNUMBER(S28),S28,0),T29/$N27),1)</f>
        <v>1</v>
      </c>
      <c r="U28" s="168">
        <f t="shared" ref="U28" ca="1" si="66">MIN(IF($B29,U27+IF(ISNUMBER(T28),T28,0),U29/$N27),1)</f>
        <v>1</v>
      </c>
      <c r="V28" s="168">
        <f t="shared" ref="V28" ca="1" si="67">MIN(IF($B29,V27+IF(ISNUMBER(U28),U28,0),V29/$N27),1)</f>
        <v>1</v>
      </c>
      <c r="W28" s="168">
        <f t="shared" ref="W28" ca="1" si="68">MIN(IF($B29,W27+IF(ISNUMBER(V28),V28,0),W29/$N27),1)</f>
        <v>1</v>
      </c>
      <c r="X28" s="196"/>
      <c r="AC28" s="168">
        <f t="shared" ref="AC28" ca="1" si="69">MIN(IF($B29,AC27+IF(ISNUMBER(AB28),AB28,0),AC29/$N27),1)</f>
        <v>0</v>
      </c>
    </row>
    <row r="29" spans="1:29" customFormat="1" ht="14.25" x14ac:dyDescent="0.2">
      <c r="A29" s="184">
        <f ca="1">OFFSET(A29,-CFF.NumLinha,0)+1</f>
        <v>4</v>
      </c>
      <c r="B29" s="184" t="b">
        <f ca="1">$C29&gt;=OFFSET($C29,CFF.NumLinha,0)</f>
        <v>1</v>
      </c>
      <c r="C29" s="184">
        <f ca="1">INDEX(PO!A$12:A$139,MATCH($A29,PO!$V$12:$V$139,0))</f>
        <v>2</v>
      </c>
      <c r="D29" s="184">
        <f t="shared" ref="D29" ca="1" si="70">IF(ISERROR(J29),I29,SMALL(I29:J29,1))-1</f>
        <v>2</v>
      </c>
      <c r="E29" s="184">
        <f ca="1">IF($C29=1,OFFSET(E29,-CFF.NumLinha,0)+1,OFFSET(E29,-CFF.NumLinha,0))</f>
        <v>1</v>
      </c>
      <c r="F29" s="184">
        <f ca="1">IF($C29=1,0,IF($C29=2,OFFSET(F29,-CFF.NumLinha,0)+1,OFFSET(F29,-CFF.NumLinha,0)))</f>
        <v>3</v>
      </c>
      <c r="G29" s="184">
        <f ca="1">IF(AND($C29&lt;=2,$C29&lt;&gt;0),0,IF($C29=3,OFFSET(G29,-CFF.NumLinha,0)+1,OFFSET(G29,-CFF.NumLinha,0)))</f>
        <v>0</v>
      </c>
      <c r="H29" s="184">
        <f ca="1">IF(AND($C29&lt;=3,$C29&lt;&gt;0),0,IF($C29=4,OFFSET(H29,-CFF.NumLinha,0)+1,OFFSET(H29,-CFF.NumLinha,0)))</f>
        <v>0</v>
      </c>
      <c r="I29" s="184">
        <f ca="1">MATCH(0,OFFSET($D29,1,$C29,ROW($A$66)-ROW($A29)),0)</f>
        <v>37</v>
      </c>
      <c r="J29" s="184">
        <f ca="1">MATCH(OFFSET($D29,0,$C29)+1,OFFSET($D29,1,$C29,ROW($A$66)-ROW($A29)),0)</f>
        <v>3</v>
      </c>
      <c r="K29" s="185">
        <f ca="1">ROUND(INDEX(PO!T$12:T$139,MATCH($A29,PO!$V$12:$V$139,0)),2)+10^-12</f>
        <v>14204.190000000002</v>
      </c>
      <c r="L29" s="376"/>
      <c r="M29" s="378"/>
      <c r="N29" s="380"/>
      <c r="O29" s="204" t="s">
        <v>20</v>
      </c>
      <c r="P29" s="199">
        <f t="shared" ref="P29:W29" ca="1" si="71">IF($B29,ROUND(P28*$N27,2),ROUND(SUMIF(OFFSET($B29,1,0,$D29),TRUE,OFFSET(P29,1,0,$D29))/SUMIF(OFFSET($B29,1,0,$D29),TRUE,OFFSET($K29,1,0,$D29))*$N27,2))</f>
        <v>14204.19</v>
      </c>
      <c r="Q29" s="169">
        <f t="shared" ca="1" si="71"/>
        <v>14204.19</v>
      </c>
      <c r="R29" s="169">
        <f t="shared" ca="1" si="71"/>
        <v>14204.19</v>
      </c>
      <c r="S29" s="169">
        <f t="shared" ca="1" si="71"/>
        <v>14204.19</v>
      </c>
      <c r="T29" s="169">
        <f t="shared" ca="1" si="71"/>
        <v>14204.19</v>
      </c>
      <c r="U29" s="169">
        <f t="shared" ca="1" si="71"/>
        <v>14204.19</v>
      </c>
      <c r="V29" s="169">
        <f t="shared" ca="1" si="71"/>
        <v>14204.19</v>
      </c>
      <c r="W29" s="207">
        <f t="shared" ca="1" si="71"/>
        <v>14204.19</v>
      </c>
      <c r="X29" s="196"/>
      <c r="AC29" s="169">
        <f t="shared" ref="AC29" ca="1" si="72">IF($B29,ROUND(AC28*$N27,2),ROUND(SUMIF(OFFSET($B29,1,0,$D29),TRUE,OFFSET(AC29,1,0,$D29))/SUMIF(OFFSET($B29,1,0,$D29),TRUE,OFFSET($K29,1,0,$D29))*$N27,2))</f>
        <v>0</v>
      </c>
    </row>
    <row r="30" spans="1:29" customFormat="1" ht="14.25" customHeight="1" x14ac:dyDescent="0.2">
      <c r="A30" s="82"/>
      <c r="B30" s="82"/>
      <c r="C30" s="82"/>
      <c r="D30" s="82"/>
      <c r="E30" s="82"/>
      <c r="F30" s="82"/>
      <c r="G30" s="82"/>
      <c r="H30" s="82"/>
      <c r="I30" s="82"/>
      <c r="J30" s="82"/>
      <c r="K30" s="82"/>
      <c r="L30" s="375" t="str">
        <f ca="1">INDEX(PO!K$12:K$139,MATCH($A32,PO!$V$12:$V$139,0))</f>
        <v>1.4.</v>
      </c>
      <c r="M30" s="377" t="str">
        <f ca="1">INDEX(PO!N$12:N$139,MATCH($A32,PO!$V$12:$V$139,0))</f>
        <v>CONCRETO ARMADO - VIGA BALDRAME</v>
      </c>
      <c r="N30" s="379">
        <f t="shared" ref="N30" ca="1" si="73">IF(ROUND(K32,2)=0,K32,ROUND(K32,2))</f>
        <v>9580.81</v>
      </c>
      <c r="O30" s="220" t="s">
        <v>144</v>
      </c>
      <c r="P30" s="225">
        <f t="shared" ref="P30" ca="1" si="74">IF($B32,0,P31-IF(ISNUMBER(O31),O31,0))</f>
        <v>0</v>
      </c>
      <c r="Q30" s="226">
        <f t="shared" ref="Q30" ca="1" si="75">IF($B32,0,Q31-IF(ISNUMBER(P31),P31,0))</f>
        <v>0</v>
      </c>
      <c r="R30" s="226">
        <v>1</v>
      </c>
      <c r="S30" s="226">
        <f t="shared" ref="S30" ca="1" si="76">IF($B32,0,S31-IF(ISNUMBER(R31),R31,0))</f>
        <v>0</v>
      </c>
      <c r="T30" s="226">
        <f t="shared" ref="T30" ca="1" si="77">IF($B32,0,T31-IF(ISNUMBER(S31),S31,0))</f>
        <v>0</v>
      </c>
      <c r="U30" s="226">
        <f t="shared" ref="U30" ca="1" si="78">IF($B32,0,U31-IF(ISNUMBER(T31),T31,0))</f>
        <v>0</v>
      </c>
      <c r="V30" s="226">
        <f t="shared" ref="V30" ca="1" si="79">IF($B32,0,V31-IF(ISNUMBER(U31),U31,0))</f>
        <v>0</v>
      </c>
      <c r="W30" s="227">
        <f t="shared" ref="W30" ca="1" si="80">IF($B32,0,W31-IF(ISNUMBER(V31),V31,0))</f>
        <v>0</v>
      </c>
      <c r="X30" s="196"/>
      <c r="AC30" s="221">
        <f t="shared" ref="AC30" ca="1" si="81">IF($B32,0,AC31-IF(ISNUMBER(AB31),AB31,0))</f>
        <v>0</v>
      </c>
    </row>
    <row r="31" spans="1:29" customFormat="1" ht="14.25" x14ac:dyDescent="0.2">
      <c r="A31" s="184"/>
      <c r="B31" s="184"/>
      <c r="C31" s="184"/>
      <c r="D31" s="184"/>
      <c r="E31" s="184"/>
      <c r="F31" s="184"/>
      <c r="G31" s="184"/>
      <c r="H31" s="184"/>
      <c r="I31" s="184"/>
      <c r="J31" s="184"/>
      <c r="K31" s="184"/>
      <c r="L31" s="376"/>
      <c r="M31" s="378"/>
      <c r="N31" s="380"/>
      <c r="O31" s="170" t="s">
        <v>146</v>
      </c>
      <c r="P31" s="198">
        <f t="shared" ref="P31" ca="1" si="82">MIN(IF($B32,P30+IF(ISNUMBER(O31),O31,0),P32/$N30),1)</f>
        <v>0</v>
      </c>
      <c r="Q31" s="168">
        <f t="shared" ref="Q31" ca="1" si="83">MIN(IF($B32,Q30+IF(ISNUMBER(P31),P31,0),Q32/$N30),1)</f>
        <v>0</v>
      </c>
      <c r="R31" s="168">
        <f t="shared" ref="R31" ca="1" si="84">MIN(IF($B32,R30+IF(ISNUMBER(Q31),Q31,0),R32/$N30),1)</f>
        <v>1</v>
      </c>
      <c r="S31" s="168">
        <f t="shared" ref="S31" ca="1" si="85">MIN(IF($B32,S30+IF(ISNUMBER(R31),R31,0),S32/$N30),1)</f>
        <v>1</v>
      </c>
      <c r="T31" s="168">
        <f t="shared" ref="T31" ca="1" si="86">MIN(IF($B32,T30+IF(ISNUMBER(S31),S31,0),T32/$N30),1)</f>
        <v>1</v>
      </c>
      <c r="U31" s="168">
        <f t="shared" ref="U31" ca="1" si="87">MIN(IF($B32,U30+IF(ISNUMBER(T31),T31,0),U32/$N30),1)</f>
        <v>1</v>
      </c>
      <c r="V31" s="168">
        <f t="shared" ref="V31" ca="1" si="88">MIN(IF($B32,V30+IF(ISNUMBER(U31),U31,0),V32/$N30),1)</f>
        <v>1</v>
      </c>
      <c r="W31" s="168">
        <f t="shared" ref="W31" ca="1" si="89">MIN(IF($B32,W30+IF(ISNUMBER(V31),V31,0),W32/$N30),1)</f>
        <v>1</v>
      </c>
      <c r="X31" s="196"/>
      <c r="AC31" s="168">
        <f t="shared" ref="AC31" ca="1" si="90">MIN(IF($B32,AC30+IF(ISNUMBER(AB31),AB31,0),AC32/$N30),1)</f>
        <v>0</v>
      </c>
    </row>
    <row r="32" spans="1:29" customFormat="1" ht="14.25" x14ac:dyDescent="0.2">
      <c r="A32" s="184">
        <f ca="1">OFFSET(A32,-CFF.NumLinha,0)+1</f>
        <v>5</v>
      </c>
      <c r="B32" s="184" t="b">
        <f ca="1">$C32&gt;=OFFSET($C32,CFF.NumLinha,0)</f>
        <v>1</v>
      </c>
      <c r="C32" s="184">
        <f ca="1">INDEX(PO!A$12:A$139,MATCH($A32,PO!$V$12:$V$139,0))</f>
        <v>2</v>
      </c>
      <c r="D32" s="184">
        <f t="shared" ref="D32" ca="1" si="91">IF(ISERROR(J32),I32,SMALL(I32:J32,1))-1</f>
        <v>2</v>
      </c>
      <c r="E32" s="184">
        <f ca="1">IF($C32=1,OFFSET(E32,-CFF.NumLinha,0)+1,OFFSET(E32,-CFF.NumLinha,0))</f>
        <v>1</v>
      </c>
      <c r="F32" s="184">
        <f ca="1">IF($C32=1,0,IF($C32=2,OFFSET(F32,-CFF.NumLinha,0)+1,OFFSET(F32,-CFF.NumLinha,0)))</f>
        <v>4</v>
      </c>
      <c r="G32" s="184">
        <f ca="1">IF(AND($C32&lt;=2,$C32&lt;&gt;0),0,IF($C32=3,OFFSET(G32,-CFF.NumLinha,0)+1,OFFSET(G32,-CFF.NumLinha,0)))</f>
        <v>0</v>
      </c>
      <c r="H32" s="184">
        <f ca="1">IF(AND($C32&lt;=3,$C32&lt;&gt;0),0,IF($C32=4,OFFSET(H32,-CFF.NumLinha,0)+1,OFFSET(H32,-CFF.NumLinha,0)))</f>
        <v>0</v>
      </c>
      <c r="I32" s="184">
        <f ca="1">MATCH(0,OFFSET($D32,1,$C32,ROW($A$66)-ROW($A32)),0)</f>
        <v>34</v>
      </c>
      <c r="J32" s="184">
        <f ca="1">MATCH(OFFSET($D32,0,$C32)+1,OFFSET($D32,1,$C32,ROW($A$66)-ROW($A32)),0)</f>
        <v>3</v>
      </c>
      <c r="K32" s="185">
        <f ca="1">ROUND(INDEX(PO!T$12:T$139,MATCH($A32,PO!$V$12:$V$139,0)),2)+10^-12</f>
        <v>9580.8100000000013</v>
      </c>
      <c r="L32" s="376"/>
      <c r="M32" s="378"/>
      <c r="N32" s="380"/>
      <c r="O32" s="204" t="s">
        <v>20</v>
      </c>
      <c r="P32" s="199">
        <f t="shared" ref="P32:W32" ca="1" si="92">IF($B32,ROUND(P31*$N30,2),ROUND(SUMIF(OFFSET($B32,1,0,$D32),TRUE,OFFSET(P32,1,0,$D32))/SUMIF(OFFSET($B32,1,0,$D32),TRUE,OFFSET($K32,1,0,$D32))*$N30,2))</f>
        <v>0</v>
      </c>
      <c r="Q32" s="169">
        <f t="shared" ca="1" si="92"/>
        <v>0</v>
      </c>
      <c r="R32" s="169">
        <f t="shared" ca="1" si="92"/>
        <v>9580.81</v>
      </c>
      <c r="S32" s="169">
        <f t="shared" ca="1" si="92"/>
        <v>9580.81</v>
      </c>
      <c r="T32" s="169">
        <f t="shared" ca="1" si="92"/>
        <v>9580.81</v>
      </c>
      <c r="U32" s="169">
        <f t="shared" ca="1" si="92"/>
        <v>9580.81</v>
      </c>
      <c r="V32" s="169">
        <f t="shared" ca="1" si="92"/>
        <v>9580.81</v>
      </c>
      <c r="W32" s="207">
        <f t="shared" ca="1" si="92"/>
        <v>9580.81</v>
      </c>
      <c r="X32" s="196"/>
      <c r="AC32" s="169">
        <f t="shared" ref="AC32" ca="1" si="93">IF($B32,ROUND(AC31*$N30,2),ROUND(SUMIF(OFFSET($B32,1,0,$D32),TRUE,OFFSET(AC32,1,0,$D32))/SUMIF(OFFSET($B32,1,0,$D32),TRUE,OFFSET($K32,1,0,$D32))*$N30,2))</f>
        <v>0</v>
      </c>
    </row>
    <row r="33" spans="1:29" customFormat="1" ht="14.25" customHeight="1" x14ac:dyDescent="0.2">
      <c r="A33" s="82"/>
      <c r="B33" s="82"/>
      <c r="C33" s="82"/>
      <c r="D33" s="82"/>
      <c r="E33" s="82"/>
      <c r="F33" s="82"/>
      <c r="G33" s="82"/>
      <c r="H33" s="82"/>
      <c r="I33" s="82"/>
      <c r="J33" s="82"/>
      <c r="K33" s="82"/>
      <c r="L33" s="375" t="str">
        <f ca="1">INDEX(PO!K$12:K$139,MATCH($A35,PO!$V$12:$V$139,0))</f>
        <v>1.5.</v>
      </c>
      <c r="M33" s="377" t="str">
        <f ca="1">INDEX(PO!N$12:N$139,MATCH($A35,PO!$V$12:$V$139,0))</f>
        <v>SUPERESTRUTURA</v>
      </c>
      <c r="N33" s="379">
        <f t="shared" ref="N33" ca="1" si="94">IF(ROUND(K35,2)=0,K35,ROUND(K35,2))</f>
        <v>46579.65</v>
      </c>
      <c r="O33" s="220" t="s">
        <v>144</v>
      </c>
      <c r="P33" s="225">
        <v>0.5</v>
      </c>
      <c r="Q33" s="226">
        <v>0.5</v>
      </c>
      <c r="R33" s="226">
        <f t="shared" ref="R33" ca="1" si="95">IF($B35,0,R34-IF(ISNUMBER(Q34),Q34,0))</f>
        <v>0</v>
      </c>
      <c r="S33" s="226">
        <f t="shared" ref="S33" ca="1" si="96">IF($B35,0,S34-IF(ISNUMBER(R34),R34,0))</f>
        <v>0</v>
      </c>
      <c r="T33" s="226">
        <f t="shared" ref="T33" ca="1" si="97">IF($B35,0,T34-IF(ISNUMBER(S34),S34,0))</f>
        <v>0</v>
      </c>
      <c r="U33" s="226">
        <f t="shared" ref="U33" ca="1" si="98">IF($B35,0,U34-IF(ISNUMBER(T34),T34,0))</f>
        <v>0</v>
      </c>
      <c r="V33" s="226">
        <f t="shared" ref="V33" ca="1" si="99">IF($B35,0,V34-IF(ISNUMBER(U34),U34,0))</f>
        <v>0</v>
      </c>
      <c r="W33" s="227">
        <f t="shared" ref="W33" ca="1" si="100">IF($B35,0,W34-IF(ISNUMBER(V34),V34,0))</f>
        <v>0</v>
      </c>
      <c r="X33" s="196"/>
      <c r="AC33" s="221">
        <f t="shared" ref="AC33" ca="1" si="101">IF($B35,0,AC34-IF(ISNUMBER(AB34),AB34,0))</f>
        <v>0</v>
      </c>
    </row>
    <row r="34" spans="1:29" customFormat="1" ht="14.25" x14ac:dyDescent="0.2">
      <c r="A34" s="184"/>
      <c r="B34" s="184"/>
      <c r="C34" s="184"/>
      <c r="D34" s="184"/>
      <c r="E34" s="184"/>
      <c r="F34" s="184"/>
      <c r="G34" s="184"/>
      <c r="H34" s="184"/>
      <c r="I34" s="184"/>
      <c r="J34" s="184"/>
      <c r="K34" s="184"/>
      <c r="L34" s="376"/>
      <c r="M34" s="378"/>
      <c r="N34" s="380"/>
      <c r="O34" s="170" t="s">
        <v>146</v>
      </c>
      <c r="P34" s="198">
        <f t="shared" ref="P34" ca="1" si="102">MIN(IF($B35,P33+IF(ISNUMBER(O34),O34,0),P35/$N33),1)</f>
        <v>0.5</v>
      </c>
      <c r="Q34" s="168">
        <f t="shared" ref="Q34" ca="1" si="103">MIN(IF($B35,Q33+IF(ISNUMBER(P34),P34,0),Q35/$N33),1)</f>
        <v>1</v>
      </c>
      <c r="R34" s="168">
        <f t="shared" ref="R34" ca="1" si="104">MIN(IF($B35,R33+IF(ISNUMBER(Q34),Q34,0),R35/$N33),1)</f>
        <v>1</v>
      </c>
      <c r="S34" s="168">
        <f t="shared" ref="S34" ca="1" si="105">MIN(IF($B35,S33+IF(ISNUMBER(R34),R34,0),S35/$N33),1)</f>
        <v>1</v>
      </c>
      <c r="T34" s="168">
        <f t="shared" ref="T34" ca="1" si="106">MIN(IF($B35,T33+IF(ISNUMBER(S34),S34,0),T35/$N33),1)</f>
        <v>1</v>
      </c>
      <c r="U34" s="168">
        <f t="shared" ref="U34" ca="1" si="107">MIN(IF($B35,U33+IF(ISNUMBER(T34),T34,0),U35/$N33),1)</f>
        <v>1</v>
      </c>
      <c r="V34" s="168">
        <f t="shared" ref="V34" ca="1" si="108">MIN(IF($B35,V33+IF(ISNUMBER(U34),U34,0),V35/$N33),1)</f>
        <v>1</v>
      </c>
      <c r="W34" s="168">
        <f t="shared" ref="W34" ca="1" si="109">MIN(IF($B35,W33+IF(ISNUMBER(V34),V34,0),W35/$N33),1)</f>
        <v>1</v>
      </c>
      <c r="X34" s="196"/>
      <c r="AC34" s="168">
        <f t="shared" ref="AC34" ca="1" si="110">MIN(IF($B35,AC33+IF(ISNUMBER(AB34),AB34,0),AC35/$N33),1)</f>
        <v>0</v>
      </c>
    </row>
    <row r="35" spans="1:29" customFormat="1" ht="14.25" x14ac:dyDescent="0.2">
      <c r="A35" s="184">
        <f ca="1">OFFSET(A35,-CFF.NumLinha,0)+1</f>
        <v>6</v>
      </c>
      <c r="B35" s="184" t="b">
        <f ca="1">$C35&gt;=OFFSET($C35,CFF.NumLinha,0)</f>
        <v>1</v>
      </c>
      <c r="C35" s="184">
        <f ca="1">INDEX(PO!A$12:A$139,MATCH($A35,PO!$V$12:$V$139,0))</f>
        <v>2</v>
      </c>
      <c r="D35" s="184">
        <f t="shared" ref="D35" ca="1" si="111">IF(ISERROR(J35),I35,SMALL(I35:J35,1))-1</f>
        <v>2</v>
      </c>
      <c r="E35" s="184">
        <f ca="1">IF($C35=1,OFFSET(E35,-CFF.NumLinha,0)+1,OFFSET(E35,-CFF.NumLinha,0))</f>
        <v>1</v>
      </c>
      <c r="F35" s="184">
        <f ca="1">IF($C35=1,0,IF($C35=2,OFFSET(F35,-CFF.NumLinha,0)+1,OFFSET(F35,-CFF.NumLinha,0)))</f>
        <v>5</v>
      </c>
      <c r="G35" s="184">
        <f ca="1">IF(AND($C35&lt;=2,$C35&lt;&gt;0),0,IF($C35=3,OFFSET(G35,-CFF.NumLinha,0)+1,OFFSET(G35,-CFF.NumLinha,0)))</f>
        <v>0</v>
      </c>
      <c r="H35" s="184">
        <f ca="1">IF(AND($C35&lt;=3,$C35&lt;&gt;0),0,IF($C35=4,OFFSET(H35,-CFF.NumLinha,0)+1,OFFSET(H35,-CFF.NumLinha,0)))</f>
        <v>0</v>
      </c>
      <c r="I35" s="184">
        <f ca="1">MATCH(0,OFFSET($D35,1,$C35,ROW($A$66)-ROW($A35)),0)</f>
        <v>31</v>
      </c>
      <c r="J35" s="184">
        <f ca="1">MATCH(OFFSET($D35,0,$C35)+1,OFFSET($D35,1,$C35,ROW($A$66)-ROW($A35)),0)</f>
        <v>3</v>
      </c>
      <c r="K35" s="185">
        <f ca="1">ROUND(INDEX(PO!T$12:T$139,MATCH($A35,PO!$V$12:$V$139,0)),2)+10^-12</f>
        <v>46579.65</v>
      </c>
      <c r="L35" s="376"/>
      <c r="M35" s="378"/>
      <c r="N35" s="380"/>
      <c r="O35" s="204" t="s">
        <v>20</v>
      </c>
      <c r="P35" s="199">
        <f t="shared" ref="P35:W35" ca="1" si="112">IF($B35,ROUND(P34*$N33,2),ROUND(SUMIF(OFFSET($B35,1,0,$D35),TRUE,OFFSET(P35,1,0,$D35))/SUMIF(OFFSET($B35,1,0,$D35),TRUE,OFFSET($K35,1,0,$D35))*$N33,2))</f>
        <v>23289.83</v>
      </c>
      <c r="Q35" s="169">
        <f t="shared" ca="1" si="112"/>
        <v>46579.65</v>
      </c>
      <c r="R35" s="169">
        <f t="shared" ca="1" si="112"/>
        <v>46579.65</v>
      </c>
      <c r="S35" s="169">
        <f t="shared" ca="1" si="112"/>
        <v>46579.65</v>
      </c>
      <c r="T35" s="169">
        <f t="shared" ca="1" si="112"/>
        <v>46579.65</v>
      </c>
      <c r="U35" s="169">
        <f t="shared" ca="1" si="112"/>
        <v>46579.65</v>
      </c>
      <c r="V35" s="169">
        <f t="shared" ca="1" si="112"/>
        <v>46579.65</v>
      </c>
      <c r="W35" s="207">
        <f t="shared" ca="1" si="112"/>
        <v>46579.65</v>
      </c>
      <c r="X35" s="196"/>
      <c r="AC35" s="169">
        <f t="shared" ref="AC35" ca="1" si="113">IF($B35,ROUND(AC34*$N33,2),ROUND(SUMIF(OFFSET($B35,1,0,$D35),TRUE,OFFSET(AC35,1,0,$D35))/SUMIF(OFFSET($B35,1,0,$D35),TRUE,OFFSET($K35,1,0,$D35))*$N33,2))</f>
        <v>0</v>
      </c>
    </row>
    <row r="36" spans="1:29" customFormat="1" ht="14.25" customHeight="1" x14ac:dyDescent="0.2">
      <c r="A36" s="82"/>
      <c r="B36" s="82"/>
      <c r="C36" s="82"/>
      <c r="D36" s="82"/>
      <c r="E36" s="82"/>
      <c r="F36" s="82"/>
      <c r="G36" s="82"/>
      <c r="H36" s="82"/>
      <c r="I36" s="82"/>
      <c r="J36" s="82"/>
      <c r="K36" s="82"/>
      <c r="L36" s="375" t="str">
        <f ca="1">INDEX(PO!K$12:K$139,MATCH($A38,PO!$V$12:$V$139,0))</f>
        <v>1.6.</v>
      </c>
      <c r="M36" s="377" t="str">
        <f ca="1">INDEX(PO!N$12:N$139,MATCH($A38,PO!$V$12:$V$139,0))</f>
        <v>IMPERMEABILIZAÇÃO</v>
      </c>
      <c r="N36" s="379">
        <f t="shared" ref="N36" ca="1" si="114">IF(ROUND(K38,2)=0,K38,ROUND(K38,2))</f>
        <v>2911.94</v>
      </c>
      <c r="O36" s="220" t="s">
        <v>144</v>
      </c>
      <c r="P36" s="225">
        <f t="shared" ref="P36" ca="1" si="115">IF($B38,0,P37-IF(ISNUMBER(O37),O37,0))</f>
        <v>0</v>
      </c>
      <c r="Q36" s="226">
        <f t="shared" ref="Q36" ca="1" si="116">IF($B38,0,Q37-IF(ISNUMBER(P37),P37,0))</f>
        <v>0</v>
      </c>
      <c r="R36" s="226">
        <v>1</v>
      </c>
      <c r="S36" s="226">
        <f t="shared" ref="S36" ca="1" si="117">IF($B38,0,S37-IF(ISNUMBER(R37),R37,0))</f>
        <v>0</v>
      </c>
      <c r="T36" s="226">
        <f t="shared" ref="T36" ca="1" si="118">IF($B38,0,T37-IF(ISNUMBER(S37),S37,0))</f>
        <v>0</v>
      </c>
      <c r="U36" s="226">
        <f t="shared" ref="U36" ca="1" si="119">IF($B38,0,U37-IF(ISNUMBER(T37),T37,0))</f>
        <v>0</v>
      </c>
      <c r="V36" s="226">
        <f t="shared" ref="V36" ca="1" si="120">IF($B38,0,V37-IF(ISNUMBER(U37),U37,0))</f>
        <v>0</v>
      </c>
      <c r="W36" s="227">
        <f t="shared" ref="W36" ca="1" si="121">IF($B38,0,W37-IF(ISNUMBER(V37),V37,0))</f>
        <v>0</v>
      </c>
      <c r="X36" s="196"/>
      <c r="AC36" s="221">
        <f t="shared" ref="AC36" ca="1" si="122">IF($B38,0,AC37-IF(ISNUMBER(AB37),AB37,0))</f>
        <v>0</v>
      </c>
    </row>
    <row r="37" spans="1:29" customFormat="1" ht="14.25" x14ac:dyDescent="0.2">
      <c r="A37" s="184"/>
      <c r="B37" s="184"/>
      <c r="C37" s="184"/>
      <c r="D37" s="184"/>
      <c r="E37" s="184"/>
      <c r="F37" s="184"/>
      <c r="G37" s="184"/>
      <c r="H37" s="184"/>
      <c r="I37" s="184"/>
      <c r="J37" s="184"/>
      <c r="K37" s="184"/>
      <c r="L37" s="376"/>
      <c r="M37" s="378"/>
      <c r="N37" s="380"/>
      <c r="O37" s="170" t="s">
        <v>146</v>
      </c>
      <c r="P37" s="198">
        <f t="shared" ref="P37" ca="1" si="123">MIN(IF($B38,P36+IF(ISNUMBER(O37),O37,0),P38/$N36),1)</f>
        <v>0</v>
      </c>
      <c r="Q37" s="168">
        <f t="shared" ref="Q37" ca="1" si="124">MIN(IF($B38,Q36+IF(ISNUMBER(P37),P37,0),Q38/$N36),1)</f>
        <v>0</v>
      </c>
      <c r="R37" s="168">
        <f t="shared" ref="R37" ca="1" si="125">MIN(IF($B38,R36+IF(ISNUMBER(Q37),Q37,0),R38/$N36),1)</f>
        <v>1</v>
      </c>
      <c r="S37" s="168">
        <f t="shared" ref="S37" ca="1" si="126">MIN(IF($B38,S36+IF(ISNUMBER(R37),R37,0),S38/$N36),1)</f>
        <v>1</v>
      </c>
      <c r="T37" s="168">
        <f t="shared" ref="T37" ca="1" si="127">MIN(IF($B38,T36+IF(ISNUMBER(S37),S37,0),T38/$N36),1)</f>
        <v>1</v>
      </c>
      <c r="U37" s="168">
        <f t="shared" ref="U37" ca="1" si="128">MIN(IF($B38,U36+IF(ISNUMBER(T37),T37,0),U38/$N36),1)</f>
        <v>1</v>
      </c>
      <c r="V37" s="168">
        <f t="shared" ref="V37" ca="1" si="129">MIN(IF($B38,V36+IF(ISNUMBER(U37),U37,0),V38/$N36),1)</f>
        <v>1</v>
      </c>
      <c r="W37" s="168">
        <f t="shared" ref="W37" ca="1" si="130">MIN(IF($B38,W36+IF(ISNUMBER(V37),V37,0),W38/$N36),1)</f>
        <v>1</v>
      </c>
      <c r="X37" s="196"/>
      <c r="AC37" s="168">
        <f t="shared" ref="AC37" ca="1" si="131">MIN(IF($B38,AC36+IF(ISNUMBER(AB37),AB37,0),AC38/$N36),1)</f>
        <v>0</v>
      </c>
    </row>
    <row r="38" spans="1:29" customFormat="1" ht="14.25" x14ac:dyDescent="0.2">
      <c r="A38" s="184">
        <f ca="1">OFFSET(A38,-CFF.NumLinha,0)+1</f>
        <v>7</v>
      </c>
      <c r="B38" s="184" t="b">
        <f ca="1">$C38&gt;=OFFSET($C38,CFF.NumLinha,0)</f>
        <v>1</v>
      </c>
      <c r="C38" s="184">
        <f ca="1">INDEX(PO!A$12:A$139,MATCH($A38,PO!$V$12:$V$139,0))</f>
        <v>2</v>
      </c>
      <c r="D38" s="184">
        <f t="shared" ref="D38" ca="1" si="132">IF(ISERROR(J38),I38,SMALL(I38:J38,1))-1</f>
        <v>2</v>
      </c>
      <c r="E38" s="184">
        <f ca="1">IF($C38=1,OFFSET(E38,-CFF.NumLinha,0)+1,OFFSET(E38,-CFF.NumLinha,0))</f>
        <v>1</v>
      </c>
      <c r="F38" s="184">
        <f ca="1">IF($C38=1,0,IF($C38=2,OFFSET(F38,-CFF.NumLinha,0)+1,OFFSET(F38,-CFF.NumLinha,0)))</f>
        <v>6</v>
      </c>
      <c r="G38" s="184">
        <f ca="1">IF(AND($C38&lt;=2,$C38&lt;&gt;0),0,IF($C38=3,OFFSET(G38,-CFF.NumLinha,0)+1,OFFSET(G38,-CFF.NumLinha,0)))</f>
        <v>0</v>
      </c>
      <c r="H38" s="184">
        <f ca="1">IF(AND($C38&lt;=3,$C38&lt;&gt;0),0,IF($C38=4,OFFSET(H38,-CFF.NumLinha,0)+1,OFFSET(H38,-CFF.NumLinha,0)))</f>
        <v>0</v>
      </c>
      <c r="I38" s="184">
        <f ca="1">MATCH(0,OFFSET($D38,1,$C38,ROW($A$66)-ROW($A38)),0)</f>
        <v>28</v>
      </c>
      <c r="J38" s="184">
        <f ca="1">MATCH(OFFSET($D38,0,$C38)+1,OFFSET($D38,1,$C38,ROW($A$66)-ROW($A38)),0)</f>
        <v>3</v>
      </c>
      <c r="K38" s="185">
        <f ca="1">ROUND(INDEX(PO!T$12:T$139,MATCH($A38,PO!$V$12:$V$139,0)),2)+10^-12</f>
        <v>2911.940000000001</v>
      </c>
      <c r="L38" s="376"/>
      <c r="M38" s="378"/>
      <c r="N38" s="380"/>
      <c r="O38" s="204" t="s">
        <v>20</v>
      </c>
      <c r="P38" s="199">
        <f t="shared" ref="P38:W38" ca="1" si="133">IF($B38,ROUND(P37*$N36,2),ROUND(SUMIF(OFFSET($B38,1,0,$D38),TRUE,OFFSET(P38,1,0,$D38))/SUMIF(OFFSET($B38,1,0,$D38),TRUE,OFFSET($K38,1,0,$D38))*$N36,2))</f>
        <v>0</v>
      </c>
      <c r="Q38" s="169">
        <f t="shared" ca="1" si="133"/>
        <v>0</v>
      </c>
      <c r="R38" s="169">
        <f t="shared" ca="1" si="133"/>
        <v>2911.94</v>
      </c>
      <c r="S38" s="169">
        <f t="shared" ca="1" si="133"/>
        <v>2911.94</v>
      </c>
      <c r="T38" s="169">
        <f t="shared" ca="1" si="133"/>
        <v>2911.94</v>
      </c>
      <c r="U38" s="169">
        <f t="shared" ca="1" si="133"/>
        <v>2911.94</v>
      </c>
      <c r="V38" s="169">
        <f t="shared" ca="1" si="133"/>
        <v>2911.94</v>
      </c>
      <c r="W38" s="207">
        <f t="shared" ca="1" si="133"/>
        <v>2911.94</v>
      </c>
      <c r="X38" s="196"/>
      <c r="AC38" s="169">
        <f t="shared" ref="AC38" ca="1" si="134">IF($B38,ROUND(AC37*$N36,2),ROUND(SUMIF(OFFSET($B38,1,0,$D38),TRUE,OFFSET(AC38,1,0,$D38))/SUMIF(OFFSET($B38,1,0,$D38),TRUE,OFFSET($K38,1,0,$D38))*$N36,2))</f>
        <v>0</v>
      </c>
    </row>
    <row r="39" spans="1:29" customFormat="1" ht="14.25" customHeight="1" x14ac:dyDescent="0.2">
      <c r="A39" s="82"/>
      <c r="B39" s="82"/>
      <c r="C39" s="82"/>
      <c r="D39" s="82"/>
      <c r="E39" s="82"/>
      <c r="F39" s="82"/>
      <c r="G39" s="82"/>
      <c r="H39" s="82"/>
      <c r="I39" s="82"/>
      <c r="J39" s="82"/>
      <c r="K39" s="82"/>
      <c r="L39" s="375" t="str">
        <f ca="1">INDEX(PO!K$12:K$139,MATCH($A41,PO!$V$12:$V$139,0))</f>
        <v>1.7.</v>
      </c>
      <c r="M39" s="377" t="str">
        <f ca="1">INDEX(PO!N$12:N$139,MATCH($A41,PO!$V$12:$V$139,0))</f>
        <v>SISTEMA DE VEDAÇÃO VERTICAL</v>
      </c>
      <c r="N39" s="379">
        <f t="shared" ref="N39" ca="1" si="135">IF(ROUND(K41,2)=0,K41,ROUND(K41,2))</f>
        <v>46672.33</v>
      </c>
      <c r="O39" s="220" t="s">
        <v>144</v>
      </c>
      <c r="P39" s="225">
        <f t="shared" ref="P39" ca="1" si="136">IF($B41,0,P40-IF(ISNUMBER(O40),O40,0))</f>
        <v>0</v>
      </c>
      <c r="Q39" s="226">
        <f t="shared" ref="Q39" ca="1" si="137">IF($B41,0,Q40-IF(ISNUMBER(P40),P40,0))</f>
        <v>0</v>
      </c>
      <c r="R39" s="226">
        <v>0.4</v>
      </c>
      <c r="S39" s="226">
        <v>0.4</v>
      </c>
      <c r="T39" s="226">
        <v>0.2</v>
      </c>
      <c r="U39" s="226">
        <f t="shared" ref="U39" ca="1" si="138">IF($B41,0,U40-IF(ISNUMBER(T40),T40,0))</f>
        <v>0</v>
      </c>
      <c r="V39" s="226">
        <f t="shared" ref="V39" ca="1" si="139">IF($B41,0,V40-IF(ISNUMBER(U40),U40,0))</f>
        <v>0</v>
      </c>
      <c r="W39" s="227">
        <f t="shared" ref="W39" ca="1" si="140">IF($B41,0,W40-IF(ISNUMBER(V40),V40,0))</f>
        <v>0</v>
      </c>
      <c r="X39" s="196"/>
      <c r="AC39" s="221">
        <f t="shared" ref="AC39" ca="1" si="141">IF($B41,0,AC40-IF(ISNUMBER(AB40),AB40,0))</f>
        <v>0</v>
      </c>
    </row>
    <row r="40" spans="1:29" customFormat="1" ht="14.25" x14ac:dyDescent="0.2">
      <c r="A40" s="184"/>
      <c r="B40" s="184"/>
      <c r="C40" s="184"/>
      <c r="D40" s="184"/>
      <c r="E40" s="184"/>
      <c r="F40" s="184"/>
      <c r="G40" s="184"/>
      <c r="H40" s="184"/>
      <c r="I40" s="184"/>
      <c r="J40" s="184"/>
      <c r="K40" s="184"/>
      <c r="L40" s="376"/>
      <c r="M40" s="378"/>
      <c r="N40" s="380"/>
      <c r="O40" s="170" t="s">
        <v>146</v>
      </c>
      <c r="P40" s="198">
        <f t="shared" ref="P40" ca="1" si="142">MIN(IF($B41,P39+IF(ISNUMBER(O40),O40,0),P41/$N39),1)</f>
        <v>0</v>
      </c>
      <c r="Q40" s="168">
        <f t="shared" ref="Q40" ca="1" si="143">MIN(IF($B41,Q39+IF(ISNUMBER(P40),P40,0),Q41/$N39),1)</f>
        <v>0</v>
      </c>
      <c r="R40" s="168">
        <f t="shared" ref="R40" ca="1" si="144">MIN(IF($B41,R39+IF(ISNUMBER(Q40),Q40,0),R41/$N39),1)</f>
        <v>0.4</v>
      </c>
      <c r="S40" s="168">
        <f t="shared" ref="S40" ca="1" si="145">MIN(IF($B41,S39+IF(ISNUMBER(R40),R40,0),S41/$N39),1)</f>
        <v>0.8</v>
      </c>
      <c r="T40" s="168">
        <f t="shared" ref="T40" ca="1" si="146">MIN(IF($B41,T39+IF(ISNUMBER(S40),S40,0),T41/$N39),1)</f>
        <v>1</v>
      </c>
      <c r="U40" s="168">
        <f t="shared" ref="U40" ca="1" si="147">MIN(IF($B41,U39+IF(ISNUMBER(T40),T40,0),U41/$N39),1)</f>
        <v>1</v>
      </c>
      <c r="V40" s="168">
        <f t="shared" ref="V40" ca="1" si="148">MIN(IF($B41,V39+IF(ISNUMBER(U40),U40,0),V41/$N39),1)</f>
        <v>1</v>
      </c>
      <c r="W40" s="168">
        <f t="shared" ref="W40" ca="1" si="149">MIN(IF($B41,W39+IF(ISNUMBER(V40),V40,0),W41/$N39),1)</f>
        <v>1</v>
      </c>
      <c r="X40" s="196"/>
      <c r="AC40" s="168">
        <f t="shared" ref="AC40" ca="1" si="150">MIN(IF($B41,AC39+IF(ISNUMBER(AB40),AB40,0),AC41/$N39),1)</f>
        <v>0</v>
      </c>
    </row>
    <row r="41" spans="1:29" customFormat="1" ht="14.25" x14ac:dyDescent="0.2">
      <c r="A41" s="184">
        <f ca="1">OFFSET(A41,-CFF.NumLinha,0)+1</f>
        <v>8</v>
      </c>
      <c r="B41" s="184" t="b">
        <f ca="1">$C41&gt;=OFFSET($C41,CFF.NumLinha,0)</f>
        <v>1</v>
      </c>
      <c r="C41" s="184">
        <f ca="1">INDEX(PO!A$12:A$139,MATCH($A41,PO!$V$12:$V$139,0))</f>
        <v>2</v>
      </c>
      <c r="D41" s="184">
        <f t="shared" ref="D41" ca="1" si="151">IF(ISERROR(J41),I41,SMALL(I41:J41,1))-1</f>
        <v>2</v>
      </c>
      <c r="E41" s="184">
        <f ca="1">IF($C41=1,OFFSET(E41,-CFF.NumLinha,0)+1,OFFSET(E41,-CFF.NumLinha,0))</f>
        <v>1</v>
      </c>
      <c r="F41" s="184">
        <f ca="1">IF($C41=1,0,IF($C41=2,OFFSET(F41,-CFF.NumLinha,0)+1,OFFSET(F41,-CFF.NumLinha,0)))</f>
        <v>7</v>
      </c>
      <c r="G41" s="184">
        <f ca="1">IF(AND($C41&lt;=2,$C41&lt;&gt;0),0,IF($C41=3,OFFSET(G41,-CFF.NumLinha,0)+1,OFFSET(G41,-CFF.NumLinha,0)))</f>
        <v>0</v>
      </c>
      <c r="H41" s="184">
        <f ca="1">IF(AND($C41&lt;=3,$C41&lt;&gt;0),0,IF($C41=4,OFFSET(H41,-CFF.NumLinha,0)+1,OFFSET(H41,-CFF.NumLinha,0)))</f>
        <v>0</v>
      </c>
      <c r="I41" s="184">
        <f ca="1">MATCH(0,OFFSET($D41,1,$C41,ROW($A$66)-ROW($A41)),0)</f>
        <v>25</v>
      </c>
      <c r="J41" s="184">
        <f ca="1">MATCH(OFFSET($D41,0,$C41)+1,OFFSET($D41,1,$C41,ROW($A$66)-ROW($A41)),0)</f>
        <v>3</v>
      </c>
      <c r="K41" s="185">
        <f ca="1">ROUND(INDEX(PO!T$12:T$139,MATCH($A41,PO!$V$12:$V$139,0)),2)+10^-12</f>
        <v>46672.33</v>
      </c>
      <c r="L41" s="376"/>
      <c r="M41" s="378"/>
      <c r="N41" s="380"/>
      <c r="O41" s="204" t="s">
        <v>20</v>
      </c>
      <c r="P41" s="199">
        <f t="shared" ref="P41:W41" ca="1" si="152">IF($B41,ROUND(P40*$N39,2),ROUND(SUMIF(OFFSET($B41,1,0,$D41),TRUE,OFFSET(P41,1,0,$D41))/SUMIF(OFFSET($B41,1,0,$D41),TRUE,OFFSET($K41,1,0,$D41))*$N39,2))</f>
        <v>0</v>
      </c>
      <c r="Q41" s="169">
        <f t="shared" ca="1" si="152"/>
        <v>0</v>
      </c>
      <c r="R41" s="169">
        <f t="shared" ca="1" si="152"/>
        <v>18668.93</v>
      </c>
      <c r="S41" s="169">
        <f t="shared" ca="1" si="152"/>
        <v>37337.86</v>
      </c>
      <c r="T41" s="169">
        <f t="shared" ca="1" si="152"/>
        <v>46672.33</v>
      </c>
      <c r="U41" s="169">
        <f t="shared" ca="1" si="152"/>
        <v>46672.33</v>
      </c>
      <c r="V41" s="169">
        <f t="shared" ca="1" si="152"/>
        <v>46672.33</v>
      </c>
      <c r="W41" s="207">
        <f t="shared" ca="1" si="152"/>
        <v>46672.33</v>
      </c>
      <c r="X41" s="196"/>
      <c r="AC41" s="169">
        <f t="shared" ref="AC41" ca="1" si="153">IF($B41,ROUND(AC40*$N39,2),ROUND(SUMIF(OFFSET($B41,1,0,$D41),TRUE,OFFSET(AC41,1,0,$D41))/SUMIF(OFFSET($B41,1,0,$D41),TRUE,OFFSET($K41,1,0,$D41))*$N39,2))</f>
        <v>0</v>
      </c>
    </row>
    <row r="42" spans="1:29" customFormat="1" ht="14.25" customHeight="1" x14ac:dyDescent="0.2">
      <c r="A42" s="82"/>
      <c r="B42" s="82"/>
      <c r="C42" s="82"/>
      <c r="D42" s="82"/>
      <c r="E42" s="82"/>
      <c r="F42" s="82"/>
      <c r="G42" s="82"/>
      <c r="H42" s="82"/>
      <c r="I42" s="82"/>
      <c r="J42" s="82"/>
      <c r="K42" s="82"/>
      <c r="L42" s="375" t="str">
        <f ca="1">INDEX(PO!K$12:K$139,MATCH($A44,PO!$V$12:$V$139,0))</f>
        <v>1.8.</v>
      </c>
      <c r="M42" s="377" t="str">
        <f ca="1">INDEX(PO!N$12:N$139,MATCH($A44,PO!$V$12:$V$139,0))</f>
        <v>SISTEMA DE COBERTURA</v>
      </c>
      <c r="N42" s="379">
        <f t="shared" ref="N42" ca="1" si="154">IF(ROUND(K44,2)=0,K44,ROUND(K44,2))</f>
        <v>65315.01</v>
      </c>
      <c r="O42" s="220" t="s">
        <v>144</v>
      </c>
      <c r="P42" s="225">
        <f t="shared" ref="P42" ca="1" si="155">IF($B44,0,P43-IF(ISNUMBER(O43),O43,0))</f>
        <v>0</v>
      </c>
      <c r="Q42" s="226">
        <v>0.5</v>
      </c>
      <c r="R42" s="226">
        <v>0.5</v>
      </c>
      <c r="S42" s="226">
        <f t="shared" ref="S42" ca="1" si="156">IF($B44,0,S43-IF(ISNUMBER(R43),R43,0))</f>
        <v>0</v>
      </c>
      <c r="T42" s="226">
        <f t="shared" ref="T42" ca="1" si="157">IF($B44,0,T43-IF(ISNUMBER(S43),S43,0))</f>
        <v>0</v>
      </c>
      <c r="U42" s="226">
        <f t="shared" ref="U42" ca="1" si="158">IF($B44,0,U43-IF(ISNUMBER(T43),T43,0))</f>
        <v>0</v>
      </c>
      <c r="V42" s="226">
        <f t="shared" ref="V42" ca="1" si="159">IF($B44,0,V43-IF(ISNUMBER(U43),U43,0))</f>
        <v>0</v>
      </c>
      <c r="W42" s="227">
        <f t="shared" ref="W42" ca="1" si="160">IF($B44,0,W43-IF(ISNUMBER(V43),V43,0))</f>
        <v>0</v>
      </c>
      <c r="X42" s="196"/>
      <c r="AC42" s="221">
        <f t="shared" ref="AC42" ca="1" si="161">IF($B44,0,AC43-IF(ISNUMBER(AB43),AB43,0))</f>
        <v>0</v>
      </c>
    </row>
    <row r="43" spans="1:29" customFormat="1" ht="14.25" x14ac:dyDescent="0.2">
      <c r="A43" s="184"/>
      <c r="B43" s="184"/>
      <c r="C43" s="184"/>
      <c r="D43" s="184"/>
      <c r="E43" s="184"/>
      <c r="F43" s="184"/>
      <c r="G43" s="184"/>
      <c r="H43" s="184"/>
      <c r="I43" s="184"/>
      <c r="J43" s="184"/>
      <c r="K43" s="184"/>
      <c r="L43" s="376"/>
      <c r="M43" s="378"/>
      <c r="N43" s="380"/>
      <c r="O43" s="170" t="s">
        <v>146</v>
      </c>
      <c r="P43" s="198">
        <f t="shared" ref="P43" ca="1" si="162">MIN(IF($B44,P42+IF(ISNUMBER(O43),O43,0),P44/$N42),1)</f>
        <v>0</v>
      </c>
      <c r="Q43" s="168">
        <f t="shared" ref="Q43" ca="1" si="163">MIN(IF($B44,Q42+IF(ISNUMBER(P43),P43,0),Q44/$N42),1)</f>
        <v>0.5</v>
      </c>
      <c r="R43" s="168">
        <f t="shared" ref="R43" ca="1" si="164">MIN(IF($B44,R42+IF(ISNUMBER(Q43),Q43,0),R44/$N42),1)</f>
        <v>1</v>
      </c>
      <c r="S43" s="168">
        <f t="shared" ref="S43" ca="1" si="165">MIN(IF($B44,S42+IF(ISNUMBER(R43),R43,0),S44/$N42),1)</f>
        <v>1</v>
      </c>
      <c r="T43" s="168">
        <f t="shared" ref="T43" ca="1" si="166">MIN(IF($B44,T42+IF(ISNUMBER(S43),S43,0),T44/$N42),1)</f>
        <v>1</v>
      </c>
      <c r="U43" s="168">
        <f t="shared" ref="U43" ca="1" si="167">MIN(IF($B44,U42+IF(ISNUMBER(T43),T43,0),U44/$N42),1)</f>
        <v>1</v>
      </c>
      <c r="V43" s="168">
        <f t="shared" ref="V43" ca="1" si="168">MIN(IF($B44,V42+IF(ISNUMBER(U43),U43,0),V44/$N42),1)</f>
        <v>1</v>
      </c>
      <c r="W43" s="168">
        <f t="shared" ref="W43" ca="1" si="169">MIN(IF($B44,W42+IF(ISNUMBER(V43),V43,0),W44/$N42),1)</f>
        <v>1</v>
      </c>
      <c r="X43" s="196"/>
      <c r="AC43" s="168">
        <f t="shared" ref="AC43" ca="1" si="170">MIN(IF($B44,AC42+IF(ISNUMBER(AB43),AB43,0),AC44/$N42),1)</f>
        <v>0</v>
      </c>
    </row>
    <row r="44" spans="1:29" customFormat="1" ht="14.25" x14ac:dyDescent="0.2">
      <c r="A44" s="184">
        <f ca="1">OFFSET(A44,-CFF.NumLinha,0)+1</f>
        <v>9</v>
      </c>
      <c r="B44" s="184" t="b">
        <f ca="1">$C44&gt;=OFFSET($C44,CFF.NumLinha,0)</f>
        <v>1</v>
      </c>
      <c r="C44" s="184">
        <f ca="1">INDEX(PO!A$12:A$139,MATCH($A44,PO!$V$12:$V$139,0))</f>
        <v>2</v>
      </c>
      <c r="D44" s="184">
        <f t="shared" ref="D44" ca="1" si="171">IF(ISERROR(J44),I44,SMALL(I44:J44,1))-1</f>
        <v>2</v>
      </c>
      <c r="E44" s="184">
        <f ca="1">IF($C44=1,OFFSET(E44,-CFF.NumLinha,0)+1,OFFSET(E44,-CFF.NumLinha,0))</f>
        <v>1</v>
      </c>
      <c r="F44" s="184">
        <f ca="1">IF($C44=1,0,IF($C44=2,OFFSET(F44,-CFF.NumLinha,0)+1,OFFSET(F44,-CFF.NumLinha,0)))</f>
        <v>8</v>
      </c>
      <c r="G44" s="184">
        <f ca="1">IF(AND($C44&lt;=2,$C44&lt;&gt;0),0,IF($C44=3,OFFSET(G44,-CFF.NumLinha,0)+1,OFFSET(G44,-CFF.NumLinha,0)))</f>
        <v>0</v>
      </c>
      <c r="H44" s="184">
        <f ca="1">IF(AND($C44&lt;=3,$C44&lt;&gt;0),0,IF($C44=4,OFFSET(H44,-CFF.NumLinha,0)+1,OFFSET(H44,-CFF.NumLinha,0)))</f>
        <v>0</v>
      </c>
      <c r="I44" s="184">
        <f ca="1">MATCH(0,OFFSET($D44,1,$C44,ROW($A$66)-ROW($A44)),0)</f>
        <v>22</v>
      </c>
      <c r="J44" s="184">
        <f ca="1">MATCH(OFFSET($D44,0,$C44)+1,OFFSET($D44,1,$C44,ROW($A$66)-ROW($A44)),0)</f>
        <v>3</v>
      </c>
      <c r="K44" s="185">
        <f ca="1">ROUND(INDEX(PO!T$12:T$139,MATCH($A44,PO!$V$12:$V$139,0)),2)+10^-12</f>
        <v>65315.01</v>
      </c>
      <c r="L44" s="376"/>
      <c r="M44" s="378"/>
      <c r="N44" s="380"/>
      <c r="O44" s="204" t="s">
        <v>20</v>
      </c>
      <c r="P44" s="199">
        <f t="shared" ref="P44:W44" ca="1" si="172">IF($B44,ROUND(P43*$N42,2),ROUND(SUMIF(OFFSET($B44,1,0,$D44),TRUE,OFFSET(P44,1,0,$D44))/SUMIF(OFFSET($B44,1,0,$D44),TRUE,OFFSET($K44,1,0,$D44))*$N42,2))</f>
        <v>0</v>
      </c>
      <c r="Q44" s="169">
        <f t="shared" ca="1" si="172"/>
        <v>32657.51</v>
      </c>
      <c r="R44" s="169">
        <f t="shared" ca="1" si="172"/>
        <v>65315.01</v>
      </c>
      <c r="S44" s="169">
        <f t="shared" ca="1" si="172"/>
        <v>65315.01</v>
      </c>
      <c r="T44" s="169">
        <f t="shared" ca="1" si="172"/>
        <v>65315.01</v>
      </c>
      <c r="U44" s="169">
        <f t="shared" ca="1" si="172"/>
        <v>65315.01</v>
      </c>
      <c r="V44" s="169">
        <f t="shared" ca="1" si="172"/>
        <v>65315.01</v>
      </c>
      <c r="W44" s="207">
        <f t="shared" ca="1" si="172"/>
        <v>65315.01</v>
      </c>
      <c r="X44" s="196"/>
      <c r="AC44" s="169">
        <f t="shared" ref="AC44" ca="1" si="173">IF($B44,ROUND(AC43*$N42,2),ROUND(SUMIF(OFFSET($B44,1,0,$D44),TRUE,OFFSET(AC44,1,0,$D44))/SUMIF(OFFSET($B44,1,0,$D44),TRUE,OFFSET($K44,1,0,$D44))*$N42,2))</f>
        <v>0</v>
      </c>
    </row>
    <row r="45" spans="1:29" customFormat="1" ht="14.25" customHeight="1" x14ac:dyDescent="0.2">
      <c r="A45" s="82"/>
      <c r="B45" s="82"/>
      <c r="C45" s="82"/>
      <c r="D45" s="82"/>
      <c r="E45" s="82"/>
      <c r="F45" s="82"/>
      <c r="G45" s="82"/>
      <c r="H45" s="82"/>
      <c r="I45" s="82"/>
      <c r="J45" s="82"/>
      <c r="K45" s="82"/>
      <c r="L45" s="375" t="str">
        <f ca="1">INDEX(PO!K$12:K$139,MATCH($A47,PO!$V$12:$V$139,0))</f>
        <v>1.9.</v>
      </c>
      <c r="M45" s="377" t="str">
        <f ca="1">INDEX(PO!N$12:N$139,MATCH($A47,PO!$V$12:$V$139,0))</f>
        <v>PAVIMENTAÇÃO</v>
      </c>
      <c r="N45" s="379">
        <f t="shared" ref="N45" ca="1" si="174">IF(ROUND(K47,2)=0,K47,ROUND(K47,2))</f>
        <v>20709.439999999999</v>
      </c>
      <c r="O45" s="220" t="s">
        <v>144</v>
      </c>
      <c r="P45" s="225">
        <f t="shared" ref="P45" ca="1" si="175">IF($B47,0,P46-IF(ISNUMBER(O46),O46,0))</f>
        <v>0</v>
      </c>
      <c r="Q45" s="226">
        <f t="shared" ref="Q45" ca="1" si="176">IF($B47,0,Q46-IF(ISNUMBER(P46),P46,0))</f>
        <v>0</v>
      </c>
      <c r="R45" s="226">
        <f t="shared" ref="R45" ca="1" si="177">IF($B47,0,R46-IF(ISNUMBER(Q46),Q46,0))</f>
        <v>0</v>
      </c>
      <c r="S45" s="226">
        <v>1</v>
      </c>
      <c r="T45" s="226">
        <f t="shared" ref="T45" ca="1" si="178">IF($B47,0,T46-IF(ISNUMBER(S46),S46,0))</f>
        <v>0</v>
      </c>
      <c r="U45" s="226">
        <f t="shared" ref="U45" ca="1" si="179">IF($B47,0,U46-IF(ISNUMBER(T46),T46,0))</f>
        <v>0</v>
      </c>
      <c r="V45" s="226">
        <f t="shared" ref="V45" ca="1" si="180">IF($B47,0,V46-IF(ISNUMBER(U46),U46,0))</f>
        <v>0</v>
      </c>
      <c r="W45" s="227">
        <f t="shared" ref="W45" ca="1" si="181">IF($B47,0,W46-IF(ISNUMBER(V46),V46,0))</f>
        <v>0</v>
      </c>
      <c r="X45" s="196"/>
      <c r="AC45" s="221">
        <f t="shared" ref="AC45" ca="1" si="182">IF($B47,0,AC46-IF(ISNUMBER(AB46),AB46,0))</f>
        <v>0</v>
      </c>
    </row>
    <row r="46" spans="1:29" customFormat="1" ht="14.25" x14ac:dyDescent="0.2">
      <c r="A46" s="184"/>
      <c r="B46" s="184"/>
      <c r="C46" s="184"/>
      <c r="D46" s="184"/>
      <c r="E46" s="184"/>
      <c r="F46" s="184"/>
      <c r="G46" s="184"/>
      <c r="H46" s="184"/>
      <c r="I46" s="184"/>
      <c r="J46" s="184"/>
      <c r="K46" s="184"/>
      <c r="L46" s="376"/>
      <c r="M46" s="378"/>
      <c r="N46" s="380"/>
      <c r="O46" s="170" t="s">
        <v>146</v>
      </c>
      <c r="P46" s="198">
        <f t="shared" ref="P46" ca="1" si="183">MIN(IF($B47,P45+IF(ISNUMBER(O46),O46,0),P47/$N45),1)</f>
        <v>0</v>
      </c>
      <c r="Q46" s="168">
        <f t="shared" ref="Q46" ca="1" si="184">MIN(IF($B47,Q45+IF(ISNUMBER(P46),P46,0),Q47/$N45),1)</f>
        <v>0</v>
      </c>
      <c r="R46" s="168">
        <f t="shared" ref="R46" ca="1" si="185">MIN(IF($B47,R45+IF(ISNUMBER(Q46),Q46,0),R47/$N45),1)</f>
        <v>0</v>
      </c>
      <c r="S46" s="168">
        <f t="shared" ref="S46" ca="1" si="186">MIN(IF($B47,S45+IF(ISNUMBER(R46),R46,0),S47/$N45),1)</f>
        <v>1</v>
      </c>
      <c r="T46" s="168">
        <f t="shared" ref="T46" ca="1" si="187">MIN(IF($B47,T45+IF(ISNUMBER(S46),S46,0),T47/$N45),1)</f>
        <v>1</v>
      </c>
      <c r="U46" s="168">
        <f t="shared" ref="U46" ca="1" si="188">MIN(IF($B47,U45+IF(ISNUMBER(T46),T46,0),U47/$N45),1)</f>
        <v>1</v>
      </c>
      <c r="V46" s="168">
        <f t="shared" ref="V46" ca="1" si="189">MIN(IF($B47,V45+IF(ISNUMBER(U46),U46,0),V47/$N45),1)</f>
        <v>1</v>
      </c>
      <c r="W46" s="168">
        <f t="shared" ref="W46" ca="1" si="190">MIN(IF($B47,W45+IF(ISNUMBER(V46),V46,0),W47/$N45),1)</f>
        <v>1</v>
      </c>
      <c r="X46" s="196"/>
      <c r="AC46" s="168">
        <f t="shared" ref="AC46" ca="1" si="191">MIN(IF($B47,AC45+IF(ISNUMBER(AB46),AB46,0),AC47/$N45),1)</f>
        <v>0</v>
      </c>
    </row>
    <row r="47" spans="1:29" customFormat="1" ht="14.25" x14ac:dyDescent="0.2">
      <c r="A47" s="184">
        <f ca="1">OFFSET(A47,-CFF.NumLinha,0)+1</f>
        <v>10</v>
      </c>
      <c r="B47" s="184" t="b">
        <f ca="1">$C47&gt;=OFFSET($C47,CFF.NumLinha,0)</f>
        <v>1</v>
      </c>
      <c r="C47" s="184">
        <f ca="1">INDEX(PO!A$12:A$139,MATCH($A47,PO!$V$12:$V$139,0))</f>
        <v>2</v>
      </c>
      <c r="D47" s="184">
        <f t="shared" ref="D47" ca="1" si="192">IF(ISERROR(J47),I47,SMALL(I47:J47,1))-1</f>
        <v>2</v>
      </c>
      <c r="E47" s="184">
        <f ca="1">IF($C47=1,OFFSET(E47,-CFF.NumLinha,0)+1,OFFSET(E47,-CFF.NumLinha,0))</f>
        <v>1</v>
      </c>
      <c r="F47" s="184">
        <f ca="1">IF($C47=1,0,IF($C47=2,OFFSET(F47,-CFF.NumLinha,0)+1,OFFSET(F47,-CFF.NumLinha,0)))</f>
        <v>9</v>
      </c>
      <c r="G47" s="184">
        <f ca="1">IF(AND($C47&lt;=2,$C47&lt;&gt;0),0,IF($C47=3,OFFSET(G47,-CFF.NumLinha,0)+1,OFFSET(G47,-CFF.NumLinha,0)))</f>
        <v>0</v>
      </c>
      <c r="H47" s="184">
        <f ca="1">IF(AND($C47&lt;=3,$C47&lt;&gt;0),0,IF($C47=4,OFFSET(H47,-CFF.NumLinha,0)+1,OFFSET(H47,-CFF.NumLinha,0)))</f>
        <v>0</v>
      </c>
      <c r="I47" s="184">
        <f ca="1">MATCH(0,OFFSET($D47,1,$C47,ROW($A$66)-ROW($A47)),0)</f>
        <v>19</v>
      </c>
      <c r="J47" s="184">
        <f ca="1">MATCH(OFFSET($D47,0,$C47)+1,OFFSET($D47,1,$C47,ROW($A$66)-ROW($A47)),0)</f>
        <v>3</v>
      </c>
      <c r="K47" s="185">
        <f ca="1">ROUND(INDEX(PO!T$12:T$139,MATCH($A47,PO!$V$12:$V$139,0)),2)+10^-12</f>
        <v>20709.439999999999</v>
      </c>
      <c r="L47" s="376"/>
      <c r="M47" s="378"/>
      <c r="N47" s="380"/>
      <c r="O47" s="204" t="s">
        <v>20</v>
      </c>
      <c r="P47" s="199">
        <f t="shared" ref="P47:W47" ca="1" si="193">IF($B47,ROUND(P46*$N45,2),ROUND(SUMIF(OFFSET($B47,1,0,$D47),TRUE,OFFSET(P47,1,0,$D47))/SUMIF(OFFSET($B47,1,0,$D47),TRUE,OFFSET($K47,1,0,$D47))*$N45,2))</f>
        <v>0</v>
      </c>
      <c r="Q47" s="169">
        <f t="shared" ca="1" si="193"/>
        <v>0</v>
      </c>
      <c r="R47" s="169">
        <f t="shared" ca="1" si="193"/>
        <v>0</v>
      </c>
      <c r="S47" s="169">
        <f t="shared" ca="1" si="193"/>
        <v>20709.439999999999</v>
      </c>
      <c r="T47" s="169">
        <f t="shared" ca="1" si="193"/>
        <v>20709.439999999999</v>
      </c>
      <c r="U47" s="169">
        <f t="shared" ca="1" si="193"/>
        <v>20709.439999999999</v>
      </c>
      <c r="V47" s="169">
        <f t="shared" ca="1" si="193"/>
        <v>20709.439999999999</v>
      </c>
      <c r="W47" s="207">
        <f t="shared" ca="1" si="193"/>
        <v>20709.439999999999</v>
      </c>
      <c r="X47" s="196"/>
      <c r="AC47" s="169">
        <f t="shared" ref="AC47" ca="1" si="194">IF($B47,ROUND(AC46*$N45,2),ROUND(SUMIF(OFFSET($B47,1,0,$D47),TRUE,OFFSET(AC47,1,0,$D47))/SUMIF(OFFSET($B47,1,0,$D47),TRUE,OFFSET($K47,1,0,$D47))*$N45,2))</f>
        <v>0</v>
      </c>
    </row>
    <row r="48" spans="1:29" customFormat="1" ht="14.25" customHeight="1" x14ac:dyDescent="0.2">
      <c r="A48" s="82"/>
      <c r="B48" s="82"/>
      <c r="C48" s="82"/>
      <c r="D48" s="82"/>
      <c r="E48" s="82"/>
      <c r="F48" s="82"/>
      <c r="G48" s="82"/>
      <c r="H48" s="82"/>
      <c r="I48" s="82"/>
      <c r="J48" s="82"/>
      <c r="K48" s="82"/>
      <c r="L48" s="375" t="str">
        <f ca="1">INDEX(PO!K$12:K$139,MATCH($A50,PO!$V$12:$V$139,0))</f>
        <v>1.10.</v>
      </c>
      <c r="M48" s="377" t="str">
        <f ca="1">INDEX(PO!N$12:N$139,MATCH($A50,PO!$V$12:$V$139,0))</f>
        <v>ESQUADRIAS</v>
      </c>
      <c r="N48" s="379">
        <f t="shared" ref="N48" ca="1" si="195">IF(ROUND(K50,2)=0,K50,ROUND(K50,2))</f>
        <v>21942.95</v>
      </c>
      <c r="O48" s="220" t="s">
        <v>144</v>
      </c>
      <c r="P48" s="225">
        <f t="shared" ref="P48" ca="1" si="196">IF($B50,0,P49-IF(ISNUMBER(O49),O49,0))</f>
        <v>0</v>
      </c>
      <c r="Q48" s="226">
        <f t="shared" ref="Q48" ca="1" si="197">IF($B50,0,Q49-IF(ISNUMBER(P49),P49,0))</f>
        <v>0</v>
      </c>
      <c r="R48" s="226">
        <f t="shared" ref="R48" ca="1" si="198">IF($B50,0,R49-IF(ISNUMBER(Q49),Q49,0))</f>
        <v>0</v>
      </c>
      <c r="S48" s="226">
        <f t="shared" ref="S48" ca="1" si="199">IF($B50,0,S49-IF(ISNUMBER(R49),R49,0))</f>
        <v>0</v>
      </c>
      <c r="T48" s="226">
        <v>1</v>
      </c>
      <c r="U48" s="226">
        <f t="shared" ref="U48" ca="1" si="200">IF($B50,0,U49-IF(ISNUMBER(T49),T49,0))</f>
        <v>0</v>
      </c>
      <c r="V48" s="226">
        <f t="shared" ref="V48" ca="1" si="201">IF($B50,0,V49-IF(ISNUMBER(U49),U49,0))</f>
        <v>0</v>
      </c>
      <c r="W48" s="227">
        <f t="shared" ref="W48" ca="1" si="202">IF($B50,0,W49-IF(ISNUMBER(V49),V49,0))</f>
        <v>0</v>
      </c>
      <c r="X48" s="196"/>
      <c r="AC48" s="221">
        <f t="shared" ref="AC48" ca="1" si="203">IF($B50,0,AC49-IF(ISNUMBER(AB49),AB49,0))</f>
        <v>0</v>
      </c>
    </row>
    <row r="49" spans="1:29" customFormat="1" ht="14.25" x14ac:dyDescent="0.2">
      <c r="A49" s="184"/>
      <c r="B49" s="184"/>
      <c r="C49" s="184"/>
      <c r="D49" s="184"/>
      <c r="E49" s="184"/>
      <c r="F49" s="184"/>
      <c r="G49" s="184"/>
      <c r="H49" s="184"/>
      <c r="I49" s="184"/>
      <c r="J49" s="184"/>
      <c r="K49" s="184"/>
      <c r="L49" s="376"/>
      <c r="M49" s="378"/>
      <c r="N49" s="380"/>
      <c r="O49" s="170" t="s">
        <v>146</v>
      </c>
      <c r="P49" s="198">
        <f t="shared" ref="P49" ca="1" si="204">MIN(IF($B50,P48+IF(ISNUMBER(O49),O49,0),P50/$N48),1)</f>
        <v>0</v>
      </c>
      <c r="Q49" s="168">
        <f t="shared" ref="Q49" ca="1" si="205">MIN(IF($B50,Q48+IF(ISNUMBER(P49),P49,0),Q50/$N48),1)</f>
        <v>0</v>
      </c>
      <c r="R49" s="168">
        <f t="shared" ref="R49" ca="1" si="206">MIN(IF($B50,R48+IF(ISNUMBER(Q49),Q49,0),R50/$N48),1)</f>
        <v>0</v>
      </c>
      <c r="S49" s="168">
        <f t="shared" ref="S49" ca="1" si="207">MIN(IF($B50,S48+IF(ISNUMBER(R49),R49,0),S50/$N48),1)</f>
        <v>0</v>
      </c>
      <c r="T49" s="168">
        <f t="shared" ref="T49" ca="1" si="208">MIN(IF($B50,T48+IF(ISNUMBER(S49),S49,0),T50/$N48),1)</f>
        <v>1</v>
      </c>
      <c r="U49" s="168">
        <f t="shared" ref="U49" ca="1" si="209">MIN(IF($B50,U48+IF(ISNUMBER(T49),T49,0),U50/$N48),1)</f>
        <v>1</v>
      </c>
      <c r="V49" s="168">
        <f t="shared" ref="V49" ca="1" si="210">MIN(IF($B50,V48+IF(ISNUMBER(U49),U49,0),V50/$N48),1)</f>
        <v>1</v>
      </c>
      <c r="W49" s="168">
        <f t="shared" ref="W49" ca="1" si="211">MIN(IF($B50,W48+IF(ISNUMBER(V49),V49,0),W50/$N48),1)</f>
        <v>1</v>
      </c>
      <c r="X49" s="196"/>
      <c r="AC49" s="168">
        <f t="shared" ref="AC49" ca="1" si="212">MIN(IF($B50,AC48+IF(ISNUMBER(AB49),AB49,0),AC50/$N48),1)</f>
        <v>0</v>
      </c>
    </row>
    <row r="50" spans="1:29" customFormat="1" ht="14.25" x14ac:dyDescent="0.2">
      <c r="A50" s="184">
        <f ca="1">OFFSET(A50,-CFF.NumLinha,0)+1</f>
        <v>11</v>
      </c>
      <c r="B50" s="184" t="b">
        <f ca="1">$C50&gt;=OFFSET($C50,CFF.NumLinha,0)</f>
        <v>1</v>
      </c>
      <c r="C50" s="184">
        <f ca="1">INDEX(PO!A$12:A$139,MATCH($A50,PO!$V$12:$V$139,0))</f>
        <v>2</v>
      </c>
      <c r="D50" s="184">
        <f t="shared" ref="D50" ca="1" si="213">IF(ISERROR(J50),I50,SMALL(I50:J50,1))-1</f>
        <v>2</v>
      </c>
      <c r="E50" s="184">
        <f ca="1">IF($C50=1,OFFSET(E50,-CFF.NumLinha,0)+1,OFFSET(E50,-CFF.NumLinha,0))</f>
        <v>1</v>
      </c>
      <c r="F50" s="184">
        <f ca="1">IF($C50=1,0,IF($C50=2,OFFSET(F50,-CFF.NumLinha,0)+1,OFFSET(F50,-CFF.NumLinha,0)))</f>
        <v>10</v>
      </c>
      <c r="G50" s="184">
        <f ca="1">IF(AND($C50&lt;=2,$C50&lt;&gt;0),0,IF($C50=3,OFFSET(G50,-CFF.NumLinha,0)+1,OFFSET(G50,-CFF.NumLinha,0)))</f>
        <v>0</v>
      </c>
      <c r="H50" s="184">
        <f ca="1">IF(AND($C50&lt;=3,$C50&lt;&gt;0),0,IF($C50=4,OFFSET(H50,-CFF.NumLinha,0)+1,OFFSET(H50,-CFF.NumLinha,0)))</f>
        <v>0</v>
      </c>
      <c r="I50" s="184">
        <f ca="1">MATCH(0,OFFSET($D50,1,$C50,ROW($A$66)-ROW($A50)),0)</f>
        <v>16</v>
      </c>
      <c r="J50" s="184">
        <f ca="1">MATCH(OFFSET($D50,0,$C50)+1,OFFSET($D50,1,$C50,ROW($A$66)-ROW($A50)),0)</f>
        <v>3</v>
      </c>
      <c r="K50" s="185">
        <f ca="1">ROUND(INDEX(PO!T$12:T$139,MATCH($A50,PO!$V$12:$V$139,0)),2)+10^-12</f>
        <v>21942.95</v>
      </c>
      <c r="L50" s="376"/>
      <c r="M50" s="378"/>
      <c r="N50" s="380"/>
      <c r="O50" s="204" t="s">
        <v>20</v>
      </c>
      <c r="P50" s="199">
        <f t="shared" ref="P50:W50" ca="1" si="214">IF($B50,ROUND(P49*$N48,2),ROUND(SUMIF(OFFSET($B50,1,0,$D50),TRUE,OFFSET(P50,1,0,$D50))/SUMIF(OFFSET($B50,1,0,$D50),TRUE,OFFSET($K50,1,0,$D50))*$N48,2))</f>
        <v>0</v>
      </c>
      <c r="Q50" s="169">
        <f t="shared" ca="1" si="214"/>
        <v>0</v>
      </c>
      <c r="R50" s="169">
        <f t="shared" ca="1" si="214"/>
        <v>0</v>
      </c>
      <c r="S50" s="169">
        <f t="shared" ca="1" si="214"/>
        <v>0</v>
      </c>
      <c r="T50" s="169">
        <f t="shared" ca="1" si="214"/>
        <v>21942.95</v>
      </c>
      <c r="U50" s="169">
        <f t="shared" ca="1" si="214"/>
        <v>21942.95</v>
      </c>
      <c r="V50" s="169">
        <f t="shared" ca="1" si="214"/>
        <v>21942.95</v>
      </c>
      <c r="W50" s="207">
        <f t="shared" ca="1" si="214"/>
        <v>21942.95</v>
      </c>
      <c r="X50" s="196"/>
      <c r="AC50" s="169">
        <f t="shared" ref="AC50" ca="1" si="215">IF($B50,ROUND(AC49*$N48,2),ROUND(SUMIF(OFFSET($B50,1,0,$D50),TRUE,OFFSET(AC50,1,0,$D50))/SUMIF(OFFSET($B50,1,0,$D50),TRUE,OFFSET($K50,1,0,$D50))*$N48,2))</f>
        <v>0</v>
      </c>
    </row>
    <row r="51" spans="1:29" customFormat="1" ht="14.25" customHeight="1" x14ac:dyDescent="0.2">
      <c r="A51" s="82"/>
      <c r="B51" s="82"/>
      <c r="C51" s="82"/>
      <c r="D51" s="82"/>
      <c r="E51" s="82"/>
      <c r="F51" s="82"/>
      <c r="G51" s="82"/>
      <c r="H51" s="82"/>
      <c r="I51" s="82"/>
      <c r="J51" s="82"/>
      <c r="K51" s="82"/>
      <c r="L51" s="375" t="str">
        <f ca="1">INDEX(PO!K$12:K$139,MATCH($A53,PO!$V$12:$V$139,0))</f>
        <v>1.11.</v>
      </c>
      <c r="M51" s="377" t="str">
        <f ca="1">INDEX(PO!N$12:N$139,MATCH($A53,PO!$V$12:$V$139,0))</f>
        <v>PINTURA</v>
      </c>
      <c r="N51" s="379">
        <f t="shared" ref="N51" ca="1" si="216">IF(ROUND(K53,2)=0,K53,ROUND(K53,2))</f>
        <v>61305.7</v>
      </c>
      <c r="O51" s="220" t="s">
        <v>144</v>
      </c>
      <c r="P51" s="225">
        <f t="shared" ref="P51" ca="1" si="217">IF($B53,0,P52-IF(ISNUMBER(O52),O52,0))</f>
        <v>0</v>
      </c>
      <c r="Q51" s="226">
        <f t="shared" ref="Q51" ca="1" si="218">IF($B53,0,Q52-IF(ISNUMBER(P52),P52,0))</f>
        <v>0</v>
      </c>
      <c r="R51" s="226">
        <f t="shared" ref="R51" ca="1" si="219">IF($B53,0,R52-IF(ISNUMBER(Q52),Q52,0))</f>
        <v>0</v>
      </c>
      <c r="S51" s="226">
        <f t="shared" ref="S51" ca="1" si="220">IF($B53,0,S52-IF(ISNUMBER(R52),R52,0))</f>
        <v>0</v>
      </c>
      <c r="T51" s="226">
        <f t="shared" ref="T51" ca="1" si="221">IF($B53,0,T52-IF(ISNUMBER(S52),S52,0))</f>
        <v>0</v>
      </c>
      <c r="U51" s="226">
        <v>1</v>
      </c>
      <c r="V51" s="226">
        <f t="shared" ref="V51" ca="1" si="222">IF($B53,0,V52-IF(ISNUMBER(U52),U52,0))</f>
        <v>0</v>
      </c>
      <c r="W51" s="227">
        <f t="shared" ref="W51" ca="1" si="223">IF($B53,0,W52-IF(ISNUMBER(V52),V52,0))</f>
        <v>0</v>
      </c>
      <c r="X51" s="196"/>
      <c r="AC51" s="221">
        <f t="shared" ref="AC51" ca="1" si="224">IF($B53,0,AC52-IF(ISNUMBER(AB52),AB52,0))</f>
        <v>0</v>
      </c>
    </row>
    <row r="52" spans="1:29" customFormat="1" ht="14.25" x14ac:dyDescent="0.2">
      <c r="A52" s="184"/>
      <c r="B52" s="184"/>
      <c r="C52" s="184"/>
      <c r="D52" s="184"/>
      <c r="E52" s="184"/>
      <c r="F52" s="184"/>
      <c r="G52" s="184"/>
      <c r="H52" s="184"/>
      <c r="I52" s="184"/>
      <c r="J52" s="184"/>
      <c r="K52" s="184"/>
      <c r="L52" s="376"/>
      <c r="M52" s="378"/>
      <c r="N52" s="380"/>
      <c r="O52" s="170" t="s">
        <v>146</v>
      </c>
      <c r="P52" s="198">
        <f t="shared" ref="P52" ca="1" si="225">MIN(IF($B53,P51+IF(ISNUMBER(O52),O52,0),P53/$N51),1)</f>
        <v>0</v>
      </c>
      <c r="Q52" s="168">
        <f t="shared" ref="Q52" ca="1" si="226">MIN(IF($B53,Q51+IF(ISNUMBER(P52),P52,0),Q53/$N51),1)</f>
        <v>0</v>
      </c>
      <c r="R52" s="168">
        <f t="shared" ref="R52" ca="1" si="227">MIN(IF($B53,R51+IF(ISNUMBER(Q52),Q52,0),R53/$N51),1)</f>
        <v>0</v>
      </c>
      <c r="S52" s="168">
        <f t="shared" ref="S52" ca="1" si="228">MIN(IF($B53,S51+IF(ISNUMBER(R52),R52,0),S53/$N51),1)</f>
        <v>0</v>
      </c>
      <c r="T52" s="168">
        <f t="shared" ref="T52" ca="1" si="229">MIN(IF($B53,T51+IF(ISNUMBER(S52),S52,0),T53/$N51),1)</f>
        <v>0</v>
      </c>
      <c r="U52" s="168">
        <f t="shared" ref="U52" ca="1" si="230">MIN(IF($B53,U51+IF(ISNUMBER(T52),T52,0),U53/$N51),1)</f>
        <v>1</v>
      </c>
      <c r="V52" s="168">
        <f t="shared" ref="V52" ca="1" si="231">MIN(IF($B53,V51+IF(ISNUMBER(U52),U52,0),V53/$N51),1)</f>
        <v>1</v>
      </c>
      <c r="W52" s="168">
        <f t="shared" ref="W52" ca="1" si="232">MIN(IF($B53,W51+IF(ISNUMBER(V52),V52,0),W53/$N51),1)</f>
        <v>1</v>
      </c>
      <c r="X52" s="196"/>
      <c r="AC52" s="168">
        <f t="shared" ref="AC52" ca="1" si="233">MIN(IF($B53,AC51+IF(ISNUMBER(AB52),AB52,0),AC53/$N51),1)</f>
        <v>0</v>
      </c>
    </row>
    <row r="53" spans="1:29" customFormat="1" ht="14.25" x14ac:dyDescent="0.2">
      <c r="A53" s="184">
        <f ca="1">OFFSET(A53,-CFF.NumLinha,0)+1</f>
        <v>12</v>
      </c>
      <c r="B53" s="184" t="b">
        <f ca="1">$C53&gt;=OFFSET($C53,CFF.NumLinha,0)</f>
        <v>1</v>
      </c>
      <c r="C53" s="184">
        <f ca="1">INDEX(PO!A$12:A$139,MATCH($A53,PO!$V$12:$V$139,0))</f>
        <v>2</v>
      </c>
      <c r="D53" s="184">
        <f t="shared" ref="D53" ca="1" si="234">IF(ISERROR(J53),I53,SMALL(I53:J53,1))-1</f>
        <v>2</v>
      </c>
      <c r="E53" s="184">
        <f ca="1">IF($C53=1,OFFSET(E53,-CFF.NumLinha,0)+1,OFFSET(E53,-CFF.NumLinha,0))</f>
        <v>1</v>
      </c>
      <c r="F53" s="184">
        <f ca="1">IF($C53=1,0,IF($C53=2,OFFSET(F53,-CFF.NumLinha,0)+1,OFFSET(F53,-CFF.NumLinha,0)))</f>
        <v>11</v>
      </c>
      <c r="G53" s="184">
        <f ca="1">IF(AND($C53&lt;=2,$C53&lt;&gt;0),0,IF($C53=3,OFFSET(G53,-CFF.NumLinha,0)+1,OFFSET(G53,-CFF.NumLinha,0)))</f>
        <v>0</v>
      </c>
      <c r="H53" s="184">
        <f ca="1">IF(AND($C53&lt;=3,$C53&lt;&gt;0),0,IF($C53=4,OFFSET(H53,-CFF.NumLinha,0)+1,OFFSET(H53,-CFF.NumLinha,0)))</f>
        <v>0</v>
      </c>
      <c r="I53" s="184">
        <f ca="1">MATCH(0,OFFSET($D53,1,$C53,ROW($A$66)-ROW($A53)),0)</f>
        <v>13</v>
      </c>
      <c r="J53" s="184">
        <f ca="1">MATCH(OFFSET($D53,0,$C53)+1,OFFSET($D53,1,$C53,ROW($A$66)-ROW($A53)),0)</f>
        <v>3</v>
      </c>
      <c r="K53" s="185">
        <f ca="1">ROUND(INDEX(PO!T$12:T$139,MATCH($A53,PO!$V$12:$V$139,0)),2)+10^-12</f>
        <v>61305.7</v>
      </c>
      <c r="L53" s="376"/>
      <c r="M53" s="378"/>
      <c r="N53" s="380"/>
      <c r="O53" s="204" t="s">
        <v>20</v>
      </c>
      <c r="P53" s="199">
        <f t="shared" ref="P53:W53" ca="1" si="235">IF($B53,ROUND(P52*$N51,2),ROUND(SUMIF(OFFSET($B53,1,0,$D53),TRUE,OFFSET(P53,1,0,$D53))/SUMIF(OFFSET($B53,1,0,$D53),TRUE,OFFSET($K53,1,0,$D53))*$N51,2))</f>
        <v>0</v>
      </c>
      <c r="Q53" s="169">
        <f t="shared" ca="1" si="235"/>
        <v>0</v>
      </c>
      <c r="R53" s="169">
        <f t="shared" ca="1" si="235"/>
        <v>0</v>
      </c>
      <c r="S53" s="169">
        <f t="shared" ca="1" si="235"/>
        <v>0</v>
      </c>
      <c r="T53" s="169">
        <f t="shared" ca="1" si="235"/>
        <v>0</v>
      </c>
      <c r="U53" s="169">
        <f t="shared" ca="1" si="235"/>
        <v>61305.7</v>
      </c>
      <c r="V53" s="169">
        <f t="shared" ca="1" si="235"/>
        <v>61305.7</v>
      </c>
      <c r="W53" s="207">
        <f t="shared" ca="1" si="235"/>
        <v>61305.7</v>
      </c>
      <c r="X53" s="196"/>
      <c r="AC53" s="169">
        <f t="shared" ref="AC53" ca="1" si="236">IF($B53,ROUND(AC52*$N51,2),ROUND(SUMIF(OFFSET($B53,1,0,$D53),TRUE,OFFSET(AC53,1,0,$D53))/SUMIF(OFFSET($B53,1,0,$D53),TRUE,OFFSET($K53,1,0,$D53))*$N51,2))</f>
        <v>0</v>
      </c>
    </row>
    <row r="54" spans="1:29" customFormat="1" ht="14.25" customHeight="1" x14ac:dyDescent="0.2">
      <c r="A54" s="82"/>
      <c r="B54" s="82"/>
      <c r="C54" s="82"/>
      <c r="D54" s="82"/>
      <c r="E54" s="82"/>
      <c r="F54" s="82"/>
      <c r="G54" s="82"/>
      <c r="H54" s="82"/>
      <c r="I54" s="82"/>
      <c r="J54" s="82"/>
      <c r="K54" s="82"/>
      <c r="L54" s="375" t="str">
        <f ca="1">INDEX(PO!K$12:K$139,MATCH($A56,PO!$V$12:$V$139,0))</f>
        <v>1.12.</v>
      </c>
      <c r="M54" s="377" t="str">
        <f ca="1">INDEX(PO!N$12:N$139,MATCH($A56,PO!$V$12:$V$139,0))</f>
        <v>INSTALAÇÃO ELÉTRICA</v>
      </c>
      <c r="N54" s="379">
        <f t="shared" ref="N54" ca="1" si="237">IF(ROUND(K56,2)=0,K56,ROUND(K56,2))</f>
        <v>6248.87</v>
      </c>
      <c r="O54" s="220" t="s">
        <v>144</v>
      </c>
      <c r="P54" s="225">
        <f t="shared" ref="P54" ca="1" si="238">IF($B56,0,P55-IF(ISNUMBER(O55),O55,0))</f>
        <v>0</v>
      </c>
      <c r="Q54" s="226">
        <f t="shared" ref="Q54" ca="1" si="239">IF($B56,0,Q55-IF(ISNUMBER(P55),P55,0))</f>
        <v>0</v>
      </c>
      <c r="R54" s="226">
        <f t="shared" ref="R54" ca="1" si="240">IF($B56,0,R55-IF(ISNUMBER(Q55),Q55,0))</f>
        <v>0</v>
      </c>
      <c r="S54" s="226">
        <v>0.5</v>
      </c>
      <c r="T54" s="226">
        <v>0.5</v>
      </c>
      <c r="U54" s="226">
        <f t="shared" ref="U54" ca="1" si="241">IF($B56,0,U55-IF(ISNUMBER(T55),T55,0))</f>
        <v>0</v>
      </c>
      <c r="V54" s="226">
        <f t="shared" ref="V54" ca="1" si="242">IF($B56,0,V55-IF(ISNUMBER(U55),U55,0))</f>
        <v>0</v>
      </c>
      <c r="W54" s="227">
        <f t="shared" ref="W54" ca="1" si="243">IF($B56,0,W55-IF(ISNUMBER(V55),V55,0))</f>
        <v>0</v>
      </c>
      <c r="X54" s="196"/>
      <c r="AC54" s="221">
        <f t="shared" ref="AC54" ca="1" si="244">IF($B56,0,AC55-IF(ISNUMBER(AB55),AB55,0))</f>
        <v>0</v>
      </c>
    </row>
    <row r="55" spans="1:29" customFormat="1" ht="14.25" x14ac:dyDescent="0.2">
      <c r="A55" s="184"/>
      <c r="B55" s="184"/>
      <c r="C55" s="184"/>
      <c r="D55" s="184"/>
      <c r="E55" s="184"/>
      <c r="F55" s="184"/>
      <c r="G55" s="184"/>
      <c r="H55" s="184"/>
      <c r="I55" s="184"/>
      <c r="J55" s="184"/>
      <c r="K55" s="184"/>
      <c r="L55" s="376"/>
      <c r="M55" s="378"/>
      <c r="N55" s="380"/>
      <c r="O55" s="170" t="s">
        <v>146</v>
      </c>
      <c r="P55" s="198">
        <f t="shared" ref="P55" ca="1" si="245">MIN(IF($B56,P54+IF(ISNUMBER(O55),O55,0),P56/$N54),1)</f>
        <v>0</v>
      </c>
      <c r="Q55" s="168">
        <f t="shared" ref="Q55" ca="1" si="246">MIN(IF($B56,Q54+IF(ISNUMBER(P55),P55,0),Q56/$N54),1)</f>
        <v>0</v>
      </c>
      <c r="R55" s="168">
        <f t="shared" ref="R55" ca="1" si="247">MIN(IF($B56,R54+IF(ISNUMBER(Q55),Q55,0),R56/$N54),1)</f>
        <v>0</v>
      </c>
      <c r="S55" s="168">
        <f t="shared" ref="S55" ca="1" si="248">MIN(IF($B56,S54+IF(ISNUMBER(R55),R55,0),S56/$N54),1)</f>
        <v>0.5</v>
      </c>
      <c r="T55" s="168">
        <f t="shared" ref="T55" ca="1" si="249">MIN(IF($B56,T54+IF(ISNUMBER(S55),S55,0),T56/$N54),1)</f>
        <v>1</v>
      </c>
      <c r="U55" s="168">
        <f t="shared" ref="U55" ca="1" si="250">MIN(IF($B56,U54+IF(ISNUMBER(T55),T55,0),U56/$N54),1)</f>
        <v>1</v>
      </c>
      <c r="V55" s="168">
        <f t="shared" ref="V55" ca="1" si="251">MIN(IF($B56,V54+IF(ISNUMBER(U55),U55,0),V56/$N54),1)</f>
        <v>1</v>
      </c>
      <c r="W55" s="168">
        <f t="shared" ref="W55" ca="1" si="252">MIN(IF($B56,W54+IF(ISNUMBER(V55),V55,0),W56/$N54),1)</f>
        <v>1</v>
      </c>
      <c r="X55" s="196"/>
      <c r="AC55" s="168">
        <f t="shared" ref="AC55" ca="1" si="253">MIN(IF($B56,AC54+IF(ISNUMBER(AB55),AB55,0),AC56/$N54),1)</f>
        <v>0</v>
      </c>
    </row>
    <row r="56" spans="1:29" customFormat="1" ht="14.25" x14ac:dyDescent="0.2">
      <c r="A56" s="184">
        <f ca="1">OFFSET(A56,-CFF.NumLinha,0)+1</f>
        <v>13</v>
      </c>
      <c r="B56" s="184" t="b">
        <f ca="1">$C56&gt;=OFFSET($C56,CFF.NumLinha,0)</f>
        <v>1</v>
      </c>
      <c r="C56" s="184">
        <f ca="1">INDEX(PO!A$12:A$139,MATCH($A56,PO!$V$12:$V$139,0))</f>
        <v>2</v>
      </c>
      <c r="D56" s="184">
        <f t="shared" ref="D56" ca="1" si="254">IF(ISERROR(J56),I56,SMALL(I56:J56,1))-1</f>
        <v>2</v>
      </c>
      <c r="E56" s="184">
        <f ca="1">IF($C56=1,OFFSET(E56,-CFF.NumLinha,0)+1,OFFSET(E56,-CFF.NumLinha,0))</f>
        <v>1</v>
      </c>
      <c r="F56" s="184">
        <f ca="1">IF($C56=1,0,IF($C56=2,OFFSET(F56,-CFF.NumLinha,0)+1,OFFSET(F56,-CFF.NumLinha,0)))</f>
        <v>12</v>
      </c>
      <c r="G56" s="184">
        <f ca="1">IF(AND($C56&lt;=2,$C56&lt;&gt;0),0,IF($C56=3,OFFSET(G56,-CFF.NumLinha,0)+1,OFFSET(G56,-CFF.NumLinha,0)))</f>
        <v>0</v>
      </c>
      <c r="H56" s="184">
        <f ca="1">IF(AND($C56&lt;=3,$C56&lt;&gt;0),0,IF($C56=4,OFFSET(H56,-CFF.NumLinha,0)+1,OFFSET(H56,-CFF.NumLinha,0)))</f>
        <v>0</v>
      </c>
      <c r="I56" s="184">
        <f ca="1">MATCH(0,OFFSET($D56,1,$C56,ROW($A$66)-ROW($A56)),0)</f>
        <v>10</v>
      </c>
      <c r="J56" s="184">
        <f ca="1">MATCH(OFFSET($D56,0,$C56)+1,OFFSET($D56,1,$C56,ROW($A$66)-ROW($A56)),0)</f>
        <v>3</v>
      </c>
      <c r="K56" s="185">
        <f ca="1">ROUND(INDEX(PO!T$12:T$139,MATCH($A56,PO!$V$12:$V$139,0)),2)+10^-12</f>
        <v>6248.8700000000008</v>
      </c>
      <c r="L56" s="376"/>
      <c r="M56" s="378"/>
      <c r="N56" s="380"/>
      <c r="O56" s="204" t="s">
        <v>20</v>
      </c>
      <c r="P56" s="199">
        <f t="shared" ref="P56:W56" ca="1" si="255">IF($B56,ROUND(P55*$N54,2),ROUND(SUMIF(OFFSET($B56,1,0,$D56),TRUE,OFFSET(P56,1,0,$D56))/SUMIF(OFFSET($B56,1,0,$D56),TRUE,OFFSET($K56,1,0,$D56))*$N54,2))</f>
        <v>0</v>
      </c>
      <c r="Q56" s="169">
        <f t="shared" ca="1" si="255"/>
        <v>0</v>
      </c>
      <c r="R56" s="169">
        <f t="shared" ca="1" si="255"/>
        <v>0</v>
      </c>
      <c r="S56" s="169">
        <f t="shared" ca="1" si="255"/>
        <v>3124.44</v>
      </c>
      <c r="T56" s="169">
        <f t="shared" ca="1" si="255"/>
        <v>6248.87</v>
      </c>
      <c r="U56" s="169">
        <f t="shared" ca="1" si="255"/>
        <v>6248.87</v>
      </c>
      <c r="V56" s="169">
        <f t="shared" ca="1" si="255"/>
        <v>6248.87</v>
      </c>
      <c r="W56" s="207">
        <f t="shared" ca="1" si="255"/>
        <v>6248.87</v>
      </c>
      <c r="X56" s="196"/>
      <c r="AC56" s="169">
        <f t="shared" ref="AC56" ca="1" si="256">IF($B56,ROUND(AC55*$N54,2),ROUND(SUMIF(OFFSET($B56,1,0,$D56),TRUE,OFFSET(AC56,1,0,$D56))/SUMIF(OFFSET($B56,1,0,$D56),TRUE,OFFSET($K56,1,0,$D56))*$N54,2))</f>
        <v>0</v>
      </c>
    </row>
    <row r="57" spans="1:29" customFormat="1" ht="14.25" customHeight="1" x14ac:dyDescent="0.2">
      <c r="A57" s="82"/>
      <c r="B57" s="82"/>
      <c r="C57" s="82"/>
      <c r="D57" s="82"/>
      <c r="E57" s="82"/>
      <c r="F57" s="82"/>
      <c r="G57" s="82"/>
      <c r="H57" s="82"/>
      <c r="I57" s="82"/>
      <c r="J57" s="82"/>
      <c r="K57" s="82"/>
      <c r="L57" s="375" t="str">
        <f ca="1">INDEX(PO!K$12:K$139,MATCH($A59,PO!$V$12:$V$139,0))</f>
        <v>1.13.</v>
      </c>
      <c r="M57" s="377" t="str">
        <f ca="1">INDEX(PO!N$12:N$139,MATCH($A59,PO!$V$12:$V$139,0))</f>
        <v xml:space="preserve">SISTEMA DE PROTEÇÃO CONTRA INCÊNDIO </v>
      </c>
      <c r="N57" s="379">
        <f t="shared" ref="N57" ca="1" si="257">IF(ROUND(K59,2)=0,K59,ROUND(K59,2))</f>
        <v>67920.179999999993</v>
      </c>
      <c r="O57" s="220" t="s">
        <v>144</v>
      </c>
      <c r="P57" s="225">
        <f t="shared" ref="P57" ca="1" si="258">IF($B59,0,P58-IF(ISNUMBER(O58),O58,0))</f>
        <v>0</v>
      </c>
      <c r="Q57" s="226">
        <f t="shared" ref="Q57" ca="1" si="259">IF($B59,0,Q58-IF(ISNUMBER(P58),P58,0))</f>
        <v>0</v>
      </c>
      <c r="R57" s="226">
        <f t="shared" ref="R57" ca="1" si="260">IF($B59,0,R58-IF(ISNUMBER(Q58),Q58,0))</f>
        <v>0</v>
      </c>
      <c r="S57" s="226">
        <v>0.5</v>
      </c>
      <c r="T57" s="226">
        <v>0.5</v>
      </c>
      <c r="U57" s="226">
        <f t="shared" ref="U57" ca="1" si="261">IF($B59,0,U58-IF(ISNUMBER(T58),T58,0))</f>
        <v>0</v>
      </c>
      <c r="V57" s="226">
        <f t="shared" ref="V57" ca="1" si="262">IF($B59,0,V58-IF(ISNUMBER(U58),U58,0))</f>
        <v>0</v>
      </c>
      <c r="W57" s="227">
        <f t="shared" ref="W57" ca="1" si="263">IF($B59,0,W58-IF(ISNUMBER(V58),V58,0))</f>
        <v>0</v>
      </c>
      <c r="X57" s="196"/>
      <c r="AC57" s="221">
        <f t="shared" ref="AC57" ca="1" si="264">IF($B59,0,AC58-IF(ISNUMBER(AB58),AB58,0))</f>
        <v>0</v>
      </c>
    </row>
    <row r="58" spans="1:29" customFormat="1" ht="14.25" x14ac:dyDescent="0.2">
      <c r="A58" s="184"/>
      <c r="B58" s="184"/>
      <c r="C58" s="184"/>
      <c r="D58" s="184"/>
      <c r="E58" s="184"/>
      <c r="F58" s="184"/>
      <c r="G58" s="184"/>
      <c r="H58" s="184"/>
      <c r="I58" s="184"/>
      <c r="J58" s="184"/>
      <c r="K58" s="184"/>
      <c r="L58" s="376"/>
      <c r="M58" s="378"/>
      <c r="N58" s="380"/>
      <c r="O58" s="170" t="s">
        <v>146</v>
      </c>
      <c r="P58" s="198">
        <f t="shared" ref="P58" ca="1" si="265">MIN(IF($B59,P57+IF(ISNUMBER(O58),O58,0),P59/$N57),1)</f>
        <v>0</v>
      </c>
      <c r="Q58" s="168">
        <f t="shared" ref="Q58" ca="1" si="266">MIN(IF($B59,Q57+IF(ISNUMBER(P58),P58,0),Q59/$N57),1)</f>
        <v>0</v>
      </c>
      <c r="R58" s="168">
        <f t="shared" ref="R58" ca="1" si="267">MIN(IF($B59,R57+IF(ISNUMBER(Q58),Q58,0),R59/$N57),1)</f>
        <v>0</v>
      </c>
      <c r="S58" s="168">
        <f t="shared" ref="S58" ca="1" si="268">MIN(IF($B59,S57+IF(ISNUMBER(R58),R58,0),S59/$N57),1)</f>
        <v>0.5</v>
      </c>
      <c r="T58" s="168">
        <f t="shared" ref="T58" ca="1" si="269">MIN(IF($B59,T57+IF(ISNUMBER(S58),S58,0),T59/$N57),1)</f>
        <v>1</v>
      </c>
      <c r="U58" s="168">
        <f t="shared" ref="U58" ca="1" si="270">MIN(IF($B59,U57+IF(ISNUMBER(T58),T58,0),U59/$N57),1)</f>
        <v>1</v>
      </c>
      <c r="V58" s="168">
        <f t="shared" ref="V58" ca="1" si="271">MIN(IF($B59,V57+IF(ISNUMBER(U58),U58,0),V59/$N57),1)</f>
        <v>1</v>
      </c>
      <c r="W58" s="168">
        <f t="shared" ref="W58" ca="1" si="272">MIN(IF($B59,W57+IF(ISNUMBER(V58),V58,0),W59/$N57),1)</f>
        <v>1</v>
      </c>
      <c r="X58" s="196"/>
      <c r="AC58" s="168">
        <f t="shared" ref="AC58" ca="1" si="273">MIN(IF($B59,AC57+IF(ISNUMBER(AB58),AB58,0),AC59/$N57),1)</f>
        <v>0</v>
      </c>
    </row>
    <row r="59" spans="1:29" customFormat="1" ht="14.25" x14ac:dyDescent="0.2">
      <c r="A59" s="184">
        <f ca="1">OFFSET(A59,-CFF.NumLinha,0)+1</f>
        <v>14</v>
      </c>
      <c r="B59" s="184" t="b">
        <f ca="1">$C59&gt;=OFFSET($C59,CFF.NumLinha,0)</f>
        <v>1</v>
      </c>
      <c r="C59" s="184">
        <f ca="1">INDEX(PO!A$12:A$139,MATCH($A59,PO!$V$12:$V$139,0))</f>
        <v>2</v>
      </c>
      <c r="D59" s="184">
        <f t="shared" ref="D59" ca="1" si="274">IF(ISERROR(J59),I59,SMALL(I59:J59,1))-1</f>
        <v>2</v>
      </c>
      <c r="E59" s="184">
        <f ca="1">IF($C59=1,OFFSET(E59,-CFF.NumLinha,0)+1,OFFSET(E59,-CFF.NumLinha,0))</f>
        <v>1</v>
      </c>
      <c r="F59" s="184">
        <f ca="1">IF($C59=1,0,IF($C59=2,OFFSET(F59,-CFF.NumLinha,0)+1,OFFSET(F59,-CFF.NumLinha,0)))</f>
        <v>13</v>
      </c>
      <c r="G59" s="184">
        <f ca="1">IF(AND($C59&lt;=2,$C59&lt;&gt;0),0,IF($C59=3,OFFSET(G59,-CFF.NumLinha,0)+1,OFFSET(G59,-CFF.NumLinha,0)))</f>
        <v>0</v>
      </c>
      <c r="H59" s="184">
        <f ca="1">IF(AND($C59&lt;=3,$C59&lt;&gt;0),0,IF($C59=4,OFFSET(H59,-CFF.NumLinha,0)+1,OFFSET(H59,-CFF.NumLinha,0)))</f>
        <v>0</v>
      </c>
      <c r="I59" s="184">
        <f ca="1">MATCH(0,OFFSET($D59,1,$C59,ROW($A$66)-ROW($A59)),0)</f>
        <v>7</v>
      </c>
      <c r="J59" s="184">
        <f ca="1">MATCH(OFFSET($D59,0,$C59)+1,OFFSET($D59,1,$C59,ROW($A$66)-ROW($A59)),0)</f>
        <v>3</v>
      </c>
      <c r="K59" s="185">
        <f ca="1">ROUND(INDEX(PO!T$12:T$139,MATCH($A59,PO!$V$12:$V$139,0)),2)+10^-12</f>
        <v>67920.179999999993</v>
      </c>
      <c r="L59" s="376"/>
      <c r="M59" s="378"/>
      <c r="N59" s="380"/>
      <c r="O59" s="204" t="s">
        <v>20</v>
      </c>
      <c r="P59" s="199">
        <f t="shared" ref="P59:W59" ca="1" si="275">IF($B59,ROUND(P58*$N57,2),ROUND(SUMIF(OFFSET($B59,1,0,$D59),TRUE,OFFSET(P59,1,0,$D59))/SUMIF(OFFSET($B59,1,0,$D59),TRUE,OFFSET($K59,1,0,$D59))*$N57,2))</f>
        <v>0</v>
      </c>
      <c r="Q59" s="169">
        <f t="shared" ca="1" si="275"/>
        <v>0</v>
      </c>
      <c r="R59" s="169">
        <f t="shared" ca="1" si="275"/>
        <v>0</v>
      </c>
      <c r="S59" s="169">
        <f t="shared" ca="1" si="275"/>
        <v>33960.089999999997</v>
      </c>
      <c r="T59" s="169">
        <f t="shared" ca="1" si="275"/>
        <v>67920.179999999993</v>
      </c>
      <c r="U59" s="169">
        <f t="shared" ca="1" si="275"/>
        <v>67920.179999999993</v>
      </c>
      <c r="V59" s="169">
        <f t="shared" ca="1" si="275"/>
        <v>67920.179999999993</v>
      </c>
      <c r="W59" s="207">
        <f t="shared" ca="1" si="275"/>
        <v>67920.179999999993</v>
      </c>
      <c r="X59" s="196"/>
      <c r="AC59" s="169">
        <f t="shared" ref="AC59" ca="1" si="276">IF($B59,ROUND(AC58*$N57,2),ROUND(SUMIF(OFFSET($B59,1,0,$D59),TRUE,OFFSET(AC59,1,0,$D59))/SUMIF(OFFSET($B59,1,0,$D59),TRUE,OFFSET($K59,1,0,$D59))*$N57,2))</f>
        <v>0</v>
      </c>
    </row>
    <row r="60" spans="1:29" customFormat="1" ht="14.25" customHeight="1" x14ac:dyDescent="0.2">
      <c r="A60" s="82"/>
      <c r="B60" s="82"/>
      <c r="C60" s="82"/>
      <c r="D60" s="82"/>
      <c r="E60" s="82"/>
      <c r="F60" s="82"/>
      <c r="G60" s="82"/>
      <c r="H60" s="82"/>
      <c r="I60" s="82"/>
      <c r="J60" s="82"/>
      <c r="K60" s="82"/>
      <c r="L60" s="375" t="str">
        <f ca="1">INDEX(PO!K$12:K$139,MATCH($A62,PO!$V$12:$V$139,0))</f>
        <v>1.14.</v>
      </c>
      <c r="M60" s="377" t="str">
        <f ca="1">INDEX(PO!N$12:N$139,MATCH($A62,PO!$V$12:$V$139,0))</f>
        <v>EQUIPAMENTOS</v>
      </c>
      <c r="N60" s="379">
        <f t="shared" ref="N60" ca="1" si="277">IF(ROUND(K62,2)=0,K62,ROUND(K62,2))</f>
        <v>2509.14</v>
      </c>
      <c r="O60" s="220" t="s">
        <v>144</v>
      </c>
      <c r="P60" s="225">
        <f t="shared" ref="P60" ca="1" si="278">IF($B62,0,P61-IF(ISNUMBER(O61),O61,0))</f>
        <v>0</v>
      </c>
      <c r="Q60" s="226">
        <f t="shared" ref="Q60" ca="1" si="279">IF($B62,0,Q61-IF(ISNUMBER(P61),P61,0))</f>
        <v>0</v>
      </c>
      <c r="R60" s="226">
        <f t="shared" ref="R60" ca="1" si="280">IF($B62,0,R61-IF(ISNUMBER(Q61),Q61,0))</f>
        <v>0</v>
      </c>
      <c r="S60" s="226">
        <f t="shared" ref="S60" ca="1" si="281">IF($B62,0,S61-IF(ISNUMBER(R61),R61,0))</f>
        <v>0</v>
      </c>
      <c r="T60" s="226">
        <f t="shared" ref="T60" ca="1" si="282">IF($B62,0,T61-IF(ISNUMBER(S61),S61,0))</f>
        <v>0</v>
      </c>
      <c r="U60" s="226">
        <v>1</v>
      </c>
      <c r="V60" s="226">
        <f t="shared" ref="V60" ca="1" si="283">IF($B62,0,V61-IF(ISNUMBER(U61),U61,0))</f>
        <v>0</v>
      </c>
      <c r="W60" s="227">
        <f t="shared" ref="W60" ca="1" si="284">IF($B62,0,W61-IF(ISNUMBER(V61),V61,0))</f>
        <v>0</v>
      </c>
      <c r="X60" s="196"/>
      <c r="AC60" s="221">
        <f t="shared" ref="AC60" ca="1" si="285">IF($B62,0,AC61-IF(ISNUMBER(AB61),AB61,0))</f>
        <v>0</v>
      </c>
    </row>
    <row r="61" spans="1:29" customFormat="1" ht="14.25" x14ac:dyDescent="0.2">
      <c r="A61" s="184"/>
      <c r="B61" s="184"/>
      <c r="C61" s="184"/>
      <c r="D61" s="184"/>
      <c r="E61" s="184"/>
      <c r="F61" s="184"/>
      <c r="G61" s="184"/>
      <c r="H61" s="184"/>
      <c r="I61" s="184"/>
      <c r="J61" s="184"/>
      <c r="K61" s="184"/>
      <c r="L61" s="376"/>
      <c r="M61" s="378"/>
      <c r="N61" s="380"/>
      <c r="O61" s="170" t="s">
        <v>146</v>
      </c>
      <c r="P61" s="198">
        <f t="shared" ref="P61" ca="1" si="286">MIN(IF($B62,P60+IF(ISNUMBER(O61),O61,0),P62/$N60),1)</f>
        <v>0</v>
      </c>
      <c r="Q61" s="168">
        <f t="shared" ref="Q61" ca="1" si="287">MIN(IF($B62,Q60+IF(ISNUMBER(P61),P61,0),Q62/$N60),1)</f>
        <v>0</v>
      </c>
      <c r="R61" s="168">
        <f t="shared" ref="R61" ca="1" si="288">MIN(IF($B62,R60+IF(ISNUMBER(Q61),Q61,0),R62/$N60),1)</f>
        <v>0</v>
      </c>
      <c r="S61" s="168">
        <f t="shared" ref="S61" ca="1" si="289">MIN(IF($B62,S60+IF(ISNUMBER(R61),R61,0),S62/$N60),1)</f>
        <v>0</v>
      </c>
      <c r="T61" s="168">
        <f t="shared" ref="T61" ca="1" si="290">MIN(IF($B62,T60+IF(ISNUMBER(S61),S61,0),T62/$N60),1)</f>
        <v>0</v>
      </c>
      <c r="U61" s="168">
        <f t="shared" ref="U61" ca="1" si="291">MIN(IF($B62,U60+IF(ISNUMBER(T61),T61,0),U62/$N60),1)</f>
        <v>1</v>
      </c>
      <c r="V61" s="168">
        <f t="shared" ref="V61" ca="1" si="292">MIN(IF($B62,V60+IF(ISNUMBER(U61),U61,0),V62/$N60),1)</f>
        <v>1</v>
      </c>
      <c r="W61" s="168">
        <f t="shared" ref="W61" ca="1" si="293">MIN(IF($B62,W60+IF(ISNUMBER(V61),V61,0),W62/$N60),1)</f>
        <v>1</v>
      </c>
      <c r="X61" s="196"/>
      <c r="AC61" s="168">
        <f t="shared" ref="AC61" ca="1" si="294">MIN(IF($B62,AC60+IF(ISNUMBER(AB61),AB61,0),AC62/$N60),1)</f>
        <v>0</v>
      </c>
    </row>
    <row r="62" spans="1:29" customFormat="1" ht="14.25" x14ac:dyDescent="0.2">
      <c r="A62" s="184">
        <f ca="1">OFFSET(A62,-CFF.NumLinha,0)+1</f>
        <v>15</v>
      </c>
      <c r="B62" s="184" t="b">
        <f ca="1">$C62&gt;=OFFSET($C62,CFF.NumLinha,0)</f>
        <v>1</v>
      </c>
      <c r="C62" s="184">
        <f ca="1">INDEX(PO!A$12:A$139,MATCH($A62,PO!$V$12:$V$139,0))</f>
        <v>2</v>
      </c>
      <c r="D62" s="184">
        <f t="shared" ref="D62" ca="1" si="295">IF(ISERROR(J62),I62,SMALL(I62:J62,1))-1</f>
        <v>2</v>
      </c>
      <c r="E62" s="184">
        <f ca="1">IF($C62=1,OFFSET(E62,-CFF.NumLinha,0)+1,OFFSET(E62,-CFF.NumLinha,0))</f>
        <v>1</v>
      </c>
      <c r="F62" s="184">
        <f ca="1">IF($C62=1,0,IF($C62=2,OFFSET(F62,-CFF.NumLinha,0)+1,OFFSET(F62,-CFF.NumLinha,0)))</f>
        <v>14</v>
      </c>
      <c r="G62" s="184">
        <f ca="1">IF(AND($C62&lt;=2,$C62&lt;&gt;0),0,IF($C62=3,OFFSET(G62,-CFF.NumLinha,0)+1,OFFSET(G62,-CFF.NumLinha,0)))</f>
        <v>0</v>
      </c>
      <c r="H62" s="184">
        <f ca="1">IF(AND($C62&lt;=3,$C62&lt;&gt;0),0,IF($C62=4,OFFSET(H62,-CFF.NumLinha,0)+1,OFFSET(H62,-CFF.NumLinha,0)))</f>
        <v>0</v>
      </c>
      <c r="I62" s="184">
        <f ca="1">MATCH(0,OFFSET($D62,1,$C62,ROW($A$66)-ROW($A62)),0)</f>
        <v>4</v>
      </c>
      <c r="J62" s="184">
        <f ca="1">MATCH(OFFSET($D62,0,$C62)+1,OFFSET($D62,1,$C62,ROW($A$66)-ROW($A62)),0)</f>
        <v>3</v>
      </c>
      <c r="K62" s="185">
        <f ca="1">ROUND(INDEX(PO!T$12:T$139,MATCH($A62,PO!$V$12:$V$139,0)),2)+10^-12</f>
        <v>2509.1400000000008</v>
      </c>
      <c r="L62" s="376"/>
      <c r="M62" s="378"/>
      <c r="N62" s="380"/>
      <c r="O62" s="204" t="s">
        <v>20</v>
      </c>
      <c r="P62" s="199">
        <f t="shared" ref="P62:W62" ca="1" si="296">IF($B62,ROUND(P61*$N60,2),ROUND(SUMIF(OFFSET($B62,1,0,$D62),TRUE,OFFSET(P62,1,0,$D62))/SUMIF(OFFSET($B62,1,0,$D62),TRUE,OFFSET($K62,1,0,$D62))*$N60,2))</f>
        <v>0</v>
      </c>
      <c r="Q62" s="169">
        <f t="shared" ca="1" si="296"/>
        <v>0</v>
      </c>
      <c r="R62" s="169">
        <f t="shared" ca="1" si="296"/>
        <v>0</v>
      </c>
      <c r="S62" s="169">
        <f t="shared" ca="1" si="296"/>
        <v>0</v>
      </c>
      <c r="T62" s="169">
        <f t="shared" ca="1" si="296"/>
        <v>0</v>
      </c>
      <c r="U62" s="169">
        <f t="shared" ca="1" si="296"/>
        <v>2509.14</v>
      </c>
      <c r="V62" s="169">
        <f t="shared" ca="1" si="296"/>
        <v>2509.14</v>
      </c>
      <c r="W62" s="207">
        <f t="shared" ca="1" si="296"/>
        <v>2509.14</v>
      </c>
      <c r="X62" s="196"/>
      <c r="AC62" s="169">
        <f t="shared" ref="AC62" ca="1" si="297">IF($B62,ROUND(AC61*$N60,2),ROUND(SUMIF(OFFSET($B62,1,0,$D62),TRUE,OFFSET(AC62,1,0,$D62))/SUMIF(OFFSET($B62,1,0,$D62),TRUE,OFFSET($K62,1,0,$D62))*$N60,2))</f>
        <v>0</v>
      </c>
    </row>
    <row r="63" spans="1:29" customFormat="1" ht="14.25" customHeight="1" x14ac:dyDescent="0.2">
      <c r="A63" s="82"/>
      <c r="B63" s="82"/>
      <c r="C63" s="82"/>
      <c r="D63" s="82"/>
      <c r="E63" s="82"/>
      <c r="F63" s="82"/>
      <c r="G63" s="82"/>
      <c r="H63" s="82"/>
      <c r="I63" s="82"/>
      <c r="J63" s="82"/>
      <c r="K63" s="82"/>
      <c r="L63" s="375" t="str">
        <f ca="1">INDEX(PO!K$12:K$139,MATCH($A65,PO!$V$12:$V$139,0))</f>
        <v>1.15.</v>
      </c>
      <c r="M63" s="377" t="str">
        <f ca="1">INDEX(PO!N$12:N$139,MATCH($A65,PO!$V$12:$V$139,0))</f>
        <v>SERVIÇOS FINAIS</v>
      </c>
      <c r="N63" s="379">
        <f ca="1">IF(ROUND(K65,2)=0,K65,ROUND(K65,2))</f>
        <v>40.94</v>
      </c>
      <c r="O63" s="220" t="s">
        <v>144</v>
      </c>
      <c r="P63" s="225">
        <f ca="1">IF($B65,0,P64-IF(ISNUMBER(O64),O64,0))</f>
        <v>0</v>
      </c>
      <c r="Q63" s="226">
        <f t="shared" ref="Q63" ca="1" si="298">IF($B65,0,Q64-IF(ISNUMBER(P64),P64,0))</f>
        <v>0</v>
      </c>
      <c r="R63" s="226">
        <f t="shared" ref="R63" ca="1" si="299">IF($B65,0,R64-IF(ISNUMBER(Q64),Q64,0))</f>
        <v>0</v>
      </c>
      <c r="S63" s="226">
        <f t="shared" ref="S63" ca="1" si="300">IF($B65,0,S64-IF(ISNUMBER(R64),R64,0))</f>
        <v>0</v>
      </c>
      <c r="T63" s="226">
        <v>1</v>
      </c>
      <c r="U63" s="226">
        <f t="shared" ref="U63" ca="1" si="301">IF($B65,0,U64-IF(ISNUMBER(T64),T64,0))</f>
        <v>0</v>
      </c>
      <c r="V63" s="226">
        <f t="shared" ref="V63" ca="1" si="302">IF($B65,0,V64-IF(ISNUMBER(U64),U64,0))</f>
        <v>0</v>
      </c>
      <c r="W63" s="227">
        <f t="shared" ref="W63" ca="1" si="303">IF($B65,0,W64-IF(ISNUMBER(V64),V64,0))</f>
        <v>0</v>
      </c>
      <c r="X63" s="196"/>
      <c r="AC63" s="221">
        <f ca="1">IF($B65,0,AC64-IF(ISNUMBER(AB64),AB64,0))</f>
        <v>0</v>
      </c>
    </row>
    <row r="64" spans="1:29" customFormat="1" ht="14.25" x14ac:dyDescent="0.2">
      <c r="A64" s="184"/>
      <c r="B64" s="184"/>
      <c r="C64" s="184"/>
      <c r="D64" s="184"/>
      <c r="E64" s="184"/>
      <c r="F64" s="184"/>
      <c r="G64" s="184"/>
      <c r="H64" s="184"/>
      <c r="I64" s="184"/>
      <c r="J64" s="184"/>
      <c r="K64" s="184"/>
      <c r="L64" s="376"/>
      <c r="M64" s="378"/>
      <c r="N64" s="380"/>
      <c r="O64" s="170" t="s">
        <v>146</v>
      </c>
      <c r="P64" s="198">
        <f ca="1">MIN(IF($B65,P63+IF(ISNUMBER(O64),O64,0),P65/$N63),1)</f>
        <v>0</v>
      </c>
      <c r="Q64" s="168">
        <f t="shared" ref="Q64" ca="1" si="304">MIN(IF($B65,Q63+IF(ISNUMBER(P64),P64,0),Q65/$N63),1)</f>
        <v>0</v>
      </c>
      <c r="R64" s="168">
        <f t="shared" ref="R64" ca="1" si="305">MIN(IF($B65,R63+IF(ISNUMBER(Q64),Q64,0),R65/$N63),1)</f>
        <v>0</v>
      </c>
      <c r="S64" s="168">
        <f t="shared" ref="S64" ca="1" si="306">MIN(IF($B65,S63+IF(ISNUMBER(R64),R64,0),S65/$N63),1)</f>
        <v>0</v>
      </c>
      <c r="T64" s="168">
        <f t="shared" ref="T64" ca="1" si="307">MIN(IF($B65,T63+IF(ISNUMBER(S64),S64,0),T65/$N63),1)</f>
        <v>1</v>
      </c>
      <c r="U64" s="168">
        <f t="shared" ref="U64" ca="1" si="308">MIN(IF($B65,U63+IF(ISNUMBER(T64),T64,0),U65/$N63),1)</f>
        <v>1</v>
      </c>
      <c r="V64" s="168">
        <f t="shared" ref="V64" ca="1" si="309">MIN(IF($B65,V63+IF(ISNUMBER(U64),U64,0),V65/$N63),1)</f>
        <v>1</v>
      </c>
      <c r="W64" s="168">
        <f t="shared" ref="W64" ca="1" si="310">MIN(IF($B65,W63+IF(ISNUMBER(V64),V64,0),W65/$N63),1)</f>
        <v>1</v>
      </c>
      <c r="X64" s="196"/>
      <c r="AC64" s="168">
        <f ca="1">MIN(IF($B65,AC63+IF(ISNUMBER(AB64),AB64,0),AC65/$N63),1)</f>
        <v>0</v>
      </c>
    </row>
    <row r="65" spans="1:29" customFormat="1" ht="14.25" x14ac:dyDescent="0.2">
      <c r="A65" s="184">
        <f ca="1">OFFSET(A65,-CFF.NumLinha,0)+1</f>
        <v>16</v>
      </c>
      <c r="B65" s="184" t="b">
        <f ca="1">$C65&gt;=OFFSET($C65,CFF.NumLinha,0)</f>
        <v>1</v>
      </c>
      <c r="C65" s="184">
        <f ca="1">INDEX(PO!A$12:A$139,MATCH($A65,PO!$V$12:$V$139,0))</f>
        <v>2</v>
      </c>
      <c r="D65" s="184">
        <f ca="1">IF(ISERROR(J65),I65,SMALL(I65:J65,1))-1</f>
        <v>0</v>
      </c>
      <c r="E65" s="184">
        <f ca="1">IF($C65=1,OFFSET(E65,-CFF.NumLinha,0)+1,OFFSET(E65,-CFF.NumLinha,0))</f>
        <v>1</v>
      </c>
      <c r="F65" s="184">
        <f ca="1">IF($C65=1,0,IF($C65=2,OFFSET(F65,-CFF.NumLinha,0)+1,OFFSET(F65,-CFF.NumLinha,0)))</f>
        <v>15</v>
      </c>
      <c r="G65" s="184">
        <f ca="1">IF(AND($C65&lt;=2,$C65&lt;&gt;0),0,IF($C65=3,OFFSET(G65,-CFF.NumLinha,0)+1,OFFSET(G65,-CFF.NumLinha,0)))</f>
        <v>0</v>
      </c>
      <c r="H65" s="184">
        <f ca="1">IF(AND($C65&lt;=3,$C65&lt;&gt;0),0,IF($C65=4,OFFSET(H65,-CFF.NumLinha,0)+1,OFFSET(H65,-CFF.NumLinha,0)))</f>
        <v>0</v>
      </c>
      <c r="I65" s="184">
        <f ca="1">MATCH(0,OFFSET($D65,1,$C65,ROW($A$66)-ROW($A65)),0)</f>
        <v>1</v>
      </c>
      <c r="J65" s="184" t="e">
        <f ca="1">MATCH(OFFSET($D65,0,$C65)+1,OFFSET($D65,1,$C65,ROW($A$66)-ROW($A65)),0)</f>
        <v>#N/A</v>
      </c>
      <c r="K65" s="185">
        <f ca="1">ROUND(INDEX(PO!T$12:T$139,MATCH($A65,PO!$V$12:$V$139,0)),2)+10^-12</f>
        <v>40.940000000001</v>
      </c>
      <c r="L65" s="376"/>
      <c r="M65" s="378"/>
      <c r="N65" s="380"/>
      <c r="O65" s="204" t="s">
        <v>20</v>
      </c>
      <c r="P65" s="199">
        <f ca="1">IF($B65,ROUND(P64*$N63,2),ROUND(SUMIF(OFFSET($B65,1,0,$D65),TRUE,OFFSET(P65,1,0,$D65))/SUMIF(OFFSET($B65,1,0,$D65),TRUE,OFFSET($K65,1,0,$D65))*$N63,2))</f>
        <v>0</v>
      </c>
      <c r="Q65" s="169">
        <f t="shared" ref="Q65:W65" ca="1" si="311">IF($B65,ROUND(Q64*$N63,2),ROUND(SUMIF(OFFSET($B65,1,0,$D65),TRUE,OFFSET(Q65,1,0,$D65))/SUMIF(OFFSET($B65,1,0,$D65),TRUE,OFFSET($K65,1,0,$D65))*$N63,2))</f>
        <v>0</v>
      </c>
      <c r="R65" s="169">
        <f t="shared" ca="1" si="311"/>
        <v>0</v>
      </c>
      <c r="S65" s="169">
        <f t="shared" ca="1" si="311"/>
        <v>0</v>
      </c>
      <c r="T65" s="169">
        <f t="shared" ca="1" si="311"/>
        <v>40.94</v>
      </c>
      <c r="U65" s="169">
        <f t="shared" ca="1" si="311"/>
        <v>40.94</v>
      </c>
      <c r="V65" s="169">
        <f t="shared" ca="1" si="311"/>
        <v>40.94</v>
      </c>
      <c r="W65" s="207">
        <f t="shared" ca="1" si="311"/>
        <v>40.94</v>
      </c>
      <c r="X65" s="196"/>
      <c r="AC65" s="169">
        <f ca="1">IF($B65,ROUND(AC64*$N63,2),ROUND(SUMIF(OFFSET($B65,1,0,$D65),TRUE,OFFSET(AC65,1,0,$D65))/SUMIF(OFFSET($B65,1,0,$D65),TRUE,OFFSET($K65,1,0,$D65))*$N63,2))</f>
        <v>0</v>
      </c>
    </row>
    <row r="66" spans="1:29" s="45" customFormat="1" ht="12.75" customHeight="1" x14ac:dyDescent="0.2">
      <c r="A66" s="1"/>
      <c r="B66" s="1"/>
      <c r="C66" s="184">
        <v>-1</v>
      </c>
      <c r="D66" s="184"/>
      <c r="E66" s="184">
        <v>0</v>
      </c>
      <c r="F66" s="184">
        <v>0</v>
      </c>
      <c r="G66" s="184">
        <v>0</v>
      </c>
      <c r="H66" s="184">
        <v>0</v>
      </c>
      <c r="I66" s="1"/>
      <c r="J66" s="1"/>
      <c r="K66" s="1"/>
      <c r="L66" s="154"/>
      <c r="M66" s="154"/>
      <c r="N66" s="155"/>
      <c r="O66" s="154"/>
      <c r="P66" s="154"/>
      <c r="Q66" s="155"/>
      <c r="R66" s="154"/>
      <c r="S66" s="154"/>
      <c r="T66" s="154"/>
      <c r="U66" s="154"/>
      <c r="V66" s="154"/>
      <c r="W66" s="154"/>
      <c r="X66" s="186"/>
      <c r="AC66" s="154"/>
    </row>
    <row r="67" spans="1:29" ht="12" customHeight="1" x14ac:dyDescent="0.2">
      <c r="A67" s="1"/>
      <c r="B67" s="1"/>
      <c r="C67" s="1"/>
      <c r="D67" s="1"/>
      <c r="E67" s="1"/>
      <c r="F67" s="1"/>
      <c r="G67" s="1"/>
      <c r="H67" s="1"/>
      <c r="I67" s="1"/>
      <c r="J67" s="1"/>
      <c r="K67" s="1"/>
      <c r="L67" s="187"/>
      <c r="M67" s="187"/>
      <c r="N67" s="187"/>
      <c r="O67" s="187"/>
      <c r="P67" s="187"/>
      <c r="Q67" s="187"/>
      <c r="R67" s="187"/>
      <c r="S67" s="187"/>
      <c r="T67" s="187"/>
      <c r="U67" s="187"/>
      <c r="V67" s="187"/>
      <c r="W67" s="187"/>
      <c r="X67" s="188"/>
      <c r="AC67" s="187"/>
    </row>
    <row r="68" spans="1:29" x14ac:dyDescent="0.2">
      <c r="A68" s="1"/>
      <c r="B68" s="1"/>
      <c r="C68" s="1"/>
      <c r="D68" s="1"/>
      <c r="E68" s="1"/>
      <c r="F68" s="1"/>
      <c r="G68" s="1"/>
      <c r="H68" s="1"/>
      <c r="I68" s="1"/>
      <c r="J68" s="1"/>
      <c r="K68" s="1"/>
      <c r="L68" s="385">
        <f>DADOS!I32</f>
        <v>0</v>
      </c>
      <c r="M68" s="385"/>
      <c r="N68" s="385"/>
      <c r="O68" s="187"/>
      <c r="P68" s="189"/>
      <c r="Q68" s="382"/>
      <c r="R68" s="382"/>
      <c r="S68" s="382"/>
      <c r="T68" s="187"/>
      <c r="U68" s="187"/>
      <c r="V68" s="187"/>
      <c r="W68" s="187"/>
      <c r="X68" s="188"/>
      <c r="AC68" s="187"/>
    </row>
    <row r="69" spans="1:29" x14ac:dyDescent="0.2">
      <c r="A69" s="1"/>
      <c r="B69" s="1"/>
      <c r="C69" s="1"/>
      <c r="D69" s="1"/>
      <c r="E69" s="1"/>
      <c r="F69" s="1"/>
      <c r="G69" s="1"/>
      <c r="H69" s="1"/>
      <c r="I69" s="1"/>
      <c r="J69" s="1"/>
      <c r="K69" s="1"/>
      <c r="L69" s="190" t="s">
        <v>121</v>
      </c>
      <c r="M69" s="384"/>
      <c r="N69" s="384"/>
      <c r="O69" s="187"/>
      <c r="P69" s="189"/>
      <c r="Q69" s="382"/>
      <c r="R69" s="382"/>
      <c r="S69" s="382"/>
      <c r="T69" s="187"/>
      <c r="U69" s="187"/>
      <c r="V69" s="187"/>
      <c r="W69" s="187"/>
      <c r="X69" s="188"/>
      <c r="AC69" s="187"/>
    </row>
    <row r="70" spans="1:29" x14ac:dyDescent="0.2">
      <c r="A70" s="1"/>
      <c r="B70" s="1"/>
      <c r="C70" s="1"/>
      <c r="D70" s="1"/>
      <c r="E70" s="1"/>
      <c r="F70" s="1"/>
      <c r="G70" s="1"/>
      <c r="H70" s="1"/>
      <c r="I70" s="1"/>
      <c r="J70" s="1"/>
      <c r="K70" s="1"/>
      <c r="L70" s="189"/>
      <c r="M70" s="383"/>
      <c r="N70" s="384"/>
      <c r="O70" s="187"/>
      <c r="P70" s="189"/>
      <c r="Q70" s="382"/>
      <c r="R70" s="382"/>
      <c r="S70" s="382"/>
      <c r="T70" s="187"/>
      <c r="U70" s="187"/>
      <c r="V70" s="187"/>
      <c r="W70" s="187"/>
      <c r="X70" s="188"/>
      <c r="AC70" s="187"/>
    </row>
    <row r="71" spans="1:29" x14ac:dyDescent="0.2">
      <c r="A71" s="1"/>
      <c r="B71" s="1"/>
      <c r="C71" s="1"/>
      <c r="D71" s="1"/>
      <c r="E71" s="1"/>
      <c r="F71" s="1"/>
      <c r="G71" s="1"/>
      <c r="H71" s="1"/>
      <c r="I71" s="1"/>
      <c r="J71" s="1"/>
      <c r="K71" s="1"/>
      <c r="L71" s="386" t="str">
        <f>PO!K153</f>
        <v>27 de maio de 2024</v>
      </c>
      <c r="M71" s="386"/>
      <c r="N71" s="386"/>
      <c r="O71" s="187"/>
      <c r="P71" s="187"/>
      <c r="Q71" s="187"/>
      <c r="R71" s="187"/>
      <c r="S71" s="187"/>
      <c r="T71" s="187"/>
      <c r="U71" s="187"/>
      <c r="V71" s="187"/>
      <c r="W71" s="187"/>
      <c r="X71" s="191"/>
      <c r="AC71" s="187"/>
    </row>
    <row r="72" spans="1:29" x14ac:dyDescent="0.2">
      <c r="A72" s="1"/>
      <c r="B72" s="1"/>
      <c r="C72" s="1"/>
      <c r="D72" s="1"/>
      <c r="E72" s="1"/>
      <c r="F72" s="1"/>
      <c r="G72" s="1"/>
      <c r="H72" s="1"/>
      <c r="I72" s="1"/>
      <c r="J72" s="1"/>
      <c r="K72" s="1"/>
      <c r="L72" s="192" t="s">
        <v>122</v>
      </c>
      <c r="M72" s="193"/>
      <c r="N72" s="193"/>
      <c r="O72" s="187"/>
      <c r="P72" s="187"/>
      <c r="Q72" s="187"/>
      <c r="R72" s="187"/>
      <c r="S72" s="187"/>
      <c r="T72" s="187"/>
      <c r="U72" s="187"/>
      <c r="V72" s="187"/>
      <c r="W72" s="187"/>
      <c r="X72" s="191"/>
      <c r="AC72" s="187"/>
    </row>
    <row r="73" spans="1:29" x14ac:dyDescent="0.2">
      <c r="A73" s="1"/>
      <c r="B73" s="1"/>
      <c r="C73" s="1"/>
      <c r="D73" s="1"/>
      <c r="E73" s="1"/>
      <c r="F73" s="1"/>
      <c r="G73" s="1"/>
      <c r="H73" s="1"/>
      <c r="I73" s="1"/>
      <c r="J73" s="1"/>
      <c r="K73" s="1"/>
      <c r="L73" s="187"/>
      <c r="M73" s="187"/>
      <c r="N73" s="187"/>
      <c r="O73" s="187"/>
      <c r="P73" s="187"/>
      <c r="Q73" s="187"/>
      <c r="R73" s="187"/>
      <c r="S73" s="187"/>
      <c r="T73" s="187"/>
      <c r="U73" s="187"/>
      <c r="V73" s="187"/>
      <c r="W73" s="187"/>
      <c r="X73" s="191"/>
      <c r="AC73" s="187"/>
    </row>
    <row r="74" spans="1:29" x14ac:dyDescent="0.2">
      <c r="A74" s="1"/>
      <c r="B74" s="1"/>
      <c r="C74" s="1"/>
      <c r="D74" s="1"/>
      <c r="E74" s="1"/>
      <c r="F74" s="1"/>
      <c r="G74" s="1"/>
      <c r="H74" s="1"/>
      <c r="I74" s="1"/>
      <c r="J74" s="1"/>
      <c r="K74" s="1"/>
      <c r="L74" s="187"/>
      <c r="M74" s="187"/>
      <c r="N74" s="194"/>
      <c r="O74" s="187"/>
      <c r="P74" s="187"/>
      <c r="Q74" s="187"/>
      <c r="R74" s="187"/>
      <c r="S74" s="187"/>
      <c r="T74" s="187"/>
      <c r="U74" s="187"/>
      <c r="V74" s="187"/>
      <c r="W74" s="187"/>
      <c r="X74" s="188"/>
      <c r="AC74" s="187"/>
    </row>
    <row r="75" spans="1:29" x14ac:dyDescent="0.2">
      <c r="A75" s="1"/>
      <c r="B75" s="1"/>
      <c r="C75" s="1"/>
      <c r="D75" s="1"/>
      <c r="E75" s="1"/>
      <c r="F75" s="1"/>
      <c r="G75" s="1"/>
      <c r="H75" s="1"/>
      <c r="I75" s="1"/>
      <c r="J75" s="1"/>
      <c r="K75" s="1"/>
      <c r="L75" s="187"/>
      <c r="M75" s="187"/>
      <c r="N75" s="194"/>
      <c r="O75" s="187"/>
      <c r="P75" s="187"/>
      <c r="Q75" s="187"/>
      <c r="R75" s="187"/>
      <c r="S75" s="187"/>
      <c r="T75" s="187"/>
      <c r="U75" s="187"/>
      <c r="V75" s="187"/>
      <c r="W75" s="187"/>
      <c r="X75" s="188"/>
      <c r="AC75" s="187"/>
    </row>
    <row r="76" spans="1:29" x14ac:dyDescent="0.2">
      <c r="A76" s="1"/>
      <c r="B76" s="1"/>
      <c r="C76" s="1"/>
      <c r="D76" s="1"/>
      <c r="E76" s="1"/>
      <c r="F76" s="1"/>
      <c r="G76" s="1"/>
      <c r="H76" s="1"/>
      <c r="I76" s="1"/>
      <c r="J76" s="1"/>
      <c r="K76" s="1"/>
      <c r="L76" s="82"/>
      <c r="M76" s="82"/>
      <c r="N76" s="7"/>
      <c r="O76" s="82"/>
      <c r="P76" s="82"/>
      <c r="Q76" s="82"/>
      <c r="R76" s="82"/>
      <c r="S76" s="82"/>
      <c r="T76" s="82"/>
      <c r="U76" s="82"/>
      <c r="V76" s="82"/>
      <c r="W76" s="187"/>
      <c r="X76" s="188"/>
      <c r="AC76" s="82"/>
    </row>
  </sheetData>
  <sheetProtection algorithmName="SHA-512" hashValue="Sq/MWm1BANkaNjlnPCltjHNdM6mMVRI8U7yNLq14ZhYaxMv1akOaVKGND2tousOcvZmR4A2LqpMrKrrEzlIE+A==" saltValue="M+5HfbJsbN5BmUkRUQiz9w==" spinCount="100000" sheet="1" objects="1" scenarios="1"/>
  <mergeCells count="61">
    <mergeCell ref="L71:N71"/>
    <mergeCell ref="L11:L13"/>
    <mergeCell ref="M11:M13"/>
    <mergeCell ref="L14:M17"/>
    <mergeCell ref="N14:N17"/>
    <mergeCell ref="L18:L20"/>
    <mergeCell ref="L27:L29"/>
    <mergeCell ref="M27:M29"/>
    <mergeCell ref="N27:N29"/>
    <mergeCell ref="L30:L32"/>
    <mergeCell ref="M30:M32"/>
    <mergeCell ref="N30:N32"/>
    <mergeCell ref="L33:L35"/>
    <mergeCell ref="M33:M35"/>
    <mergeCell ref="N33:N35"/>
    <mergeCell ref="L36:L38"/>
    <mergeCell ref="L45:L47"/>
    <mergeCell ref="M45:M47"/>
    <mergeCell ref="N45:N47"/>
    <mergeCell ref="M36:M38"/>
    <mergeCell ref="N36:N38"/>
    <mergeCell ref="L39:L41"/>
    <mergeCell ref="M39:M41"/>
    <mergeCell ref="N39:N41"/>
    <mergeCell ref="Q70:S70"/>
    <mergeCell ref="M70:N70"/>
    <mergeCell ref="Q69:S69"/>
    <mergeCell ref="Q68:S68"/>
    <mergeCell ref="L68:N68"/>
    <mergeCell ref="M69:N69"/>
    <mergeCell ref="L8:M8"/>
    <mergeCell ref="N11:N13"/>
    <mergeCell ref="M18:M20"/>
    <mergeCell ref="N18:N20"/>
    <mergeCell ref="L21:L23"/>
    <mergeCell ref="M21:M23"/>
    <mergeCell ref="N21:N23"/>
    <mergeCell ref="L24:L26"/>
    <mergeCell ref="M24:M26"/>
    <mergeCell ref="N24:N26"/>
    <mergeCell ref="L42:L44"/>
    <mergeCell ref="M42:M44"/>
    <mergeCell ref="N42:N44"/>
    <mergeCell ref="N57:N59"/>
    <mergeCell ref="L48:L50"/>
    <mergeCell ref="M48:M50"/>
    <mergeCell ref="N48:N50"/>
    <mergeCell ref="L51:L53"/>
    <mergeCell ref="M51:M53"/>
    <mergeCell ref="N51:N53"/>
    <mergeCell ref="L54:L56"/>
    <mergeCell ref="M54:M56"/>
    <mergeCell ref="N54:N56"/>
    <mergeCell ref="L57:L59"/>
    <mergeCell ref="M57:M59"/>
    <mergeCell ref="L63:L65"/>
    <mergeCell ref="M63:M65"/>
    <mergeCell ref="N63:N65"/>
    <mergeCell ref="L60:L62"/>
    <mergeCell ref="M60:M62"/>
    <mergeCell ref="N60:N62"/>
  </mergeCells>
  <phoneticPr fontId="20" type="noConversion"/>
  <conditionalFormatting sqref="L11:N11 L12:M13 L18:N18">
    <cfRule type="expression" dxfId="82" priority="1035" stopIfTrue="1">
      <formula>$C13=1</formula>
    </cfRule>
  </conditionalFormatting>
  <conditionalFormatting sqref="O11 O18">
    <cfRule type="expression" dxfId="81" priority="1107" stopIfTrue="1">
      <formula>$B13=FALSE</formula>
    </cfRule>
    <cfRule type="expression" dxfId="80" priority="1108" stopIfTrue="1">
      <formula>$C13=1</formula>
    </cfRule>
  </conditionalFormatting>
  <conditionalFormatting sqref="P12:W12">
    <cfRule type="expression" dxfId="79" priority="1097" stopIfTrue="1">
      <formula>AND(ISNUMBER(O13),O13&gt;=$N11)</formula>
    </cfRule>
    <cfRule type="cellIs" dxfId="78" priority="1098" stopIfTrue="1" operator="notBetween">
      <formula>0</formula>
      <formula>1</formula>
    </cfRule>
  </conditionalFormatting>
  <conditionalFormatting sqref="P13:W13">
    <cfRule type="expression" dxfId="77" priority="1099" stopIfTrue="1">
      <formula>AND(ISNUMBER(O13),O13&gt;=$N11)</formula>
    </cfRule>
    <cfRule type="cellIs" dxfId="76" priority="1100" stopIfTrue="1" operator="notBetween">
      <formula>0</formula>
      <formula>$N11</formula>
    </cfRule>
  </conditionalFormatting>
  <conditionalFormatting sqref="P14:W14">
    <cfRule type="expression" dxfId="75" priority="1101" stopIfTrue="1">
      <formula>AND(ISNUMBER(O17),O17&gt;=$N14)</formula>
    </cfRule>
  </conditionalFormatting>
  <conditionalFormatting sqref="P15:W15">
    <cfRule type="expression" dxfId="74" priority="1102" stopIfTrue="1">
      <formula>AND(ISNUMBER(O17),O17&gt;=$N14)</formula>
    </cfRule>
  </conditionalFormatting>
  <conditionalFormatting sqref="P16:W16">
    <cfRule type="expression" dxfId="73" priority="1103" stopIfTrue="1">
      <formula>AND(ISNUMBER(O17),O17&gt;=$N14)</formula>
    </cfRule>
    <cfRule type="cellIs" dxfId="72" priority="1104" stopIfTrue="1" operator="notBetween">
      <formula>0</formula>
      <formula>1</formula>
    </cfRule>
  </conditionalFormatting>
  <conditionalFormatting sqref="P17:W17">
    <cfRule type="expression" dxfId="71" priority="1105" stopIfTrue="1">
      <formula>AND(ISNUMBER(O17),O17&gt;=$N14)</formula>
    </cfRule>
    <cfRule type="cellIs" dxfId="70" priority="1106" stopIfTrue="1" operator="notBetween">
      <formula>0</formula>
      <formula>$N14</formula>
    </cfRule>
  </conditionalFormatting>
  <conditionalFormatting sqref="L8">
    <cfRule type="cellIs" dxfId="69" priority="1092" stopIfTrue="1" operator="notEqual">
      <formula>""</formula>
    </cfRule>
  </conditionalFormatting>
  <conditionalFormatting sqref="N9">
    <cfRule type="expression" dxfId="68" priority="1091" stopIfTrue="1">
      <formula>TipoOrçamento&lt;&gt;"REPROGRAMADOAC"</formula>
    </cfRule>
  </conditionalFormatting>
  <conditionalFormatting sqref="L19:M20">
    <cfRule type="expression" dxfId="67" priority="1926" stopIfTrue="1">
      <formula>#REF!=1</formula>
    </cfRule>
  </conditionalFormatting>
  <conditionalFormatting sqref="P11:W11">
    <cfRule type="expression" dxfId="66" priority="246" stopIfTrue="1">
      <formula>AND(ISNUMBER(O13),O13&gt;=$N11)</formula>
    </cfRule>
    <cfRule type="expression" dxfId="65" priority="247" stopIfTrue="1">
      <formula>$B13=FALSE</formula>
    </cfRule>
    <cfRule type="expression" dxfId="64" priority="248" stopIfTrue="1">
      <formula>$C13=1</formula>
    </cfRule>
  </conditionalFormatting>
  <conditionalFormatting sqref="P19:W19">
    <cfRule type="expression" dxfId="63" priority="197" stopIfTrue="1">
      <formula>AND(ISNUMBER(O20),O20&gt;=$N18)</formula>
    </cfRule>
    <cfRule type="cellIs" dxfId="62" priority="198" stopIfTrue="1" operator="notBetween">
      <formula>0</formula>
      <formula>1</formula>
    </cfRule>
  </conditionalFormatting>
  <conditionalFormatting sqref="P20:W20">
    <cfRule type="expression" dxfId="61" priority="199" stopIfTrue="1">
      <formula>AND(ISNUMBER(O20),O20&gt;=$N18)</formula>
    </cfRule>
    <cfRule type="cellIs" dxfId="60" priority="200" stopIfTrue="1" operator="notBetween">
      <formula>0</formula>
      <formula>$N18</formula>
    </cfRule>
  </conditionalFormatting>
  <conditionalFormatting sqref="O10:W10">
    <cfRule type="expression" dxfId="59" priority="169" stopIfTrue="1">
      <formula>1=1</formula>
    </cfRule>
  </conditionalFormatting>
  <conditionalFormatting sqref="P18:W18">
    <cfRule type="expression" dxfId="58" priority="124" stopIfTrue="1">
      <formula>AND(ISNUMBER(O20),O20&gt;=$N18)</formula>
    </cfRule>
    <cfRule type="expression" dxfId="57" priority="125" stopIfTrue="1">
      <formula>$B20=FALSE</formula>
    </cfRule>
    <cfRule type="expression" dxfId="56" priority="126" stopIfTrue="1">
      <formula>$C20=1</formula>
    </cfRule>
  </conditionalFormatting>
  <conditionalFormatting sqref="AC18">
    <cfRule type="expression" dxfId="55" priority="44" stopIfTrue="1">
      <formula>AND(ISNUMBER(AB20),AB20&gt;=$N18)</formula>
    </cfRule>
    <cfRule type="expression" dxfId="54" priority="45" stopIfTrue="1">
      <formula>$B20=FALSE</formula>
    </cfRule>
    <cfRule type="expression" dxfId="53" priority="46" stopIfTrue="1">
      <formula>$C20=1</formula>
    </cfRule>
  </conditionalFormatting>
  <conditionalFormatting sqref="AC12">
    <cfRule type="expression" dxfId="52" priority="59" stopIfTrue="1">
      <formula>AND(ISNUMBER(AB13),AB13&gt;=$N11)</formula>
    </cfRule>
    <cfRule type="cellIs" dxfId="51" priority="60" stopIfTrue="1" operator="notBetween">
      <formula>0</formula>
      <formula>1</formula>
    </cfRule>
  </conditionalFormatting>
  <conditionalFormatting sqref="AC13">
    <cfRule type="expression" dxfId="50" priority="61" stopIfTrue="1">
      <formula>AND(ISNUMBER(AB13),AB13&gt;=$N11)</formula>
    </cfRule>
    <cfRule type="cellIs" dxfId="49" priority="62" stopIfTrue="1" operator="notBetween">
      <formula>0</formula>
      <formula>$N11</formula>
    </cfRule>
  </conditionalFormatting>
  <conditionalFormatting sqref="AC14">
    <cfRule type="expression" dxfId="48" priority="63" stopIfTrue="1">
      <formula>AND(ISNUMBER(AB17),AB17&gt;=$N14)</formula>
    </cfRule>
  </conditionalFormatting>
  <conditionalFormatting sqref="AC15">
    <cfRule type="expression" dxfId="47" priority="64" stopIfTrue="1">
      <formula>AND(ISNUMBER(AB17),AB17&gt;=$N14)</formula>
    </cfRule>
  </conditionalFormatting>
  <conditionalFormatting sqref="AC16">
    <cfRule type="expression" dxfId="46" priority="65" stopIfTrue="1">
      <formula>AND(ISNUMBER(AB17),AB17&gt;=$N14)</formula>
    </cfRule>
    <cfRule type="cellIs" dxfId="45" priority="66" stopIfTrue="1" operator="notBetween">
      <formula>0</formula>
      <formula>1</formula>
    </cfRule>
  </conditionalFormatting>
  <conditionalFormatting sqref="AC17">
    <cfRule type="expression" dxfId="44" priority="67" stopIfTrue="1">
      <formula>AND(ISNUMBER(AB17),AB17&gt;=$N14)</formula>
    </cfRule>
    <cfRule type="cellIs" dxfId="43" priority="68" stopIfTrue="1" operator="notBetween">
      <formula>0</formula>
      <formula>$N14</formula>
    </cfRule>
  </conditionalFormatting>
  <conditionalFormatting sqref="AC11">
    <cfRule type="expression" dxfId="42" priority="56" stopIfTrue="1">
      <formula>AND(ISNUMBER(AB13),AB13&gt;=$N11)</formula>
    </cfRule>
    <cfRule type="expression" dxfId="41" priority="57" stopIfTrue="1">
      <formula>$B13=FALSE</formula>
    </cfRule>
    <cfRule type="expression" dxfId="40" priority="58" stopIfTrue="1">
      <formula>$C13=1</formula>
    </cfRule>
  </conditionalFormatting>
  <conditionalFormatting sqref="AC19">
    <cfRule type="expression" dxfId="39" priority="52" stopIfTrue="1">
      <formula>AND(ISNUMBER(AB20),AB20&gt;=$N18)</formula>
    </cfRule>
    <cfRule type="cellIs" dxfId="38" priority="53" stopIfTrue="1" operator="notBetween">
      <formula>0</formula>
      <formula>1</formula>
    </cfRule>
  </conditionalFormatting>
  <conditionalFormatting sqref="AC20">
    <cfRule type="expression" dxfId="37" priority="54" stopIfTrue="1">
      <formula>AND(ISNUMBER(AB20),AB20&gt;=$N18)</formula>
    </cfRule>
    <cfRule type="cellIs" dxfId="36" priority="55" stopIfTrue="1" operator="notBetween">
      <formula>0</formula>
      <formula>$N18</formula>
    </cfRule>
  </conditionalFormatting>
  <conditionalFormatting sqref="AC10">
    <cfRule type="expression" dxfId="35" priority="47" stopIfTrue="1">
      <formula>1=1</formula>
    </cfRule>
  </conditionalFormatting>
  <conditionalFormatting sqref="L21:N21 L24:N24 L27:N27 L30:N30 L33:N33 L36:N36 L39:N39 L42:N42 L45:N45 L48:N48 L51:N51 L54:N54 L57:N57 L60:N60 L22:M23 L25:M26 L28:M29 L31:M32 L34:M35 L37:M38 L40:M41 L43:M44 L46:M47 L49:M50 L52:M53 L55:M56 L58:M59">
    <cfRule type="expression" dxfId="34" priority="28" stopIfTrue="1">
      <formula>$C23=1</formula>
    </cfRule>
  </conditionalFormatting>
  <conditionalFormatting sqref="O21 O24 O27 O30 O33 O36 O39 O42 O45 O48 O51 O54 O57 O60">
    <cfRule type="expression" dxfId="33" priority="33" stopIfTrue="1">
      <formula>$B23=FALSE</formula>
    </cfRule>
    <cfRule type="expression" dxfId="32" priority="34" stopIfTrue="1">
      <formula>$C23=1</formula>
    </cfRule>
  </conditionalFormatting>
  <conditionalFormatting sqref="P22:W22 P25:W25 P28:W28 P31:W31 P34:W34 P37:W37 P40:W40 P43:W43 P46:W46 P49:W49 P52:W52 P55:W55 P58:W58 P61:W61">
    <cfRule type="expression" dxfId="31" priority="29" stopIfTrue="1">
      <formula>AND(ISNUMBER(O23),O23&gt;=$N21)</formula>
    </cfRule>
    <cfRule type="cellIs" dxfId="30" priority="30" stopIfTrue="1" operator="notBetween">
      <formula>0</formula>
      <formula>1</formula>
    </cfRule>
  </conditionalFormatting>
  <conditionalFormatting sqref="P23:W23 P26:W26 P29:W29 P32:W32 P35:W35 P38:W38 P41:W41 P44:W44 P47:W47 P50:W50 P53:W53 P56:W56 P59:W59 P62:W62">
    <cfRule type="expression" dxfId="29" priority="31" stopIfTrue="1">
      <formula>AND(ISNUMBER(O23),O23&gt;=$N21)</formula>
    </cfRule>
    <cfRule type="cellIs" dxfId="28" priority="32" stopIfTrue="1" operator="notBetween">
      <formula>0</formula>
      <formula>$N21</formula>
    </cfRule>
  </conditionalFormatting>
  <conditionalFormatting sqref="P21:W21 P24:W24 P27:W27 P30:W30 P33:W33 P36:W36 P39:W39 P42:W42 P45:W45 P48:W48 P51:W51 P54:W54 P57:W57 P60:W60">
    <cfRule type="expression" dxfId="27" priority="25" stopIfTrue="1">
      <formula>AND(ISNUMBER(O23),O23&gt;=$N21)</formula>
    </cfRule>
    <cfRule type="expression" dxfId="26" priority="26" stopIfTrue="1">
      <formula>$B23=FALSE</formula>
    </cfRule>
    <cfRule type="expression" dxfId="25" priority="27" stopIfTrue="1">
      <formula>$C23=1</formula>
    </cfRule>
  </conditionalFormatting>
  <conditionalFormatting sqref="AC22 AC25 AC28 AC31 AC34 AC37 AC40 AC43 AC46 AC49 AC52 AC55 AC58 AC61">
    <cfRule type="expression" dxfId="24" priority="21" stopIfTrue="1">
      <formula>AND(ISNUMBER(AB23),AB23&gt;=$N21)</formula>
    </cfRule>
    <cfRule type="cellIs" dxfId="23" priority="22" stopIfTrue="1" operator="notBetween">
      <formula>0</formula>
      <formula>1</formula>
    </cfRule>
  </conditionalFormatting>
  <conditionalFormatting sqref="AC23 AC26 AC29 AC32 AC35 AC38 AC41 AC44 AC47 AC50 AC53 AC56 AC59 AC62">
    <cfRule type="expression" dxfId="22" priority="23" stopIfTrue="1">
      <formula>AND(ISNUMBER(AB23),AB23&gt;=$N21)</formula>
    </cfRule>
    <cfRule type="cellIs" dxfId="21" priority="24" stopIfTrue="1" operator="notBetween">
      <formula>0</formula>
      <formula>$N21</formula>
    </cfRule>
  </conditionalFormatting>
  <conditionalFormatting sqref="AC21 AC24 AC27 AC30 AC33 AC36 AC39 AC42 AC45 AC48 AC51 AC54 AC57 AC60">
    <cfRule type="expression" dxfId="20" priority="18" stopIfTrue="1">
      <formula>AND(ISNUMBER(AB23),AB23&gt;=$N21)</formula>
    </cfRule>
    <cfRule type="expression" dxfId="19" priority="19" stopIfTrue="1">
      <formula>$B23=FALSE</formula>
    </cfRule>
    <cfRule type="expression" dxfId="18" priority="20" stopIfTrue="1">
      <formula>$C23=1</formula>
    </cfRule>
  </conditionalFormatting>
  <conditionalFormatting sqref="L61:M62">
    <cfRule type="expression" dxfId="17" priority="4004" stopIfTrue="1">
      <formula>#REF!=1</formula>
    </cfRule>
  </conditionalFormatting>
  <conditionalFormatting sqref="L63:N63 L64:M65">
    <cfRule type="expression" dxfId="16" priority="11" stopIfTrue="1">
      <formula>$C65=1</formula>
    </cfRule>
  </conditionalFormatting>
  <conditionalFormatting sqref="O63">
    <cfRule type="expression" dxfId="15" priority="16" stopIfTrue="1">
      <formula>$B65=FALSE</formula>
    </cfRule>
    <cfRule type="expression" dxfId="14" priority="17" stopIfTrue="1">
      <formula>$C65=1</formula>
    </cfRule>
  </conditionalFormatting>
  <conditionalFormatting sqref="P64:W64">
    <cfRule type="expression" dxfId="13" priority="12" stopIfTrue="1">
      <formula>AND(ISNUMBER(O65),O65&gt;=$N63)</formula>
    </cfRule>
    <cfRule type="cellIs" dxfId="12" priority="13" stopIfTrue="1" operator="notBetween">
      <formula>0</formula>
      <formula>1</formula>
    </cfRule>
  </conditionalFormatting>
  <conditionalFormatting sqref="P65:W65">
    <cfRule type="expression" dxfId="11" priority="14" stopIfTrue="1">
      <formula>AND(ISNUMBER(O65),O65&gt;=$N63)</formula>
    </cfRule>
    <cfRule type="cellIs" dxfId="10" priority="15" stopIfTrue="1" operator="notBetween">
      <formula>0</formula>
      <formula>$N63</formula>
    </cfRule>
  </conditionalFormatting>
  <conditionalFormatting sqref="P63:W63">
    <cfRule type="expression" dxfId="9" priority="8" stopIfTrue="1">
      <formula>AND(ISNUMBER(O65),O65&gt;=$N63)</formula>
    </cfRule>
    <cfRule type="expression" dxfId="8" priority="9" stopIfTrue="1">
      <formula>$B65=FALSE</formula>
    </cfRule>
    <cfRule type="expression" dxfId="7" priority="10" stopIfTrue="1">
      <formula>$C65=1</formula>
    </cfRule>
  </conditionalFormatting>
  <conditionalFormatting sqref="AC64">
    <cfRule type="expression" dxfId="6" priority="4" stopIfTrue="1">
      <formula>AND(ISNUMBER(AB65),AB65&gt;=$N63)</formula>
    </cfRule>
    <cfRule type="cellIs" dxfId="5" priority="5" stopIfTrue="1" operator="notBetween">
      <formula>0</formula>
      <formula>1</formula>
    </cfRule>
  </conditionalFormatting>
  <conditionalFormatting sqref="AC65">
    <cfRule type="expression" dxfId="4" priority="6" stopIfTrue="1">
      <formula>AND(ISNUMBER(AB65),AB65&gt;=$N63)</formula>
    </cfRule>
    <cfRule type="cellIs" dxfId="3" priority="7" stopIfTrue="1" operator="notBetween">
      <formula>0</formula>
      <formula>$N63</formula>
    </cfRule>
  </conditionalFormatting>
  <conditionalFormatting sqref="AC63">
    <cfRule type="expression" dxfId="2" priority="1" stopIfTrue="1">
      <formula>AND(ISNUMBER(AB65),AB65&gt;=$N63)</formula>
    </cfRule>
    <cfRule type="expression" dxfId="1" priority="2" stopIfTrue="1">
      <formula>$B65=FALSE</formula>
    </cfRule>
    <cfRule type="expression" dxfId="0" priority="3" stopIfTrue="1">
      <formula>$C65=1</formula>
    </cfRule>
  </conditionalFormatting>
  <dataValidations count="2">
    <dataValidation type="whole" operator="greaterThanOrEqual" allowBlank="1" showInputMessage="1" showErrorMessage="1" errorTitle="Erro de Valor" error="Digite somente números inteiros positivos." promptTitle="Qtde de Medições já realizadas:" prompt="Digite a quantidade de medições já realizadas para o CTEF antes da Reprogramação." sqref="N9">
      <formula1>0</formula1>
    </dataValidation>
    <dataValidation type="decimal" allowBlank="1" showInputMessage="1" showErrorMessage="1" errorTitle="Erro de Dados" error="Digite valores maiores ou iguais à 0%. O % acumulado não deve ultrapassar 100%." sqref="P11:W11 P18:W18 AC11 AC18 P21:W21 P24:W24 P27:W27 P30:W30 P33:W33 P36:W36 P39:W39 P42:W42 P45:W45 P48:W48 P51:W51 P54:W54 P57:W57 P60:W60 AC21 AC24 AC27 AC30 AC33 AC36 AC39 AC42 AC45 AC48 AC51 AC54 AC57 AC60 P63:W63 AC63">
      <formula1>0</formula1>
      <formula2>1-SUM($P11:P11)+P11</formula2>
    </dataValidation>
  </dataValidations>
  <printOptions horizontalCentered="1"/>
  <pageMargins left="0.78740157480314965" right="0.78740157480314965" top="0.78740157480314965" bottom="0.78740157480314965" header="0.59055118110236227" footer="0.59055118110236227"/>
  <pageSetup paperSize="9" scale="62" fitToWidth="0" fitToHeight="0" orientation="landscape" r:id="rId1"/>
  <headerFooter alignWithMargins="0">
    <oddHeader>&amp;C&amp;14I</oddHeader>
    <oddFooter>&amp;R&amp;P&amp;L27.476 v008   micro</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6</vt:i4>
      </vt:variant>
      <vt:variant>
        <vt:lpstr>Intervalos nomeados</vt:lpstr>
      </vt:variant>
      <vt:variant>
        <vt:i4>60</vt:i4>
      </vt:variant>
    </vt:vector>
  </HeadingPairs>
  <TitlesOfParts>
    <vt:vector size="66" baseType="lpstr">
      <vt:lpstr>DADOS</vt:lpstr>
      <vt:lpstr>BDI (1)</vt:lpstr>
      <vt:lpstr>BDI (2)</vt:lpstr>
      <vt:lpstr>PO</vt:lpstr>
      <vt:lpstr>PLQ</vt:lpstr>
      <vt:lpstr>CFF</vt:lpstr>
      <vt:lpstr>PLQ!_FiltrarBancodeDados</vt:lpstr>
      <vt:lpstr>PO!_FiltrarBancodeDados</vt:lpstr>
      <vt:lpstr>'BDI (1)'!Area_de_impressao</vt:lpstr>
      <vt:lpstr>'BDI (2)'!Area_de_impressao</vt:lpstr>
      <vt:lpstr>CFF!Area_de_impressao</vt:lpstr>
      <vt:lpstr>DADOS!Area_de_impressao</vt:lpstr>
      <vt:lpstr>PLQ!Area_de_impressao</vt:lpstr>
      <vt:lpstr>PO!Area_de_impressao</vt:lpstr>
      <vt:lpstr>CFF.ColunaPadrão</vt:lpstr>
      <vt:lpstr>CFF.Colunas</vt:lpstr>
      <vt:lpstr>CFF.LinhaPadrão</vt:lpstr>
      <vt:lpstr>PO!Código</vt:lpstr>
      <vt:lpstr>Dados.Assinatura1</vt:lpstr>
      <vt:lpstr>Dados.Assinatura2</vt:lpstr>
      <vt:lpstr>Dados.Lista.Acompanhamento</vt:lpstr>
      <vt:lpstr>Dados.Lista.BDI</vt:lpstr>
      <vt:lpstr>Dados.Lista.Localidade</vt:lpstr>
      <vt:lpstr>Dados.Lista.RegimeExecução</vt:lpstr>
      <vt:lpstr>PO!Fonte</vt:lpstr>
      <vt:lpstr>Import.Ação</vt:lpstr>
      <vt:lpstr>Import.Apelido</vt:lpstr>
      <vt:lpstr>Import.CNPJ</vt:lpstr>
      <vt:lpstr>Import.CR</vt:lpstr>
      <vt:lpstr>Import.CTEF</vt:lpstr>
      <vt:lpstr>Import.DadosBDI</vt:lpstr>
      <vt:lpstr>Import.DataAssinaturaCTEF</vt:lpstr>
      <vt:lpstr>Import.DataBase</vt:lpstr>
      <vt:lpstr>Import.DataBaseLicit</vt:lpstr>
      <vt:lpstr>Import.DataInícioObra</vt:lpstr>
      <vt:lpstr>Import.DescLote</vt:lpstr>
      <vt:lpstr>Import.Desoneracao</vt:lpstr>
      <vt:lpstr>Import.DesoneracaoLicit</vt:lpstr>
      <vt:lpstr>Import.Empresa</vt:lpstr>
      <vt:lpstr>Import.Gestor</vt:lpstr>
      <vt:lpstr>Import.Localidade</vt:lpstr>
      <vt:lpstr>Import.LocalSINAPI</vt:lpstr>
      <vt:lpstr>Import.Município</vt:lpstr>
      <vt:lpstr>Import.ObjetoCR</vt:lpstr>
      <vt:lpstr>Import.ObjetoCTEF</vt:lpstr>
      <vt:lpstr>Import.POArred</vt:lpstr>
      <vt:lpstr>Import.Programa</vt:lpstr>
      <vt:lpstr>Import.Proponente</vt:lpstr>
      <vt:lpstr>Import.RegimeExecução</vt:lpstr>
      <vt:lpstr>Import.Vigência</vt:lpstr>
      <vt:lpstr>Linhacabeçalhodados</vt:lpstr>
      <vt:lpstr>LinhaEncargosSociais</vt:lpstr>
      <vt:lpstr>PO!linhaSINAPIxls</vt:lpstr>
      <vt:lpstr>NMaxCrono</vt:lpstr>
      <vt:lpstr>Objeto</vt:lpstr>
      <vt:lpstr>ORÇAMENTO.OpcaoCusto</vt:lpstr>
      <vt:lpstr>PLQ.ColunaPadrão</vt:lpstr>
      <vt:lpstr>PLQ.Colunas</vt:lpstr>
      <vt:lpstr>PLQ.FormulaQuant</vt:lpstr>
      <vt:lpstr>PLQ.LinhaPadrão</vt:lpstr>
      <vt:lpstr>PO.FormulaQuant</vt:lpstr>
      <vt:lpstr>PO.LinhaPadrão</vt:lpstr>
      <vt:lpstr>CFF!Titulos_de_impressao</vt:lpstr>
      <vt:lpstr>PLQ!Titulos_de_impressao</vt:lpstr>
      <vt:lpstr>PO!Titulos_de_impressao</vt:lpstr>
      <vt:lpstr>Versao</vt:lpstr>
    </vt:vector>
  </TitlesOfParts>
  <Company>caixa econômica federal</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2024-10-16T16:07:04Z</cp:lastPrinted>
  <dcterms:created xsi:type="dcterms:W3CDTF">1998-03-27T18:43:07Z</dcterms:created>
  <dcterms:modified xsi:type="dcterms:W3CDTF">2024-10-31T17:40:41Z</dcterms:modified>
</cp:coreProperties>
</file>