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7935" tabRatio="802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Depreciação'!$B$3</definedName>
    <definedName name="AbaRemun">'6.Remuneração de capital'!$B$3</definedName>
    <definedName name="_xlnm.Print_Area" localSheetId="0">'1. Coleta Domiciliar'!$A$1:$T$286</definedName>
    <definedName name="_xlnm.Print_Area" localSheetId="1">'2.Encargos Sociais'!$B$1:$D$36</definedName>
    <definedName name="_xlnm.Print_Area" localSheetId="2">'3.CAGED'!$A$1:$L$41</definedName>
    <definedName name="_xlnm.Print_Area" localSheetId="3">'4.BDI'!$A$1:$H$21</definedName>
    <definedName name="_xlnm.Print_Area" localSheetId="4">'5. Depreciação'!$A$1:$D$21</definedName>
    <definedName name="_xlnm.Print_Area" localSheetId="5">'6.Remuneração de capital'!$A$1:$C$21</definedName>
    <definedName name="_xlnm.Print_Titles" localSheetId="0">'1. Coleta Domiciliar'!$1:$3</definedName>
  </definedNames>
  <calcPr calcId="125725"/>
</workbook>
</file>

<file path=xl/calcChain.xml><?xml version="1.0" encoding="utf-8"?>
<calcChain xmlns="http://schemas.openxmlformats.org/spreadsheetml/2006/main">
  <c r="D18" i="9"/>
  <c r="D11"/>
  <c r="D9"/>
  <c r="B27" i="2"/>
  <c r="D229"/>
  <c r="D181"/>
  <c r="D176"/>
  <c r="E162"/>
  <c r="E161"/>
  <c r="E160"/>
  <c r="E159"/>
  <c r="E158"/>
  <c r="E157"/>
  <c r="E156"/>
  <c r="V132" l="1"/>
  <c r="W132" s="1"/>
  <c r="X132" s="1"/>
  <c r="Y133" s="1"/>
  <c r="V131"/>
  <c r="W131" l="1"/>
  <c r="X131" s="1"/>
  <c r="B40" l="1"/>
  <c r="B17"/>
  <c r="F61" l="1"/>
  <c r="D63"/>
  <c r="E63"/>
  <c r="F63" s="1"/>
  <c r="E64"/>
  <c r="F64" s="1"/>
  <c r="D66"/>
  <c r="E66"/>
  <c r="E67"/>
  <c r="F67" s="1"/>
  <c r="D69"/>
  <c r="E69"/>
  <c r="D71"/>
  <c r="F95"/>
  <c r="D98"/>
  <c r="E98"/>
  <c r="F98" s="1"/>
  <c r="E99"/>
  <c r="F99" s="1"/>
  <c r="D101"/>
  <c r="E101"/>
  <c r="E102"/>
  <c r="F102" s="1"/>
  <c r="D104"/>
  <c r="E104"/>
  <c r="E107"/>
  <c r="F104" l="1"/>
  <c r="F107"/>
  <c r="F69"/>
  <c r="F101"/>
  <c r="F66"/>
  <c r="E105" l="1"/>
  <c r="F105" s="1"/>
  <c r="F108" s="1"/>
  <c r="E109" s="1"/>
  <c r="F109" s="1"/>
  <c r="F110" s="1"/>
  <c r="E111" s="1"/>
  <c r="F111" s="1"/>
  <c r="G112" s="1"/>
  <c r="E70"/>
  <c r="F70" s="1"/>
  <c r="E71" s="1"/>
  <c r="F71" s="1"/>
  <c r="D118"/>
  <c r="D119"/>
  <c r="B124"/>
  <c r="B125"/>
  <c r="F72" l="1"/>
  <c r="E73" s="1"/>
  <c r="B26" l="1"/>
  <c r="B25"/>
  <c r="B24"/>
  <c r="B16"/>
  <c r="B15"/>
  <c r="B10"/>
  <c r="D17" i="9" l="1"/>
  <c r="D10"/>
  <c r="G282" i="2" l="1"/>
  <c r="G277" s="1"/>
  <c r="D13" i="9"/>
  <c r="D20" s="1"/>
  <c r="F36" i="2" l="1"/>
  <c r="D125" s="1"/>
  <c r="F125" s="1"/>
  <c r="F34"/>
  <c r="D124" s="1"/>
  <c r="F124" s="1"/>
  <c r="G126" l="1"/>
  <c r="F156" l="1"/>
  <c r="B23" l="1"/>
  <c r="B22"/>
  <c r="B21"/>
  <c r="B20"/>
  <c r="B19"/>
  <c r="B18"/>
  <c r="B14"/>
  <c r="B13"/>
  <c r="B12"/>
  <c r="B11"/>
  <c r="D17" i="8"/>
  <c r="D13" i="4"/>
  <c r="D18" s="1"/>
  <c r="G11"/>
  <c r="F11"/>
  <c r="E11"/>
  <c r="D14" i="8"/>
  <c r="C34" i="5"/>
  <c r="C29"/>
  <c r="D28" i="8" s="1"/>
  <c r="C28" i="5"/>
  <c r="E119" i="2"/>
  <c r="F119" s="1"/>
  <c r="D182"/>
  <c r="D177"/>
  <c r="D178"/>
  <c r="B33"/>
  <c r="B34"/>
  <c r="B35"/>
  <c r="B36"/>
  <c r="E118"/>
  <c r="F118" s="1"/>
  <c r="B131"/>
  <c r="B132"/>
  <c r="F157"/>
  <c r="F158"/>
  <c r="F159"/>
  <c r="F160"/>
  <c r="F161"/>
  <c r="F162"/>
  <c r="G251" l="1"/>
  <c r="G253" s="1"/>
  <c r="G120"/>
  <c r="D27" i="8"/>
  <c r="G28" i="5"/>
  <c r="C39"/>
  <c r="E37"/>
  <c r="D37" s="1"/>
  <c r="D38" s="1"/>
  <c r="C38" s="1"/>
  <c r="D24" i="8" s="1"/>
  <c r="D32" s="1"/>
  <c r="D151" i="2"/>
  <c r="F37"/>
  <c r="D131"/>
  <c r="D132"/>
  <c r="D163"/>
  <c r="E163"/>
  <c r="G240" l="1"/>
  <c r="D26" i="8"/>
  <c r="D25"/>
  <c r="K35" i="5"/>
  <c r="K36" s="1"/>
  <c r="K37" s="1"/>
  <c r="K38" s="1"/>
  <c r="K39" s="1"/>
  <c r="K40" s="1"/>
  <c r="K41" s="1"/>
  <c r="D16" i="8"/>
  <c r="D22" s="1"/>
  <c r="D31" s="1"/>
  <c r="D33" s="1"/>
  <c r="F37" i="5"/>
  <c r="G37" s="1"/>
  <c r="C37"/>
  <c r="G133" i="2"/>
  <c r="F163"/>
  <c r="E229" l="1"/>
  <c r="F229" s="1"/>
  <c r="G230" s="1"/>
  <c r="G225"/>
  <c r="D29" i="8"/>
  <c r="D34" s="1"/>
  <c r="D73" i="2" s="1"/>
  <c r="F73" s="1"/>
  <c r="F74" s="1"/>
  <c r="E75" s="1"/>
  <c r="F75" s="1"/>
  <c r="G38" i="5"/>
  <c r="G32"/>
  <c r="G185" i="2"/>
  <c r="G57" l="1"/>
  <c r="G91" l="1"/>
  <c r="F164" l="1"/>
  <c r="G164" s="1"/>
  <c r="G201"/>
  <c r="G152"/>
  <c r="G261"/>
  <c r="G263" s="1"/>
  <c r="G209"/>
  <c r="F76"/>
  <c r="G76" s="1"/>
  <c r="G166" l="1"/>
  <c r="G135"/>
  <c r="G242"/>
  <c r="G265" l="1"/>
  <c r="E270" l="1"/>
  <c r="F270" s="1"/>
  <c r="G271" s="1"/>
  <c r="G273" s="1"/>
  <c r="G275" l="1"/>
  <c r="G284" s="1"/>
</calcChain>
</file>

<file path=xl/comments1.xml><?xml version="1.0" encoding="utf-8"?>
<comments xmlns="http://schemas.openxmlformats.org/spreadsheetml/2006/main">
  <authors>
    <author>Clauber Bridi</author>
  </authors>
  <commentList>
    <comment ref="B8" author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8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49" author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B51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56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2" author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D64" author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D65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D67" author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D68" author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B70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3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75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80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E81" author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D82" author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D83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B84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5" author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D86" author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88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90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97" author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D99" authorId="0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D100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D102" author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D103" author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B105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6" author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D109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111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116" author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D117" author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E118" author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119" author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24" authorId="0">
      <text>
        <r>
          <rPr>
            <sz val="9"/>
            <color indexed="81"/>
            <rFont val="Tahoma"/>
            <family val="2"/>
          </rPr>
          <t>Informar o valor unitário diário do vale refeição conforme Convenção Coletiva da categoria</t>
        </r>
      </text>
    </comment>
    <comment ref="E125" authorId="0">
      <text>
        <r>
          <rPr>
            <sz val="9"/>
            <color indexed="81"/>
            <rFont val="Tahoma"/>
            <family val="2"/>
          </rPr>
          <t>Informar o valor unitário diário do vale refeição conforme Convenção Coletiva da categoria</t>
        </r>
      </text>
    </comment>
    <comment ref="E131" authorId="0">
      <text>
        <r>
          <rPr>
            <sz val="9"/>
            <color indexed="81"/>
            <rFont val="Tahoma"/>
            <family val="2"/>
          </rPr>
          <t>Informar o valor mensal do auxilio alimentação conforme Convenção Coletiva da categoria</t>
        </r>
      </text>
    </comment>
    <comment ref="E132" authorId="0">
      <text>
        <r>
          <rPr>
            <sz val="9"/>
            <color indexed="81"/>
            <rFont val="Tahoma"/>
            <family val="2"/>
          </rPr>
          <t>Informar o valor mensal do auxilio alimentação conforme Convenção Coletiva da categoria</t>
        </r>
      </text>
    </comment>
    <comment ref="D140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0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1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1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2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2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3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3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4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4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5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5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6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6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7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7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8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8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9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49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E150" author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56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0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1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E162" author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E173" author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D174" author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D175" author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D176" author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8" author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D179" author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D180" author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D181" author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4" author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D190" author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6" author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E207" author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
</t>
        </r>
      </text>
    </comment>
    <comment ref="C212" author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D214" author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E214" author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D216" author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E216" author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218" author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E218" author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220" author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E220" author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222" author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E222" author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E229" author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D235" author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E235" author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D236" author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237" author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238" authorId="0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D246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246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247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247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248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248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249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249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250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250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B255" author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7" author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</t>
        </r>
      </text>
    </comment>
    <comment ref="E259" author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D270" author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E280" author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Jorge Mesquita</author>
  </authors>
  <commentList>
    <comment ref="G37" authorId="0">
      <text>
        <r>
          <rPr>
            <b/>
            <sz val="9"/>
            <color indexed="81"/>
            <rFont val="Tahoma"/>
            <family val="2"/>
          </rPr>
          <t>Jorge Mesquita:</t>
        </r>
        <r>
          <rPr>
            <sz val="9"/>
            <color indexed="81"/>
            <rFont val="Tahoma"/>
            <family val="2"/>
          </rPr>
          <t xml:space="preserve">
Criar um tipo de arredondamento.
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<sst xmlns="http://schemas.openxmlformats.org/spreadsheetml/2006/main" count="606" uniqueCount="323">
  <si>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</si>
  <si>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</si>
  <si>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</si>
  <si>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</si>
  <si>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</si>
  <si>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</si>
  <si>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</si>
  <si>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</si>
  <si>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</si>
  <si>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</si>
  <si>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</si>
  <si>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</si>
  <si>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</si>
  <si>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</si>
  <si>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</si>
  <si>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</si>
  <si>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</si>
  <si>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</si>
  <si>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</si>
  <si>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</si>
  <si>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</si>
  <si>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</si>
  <si>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</si>
  <si>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</si>
  <si>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</si>
  <si>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</si>
  <si>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</si>
  <si>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Pá de Concha</t>
  </si>
  <si>
    <t>Vassoura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</si>
  <si>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</si>
  <si>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</si>
  <si>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</si>
  <si>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</si>
  <si>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</si>
  <si>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</si>
  <si>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</si>
  <si>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</si>
  <si>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</si>
  <si>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</si>
  <si>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</si>
  <si>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</si>
  <si>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</si>
  <si>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</si>
  <si>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</si>
  <si>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</si>
  <si>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</si>
  <si>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</si>
  <si>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</si>
  <si>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</si>
  <si>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</si>
  <si>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</si>
  <si>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</si>
  <si>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</si>
  <si>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</si>
  <si>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</si>
  <si>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</si>
  <si>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</si>
  <si>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</si>
  <si>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</si>
  <si>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</si>
  <si>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</si>
  <si>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</si>
  <si>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</si>
  <si>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</si>
  <si>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</si>
  <si>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</si>
  <si>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</si>
  <si>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</si>
  <si>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</si>
  <si>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</si>
  <si>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</si>
  <si>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</si>
  <si>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</si>
  <si>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</si>
  <si>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</si>
  <si>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</si>
  <si>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</si>
  <si>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</si>
  <si>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</si>
  <si>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</si>
  <si>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</si>
  <si>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</si>
  <si>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</si>
  <si>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</si>
  <si>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</si>
  <si>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</si>
  <si>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</si>
  <si>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</si>
  <si>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</si>
  <si>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</si>
  <si>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</si>
  <si>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</si>
  <si>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</si>
  <si>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</si>
  <si>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</si>
  <si>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</si>
  <si>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</si>
  <si>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</si>
  <si>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</si>
  <si>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</si>
  <si>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</si>
  <si>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</si>
  <si>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</si>
  <si>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</si>
  <si>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</si>
  <si>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</si>
  <si>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</si>
  <si>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</si>
  <si>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</si>
  <si>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</si>
  <si>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</si>
  <si>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</si>
  <si>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</si>
  <si>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</si>
  <si>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</si>
  <si>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</si>
  <si>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</si>
  <si>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</si>
  <si>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</si>
  <si>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</si>
  <si>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</si>
  <si>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</si>
  <si>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</si>
  <si>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</si>
  <si>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</si>
  <si>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</si>
  <si>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</si>
  <si>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</si>
  <si>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</si>
  <si>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</si>
  <si>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</si>
  <si>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</si>
  <si>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</si>
  <si>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</si>
  <si>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</si>
  <si>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</si>
  <si>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</si>
  <si>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Rotatividade</t>
  </si>
  <si>
    <t>Demitidos s/ Justa Causa em relação ao Estoque Médio</t>
  </si>
  <si>
    <t>Dias ano</t>
  </si>
  <si>
    <t>Estoque Médio</t>
  </si>
  <si>
    <t>Multa FGTS</t>
  </si>
  <si>
    <t>Fração de tempo para gozo férias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</si>
  <si>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</si>
  <si>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</si>
  <si>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</si>
  <si>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</si>
  <si>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</si>
  <si>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</si>
  <si>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</si>
  <si>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</si>
  <si>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</si>
  <si>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</si>
  <si>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</si>
  <si>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</si>
  <si>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</si>
  <si>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</si>
  <si>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</si>
  <si>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</si>
  <si>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</si>
  <si>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</si>
  <si>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</si>
  <si>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</si>
  <si>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</si>
  <si>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</si>
  <si>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</si>
  <si>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</si>
  <si>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</si>
  <si>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</si>
  <si>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</si>
  <si>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</si>
  <si>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</si>
  <si>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</si>
  <si>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</si>
  <si>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</si>
  <si>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</si>
  <si>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</si>
  <si>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</si>
  <si>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</si>
  <si>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</si>
  <si>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</si>
  <si>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</si>
  <si>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</si>
  <si>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</si>
  <si>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</si>
  <si>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</si>
  <si>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</si>
  <si>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</si>
  <si>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</si>
  <si>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</si>
  <si>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</si>
  <si>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</si>
  <si>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</si>
  <si>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</si>
  <si>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</si>
  <si>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</si>
  <si>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</si>
  <si>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</si>
  <si>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</si>
  <si>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</si>
  <si>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</si>
  <si>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</si>
  <si>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</si>
  <si>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</si>
  <si>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</si>
  <si>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</si>
  <si>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</si>
  <si>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</si>
  <si>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</si>
  <si>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</si>
  <si>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</si>
  <si>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</si>
  <si>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</si>
  <si>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</si>
  <si>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</si>
  <si>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</si>
  <si>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</si>
  <si>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</si>
  <si>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</si>
  <si>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</si>
  <si>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</si>
  <si>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</si>
  <si>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</si>
  <si>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Salário mínimo nacional</t>
  </si>
  <si>
    <t>Base de cálculo da Insalubridade</t>
  </si>
  <si>
    <t>Piso da categoria (1)</t>
  </si>
  <si>
    <t>Salário mínimo nacional (2)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</si>
  <si>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</si>
  <si>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</si>
  <si>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</si>
  <si>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</si>
  <si>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</si>
  <si>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</si>
  <si>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</si>
  <si>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</si>
  <si>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</si>
  <si>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</si>
  <si>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</si>
  <si>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</si>
  <si>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</si>
  <si>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</si>
  <si>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</si>
  <si>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</si>
  <si>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</si>
  <si>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</si>
  <si>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</si>
  <si>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</si>
  <si>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</si>
  <si>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</si>
  <si>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</si>
  <si>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</si>
  <si>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</si>
  <si>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</si>
  <si>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</si>
  <si>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</si>
  <si>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</si>
  <si>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</si>
  <si>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</si>
  <si>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</si>
  <si>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</si>
  <si>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</si>
  <si>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</si>
  <si>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</si>
  <si>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</si>
  <si>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</si>
  <si>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</si>
  <si>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</si>
  <si>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</si>
  <si>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</si>
  <si>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</si>
  <si>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</si>
  <si>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</si>
  <si>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</si>
  <si>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</si>
  <si>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</si>
  <si>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Estoque recuperado início do Período 01-09-2016</t>
  </si>
  <si>
    <t>Estoque recuperado final do Período 31-08-2017</t>
  </si>
  <si>
    <t>Variação Emprego Absoluta de 01-09-2016 a 31-08-2017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</si>
  <si>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</si>
  <si>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</si>
  <si>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</si>
  <si>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</si>
  <si>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</si>
  <si>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</si>
  <si>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</si>
  <si>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</si>
  <si>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</si>
  <si>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</si>
  <si>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</si>
  <si>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</si>
  <si>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</si>
  <si>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</si>
  <si>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</si>
  <si>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</si>
  <si>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</si>
  <si>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</si>
  <si>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</si>
  <si>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</si>
  <si>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</si>
  <si>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</si>
  <si>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</si>
  <si>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</si>
  <si>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</si>
  <si>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</si>
  <si>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</si>
  <si>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>Jaqueta com reflexivo + colete refletivo (NBR 15.292)</t>
  </si>
  <si>
    <t>PLANILHA DE CUSTOS MENSAIS</t>
  </si>
  <si>
    <t>1.2. Motorista Turno do Dia</t>
  </si>
  <si>
    <t>1.3. Auxílio Alimentação (mensal)</t>
  </si>
  <si>
    <t xml:space="preserve">Depreciação mensal </t>
  </si>
  <si>
    <t>R$/mês</t>
  </si>
  <si>
    <t xml:space="preserve">Destinação </t>
  </si>
  <si>
    <t>Item</t>
  </si>
  <si>
    <t>PREFEITURA MUNICIPAL DE CAMPOS BORGES</t>
  </si>
  <si>
    <t>3.1. Veículo Coletor Compactador 15 m³</t>
  </si>
  <si>
    <t>Custo de aquisição Compactador</t>
  </si>
  <si>
    <r>
      <t xml:space="preserve">Total </t>
    </r>
    <r>
      <rPr>
        <u/>
        <sz val="9"/>
        <rFont val="Arial"/>
        <family val="2"/>
      </rPr>
      <t>(R$)</t>
    </r>
  </si>
  <si>
    <t>Depreciação da compactador</t>
  </si>
  <si>
    <t>Custo do copactador</t>
  </si>
  <si>
    <t>6. Benefícios e Despesas Indiretas - BDI</t>
  </si>
  <si>
    <t>7.1. Destinação Final do Lixo R$ (mês)</t>
  </si>
  <si>
    <t>7. Destinação Final do Lixo R$ (mês)</t>
  </si>
  <si>
    <t>PREÇO MENSAL OPERACIONAL TOTAL (R$/mês)</t>
  </si>
</sst>
</file>

<file path=xl/styles.xml><?xml version="1.0" encoding="utf-8"?>
<styleSheet xmlns="http://schemas.openxmlformats.org/spreadsheetml/2006/main">
  <numFmts count="8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_(* #,##0.00_);_(* \(#,##0.00\);_(* &quot;-&quot;??_);_(@_)"/>
    <numFmt numFmtId="167" formatCode="_(* #,##0_);_(* \(#,##0\);_(* &quot;-&quot;??_);_(@_)"/>
    <numFmt numFmtId="168" formatCode="0.0000"/>
    <numFmt numFmtId="169" formatCode="_-* #,##0.000_-;\-* #,##0.000_-;_-* &quot;-&quot;??_-;_-@_-"/>
    <numFmt numFmtId="170" formatCode="_-* #,##0.00_-;\-* #,##0.00_-;_-* &quot;-&quot;?_-;_-@_-"/>
    <numFmt numFmtId="171" formatCode="_-* #,##0_-;\-* #,##0_-;_-* &quot;-&quot;?_-;_-@_-"/>
  </numFmts>
  <fonts count="3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sz val="10"/>
      <name val="Arial"/>
    </font>
    <font>
      <b/>
      <u/>
      <sz val="12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b/>
      <u/>
      <sz val="10"/>
      <color indexed="12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30" fillId="0" borderId="0"/>
  </cellStyleXfs>
  <cellXfs count="328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/>
    </xf>
    <xf numFmtId="4" fontId="6" fillId="0" borderId="0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3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left" vertical="center"/>
    </xf>
    <xf numFmtId="0" fontId="5" fillId="0" borderId="22" xfId="0" applyFont="1" applyBorder="1"/>
    <xf numFmtId="0" fontId="5" fillId="2" borderId="19" xfId="0" applyFont="1" applyFill="1" applyBorder="1"/>
    <xf numFmtId="10" fontId="5" fillId="0" borderId="19" xfId="2" applyNumberFormat="1" applyFont="1" applyBorder="1"/>
    <xf numFmtId="0" fontId="5" fillId="0" borderId="2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2" borderId="19" xfId="0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0" fontId="5" fillId="2" borderId="1" xfId="2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9" xfId="0" applyFont="1" applyBorder="1"/>
    <xf numFmtId="0" fontId="5" fillId="0" borderId="23" xfId="0" applyFont="1" applyFill="1" applyBorder="1" applyAlignment="1">
      <alignment horizontal="left" vertical="center"/>
    </xf>
    <xf numFmtId="10" fontId="5" fillId="2" borderId="3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10" fontId="5" fillId="0" borderId="26" xfId="0" applyNumberFormat="1" applyFont="1" applyFill="1" applyBorder="1" applyAlignment="1">
      <alignment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10" fontId="7" fillId="4" borderId="7" xfId="0" applyNumberFormat="1" applyFont="1" applyFill="1" applyBorder="1" applyAlignment="1">
      <alignment horizontal="center" vertical="center" wrapText="1"/>
    </xf>
    <xf numFmtId="10" fontId="5" fillId="0" borderId="22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9" xfId="2" applyNumberFormat="1" applyFont="1" applyBorder="1" applyAlignment="1">
      <alignment horizontal="right"/>
    </xf>
    <xf numFmtId="0" fontId="1" fillId="0" borderId="0" xfId="0" applyFont="1"/>
    <xf numFmtId="4" fontId="1" fillId="0" borderId="0" xfId="0" applyNumberFormat="1" applyFont="1" applyBorder="1" applyAlignment="1">
      <alignment vertical="center"/>
    </xf>
    <xf numFmtId="0" fontId="5" fillId="0" borderId="22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169" fontId="22" fillId="0" borderId="19" xfId="3" applyNumberFormat="1" applyFont="1" applyBorder="1" applyAlignment="1">
      <alignment horizontal="center" vertical="center" wrapText="1"/>
    </xf>
    <xf numFmtId="170" fontId="5" fillId="0" borderId="19" xfId="0" applyNumberFormat="1" applyFont="1" applyBorder="1"/>
    <xf numFmtId="2" fontId="5" fillId="0" borderId="19" xfId="0" applyNumberFormat="1" applyFont="1" applyBorder="1"/>
    <xf numFmtId="0" fontId="5" fillId="0" borderId="23" xfId="0" applyFont="1" applyFill="1" applyBorder="1"/>
    <xf numFmtId="0" fontId="5" fillId="0" borderId="33" xfId="0" applyFont="1" applyBorder="1"/>
    <xf numFmtId="170" fontId="5" fillId="2" borderId="19" xfId="0" applyNumberFormat="1" applyFont="1" applyFill="1" applyBorder="1"/>
    <xf numFmtId="170" fontId="5" fillId="0" borderId="34" xfId="0" applyNumberFormat="1" applyFont="1" applyBorder="1"/>
    <xf numFmtId="171" fontId="5" fillId="2" borderId="19" xfId="0" applyNumberFormat="1" applyFont="1" applyFill="1" applyBorder="1"/>
    <xf numFmtId="0" fontId="5" fillId="0" borderId="22" xfId="0" applyFont="1" applyBorder="1" applyAlignment="1">
      <alignment horizontal="right"/>
    </xf>
    <xf numFmtId="166" fontId="5" fillId="3" borderId="0" xfId="3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6" fillId="3" borderId="0" xfId="0" applyFont="1" applyFill="1"/>
    <xf numFmtId="166" fontId="11" fillId="3" borderId="0" xfId="3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0" fontId="5" fillId="2" borderId="43" xfId="0" applyNumberFormat="1" applyFont="1" applyFill="1" applyBorder="1" applyAlignment="1">
      <alignment horizontal="center" vertical="center"/>
    </xf>
    <xf numFmtId="10" fontId="5" fillId="0" borderId="42" xfId="2" applyNumberFormat="1" applyFont="1" applyBorder="1" applyAlignment="1">
      <alignment horizontal="right"/>
    </xf>
    <xf numFmtId="10" fontId="5" fillId="0" borderId="2" xfId="2" applyNumberFormat="1" applyFont="1" applyBorder="1" applyAlignment="1">
      <alignment horizontal="right"/>
    </xf>
    <xf numFmtId="10" fontId="5" fillId="0" borderId="43" xfId="2" applyNumberFormat="1" applyFont="1" applyBorder="1" applyAlignment="1">
      <alignment horizontal="right"/>
    </xf>
    <xf numFmtId="164" fontId="0" fillId="0" borderId="0" xfId="0" applyNumberFormat="1"/>
    <xf numFmtId="0" fontId="7" fillId="4" borderId="6" xfId="0" applyFont="1" applyFill="1" applyBorder="1" applyAlignment="1">
      <alignment vertical="center"/>
    </xf>
    <xf numFmtId="10" fontId="7" fillId="0" borderId="23" xfId="2" applyNumberFormat="1" applyFont="1" applyBorder="1" applyAlignment="1">
      <alignment horizontal="right" vertical="center"/>
    </xf>
    <xf numFmtId="10" fontId="7" fillId="0" borderId="33" xfId="2" applyNumberFormat="1" applyFont="1" applyBorder="1" applyAlignment="1">
      <alignment horizontal="right" vertical="center"/>
    </xf>
    <xf numFmtId="10" fontId="7" fillId="0" borderId="34" xfId="2" applyNumberFormat="1" applyFont="1" applyBorder="1" applyAlignment="1">
      <alignment horizontal="right" vertical="center"/>
    </xf>
    <xf numFmtId="164" fontId="3" fillId="3" borderId="1" xfId="4" applyFont="1" applyFill="1" applyBorder="1" applyAlignment="1">
      <alignment vertical="center"/>
    </xf>
    <xf numFmtId="10" fontId="3" fillId="3" borderId="19" xfId="2" applyNumberFormat="1" applyFont="1" applyFill="1" applyBorder="1" applyAlignment="1">
      <alignment horizontal="center" vertical="center"/>
    </xf>
    <xf numFmtId="166" fontId="3" fillId="3" borderId="19" xfId="3" applyFont="1" applyFill="1" applyBorder="1" applyAlignment="1">
      <alignment horizontal="right" vertical="center"/>
    </xf>
    <xf numFmtId="1" fontId="3" fillId="3" borderId="34" xfId="3" applyNumberFormat="1" applyFont="1" applyFill="1" applyBorder="1" applyAlignment="1">
      <alignment horizontal="center" vertical="center"/>
    </xf>
    <xf numFmtId="166" fontId="3" fillId="3" borderId="5" xfId="3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166" fontId="3" fillId="3" borderId="33" xfId="3" applyFont="1" applyFill="1" applyBorder="1" applyAlignment="1">
      <alignment vertical="center"/>
    </xf>
    <xf numFmtId="164" fontId="3" fillId="3" borderId="34" xfId="4" applyFont="1" applyFill="1" applyBorder="1" applyAlignment="1">
      <alignment horizontal="left" vertical="center"/>
    </xf>
    <xf numFmtId="166" fontId="3" fillId="3" borderId="33" xfId="3" applyFont="1" applyFill="1" applyBorder="1" applyAlignment="1">
      <alignment horizontal="right" vertical="center"/>
    </xf>
    <xf numFmtId="166" fontId="3" fillId="3" borderId="4" xfId="3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166" fontId="3" fillId="3" borderId="6" xfId="3" applyFont="1" applyFill="1" applyBorder="1" applyAlignment="1">
      <alignment vertical="center"/>
    </xf>
    <xf numFmtId="166" fontId="3" fillId="3" borderId="7" xfId="3" applyFont="1" applyFill="1" applyBorder="1" applyAlignment="1">
      <alignment vertical="center"/>
    </xf>
    <xf numFmtId="164" fontId="3" fillId="3" borderId="4" xfId="4" applyFont="1" applyFill="1" applyBorder="1" applyAlignment="1">
      <alignment horizontal="left" vertical="center"/>
    </xf>
    <xf numFmtId="0" fontId="1" fillId="3" borderId="2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166" fontId="12" fillId="3" borderId="1" xfId="3" applyFont="1" applyFill="1" applyBorder="1" applyAlignment="1">
      <alignment horizontal="center" vertical="center"/>
    </xf>
    <xf numFmtId="164" fontId="3" fillId="3" borderId="4" xfId="4" applyFont="1" applyFill="1" applyBorder="1" applyAlignment="1">
      <alignment horizontal="center" vertical="center"/>
    </xf>
    <xf numFmtId="164" fontId="3" fillId="3" borderId="17" xfId="4" applyFont="1" applyFill="1" applyBorder="1" applyAlignment="1">
      <alignment horizontal="left" vertical="center"/>
    </xf>
    <xf numFmtId="166" fontId="1" fillId="3" borderId="0" xfId="3" applyFont="1" applyFill="1" applyAlignment="1">
      <alignment vertical="center"/>
    </xf>
    <xf numFmtId="166" fontId="1" fillId="3" borderId="0" xfId="3" applyFont="1" applyFill="1" applyAlignment="1">
      <alignment horizontal="center" vertical="center"/>
    </xf>
    <xf numFmtId="166" fontId="3" fillId="3" borderId="34" xfId="3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3" borderId="0" xfId="0" applyFont="1" applyFill="1" applyBorder="1"/>
    <xf numFmtId="4" fontId="6" fillId="3" borderId="0" xfId="0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17" fillId="3" borderId="22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/>
    </xf>
    <xf numFmtId="0" fontId="17" fillId="3" borderId="19" xfId="0" applyFont="1" applyFill="1" applyBorder="1" applyAlignment="1">
      <alignment horizontal="center" vertical="center"/>
    </xf>
    <xf numFmtId="10" fontId="17" fillId="3" borderId="19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10" fontId="21" fillId="3" borderId="19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 vertical="center"/>
    </xf>
    <xf numFmtId="10" fontId="6" fillId="3" borderId="0" xfId="0" applyNumberFormat="1" applyFont="1" applyFill="1"/>
    <xf numFmtId="9" fontId="17" fillId="3" borderId="0" xfId="2" applyFont="1" applyFill="1" applyBorder="1" applyAlignment="1">
      <alignment horizontal="right" vertical="center"/>
    </xf>
    <xf numFmtId="10" fontId="6" fillId="3" borderId="0" xfId="0" applyNumberFormat="1" applyFont="1" applyFill="1" applyBorder="1"/>
    <xf numFmtId="0" fontId="17" fillId="3" borderId="1" xfId="0" applyFont="1" applyFill="1" applyBorder="1" applyAlignment="1">
      <alignment horizontal="left" vertical="center" wrapText="1"/>
    </xf>
    <xf numFmtId="0" fontId="17" fillId="3" borderId="23" xfId="0" applyFont="1" applyFill="1" applyBorder="1" applyAlignment="1">
      <alignment horizontal="center" vertical="center"/>
    </xf>
    <xf numFmtId="0" fontId="21" fillId="3" borderId="33" xfId="0" applyFont="1" applyFill="1" applyBorder="1" applyAlignment="1">
      <alignment horizontal="left" vertical="center"/>
    </xf>
    <xf numFmtId="10" fontId="21" fillId="3" borderId="34" xfId="0" applyNumberFormat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 vertical="center"/>
    </xf>
    <xf numFmtId="10" fontId="21" fillId="3" borderId="0" xfId="0" applyNumberFormat="1" applyFont="1" applyFill="1" applyBorder="1" applyAlignment="1">
      <alignment horizontal="center" vertical="center"/>
    </xf>
    <xf numFmtId="10" fontId="17" fillId="3" borderId="0" xfId="0" applyNumberFormat="1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8" fillId="3" borderId="0" xfId="1" applyFont="1" applyFill="1" applyBorder="1" applyAlignment="1" applyProtection="1">
      <alignment horizontal="center" vertical="center"/>
    </xf>
    <xf numFmtId="0" fontId="25" fillId="3" borderId="0" xfId="0" applyFont="1" applyFill="1" applyBorder="1"/>
    <xf numFmtId="0" fontId="25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right" vertical="center"/>
    </xf>
    <xf numFmtId="10" fontId="17" fillId="3" borderId="0" xfId="0" applyNumberFormat="1" applyFont="1" applyFill="1" applyBorder="1" applyAlignment="1">
      <alignment horizontal="right" vertical="center"/>
    </xf>
    <xf numFmtId="166" fontId="3" fillId="3" borderId="1" xfId="3" applyFont="1" applyFill="1" applyBorder="1" applyAlignment="1">
      <alignment vertical="center"/>
    </xf>
    <xf numFmtId="0" fontId="3" fillId="3" borderId="0" xfId="0" applyFont="1" applyFill="1"/>
    <xf numFmtId="0" fontId="32" fillId="3" borderId="0" xfId="1" applyFont="1" applyFill="1" applyAlignment="1" applyProtection="1">
      <alignment vertical="center"/>
    </xf>
    <xf numFmtId="0" fontId="31" fillId="3" borderId="23" xfId="0" applyFont="1" applyFill="1" applyBorder="1" applyAlignment="1">
      <alignment horizontal="left" vertical="center" wrapText="1"/>
    </xf>
    <xf numFmtId="0" fontId="31" fillId="3" borderId="33" xfId="0" applyFont="1" applyFill="1" applyBorder="1" applyAlignment="1">
      <alignment horizontal="left" vertical="center" wrapText="1"/>
    </xf>
    <xf numFmtId="166" fontId="3" fillId="3" borderId="19" xfId="3" applyFont="1" applyFill="1" applyBorder="1" applyAlignment="1">
      <alignment horizontal="center" vertical="center"/>
    </xf>
    <xf numFmtId="4" fontId="1" fillId="3" borderId="0" xfId="0" applyNumberFormat="1" applyFont="1" applyFill="1" applyBorder="1" applyAlignment="1">
      <alignment vertical="center"/>
    </xf>
    <xf numFmtId="4" fontId="1" fillId="3" borderId="0" xfId="0" applyNumberFormat="1" applyFont="1" applyFill="1" applyBorder="1" applyAlignment="1">
      <alignment horizontal="center" vertical="center"/>
    </xf>
    <xf numFmtId="166" fontId="1" fillId="3" borderId="0" xfId="3" applyFont="1" applyFill="1" applyBorder="1" applyAlignment="1">
      <alignment vertical="center"/>
    </xf>
    <xf numFmtId="164" fontId="1" fillId="3" borderId="1" xfId="4" applyFont="1" applyFill="1" applyBorder="1" applyAlignment="1">
      <alignment vertical="center"/>
    </xf>
    <xf numFmtId="10" fontId="1" fillId="3" borderId="19" xfId="2" applyNumberFormat="1" applyFont="1" applyFill="1" applyBorder="1" applyAlignment="1">
      <alignment horizontal="center" vertical="center"/>
    </xf>
    <xf numFmtId="1" fontId="1" fillId="3" borderId="19" xfId="3" applyNumberFormat="1" applyFont="1" applyFill="1" applyBorder="1" applyAlignment="1">
      <alignment horizontal="center" vertical="center"/>
    </xf>
    <xf numFmtId="1" fontId="1" fillId="3" borderId="34" xfId="3" applyNumberFormat="1" applyFont="1" applyFill="1" applyBorder="1" applyAlignment="1">
      <alignment horizontal="center" vertical="center"/>
    </xf>
    <xf numFmtId="166" fontId="1" fillId="3" borderId="0" xfId="3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166" fontId="1" fillId="3" borderId="12" xfId="3" applyFont="1" applyFill="1" applyBorder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166" fontId="1" fillId="3" borderId="37" xfId="3" applyFont="1" applyFill="1" applyBorder="1" applyAlignment="1">
      <alignment vertical="center"/>
    </xf>
    <xf numFmtId="166" fontId="1" fillId="3" borderId="38" xfId="3" applyFont="1" applyFill="1" applyBorder="1" applyAlignment="1">
      <alignment vertical="center"/>
    </xf>
    <xf numFmtId="0" fontId="1" fillId="3" borderId="38" xfId="0" applyFont="1" applyFill="1" applyBorder="1" applyAlignment="1">
      <alignment vertical="center"/>
    </xf>
    <xf numFmtId="1" fontId="1" fillId="3" borderId="0" xfId="3" applyNumberFormat="1" applyFont="1" applyFill="1" applyBorder="1" applyAlignment="1">
      <alignment horizontal="center" vertical="center"/>
    </xf>
    <xf numFmtId="167" fontId="1" fillId="3" borderId="0" xfId="3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166" fontId="10" fillId="3" borderId="21" xfId="3" applyFont="1" applyFill="1" applyBorder="1" applyAlignment="1">
      <alignment horizontal="center" vertical="center"/>
    </xf>
    <xf numFmtId="166" fontId="10" fillId="3" borderId="11" xfId="3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4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center" vertical="center"/>
    </xf>
    <xf numFmtId="166" fontId="1" fillId="3" borderId="1" xfId="3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166" fontId="10" fillId="3" borderId="16" xfId="3" applyFont="1" applyFill="1" applyBorder="1" applyAlignment="1">
      <alignment horizontal="center" vertical="center"/>
    </xf>
    <xf numFmtId="166" fontId="10" fillId="3" borderId="17" xfId="3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6" fontId="1" fillId="3" borderId="2" xfId="3" applyFont="1" applyFill="1" applyBorder="1" applyAlignment="1">
      <alignment horizontal="center" vertical="center"/>
    </xf>
    <xf numFmtId="2" fontId="1" fillId="3" borderId="1" xfId="3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166" fontId="1" fillId="3" borderId="3" xfId="3" applyFont="1" applyFill="1" applyBorder="1" applyAlignment="1">
      <alignment horizontal="center" vertical="center"/>
    </xf>
    <xf numFmtId="166" fontId="1" fillId="3" borderId="0" xfId="3" applyFont="1" applyFill="1" applyAlignment="1">
      <alignment horizontal="right" vertical="center"/>
    </xf>
    <xf numFmtId="166" fontId="1" fillId="3" borderId="1" xfId="3" applyFont="1" applyFill="1" applyBorder="1" applyAlignment="1">
      <alignment vertical="center"/>
    </xf>
    <xf numFmtId="166" fontId="1" fillId="3" borderId="7" xfId="3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167" fontId="1" fillId="3" borderId="1" xfId="3" applyNumberFormat="1" applyFont="1" applyFill="1" applyBorder="1" applyAlignment="1">
      <alignment horizontal="center" vertical="center"/>
    </xf>
    <xf numFmtId="167" fontId="1" fillId="3" borderId="1" xfId="3" applyNumberFormat="1" applyFont="1" applyFill="1" applyBorder="1" applyAlignment="1">
      <alignment vertical="center"/>
    </xf>
    <xf numFmtId="166" fontId="1" fillId="3" borderId="4" xfId="3" applyFont="1" applyFill="1" applyBorder="1" applyAlignment="1">
      <alignment horizontal="center" vertical="center"/>
    </xf>
    <xf numFmtId="166" fontId="1" fillId="3" borderId="1" xfId="3" applyNumberFormat="1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 wrapText="1"/>
    </xf>
    <xf numFmtId="13" fontId="1" fillId="3" borderId="1" xfId="0" applyNumberFormat="1" applyFont="1" applyFill="1" applyBorder="1" applyAlignment="1">
      <alignment horizontal="center" vertical="center"/>
    </xf>
    <xf numFmtId="0" fontId="1" fillId="3" borderId="22" xfId="0" applyFont="1" applyFill="1" applyBorder="1"/>
    <xf numFmtId="0" fontId="1" fillId="3" borderId="1" xfId="0" applyFont="1" applyFill="1" applyBorder="1" applyAlignment="1">
      <alignment horizontal="center"/>
    </xf>
    <xf numFmtId="166" fontId="1" fillId="3" borderId="0" xfId="3" applyFont="1" applyFill="1"/>
    <xf numFmtId="0" fontId="1" fillId="3" borderId="0" xfId="0" applyFont="1" applyFill="1"/>
    <xf numFmtId="165" fontId="1" fillId="3" borderId="0" xfId="0" applyNumberFormat="1" applyFont="1" applyFill="1" applyAlignment="1">
      <alignment vertical="center"/>
    </xf>
    <xf numFmtId="166" fontId="1" fillId="3" borderId="1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Alignment="1">
      <alignment vertical="center"/>
    </xf>
    <xf numFmtId="4" fontId="1" fillId="3" borderId="1" xfId="0" applyNumberFormat="1" applyFont="1" applyFill="1" applyBorder="1" applyAlignment="1">
      <alignment horizontal="center" vertical="center"/>
    </xf>
    <xf numFmtId="164" fontId="1" fillId="3" borderId="1" xfId="4" applyFont="1" applyFill="1" applyBorder="1" applyAlignment="1">
      <alignment horizontal="center" vertical="center"/>
    </xf>
    <xf numFmtId="166" fontId="1" fillId="3" borderId="19" xfId="3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0" fontId="1" fillId="3" borderId="1" xfId="2" applyNumberFormat="1" applyFont="1" applyFill="1" applyBorder="1" applyAlignment="1">
      <alignment horizontal="center" vertical="center"/>
    </xf>
    <xf numFmtId="164" fontId="1" fillId="3" borderId="0" xfId="4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166" fontId="1" fillId="2" borderId="1" xfId="3" applyNumberFormat="1" applyFont="1" applyFill="1" applyBorder="1" applyAlignment="1">
      <alignment horizontal="center" vertical="center"/>
    </xf>
    <xf numFmtId="164" fontId="1" fillId="3" borderId="0" xfId="4" applyFont="1" applyFill="1" applyAlignment="1">
      <alignment vertical="center"/>
    </xf>
    <xf numFmtId="166" fontId="1" fillId="3" borderId="33" xfId="3" applyFont="1" applyFill="1" applyBorder="1" applyAlignment="1">
      <alignment horizontal="center" vertical="center"/>
    </xf>
    <xf numFmtId="9" fontId="3" fillId="3" borderId="4" xfId="2" applyFont="1" applyFill="1" applyBorder="1" applyAlignment="1">
      <alignment horizontal="center" vertical="center"/>
    </xf>
    <xf numFmtId="164" fontId="1" fillId="3" borderId="34" xfId="4" applyFont="1" applyFill="1" applyBorder="1" applyAlignment="1">
      <alignment horizontal="center" vertical="center"/>
    </xf>
    <xf numFmtId="166" fontId="1" fillId="3" borderId="1" xfId="3" applyFont="1" applyFill="1" applyBorder="1" applyAlignment="1">
      <alignment horizontal="left" vertical="center"/>
    </xf>
    <xf numFmtId="166" fontId="1" fillId="3" borderId="22" xfId="3" applyFont="1" applyFill="1" applyBorder="1" applyAlignment="1">
      <alignment horizontal="left" vertical="center"/>
    </xf>
    <xf numFmtId="164" fontId="3" fillId="3" borderId="33" xfId="4" applyFont="1" applyFill="1" applyBorder="1" applyAlignment="1">
      <alignment vertical="center"/>
    </xf>
    <xf numFmtId="9" fontId="3" fillId="3" borderId="34" xfId="2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left" vertical="center"/>
    </xf>
    <xf numFmtId="164" fontId="1" fillId="3" borderId="0" xfId="0" applyNumberFormat="1" applyFont="1" applyFill="1" applyAlignment="1">
      <alignment vertical="center"/>
    </xf>
    <xf numFmtId="3" fontId="3" fillId="2" borderId="1" xfId="0" applyNumberFormat="1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9" fontId="7" fillId="3" borderId="23" xfId="2" applyFont="1" applyFill="1" applyBorder="1"/>
    <xf numFmtId="9" fontId="7" fillId="3" borderId="33" xfId="2" applyFont="1" applyFill="1" applyBorder="1" applyAlignment="1">
      <alignment horizontal="center"/>
    </xf>
    <xf numFmtId="9" fontId="7" fillId="3" borderId="34" xfId="2" applyFont="1" applyFill="1" applyBorder="1"/>
    <xf numFmtId="0" fontId="15" fillId="3" borderId="46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2" fontId="17" fillId="3" borderId="19" xfId="0" applyNumberFormat="1" applyFont="1" applyFill="1" applyBorder="1" applyAlignment="1">
      <alignment horizontal="right" vertical="center"/>
    </xf>
    <xf numFmtId="2" fontId="21" fillId="3" borderId="19" xfId="0" applyNumberFormat="1" applyFont="1" applyFill="1" applyBorder="1" applyAlignment="1">
      <alignment horizontal="right" vertical="center"/>
    </xf>
    <xf numFmtId="2" fontId="17" fillId="3" borderId="34" xfId="0" applyNumberFormat="1" applyFont="1" applyFill="1" applyBorder="1" applyAlignment="1">
      <alignment horizontal="right" vertical="center"/>
    </xf>
    <xf numFmtId="0" fontId="16" fillId="3" borderId="13" xfId="0" applyFont="1" applyFill="1" applyBorder="1"/>
    <xf numFmtId="0" fontId="5" fillId="3" borderId="14" xfId="0" applyFont="1" applyFill="1" applyBorder="1"/>
    <xf numFmtId="0" fontId="16" fillId="3" borderId="40" xfId="0" applyFont="1" applyFill="1" applyBorder="1"/>
    <xf numFmtId="0" fontId="16" fillId="3" borderId="19" xfId="0" applyFont="1" applyFill="1" applyBorder="1"/>
    <xf numFmtId="0" fontId="16" fillId="3" borderId="22" xfId="0" applyFont="1" applyFill="1" applyBorder="1"/>
    <xf numFmtId="0" fontId="5" fillId="3" borderId="22" xfId="0" applyFont="1" applyFill="1" applyBorder="1"/>
    <xf numFmtId="0" fontId="5" fillId="3" borderId="19" xfId="0" applyFont="1" applyFill="1" applyBorder="1"/>
    <xf numFmtId="0" fontId="5" fillId="3" borderId="40" xfId="0" applyFont="1" applyFill="1" applyBorder="1"/>
    <xf numFmtId="0" fontId="5" fillId="3" borderId="41" xfId="0" applyFont="1" applyFill="1" applyBorder="1"/>
    <xf numFmtId="0" fontId="5" fillId="3" borderId="42" xfId="0" applyFont="1" applyFill="1" applyBorder="1"/>
    <xf numFmtId="0" fontId="5" fillId="3" borderId="43" xfId="0" applyFont="1" applyFill="1" applyBorder="1"/>
    <xf numFmtId="0" fontId="5" fillId="3" borderId="35" xfId="0" applyFont="1" applyFill="1" applyBorder="1"/>
    <xf numFmtId="0" fontId="5" fillId="3" borderId="36" xfId="0" applyFont="1" applyFill="1" applyBorder="1"/>
    <xf numFmtId="0" fontId="16" fillId="3" borderId="44" xfId="0" applyFont="1" applyFill="1" applyBorder="1"/>
    <xf numFmtId="168" fontId="16" fillId="3" borderId="41" xfId="0" applyNumberFormat="1" applyFont="1" applyFill="1" applyBorder="1"/>
    <xf numFmtId="0" fontId="16" fillId="3" borderId="45" xfId="0" applyFont="1" applyFill="1" applyBorder="1"/>
    <xf numFmtId="0" fontId="16" fillId="3" borderId="41" xfId="0" applyFont="1" applyFill="1" applyBorder="1"/>
    <xf numFmtId="0" fontId="7" fillId="3" borderId="41" xfId="0" applyFont="1" applyFill="1" applyBorder="1"/>
    <xf numFmtId="9" fontId="7" fillId="3" borderId="41" xfId="0" applyNumberFormat="1" applyFont="1" applyFill="1" applyBorder="1"/>
    <xf numFmtId="168" fontId="7" fillId="3" borderId="41" xfId="0" applyNumberFormat="1" applyFont="1" applyFill="1" applyBorder="1"/>
    <xf numFmtId="0" fontId="16" fillId="3" borderId="27" xfId="0" applyFont="1" applyFill="1" applyBorder="1"/>
    <xf numFmtId="168" fontId="7" fillId="3" borderId="30" xfId="0" applyNumberFormat="1" applyFont="1" applyFill="1" applyBorder="1"/>
    <xf numFmtId="0" fontId="6" fillId="3" borderId="47" xfId="0" applyFont="1" applyFill="1" applyBorder="1"/>
    <xf numFmtId="0" fontId="18" fillId="3" borderId="47" xfId="0" applyFont="1" applyFill="1" applyBorder="1" applyAlignment="1">
      <alignment horizontal="justify"/>
    </xf>
    <xf numFmtId="0" fontId="18" fillId="3" borderId="48" xfId="0" applyFont="1" applyFill="1" applyBorder="1" applyAlignment="1">
      <alignment horizontal="justify"/>
    </xf>
    <xf numFmtId="0" fontId="28" fillId="3" borderId="24" xfId="0" applyFont="1" applyFill="1" applyBorder="1" applyAlignment="1">
      <alignment horizontal="center" vertical="center"/>
    </xf>
    <xf numFmtId="0" fontId="28" fillId="3" borderId="25" xfId="0" applyFont="1" applyFill="1" applyBorder="1" applyAlignment="1">
      <alignment horizontal="center" vertical="center"/>
    </xf>
    <xf numFmtId="0" fontId="28" fillId="3" borderId="26" xfId="0" applyFont="1" applyFill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0" fontId="28" fillId="3" borderId="3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166" fontId="1" fillId="3" borderId="41" xfId="3" applyFont="1" applyFill="1" applyBorder="1" applyAlignment="1">
      <alignment horizontal="center" vertical="center"/>
    </xf>
    <xf numFmtId="166" fontId="1" fillId="3" borderId="49" xfId="3" applyFont="1" applyFill="1" applyBorder="1" applyAlignment="1">
      <alignment horizontal="center" vertical="center"/>
    </xf>
    <xf numFmtId="166" fontId="1" fillId="3" borderId="43" xfId="3" applyFont="1" applyFill="1" applyBorder="1" applyAlignment="1">
      <alignment horizontal="center" vertical="center"/>
    </xf>
    <xf numFmtId="166" fontId="1" fillId="3" borderId="13" xfId="3" applyFont="1" applyFill="1" applyBorder="1" applyAlignment="1">
      <alignment horizontal="left" vertical="center"/>
    </xf>
    <xf numFmtId="166" fontId="1" fillId="3" borderId="8" xfId="3" applyFont="1" applyFill="1" applyBorder="1" applyAlignment="1">
      <alignment horizontal="left" vertical="center"/>
    </xf>
    <xf numFmtId="166" fontId="1" fillId="3" borderId="9" xfId="3" applyFont="1" applyFill="1" applyBorder="1" applyAlignment="1">
      <alignment horizontal="left" vertical="center"/>
    </xf>
    <xf numFmtId="0" fontId="29" fillId="3" borderId="35" xfId="0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29" fillId="3" borderId="3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166" fontId="3" fillId="3" borderId="22" xfId="3" applyFont="1" applyFill="1" applyBorder="1" applyAlignment="1">
      <alignment horizontal="center" vertical="center"/>
    </xf>
    <xf numFmtId="166" fontId="3" fillId="3" borderId="1" xfId="3" applyFont="1" applyFill="1" applyBorder="1" applyAlignment="1">
      <alignment horizontal="center" vertical="center"/>
    </xf>
    <xf numFmtId="166" fontId="4" fillId="3" borderId="24" xfId="3" applyFont="1" applyFill="1" applyBorder="1" applyAlignment="1">
      <alignment horizontal="center" vertical="center"/>
    </xf>
    <xf numFmtId="166" fontId="4" fillId="3" borderId="25" xfId="3" applyFont="1" applyFill="1" applyBorder="1" applyAlignment="1">
      <alignment horizontal="center" vertical="center"/>
    </xf>
    <xf numFmtId="166" fontId="4" fillId="3" borderId="26" xfId="3" applyFont="1" applyFill="1" applyBorder="1" applyAlignment="1">
      <alignment horizontal="center" vertical="center"/>
    </xf>
    <xf numFmtId="166" fontId="4" fillId="3" borderId="20" xfId="3" applyFont="1" applyFill="1" applyBorder="1" applyAlignment="1">
      <alignment horizontal="center" vertical="center"/>
    </xf>
    <xf numFmtId="166" fontId="4" fillId="3" borderId="21" xfId="3" applyFont="1" applyFill="1" applyBorder="1" applyAlignment="1">
      <alignment horizontal="center" vertical="center"/>
    </xf>
    <xf numFmtId="166" fontId="4" fillId="3" borderId="11" xfId="3" applyFont="1" applyFill="1" applyBorder="1" applyAlignment="1">
      <alignment horizontal="center" vertical="center"/>
    </xf>
    <xf numFmtId="166" fontId="3" fillId="3" borderId="22" xfId="3" applyFont="1" applyFill="1" applyBorder="1" applyAlignment="1">
      <alignment horizontal="left" vertical="center"/>
    </xf>
    <xf numFmtId="166" fontId="3" fillId="3" borderId="1" xfId="3" applyFont="1" applyFill="1" applyBorder="1" applyAlignment="1">
      <alignment horizontal="left" vertical="center"/>
    </xf>
    <xf numFmtId="166" fontId="1" fillId="3" borderId="22" xfId="3" applyFont="1" applyFill="1" applyBorder="1" applyAlignment="1">
      <alignment horizontal="left" vertical="center"/>
    </xf>
    <xf numFmtId="166" fontId="1" fillId="3" borderId="1" xfId="3" applyFont="1" applyFill="1" applyBorder="1" applyAlignment="1">
      <alignment horizontal="left" vertical="center"/>
    </xf>
    <xf numFmtId="166" fontId="3" fillId="3" borderId="13" xfId="3" applyFont="1" applyFill="1" applyBorder="1" applyAlignment="1">
      <alignment horizontal="left" vertical="center"/>
    </xf>
    <xf numFmtId="166" fontId="3" fillId="3" borderId="8" xfId="3" applyFont="1" applyFill="1" applyBorder="1" applyAlignment="1">
      <alignment horizontal="left" vertical="center"/>
    </xf>
    <xf numFmtId="166" fontId="3" fillId="3" borderId="9" xfId="3" applyFont="1" applyFill="1" applyBorder="1" applyAlignment="1">
      <alignment horizontal="left" vertical="center"/>
    </xf>
    <xf numFmtId="166" fontId="26" fillId="3" borderId="0" xfId="3" applyFont="1" applyFill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37" xfId="0" applyFont="1" applyFill="1" applyBorder="1" applyAlignment="1">
      <alignment horizontal="left" vertical="center"/>
    </xf>
    <xf numFmtId="0" fontId="1" fillId="3" borderId="38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horizontal="left" vertical="center"/>
    </xf>
    <xf numFmtId="166" fontId="1" fillId="3" borderId="12" xfId="3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51" xfId="0" applyFont="1" applyFill="1" applyBorder="1" applyAlignment="1">
      <alignment horizontal="left" vertical="center"/>
    </xf>
    <xf numFmtId="166" fontId="3" fillId="3" borderId="37" xfId="3" applyFont="1" applyFill="1" applyBorder="1" applyAlignment="1">
      <alignment horizontal="right" vertical="center"/>
    </xf>
    <xf numFmtId="166" fontId="3" fillId="3" borderId="38" xfId="3" applyFont="1" applyFill="1" applyBorder="1" applyAlignment="1">
      <alignment horizontal="right" vertical="center"/>
    </xf>
    <xf numFmtId="166" fontId="3" fillId="3" borderId="50" xfId="3" applyFont="1" applyFill="1" applyBorder="1" applyAlignment="1">
      <alignment horizontal="right" vertical="center"/>
    </xf>
    <xf numFmtId="166" fontId="26" fillId="3" borderId="0" xfId="3" applyFont="1" applyFill="1" applyAlignment="1">
      <alignment horizontal="right" vertical="center"/>
    </xf>
    <xf numFmtId="166" fontId="3" fillId="3" borderId="37" xfId="3" applyFont="1" applyFill="1" applyBorder="1" applyAlignment="1">
      <alignment horizontal="center" vertical="center"/>
    </xf>
    <xf numFmtId="166" fontId="3" fillId="3" borderId="38" xfId="3" applyFont="1" applyFill="1" applyBorder="1" applyAlignment="1">
      <alignment horizontal="center" vertical="center"/>
    </xf>
    <xf numFmtId="166" fontId="3" fillId="3" borderId="50" xfId="3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15" fillId="3" borderId="20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/>
    </xf>
    <xf numFmtId="0" fontId="15" fillId="3" borderId="39" xfId="0" applyFont="1" applyFill="1" applyBorder="1" applyAlignment="1">
      <alignment horizontal="center"/>
    </xf>
    <xf numFmtId="0" fontId="6" fillId="3" borderId="0" xfId="0" applyFont="1" applyFill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9" fontId="7" fillId="3" borderId="20" xfId="2" applyFont="1" applyFill="1" applyBorder="1" applyAlignment="1">
      <alignment horizontal="center"/>
    </xf>
    <xf numFmtId="9" fontId="7" fillId="3" borderId="21" xfId="2" applyFont="1" applyFill="1" applyBorder="1" applyAlignment="1">
      <alignment horizontal="center"/>
    </xf>
    <xf numFmtId="9" fontId="7" fillId="3" borderId="11" xfId="2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</cellXfs>
  <cellStyles count="6">
    <cellStyle name="Hyperlink" xfId="1" builtinId="8"/>
    <cellStyle name="Moeda" xfId="4" builtinId="4"/>
    <cellStyle name="Normal" xfId="0" builtinId="0"/>
    <cellStyle name="Normal 2" xfId="5"/>
    <cellStyle name="Porcentagem" xfId="2" builtinId="5"/>
    <cellStyle name="Separador de milhares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6</xdr:row>
      <xdr:rowOff>28575</xdr:rowOff>
    </xdr:from>
    <xdr:to>
      <xdr:col>1</xdr:col>
      <xdr:colOff>1419225</xdr:colOff>
      <xdr:row>8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9</xdr:row>
      <xdr:rowOff>9525</xdr:rowOff>
    </xdr:from>
    <xdr:to>
      <xdr:col>1</xdr:col>
      <xdr:colOff>2124075</xdr:colOff>
      <xdr:row>11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F316"/>
  <sheetViews>
    <sheetView tabSelected="1" zoomScaleNormal="100" zoomScaleSheetLayoutView="100" workbookViewId="0">
      <selection activeCell="D270" sqref="D270"/>
    </sheetView>
  </sheetViews>
  <sheetFormatPr defaultRowHeight="12.75"/>
  <cols>
    <col min="1" max="1" width="3.7109375" style="79" customWidth="1"/>
    <col min="2" max="2" width="44.5703125" style="79" customWidth="1"/>
    <col min="3" max="3" width="16" style="79" bestFit="1" customWidth="1"/>
    <col min="4" max="4" width="11.85546875" style="79" customWidth="1"/>
    <col min="5" max="5" width="14.7109375" style="92" customWidth="1"/>
    <col min="6" max="6" width="15.42578125" style="92" customWidth="1"/>
    <col min="7" max="7" width="13.28515625" style="93" customWidth="1"/>
    <col min="8" max="8" width="28.140625" style="92" hidden="1" customWidth="1"/>
    <col min="9" max="9" width="0" style="79" hidden="1" customWidth="1"/>
    <col min="10" max="10" width="14.5703125" style="79" hidden="1" customWidth="1"/>
    <col min="11" max="11" width="13.42578125" style="79" hidden="1" customWidth="1"/>
    <col min="12" max="19" width="0" style="79" hidden="1" customWidth="1"/>
    <col min="20" max="20" width="4" style="79" customWidth="1"/>
    <col min="21" max="21" width="0" style="79" hidden="1" customWidth="1"/>
    <col min="22" max="22" width="14.140625" style="79" hidden="1" customWidth="1"/>
    <col min="23" max="29" width="0" style="79" hidden="1" customWidth="1"/>
    <col min="30" max="31" width="9.140625" style="79"/>
    <col min="32" max="32" width="13.28515625" style="79" bestFit="1" customWidth="1"/>
    <col min="33" max="16384" width="9.140625" style="79"/>
  </cols>
  <sheetData>
    <row r="1" spans="2:8" ht="19.5" customHeight="1"/>
    <row r="2" spans="2:8" ht="13.5" thickBot="1">
      <c r="B2" s="131"/>
      <c r="C2" s="131"/>
      <c r="D2" s="131"/>
      <c r="E2" s="131"/>
      <c r="F2" s="131"/>
      <c r="G2" s="132"/>
    </row>
    <row r="3" spans="2:8" ht="15" customHeight="1">
      <c r="B3" s="239"/>
      <c r="C3" s="240"/>
      <c r="D3" s="240"/>
      <c r="E3" s="240"/>
      <c r="F3" s="240"/>
      <c r="G3" s="241"/>
    </row>
    <row r="4" spans="2:8" ht="15" customHeight="1">
      <c r="B4" s="242" t="s">
        <v>306</v>
      </c>
      <c r="C4" s="243"/>
      <c r="D4" s="243"/>
      <c r="E4" s="243"/>
      <c r="F4" s="243"/>
      <c r="G4" s="244"/>
    </row>
    <row r="5" spans="2:8" ht="16.5" customHeight="1">
      <c r="B5" s="242" t="s">
        <v>313</v>
      </c>
      <c r="C5" s="243"/>
      <c r="D5" s="243"/>
      <c r="E5" s="243"/>
      <c r="F5" s="243"/>
      <c r="G5" s="244"/>
    </row>
    <row r="6" spans="2:8" s="51" customFormat="1" ht="18">
      <c r="B6" s="253" t="s">
        <v>232</v>
      </c>
      <c r="C6" s="254"/>
      <c r="D6" s="254"/>
      <c r="E6" s="254"/>
      <c r="F6" s="254"/>
      <c r="G6" s="255"/>
      <c r="H6" s="50"/>
    </row>
    <row r="7" spans="2:8" s="51" customFormat="1" ht="21.75" customHeight="1" thickBot="1">
      <c r="B7" s="256" t="s">
        <v>43</v>
      </c>
      <c r="C7" s="257"/>
      <c r="D7" s="257"/>
      <c r="E7" s="257"/>
      <c r="F7" s="257"/>
      <c r="G7" s="258"/>
      <c r="H7" s="50"/>
    </row>
    <row r="8" spans="2:8" ht="15.75" customHeight="1">
      <c r="B8" s="261" t="s">
        <v>206</v>
      </c>
      <c r="C8" s="262"/>
      <c r="D8" s="262"/>
      <c r="E8" s="262"/>
      <c r="F8" s="262"/>
      <c r="G8" s="263"/>
    </row>
    <row r="9" spans="2:8" ht="15.75" customHeight="1">
      <c r="B9" s="259" t="s">
        <v>205</v>
      </c>
      <c r="C9" s="260"/>
      <c r="D9" s="260"/>
      <c r="E9" s="260"/>
      <c r="F9" s="125" t="s">
        <v>38</v>
      </c>
      <c r="G9" s="130" t="s">
        <v>2</v>
      </c>
    </row>
    <row r="10" spans="2:8" ht="15.75" customHeight="1">
      <c r="B10" s="259" t="str">
        <f>B45</f>
        <v>1. Mão-de-obra</v>
      </c>
      <c r="C10" s="260"/>
      <c r="D10" s="260"/>
      <c r="E10" s="260"/>
      <c r="F10" s="69"/>
      <c r="G10" s="70"/>
    </row>
    <row r="11" spans="2:8" ht="15.75" customHeight="1">
      <c r="B11" s="269" t="str">
        <f>B46</f>
        <v>1.1. Coletor Turno Dia</v>
      </c>
      <c r="C11" s="270"/>
      <c r="D11" s="270"/>
      <c r="E11" s="270"/>
      <c r="F11" s="134"/>
      <c r="G11" s="135"/>
    </row>
    <row r="12" spans="2:8" ht="15.75" hidden="1" customHeight="1">
      <c r="B12" s="196" t="str">
        <f>B59</f>
        <v>1.2. Coletor Turno Noite</v>
      </c>
      <c r="C12" s="199"/>
      <c r="D12" s="195"/>
      <c r="E12" s="195"/>
      <c r="F12" s="134"/>
      <c r="G12" s="135"/>
    </row>
    <row r="13" spans="2:8" ht="15.75" customHeight="1">
      <c r="B13" s="250" t="str">
        <f>B78</f>
        <v>1.2. Motorista Turno do Dia</v>
      </c>
      <c r="C13" s="251"/>
      <c r="D13" s="251"/>
      <c r="E13" s="252"/>
      <c r="F13" s="134"/>
      <c r="G13" s="135"/>
    </row>
    <row r="14" spans="2:8" ht="15.75" customHeight="1">
      <c r="B14" s="250" t="str">
        <f>B129</f>
        <v>1.3. Auxílio Alimentação (mensal)</v>
      </c>
      <c r="C14" s="251"/>
      <c r="D14" s="251"/>
      <c r="E14" s="252"/>
      <c r="F14" s="134"/>
      <c r="G14" s="135"/>
    </row>
    <row r="15" spans="2:8" ht="15.75" customHeight="1">
      <c r="B15" s="271" t="str">
        <f>B137</f>
        <v>2. Uniformes e Equipamentos de Proteção Individual</v>
      </c>
      <c r="C15" s="272"/>
      <c r="D15" s="272"/>
      <c r="E15" s="273"/>
      <c r="F15" s="69"/>
      <c r="G15" s="70"/>
    </row>
    <row r="16" spans="2:8" ht="15.75" customHeight="1">
      <c r="B16" s="271" t="str">
        <f>B169</f>
        <v>3. Veículos e Equipamentos</v>
      </c>
      <c r="C16" s="272"/>
      <c r="D16" s="272"/>
      <c r="E16" s="273"/>
      <c r="F16" s="69"/>
      <c r="G16" s="70"/>
    </row>
    <row r="17" spans="2:7" ht="15.75" customHeight="1">
      <c r="B17" s="250" t="str">
        <f>B170</f>
        <v>3.1. Veículo Coletor Compactador 15 m³</v>
      </c>
      <c r="C17" s="251"/>
      <c r="D17" s="251"/>
      <c r="E17" s="252"/>
      <c r="F17" s="134"/>
      <c r="G17" s="135"/>
    </row>
    <row r="18" spans="2:7" ht="15.75" customHeight="1">
      <c r="B18" s="250" t="str">
        <f>B171</f>
        <v>3.1.1. Depreciação</v>
      </c>
      <c r="C18" s="251"/>
      <c r="D18" s="251"/>
      <c r="E18" s="252"/>
      <c r="F18" s="134"/>
      <c r="G18" s="135"/>
    </row>
    <row r="19" spans="2:7">
      <c r="B19" s="250" t="str">
        <f>B187</f>
        <v>3.1.2. Remuneração do Capital</v>
      </c>
      <c r="C19" s="251"/>
      <c r="D19" s="251"/>
      <c r="E19" s="252"/>
      <c r="F19" s="134"/>
      <c r="G19" s="135"/>
    </row>
    <row r="20" spans="2:7" ht="15.75" customHeight="1">
      <c r="B20" s="250" t="str">
        <f>B203</f>
        <v>3.1.3. Impostos e Seguros</v>
      </c>
      <c r="C20" s="251"/>
      <c r="D20" s="251"/>
      <c r="E20" s="252"/>
      <c r="F20" s="134"/>
      <c r="G20" s="135"/>
    </row>
    <row r="21" spans="2:7" ht="15.75" customHeight="1">
      <c r="B21" s="250" t="str">
        <f>B211</f>
        <v>3.1.4. Consumos</v>
      </c>
      <c r="C21" s="251"/>
      <c r="D21" s="251"/>
      <c r="E21" s="252"/>
      <c r="F21" s="134"/>
      <c r="G21" s="135"/>
    </row>
    <row r="22" spans="2:7" ht="15.75" customHeight="1">
      <c r="B22" s="250" t="str">
        <f>B227</f>
        <v>3.1.5. Manutenção</v>
      </c>
      <c r="C22" s="251"/>
      <c r="D22" s="251"/>
      <c r="E22" s="252"/>
      <c r="F22" s="134"/>
      <c r="G22" s="135"/>
    </row>
    <row r="23" spans="2:7" ht="15.75" customHeight="1">
      <c r="B23" s="250" t="str">
        <f>B233</f>
        <v>3.1.6. Pneus</v>
      </c>
      <c r="C23" s="251"/>
      <c r="D23" s="251"/>
      <c r="E23" s="252"/>
      <c r="F23" s="134"/>
      <c r="G23" s="135"/>
    </row>
    <row r="24" spans="2:7" ht="14.25" customHeight="1">
      <c r="B24" s="271" t="str">
        <f>B244</f>
        <v>4. Ferramentas e Materiais de Consumo</v>
      </c>
      <c r="C24" s="272"/>
      <c r="D24" s="272"/>
      <c r="E24" s="273"/>
      <c r="F24" s="69"/>
      <c r="G24" s="70"/>
    </row>
    <row r="25" spans="2:7">
      <c r="B25" s="271" t="str">
        <f>B255</f>
        <v>5. Monitoramento da Frota</v>
      </c>
      <c r="C25" s="272"/>
      <c r="D25" s="272"/>
      <c r="E25" s="273"/>
      <c r="F25" s="69"/>
      <c r="G25" s="70"/>
    </row>
    <row r="26" spans="2:7">
      <c r="B26" s="271" t="str">
        <f>B267</f>
        <v>6. Benefícios e Despesas Indiretas - BDI</v>
      </c>
      <c r="C26" s="272"/>
      <c r="D26" s="272"/>
      <c r="E26" s="273"/>
      <c r="F26" s="69"/>
      <c r="G26" s="70"/>
    </row>
    <row r="27" spans="2:7">
      <c r="B27" s="267" t="str">
        <f>B277</f>
        <v>7. Destinação Final do Lixo R$ (mês)</v>
      </c>
      <c r="C27" s="268"/>
      <c r="D27" s="268"/>
      <c r="E27" s="268"/>
      <c r="F27" s="69"/>
      <c r="G27" s="70"/>
    </row>
    <row r="28" spans="2:7" ht="15.75" customHeight="1" thickBot="1">
      <c r="B28" s="291" t="s">
        <v>253</v>
      </c>
      <c r="C28" s="292"/>
      <c r="D28" s="292"/>
      <c r="E28" s="293"/>
      <c r="F28" s="197"/>
      <c r="G28" s="198"/>
    </row>
    <row r="30" spans="2:7" ht="13.5" thickBot="1"/>
    <row r="31" spans="2:7" ht="15" customHeight="1">
      <c r="B31" s="264" t="s">
        <v>98</v>
      </c>
      <c r="C31" s="265"/>
      <c r="D31" s="265"/>
      <c r="E31" s="265"/>
      <c r="F31" s="266"/>
    </row>
    <row r="32" spans="2:7" ht="15" customHeight="1">
      <c r="B32" s="259" t="s">
        <v>39</v>
      </c>
      <c r="C32" s="260"/>
      <c r="D32" s="260"/>
      <c r="E32" s="260"/>
      <c r="F32" s="71" t="s">
        <v>40</v>
      </c>
    </row>
    <row r="33" spans="2:8" ht="15" customHeight="1">
      <c r="B33" s="250" t="str">
        <f>+B46</f>
        <v>1.1. Coletor Turno Dia</v>
      </c>
      <c r="C33" s="251"/>
      <c r="D33" s="251"/>
      <c r="E33" s="252"/>
      <c r="F33" s="136">
        <v>2</v>
      </c>
    </row>
    <row r="34" spans="2:8" ht="15" customHeight="1">
      <c r="B34" s="250" t="str">
        <f>+B59</f>
        <v>1.2. Coletor Turno Noite</v>
      </c>
      <c r="C34" s="251"/>
      <c r="D34" s="251"/>
      <c r="E34" s="252"/>
      <c r="F34" s="136">
        <f>D75</f>
        <v>0</v>
      </c>
    </row>
    <row r="35" spans="2:8" ht="15" customHeight="1">
      <c r="B35" s="250" t="str">
        <f>+B78</f>
        <v>1.2. Motorista Turno do Dia</v>
      </c>
      <c r="C35" s="251"/>
      <c r="D35" s="251"/>
      <c r="E35" s="252"/>
      <c r="F35" s="136">
        <v>1</v>
      </c>
    </row>
    <row r="36" spans="2:8" ht="15" customHeight="1">
      <c r="B36" s="250" t="str">
        <f>+B93</f>
        <v>1.4. Motorista Turno Noite</v>
      </c>
      <c r="C36" s="251"/>
      <c r="D36" s="251"/>
      <c r="E36" s="252"/>
      <c r="F36" s="136">
        <f>D111</f>
        <v>0</v>
      </c>
    </row>
    <row r="37" spans="2:8" ht="15" customHeight="1" thickBot="1">
      <c r="B37" s="291" t="s">
        <v>59</v>
      </c>
      <c r="C37" s="292"/>
      <c r="D37" s="292"/>
      <c r="E37" s="293"/>
      <c r="F37" s="72">
        <f>SUM(F33:F36)</f>
        <v>3</v>
      </c>
    </row>
    <row r="38" spans="2:8" s="139" customFormat="1" ht="15" customHeight="1" thickBot="1">
      <c r="B38" s="133"/>
      <c r="C38" s="131"/>
      <c r="D38" s="133"/>
      <c r="E38" s="133"/>
      <c r="F38" s="133"/>
      <c r="G38" s="138"/>
      <c r="H38" s="133"/>
    </row>
    <row r="39" spans="2:8" ht="15" customHeight="1">
      <c r="B39" s="275" t="s">
        <v>56</v>
      </c>
      <c r="C39" s="276"/>
      <c r="D39" s="276"/>
      <c r="E39" s="276"/>
      <c r="F39" s="140" t="s">
        <v>40</v>
      </c>
      <c r="G39" s="141"/>
    </row>
    <row r="40" spans="2:8" ht="15" customHeight="1" thickBot="1">
      <c r="B40" s="142" t="str">
        <f>+B170</f>
        <v>3.1. Veículo Coletor Compactador 15 m³</v>
      </c>
      <c r="C40" s="143"/>
      <c r="D40" s="143"/>
      <c r="E40" s="144"/>
      <c r="F40" s="137">
        <v>1</v>
      </c>
      <c r="G40" s="141"/>
    </row>
    <row r="41" spans="2:8" ht="15" customHeight="1" thickBot="1">
      <c r="B41" s="133"/>
      <c r="C41" s="133"/>
      <c r="D41" s="133"/>
      <c r="E41" s="139"/>
      <c r="F41" s="145"/>
      <c r="G41" s="141"/>
    </row>
    <row r="42" spans="2:8" ht="15.75" customHeight="1" thickBot="1">
      <c r="B42" s="73" t="s">
        <v>200</v>
      </c>
      <c r="C42" s="193">
        <v>1</v>
      </c>
      <c r="D42" s="133"/>
      <c r="E42" s="139"/>
      <c r="F42" s="146"/>
      <c r="G42" s="141"/>
    </row>
    <row r="43" spans="2:8" ht="15.75" customHeight="1">
      <c r="B43" s="133"/>
      <c r="C43" s="133"/>
      <c r="D43" s="133"/>
      <c r="E43" s="139"/>
      <c r="F43" s="146"/>
      <c r="G43" s="141"/>
    </row>
    <row r="44" spans="2:8" ht="15.75" customHeight="1">
      <c r="B44" s="133"/>
      <c r="C44" s="133"/>
      <c r="D44" s="133"/>
      <c r="E44" s="139"/>
      <c r="F44" s="146"/>
      <c r="G44" s="141"/>
    </row>
    <row r="45" spans="2:8" ht="13.15" customHeight="1">
      <c r="B45" s="52" t="s">
        <v>47</v>
      </c>
    </row>
    <row r="46" spans="2:8" ht="13.9" customHeight="1" thickBot="1">
      <c r="B46" s="52" t="s">
        <v>101</v>
      </c>
    </row>
    <row r="47" spans="2:8" ht="13.9" customHeight="1">
      <c r="B47" s="147" t="s">
        <v>64</v>
      </c>
      <c r="C47" s="148" t="s">
        <v>65</v>
      </c>
      <c r="D47" s="148" t="s">
        <v>40</v>
      </c>
      <c r="E47" s="149" t="s">
        <v>249</v>
      </c>
      <c r="F47" s="149" t="s">
        <v>66</v>
      </c>
      <c r="G47" s="150" t="s">
        <v>316</v>
      </c>
    </row>
    <row r="48" spans="2:8" ht="13.15" customHeight="1">
      <c r="B48" s="85" t="s">
        <v>222</v>
      </c>
      <c r="C48" s="151" t="s">
        <v>8</v>
      </c>
      <c r="D48" s="151"/>
      <c r="E48" s="152"/>
      <c r="F48" s="152"/>
      <c r="G48" s="247"/>
    </row>
    <row r="49" spans="2:8">
      <c r="B49" s="85" t="s">
        <v>34</v>
      </c>
      <c r="C49" s="151" t="s">
        <v>0</v>
      </c>
      <c r="D49" s="153"/>
      <c r="E49" s="152"/>
      <c r="F49" s="152"/>
      <c r="G49" s="248"/>
      <c r="H49" s="92" t="s">
        <v>264</v>
      </c>
    </row>
    <row r="50" spans="2:8" ht="13.15" customHeight="1">
      <c r="B50" s="85" t="s">
        <v>35</v>
      </c>
      <c r="C50" s="151" t="s">
        <v>0</v>
      </c>
      <c r="D50" s="153"/>
      <c r="E50" s="152"/>
      <c r="F50" s="152"/>
      <c r="G50" s="248"/>
      <c r="H50" s="92" t="s">
        <v>266</v>
      </c>
    </row>
    <row r="51" spans="2:8" ht="13.15" customHeight="1">
      <c r="B51" s="85" t="s">
        <v>229</v>
      </c>
      <c r="C51" s="151" t="s">
        <v>33</v>
      </c>
      <c r="D51" s="87"/>
      <c r="E51" s="152"/>
      <c r="F51" s="152"/>
      <c r="G51" s="248"/>
      <c r="H51" s="92" t="s">
        <v>228</v>
      </c>
    </row>
    <row r="52" spans="2:8">
      <c r="B52" s="85" t="s">
        <v>1</v>
      </c>
      <c r="C52" s="151" t="s">
        <v>2</v>
      </c>
      <c r="D52" s="151"/>
      <c r="E52" s="152"/>
      <c r="F52" s="152"/>
      <c r="G52" s="248"/>
    </row>
    <row r="53" spans="2:8">
      <c r="B53" s="85" t="s">
        <v>3</v>
      </c>
      <c r="C53" s="151"/>
      <c r="D53" s="151"/>
      <c r="E53" s="154"/>
      <c r="F53" s="152"/>
      <c r="G53" s="248"/>
    </row>
    <row r="54" spans="2:8">
      <c r="B54" s="85" t="s">
        <v>4</v>
      </c>
      <c r="C54" s="151" t="s">
        <v>2</v>
      </c>
      <c r="D54" s="154"/>
      <c r="E54" s="152"/>
      <c r="F54" s="152"/>
      <c r="G54" s="248"/>
    </row>
    <row r="55" spans="2:8">
      <c r="B55" s="85" t="s">
        <v>72</v>
      </c>
      <c r="C55" s="151"/>
      <c r="D55" s="151"/>
      <c r="E55" s="152"/>
      <c r="F55" s="152"/>
      <c r="G55" s="248"/>
    </row>
    <row r="56" spans="2:8">
      <c r="B56" s="85" t="s">
        <v>5</v>
      </c>
      <c r="C56" s="151" t="s">
        <v>6</v>
      </c>
      <c r="D56" s="151"/>
      <c r="E56" s="152"/>
      <c r="F56" s="152"/>
      <c r="G56" s="249"/>
    </row>
    <row r="57" spans="2:8" ht="13.9" customHeight="1" thickBot="1">
      <c r="B57" s="287" t="s">
        <v>199</v>
      </c>
      <c r="C57" s="288"/>
      <c r="D57" s="288"/>
      <c r="E57" s="289"/>
      <c r="F57" s="75"/>
      <c r="G57" s="76">
        <f>F56*F57</f>
        <v>0</v>
      </c>
    </row>
    <row r="58" spans="2:8" ht="10.5" customHeight="1"/>
    <row r="59" spans="2:8" hidden="1">
      <c r="B59" s="79" t="s">
        <v>90</v>
      </c>
    </row>
    <row r="60" spans="2:8" ht="13.5" hidden="1" thickBot="1">
      <c r="B60" s="155" t="s">
        <v>64</v>
      </c>
      <c r="C60" s="156" t="s">
        <v>65</v>
      </c>
      <c r="D60" s="156" t="s">
        <v>40</v>
      </c>
      <c r="E60" s="157" t="s">
        <v>249</v>
      </c>
      <c r="F60" s="157" t="s">
        <v>66</v>
      </c>
      <c r="G60" s="158" t="s">
        <v>316</v>
      </c>
    </row>
    <row r="61" spans="2:8" hidden="1">
      <c r="B61" s="86" t="s">
        <v>222</v>
      </c>
      <c r="C61" s="159" t="s">
        <v>8</v>
      </c>
      <c r="D61" s="159"/>
      <c r="E61" s="160"/>
      <c r="F61" s="160">
        <f>D61*E61</f>
        <v>0</v>
      </c>
    </row>
    <row r="62" spans="2:8" hidden="1">
      <c r="B62" s="87" t="s">
        <v>7</v>
      </c>
      <c r="C62" s="151" t="s">
        <v>99</v>
      </c>
      <c r="D62" s="153"/>
      <c r="E62" s="154"/>
      <c r="F62" s="154"/>
    </row>
    <row r="63" spans="2:8" hidden="1">
      <c r="B63" s="87"/>
      <c r="C63" s="151" t="s">
        <v>103</v>
      </c>
      <c r="D63" s="161">
        <f>D62*8/7</f>
        <v>0</v>
      </c>
      <c r="E63" s="154">
        <f>E61/220*0.2</f>
        <v>0</v>
      </c>
      <c r="F63" s="154">
        <f>D62*E63</f>
        <v>0</v>
      </c>
    </row>
    <row r="64" spans="2:8" hidden="1">
      <c r="B64" s="87" t="s">
        <v>34</v>
      </c>
      <c r="C64" s="151" t="s">
        <v>0</v>
      </c>
      <c r="D64" s="153"/>
      <c r="E64" s="154">
        <f>E61/220*2</f>
        <v>0</v>
      </c>
      <c r="F64" s="154">
        <f>D64*E64</f>
        <v>0</v>
      </c>
      <c r="H64" s="92" t="s">
        <v>264</v>
      </c>
    </row>
    <row r="65" spans="2:8" hidden="1">
      <c r="B65" s="87" t="s">
        <v>100</v>
      </c>
      <c r="C65" s="151" t="s">
        <v>99</v>
      </c>
      <c r="D65" s="153"/>
      <c r="E65" s="154"/>
      <c r="F65" s="154"/>
      <c r="H65" s="92" t="s">
        <v>265</v>
      </c>
    </row>
    <row r="66" spans="2:8" hidden="1">
      <c r="B66" s="87"/>
      <c r="C66" s="151" t="s">
        <v>103</v>
      </c>
      <c r="D66" s="161">
        <f>D65*8/7</f>
        <v>0</v>
      </c>
      <c r="E66" s="154">
        <f>E61/220*2*1.2</f>
        <v>0</v>
      </c>
      <c r="F66" s="154">
        <f>D66*E66</f>
        <v>0</v>
      </c>
      <c r="H66" s="92" t="s">
        <v>265</v>
      </c>
    </row>
    <row r="67" spans="2:8" hidden="1">
      <c r="B67" s="87" t="s">
        <v>35</v>
      </c>
      <c r="C67" s="151" t="s">
        <v>0</v>
      </c>
      <c r="D67" s="153"/>
      <c r="E67" s="154">
        <f>E61/220*1.5</f>
        <v>0</v>
      </c>
      <c r="F67" s="154">
        <f>D67*E67</f>
        <v>0</v>
      </c>
      <c r="H67" s="92" t="s">
        <v>266</v>
      </c>
    </row>
    <row r="68" spans="2:8" hidden="1">
      <c r="B68" s="87" t="s">
        <v>227</v>
      </c>
      <c r="C68" s="151" t="s">
        <v>99</v>
      </c>
      <c r="D68" s="153"/>
      <c r="E68" s="154"/>
      <c r="F68" s="154"/>
      <c r="H68" s="92" t="s">
        <v>267</v>
      </c>
    </row>
    <row r="69" spans="2:8" hidden="1">
      <c r="B69" s="87"/>
      <c r="C69" s="151" t="s">
        <v>103</v>
      </c>
      <c r="D69" s="154">
        <f>D68*8/7</f>
        <v>0</v>
      </c>
      <c r="E69" s="154">
        <f>E61/220*1.5*1.2</f>
        <v>0</v>
      </c>
      <c r="F69" s="154">
        <f>D69*E69</f>
        <v>0</v>
      </c>
      <c r="H69" s="92" t="s">
        <v>267</v>
      </c>
    </row>
    <row r="70" spans="2:8" ht="12.75" hidden="1" customHeight="1">
      <c r="B70" s="87" t="s">
        <v>229</v>
      </c>
      <c r="C70" s="151" t="s">
        <v>33</v>
      </c>
      <c r="E70" s="154">
        <f>63/302*(SUM(F64:F69))</f>
        <v>0</v>
      </c>
      <c r="F70" s="154">
        <f>E70</f>
        <v>0</v>
      </c>
      <c r="H70" s="92" t="s">
        <v>228</v>
      </c>
    </row>
    <row r="71" spans="2:8" hidden="1">
      <c r="B71" s="87" t="s">
        <v>1</v>
      </c>
      <c r="C71" s="151" t="s">
        <v>2</v>
      </c>
      <c r="D71" s="151">
        <f>+D52</f>
        <v>0</v>
      </c>
      <c r="E71" s="154">
        <f>SUM(F61:F70)</f>
        <v>0</v>
      </c>
      <c r="F71" s="154">
        <f>D71*E71/100</f>
        <v>0</v>
      </c>
    </row>
    <row r="72" spans="2:8" hidden="1">
      <c r="B72" s="162" t="s">
        <v>3</v>
      </c>
      <c r="C72" s="141"/>
      <c r="D72" s="141"/>
      <c r="E72" s="93"/>
      <c r="F72" s="163">
        <f>SUM(F61:F71)</f>
        <v>0</v>
      </c>
    </row>
    <row r="73" spans="2:8" hidden="1">
      <c r="B73" s="87" t="s">
        <v>4</v>
      </c>
      <c r="C73" s="151" t="s">
        <v>2</v>
      </c>
      <c r="D73" s="154">
        <f>'2.Encargos Sociais'!$D$34*100</f>
        <v>74.95</v>
      </c>
      <c r="E73" s="154">
        <f>F72</f>
        <v>0</v>
      </c>
      <c r="F73" s="154">
        <f>E73*D73/100</f>
        <v>0</v>
      </c>
    </row>
    <row r="74" spans="2:8" hidden="1">
      <c r="B74" s="162" t="s">
        <v>72</v>
      </c>
      <c r="C74" s="141"/>
      <c r="D74" s="141"/>
      <c r="E74" s="93"/>
      <c r="F74" s="163">
        <f>F72+F73</f>
        <v>0</v>
      </c>
    </row>
    <row r="75" spans="2:8" hidden="1">
      <c r="B75" s="87" t="s">
        <v>5</v>
      </c>
      <c r="C75" s="151" t="s">
        <v>6</v>
      </c>
      <c r="D75" s="151"/>
      <c r="E75" s="154">
        <f>F74</f>
        <v>0</v>
      </c>
      <c r="F75" s="154">
        <f>D75*E75</f>
        <v>0</v>
      </c>
    </row>
    <row r="76" spans="2:8" ht="13.5" hidden="1" thickBot="1">
      <c r="E76" s="164" t="s">
        <v>199</v>
      </c>
      <c r="F76" s="165">
        <f>$C$42</f>
        <v>1</v>
      </c>
      <c r="G76" s="166">
        <f>F75*F76</f>
        <v>0</v>
      </c>
    </row>
    <row r="77" spans="2:8" ht="11.25" hidden="1" customHeight="1"/>
    <row r="78" spans="2:8" ht="13.5" thickBot="1">
      <c r="B78" s="52" t="s">
        <v>307</v>
      </c>
    </row>
    <row r="79" spans="2:8" s="53" customFormat="1" ht="12.75" customHeight="1">
      <c r="B79" s="147" t="s">
        <v>64</v>
      </c>
      <c r="C79" s="148" t="s">
        <v>65</v>
      </c>
      <c r="D79" s="148" t="s">
        <v>40</v>
      </c>
      <c r="E79" s="149" t="s">
        <v>249</v>
      </c>
      <c r="F79" s="149" t="s">
        <v>66</v>
      </c>
      <c r="G79" s="150" t="s">
        <v>316</v>
      </c>
      <c r="H79" s="92"/>
    </row>
    <row r="80" spans="2:8">
      <c r="B80" s="85" t="s">
        <v>225</v>
      </c>
      <c r="C80" s="151" t="s">
        <v>8</v>
      </c>
      <c r="D80" s="151"/>
      <c r="E80" s="152"/>
      <c r="F80" s="152"/>
      <c r="G80" s="247"/>
    </row>
    <row r="81" spans="2:8">
      <c r="B81" s="85" t="s">
        <v>226</v>
      </c>
      <c r="C81" s="151" t="s">
        <v>8</v>
      </c>
      <c r="D81" s="151"/>
      <c r="E81" s="152"/>
      <c r="F81" s="152"/>
      <c r="G81" s="248"/>
    </row>
    <row r="82" spans="2:8">
      <c r="B82" s="85" t="s">
        <v>34</v>
      </c>
      <c r="C82" s="151" t="s">
        <v>0</v>
      </c>
      <c r="D82" s="153"/>
      <c r="E82" s="152"/>
      <c r="F82" s="152"/>
      <c r="G82" s="248"/>
      <c r="H82" s="92" t="s">
        <v>264</v>
      </c>
    </row>
    <row r="83" spans="2:8">
      <c r="B83" s="85" t="s">
        <v>35</v>
      </c>
      <c r="C83" s="151" t="s">
        <v>0</v>
      </c>
      <c r="D83" s="153"/>
      <c r="E83" s="152"/>
      <c r="F83" s="152"/>
      <c r="G83" s="248"/>
      <c r="H83" s="92" t="s">
        <v>266</v>
      </c>
    </row>
    <row r="84" spans="2:8" ht="13.15" customHeight="1">
      <c r="B84" s="85" t="s">
        <v>229</v>
      </c>
      <c r="C84" s="151" t="s">
        <v>33</v>
      </c>
      <c r="D84" s="87"/>
      <c r="E84" s="152"/>
      <c r="F84" s="152"/>
      <c r="G84" s="248"/>
      <c r="H84" s="92" t="s">
        <v>228</v>
      </c>
    </row>
    <row r="85" spans="2:8">
      <c r="B85" s="85" t="s">
        <v>224</v>
      </c>
      <c r="C85" s="151"/>
      <c r="D85" s="167"/>
      <c r="E85" s="152"/>
      <c r="F85" s="152"/>
      <c r="G85" s="248"/>
    </row>
    <row r="86" spans="2:8">
      <c r="B86" s="85" t="s">
        <v>1</v>
      </c>
      <c r="C86" s="151" t="s">
        <v>2</v>
      </c>
      <c r="D86" s="151"/>
      <c r="E86" s="152"/>
      <c r="F86" s="152"/>
      <c r="G86" s="248"/>
    </row>
    <row r="87" spans="2:8">
      <c r="B87" s="85" t="s">
        <v>3</v>
      </c>
      <c r="C87" s="151"/>
      <c r="D87" s="151"/>
      <c r="E87" s="154"/>
      <c r="F87" s="152"/>
      <c r="G87" s="248"/>
    </row>
    <row r="88" spans="2:8">
      <c r="B88" s="85" t="s">
        <v>4</v>
      </c>
      <c r="C88" s="151" t="s">
        <v>2</v>
      </c>
      <c r="D88" s="154"/>
      <c r="E88" s="152"/>
      <c r="F88" s="152"/>
      <c r="G88" s="248"/>
    </row>
    <row r="89" spans="2:8">
      <c r="B89" s="85" t="s">
        <v>268</v>
      </c>
      <c r="C89" s="151"/>
      <c r="D89" s="151"/>
      <c r="E89" s="154"/>
      <c r="F89" s="152"/>
      <c r="G89" s="248"/>
    </row>
    <row r="90" spans="2:8">
      <c r="B90" s="85" t="s">
        <v>5</v>
      </c>
      <c r="C90" s="151" t="s">
        <v>6</v>
      </c>
      <c r="D90" s="151"/>
      <c r="E90" s="152"/>
      <c r="F90" s="152"/>
      <c r="G90" s="249"/>
    </row>
    <row r="91" spans="2:8" ht="13.5" thickBot="1">
      <c r="B91" s="287" t="s">
        <v>199</v>
      </c>
      <c r="C91" s="288"/>
      <c r="D91" s="288"/>
      <c r="E91" s="289"/>
      <c r="F91" s="75"/>
      <c r="G91" s="76">
        <f>F90*F91</f>
        <v>0</v>
      </c>
    </row>
    <row r="92" spans="2:8" ht="9" customHeight="1"/>
    <row r="93" spans="2:8" ht="2.25" hidden="1" customHeight="1">
      <c r="B93" s="79" t="s">
        <v>102</v>
      </c>
    </row>
    <row r="94" spans="2:8" ht="13.5" hidden="1" thickBot="1">
      <c r="B94" s="155" t="s">
        <v>64</v>
      </c>
      <c r="C94" s="156" t="s">
        <v>65</v>
      </c>
      <c r="D94" s="156" t="s">
        <v>40</v>
      </c>
      <c r="E94" s="157" t="s">
        <v>249</v>
      </c>
      <c r="F94" s="157" t="s">
        <v>66</v>
      </c>
      <c r="G94" s="158" t="s">
        <v>316</v>
      </c>
    </row>
    <row r="95" spans="2:8" hidden="1">
      <c r="B95" s="86" t="s">
        <v>222</v>
      </c>
      <c r="C95" s="159" t="s">
        <v>8</v>
      </c>
      <c r="D95" s="159">
        <v>1</v>
      </c>
      <c r="E95" s="160">
        <v>0</v>
      </c>
      <c r="F95" s="160">
        <f>D95*E95</f>
        <v>0</v>
      </c>
    </row>
    <row r="96" spans="2:8" hidden="1">
      <c r="B96" s="86" t="s">
        <v>223</v>
      </c>
      <c r="C96" s="159" t="s">
        <v>8</v>
      </c>
      <c r="D96" s="159">
        <v>1</v>
      </c>
      <c r="E96" s="154">
        <v>0</v>
      </c>
      <c r="F96" s="154"/>
    </row>
    <row r="97" spans="2:8" hidden="1">
      <c r="B97" s="87" t="s">
        <v>7</v>
      </c>
      <c r="C97" s="151" t="s">
        <v>99</v>
      </c>
      <c r="D97" s="153"/>
      <c r="E97" s="87">
        <v>0</v>
      </c>
      <c r="F97" s="87"/>
    </row>
    <row r="98" spans="2:8" hidden="1">
      <c r="B98" s="87"/>
      <c r="C98" s="151" t="s">
        <v>103</v>
      </c>
      <c r="D98" s="154">
        <f>D97*8/7</f>
        <v>0</v>
      </c>
      <c r="E98" s="154">
        <f>E95/220*0.2</f>
        <v>0</v>
      </c>
      <c r="F98" s="154">
        <f>D97*E98</f>
        <v>0</v>
      </c>
    </row>
    <row r="99" spans="2:8" hidden="1">
      <c r="B99" s="87" t="s">
        <v>34</v>
      </c>
      <c r="C99" s="151" t="s">
        <v>0</v>
      </c>
      <c r="D99" s="153"/>
      <c r="E99" s="154">
        <f>E95/220*2</f>
        <v>0</v>
      </c>
      <c r="F99" s="154">
        <f>D99*E99</f>
        <v>0</v>
      </c>
      <c r="H99" s="92" t="s">
        <v>264</v>
      </c>
    </row>
    <row r="100" spans="2:8" hidden="1">
      <c r="B100" s="87" t="s">
        <v>100</v>
      </c>
      <c r="C100" s="151" t="s">
        <v>99</v>
      </c>
      <c r="D100" s="153"/>
      <c r="E100" s="154"/>
      <c r="F100" s="154"/>
      <c r="H100" s="92" t="s">
        <v>265</v>
      </c>
    </row>
    <row r="101" spans="2:8" hidden="1">
      <c r="B101" s="87"/>
      <c r="C101" s="151" t="s">
        <v>103</v>
      </c>
      <c r="D101" s="154">
        <f>D100*8/7</f>
        <v>0</v>
      </c>
      <c r="E101" s="154">
        <f>E95/220*2*1.2</f>
        <v>0</v>
      </c>
      <c r="F101" s="154">
        <f>D101*E101</f>
        <v>0</v>
      </c>
      <c r="H101" s="92" t="s">
        <v>265</v>
      </c>
    </row>
    <row r="102" spans="2:8" hidden="1">
      <c r="B102" s="87" t="s">
        <v>35</v>
      </c>
      <c r="C102" s="151" t="s">
        <v>0</v>
      </c>
      <c r="D102" s="153"/>
      <c r="E102" s="154">
        <f>E95/220*1.5</f>
        <v>0</v>
      </c>
      <c r="F102" s="154">
        <f>D102*E102</f>
        <v>0</v>
      </c>
      <c r="H102" s="92" t="s">
        <v>266</v>
      </c>
    </row>
    <row r="103" spans="2:8" hidden="1">
      <c r="B103" s="87" t="s">
        <v>227</v>
      </c>
      <c r="C103" s="151" t="s">
        <v>99</v>
      </c>
      <c r="D103" s="153"/>
      <c r="E103" s="154"/>
      <c r="F103" s="154"/>
      <c r="H103" s="92" t="s">
        <v>267</v>
      </c>
    </row>
    <row r="104" spans="2:8" hidden="1">
      <c r="B104" s="87"/>
      <c r="C104" s="151" t="s">
        <v>103</v>
      </c>
      <c r="D104" s="154">
        <f>D103*8/7</f>
        <v>0</v>
      </c>
      <c r="E104" s="154">
        <f>E95/220*1.5*1.2</f>
        <v>0</v>
      </c>
      <c r="F104" s="154">
        <f>D104*E104</f>
        <v>0</v>
      </c>
      <c r="H104" s="92" t="s">
        <v>267</v>
      </c>
    </row>
    <row r="105" spans="2:8" ht="12.75" hidden="1" customHeight="1">
      <c r="B105" s="87" t="s">
        <v>229</v>
      </c>
      <c r="C105" s="151" t="s">
        <v>33</v>
      </c>
      <c r="E105" s="154">
        <f>63/302*(SUM(F99:F104))</f>
        <v>0</v>
      </c>
      <c r="F105" s="154">
        <f>E105</f>
        <v>0</v>
      </c>
      <c r="H105" s="92" t="s">
        <v>228</v>
      </c>
    </row>
    <row r="106" spans="2:8" hidden="1">
      <c r="B106" s="87" t="s">
        <v>224</v>
      </c>
      <c r="C106" s="151"/>
      <c r="D106" s="167"/>
      <c r="E106" s="154"/>
      <c r="F106" s="154"/>
    </row>
    <row r="107" spans="2:8" hidden="1">
      <c r="B107" s="87" t="s">
        <v>1</v>
      </c>
      <c r="C107" s="151" t="s">
        <v>2</v>
      </c>
      <c r="D107" s="154">
        <v>0</v>
      </c>
      <c r="E107" s="154">
        <f>IF(D106=2,SUM(F95:F105),IF(D106=1,SUM(F95:F105)*E96/E95,0))</f>
        <v>0</v>
      </c>
      <c r="F107" s="154">
        <f>D107*E107/100</f>
        <v>0</v>
      </c>
    </row>
    <row r="108" spans="2:8" hidden="1">
      <c r="B108" s="162" t="s">
        <v>3</v>
      </c>
      <c r="C108" s="141"/>
      <c r="D108" s="141"/>
      <c r="E108" s="93"/>
      <c r="F108" s="163">
        <f>SUM(F95:F107)</f>
        <v>0</v>
      </c>
    </row>
    <row r="109" spans="2:8" hidden="1">
      <c r="B109" s="87" t="s">
        <v>4</v>
      </c>
      <c r="C109" s="151" t="s">
        <v>2</v>
      </c>
      <c r="D109" s="154">
        <v>0</v>
      </c>
      <c r="E109" s="154">
        <f>F108</f>
        <v>0</v>
      </c>
      <c r="F109" s="154">
        <f>E109*D109/100</f>
        <v>0</v>
      </c>
    </row>
    <row r="110" spans="2:8" hidden="1">
      <c r="B110" s="162" t="s">
        <v>268</v>
      </c>
      <c r="C110" s="141"/>
      <c r="D110" s="141"/>
      <c r="E110" s="93"/>
      <c r="F110" s="163">
        <f>F108+F109</f>
        <v>0</v>
      </c>
    </row>
    <row r="111" spans="2:8" hidden="1">
      <c r="B111" s="87" t="s">
        <v>5</v>
      </c>
      <c r="C111" s="151" t="s">
        <v>6</v>
      </c>
      <c r="D111" s="151"/>
      <c r="E111" s="154">
        <f>F110</f>
        <v>0</v>
      </c>
      <c r="F111" s="154">
        <f>D111*E111</f>
        <v>0</v>
      </c>
    </row>
    <row r="112" spans="2:8" ht="13.5" hidden="1" thickBot="1">
      <c r="E112" s="164" t="s">
        <v>199</v>
      </c>
      <c r="F112" s="165">
        <v>0</v>
      </c>
      <c r="G112" s="166">
        <f>F111*F112</f>
        <v>0</v>
      </c>
    </row>
    <row r="113" spans="2:8" ht="11.25" hidden="1" customHeight="1">
      <c r="H113" s="79"/>
    </row>
    <row r="114" spans="2:8" hidden="1">
      <c r="B114" s="79" t="s">
        <v>104</v>
      </c>
      <c r="C114" s="168"/>
      <c r="E114" s="79"/>
      <c r="F114" s="79"/>
      <c r="H114" s="79"/>
    </row>
    <row r="115" spans="2:8" ht="13.5" hidden="1" thickBot="1">
      <c r="B115" s="155" t="s">
        <v>64</v>
      </c>
      <c r="C115" s="156" t="s">
        <v>65</v>
      </c>
      <c r="D115" s="156" t="s">
        <v>40</v>
      </c>
      <c r="E115" s="157" t="s">
        <v>249</v>
      </c>
      <c r="F115" s="157" t="s">
        <v>66</v>
      </c>
      <c r="G115" s="158" t="s">
        <v>316</v>
      </c>
      <c r="H115" s="79"/>
    </row>
    <row r="116" spans="2:8" hidden="1">
      <c r="B116" s="87" t="s">
        <v>91</v>
      </c>
      <c r="C116" s="151" t="s">
        <v>33</v>
      </c>
      <c r="D116" s="169">
        <v>1</v>
      </c>
      <c r="F116" s="154"/>
      <c r="H116" s="79"/>
    </row>
    <row r="117" spans="2:8" hidden="1">
      <c r="B117" s="87" t="s">
        <v>92</v>
      </c>
      <c r="C117" s="151" t="s">
        <v>93</v>
      </c>
      <c r="E117" s="154"/>
      <c r="F117" s="154"/>
      <c r="H117" s="79"/>
    </row>
    <row r="118" spans="2:8" hidden="1">
      <c r="B118" s="87" t="s">
        <v>73</v>
      </c>
      <c r="C118" s="151" t="s">
        <v>9</v>
      </c>
      <c r="D118" s="170">
        <f>$D$117*2*(D56+D75)</f>
        <v>0</v>
      </c>
      <c r="E118" s="160" t="str">
        <f>IFERROR((($D$117*2*$E$116)-(F48*0.06))/($D$117*2),"-")</f>
        <v>-</v>
      </c>
      <c r="F118" s="154" t="str">
        <f>IFERROR(D118*E118,"-")</f>
        <v>-</v>
      </c>
      <c r="H118" s="79"/>
    </row>
    <row r="119" spans="2:8" hidden="1">
      <c r="B119" s="86" t="s">
        <v>44</v>
      </c>
      <c r="C119" s="159" t="s">
        <v>9</v>
      </c>
      <c r="D119" s="170">
        <f>$D$117*2*(D90+D111)</f>
        <v>0</v>
      </c>
      <c r="E119" s="160" t="str">
        <f>IFERROR((($D$117*2*$E$116)-(F80*0.06))/($D$117*2),"-")</f>
        <v>-</v>
      </c>
      <c r="F119" s="160" t="str">
        <f>IFERROR(D119*E119,"-")</f>
        <v>-</v>
      </c>
      <c r="H119" s="79"/>
    </row>
    <row r="120" spans="2:8" ht="13.5" hidden="1" thickBot="1">
      <c r="G120" s="171">
        <f>SUM(F118:F119)</f>
        <v>0</v>
      </c>
      <c r="H120" s="79"/>
    </row>
    <row r="121" spans="2:8" ht="11.25" hidden="1" customHeight="1">
      <c r="H121" s="79"/>
    </row>
    <row r="122" spans="2:8" hidden="1">
      <c r="B122" s="79" t="s">
        <v>123</v>
      </c>
      <c r="G122" s="138"/>
      <c r="H122" s="79"/>
    </row>
    <row r="123" spans="2:8" ht="13.5" hidden="1" thickBot="1">
      <c r="B123" s="155" t="s">
        <v>64</v>
      </c>
      <c r="C123" s="156" t="s">
        <v>65</v>
      </c>
      <c r="D123" s="156" t="s">
        <v>40</v>
      </c>
      <c r="E123" s="157" t="s">
        <v>249</v>
      </c>
      <c r="F123" s="157" t="s">
        <v>66</v>
      </c>
      <c r="G123" s="158" t="s">
        <v>316</v>
      </c>
      <c r="H123" s="79"/>
    </row>
    <row r="124" spans="2:8" hidden="1">
      <c r="B124" s="87" t="str">
        <f>+B118</f>
        <v>Coletor</v>
      </c>
      <c r="C124" s="151" t="s">
        <v>10</v>
      </c>
      <c r="D124" s="170">
        <f>D117*(F33+F34)</f>
        <v>0</v>
      </c>
      <c r="E124" s="172"/>
      <c r="F124" s="165">
        <f>D124*E124</f>
        <v>0</v>
      </c>
      <c r="G124" s="138"/>
      <c r="H124" s="79"/>
    </row>
    <row r="125" spans="2:8" hidden="1">
      <c r="B125" s="87" t="str">
        <f>+B119</f>
        <v>Motorista</v>
      </c>
      <c r="C125" s="151" t="s">
        <v>10</v>
      </c>
      <c r="D125" s="170">
        <f>D117*(F35+F36)</f>
        <v>0</v>
      </c>
      <c r="E125" s="172"/>
      <c r="F125" s="165">
        <f>D125*E125</f>
        <v>0</v>
      </c>
      <c r="G125" s="138"/>
      <c r="H125" s="79"/>
    </row>
    <row r="126" spans="2:8" ht="13.5" hidden="1" thickBot="1">
      <c r="G126" s="171">
        <f>SUM(F124:F125)</f>
        <v>0</v>
      </c>
      <c r="H126" s="79"/>
    </row>
    <row r="127" spans="2:8" hidden="1">
      <c r="H127" s="79"/>
    </row>
    <row r="128" spans="2:8">
      <c r="H128" s="79"/>
    </row>
    <row r="129" spans="2:25" ht="13.5" thickBot="1">
      <c r="B129" s="52" t="s">
        <v>308</v>
      </c>
      <c r="G129" s="138"/>
      <c r="H129" s="79"/>
    </row>
    <row r="130" spans="2:25">
      <c r="B130" s="147" t="s">
        <v>64</v>
      </c>
      <c r="C130" s="148" t="s">
        <v>65</v>
      </c>
      <c r="D130" s="148" t="s">
        <v>40</v>
      </c>
      <c r="E130" s="149" t="s">
        <v>249</v>
      </c>
      <c r="F130" s="149" t="s">
        <v>66</v>
      </c>
      <c r="G130" s="150" t="s">
        <v>316</v>
      </c>
      <c r="H130" s="79"/>
    </row>
    <row r="131" spans="2:25">
      <c r="B131" s="85" t="str">
        <f>+B124</f>
        <v>Coletor</v>
      </c>
      <c r="C131" s="151" t="s">
        <v>10</v>
      </c>
      <c r="D131" s="169">
        <f>F33+F34</f>
        <v>2</v>
      </c>
      <c r="E131" s="152"/>
      <c r="F131" s="152"/>
      <c r="G131" s="247"/>
      <c r="H131" s="79"/>
      <c r="U131" s="79">
        <v>22</v>
      </c>
      <c r="V131" s="79">
        <f>U131*15</f>
        <v>330</v>
      </c>
      <c r="W131" s="79">
        <f>V131*0.19</f>
        <v>62.7</v>
      </c>
      <c r="X131" s="79">
        <f>V131-W131</f>
        <v>267.3</v>
      </c>
    </row>
    <row r="132" spans="2:25">
      <c r="B132" s="85" t="str">
        <f>+B125</f>
        <v>Motorista</v>
      </c>
      <c r="C132" s="151" t="s">
        <v>10</v>
      </c>
      <c r="D132" s="169">
        <f>F35+F36</f>
        <v>1</v>
      </c>
      <c r="E132" s="152"/>
      <c r="F132" s="152"/>
      <c r="G132" s="249"/>
      <c r="H132" s="79"/>
      <c r="U132" s="79">
        <v>14.73</v>
      </c>
      <c r="V132" s="79">
        <f>U132*15</f>
        <v>220.95000000000002</v>
      </c>
      <c r="W132" s="79">
        <f>V132*0.19</f>
        <v>41.980500000000006</v>
      </c>
      <c r="X132" s="79">
        <f>V132-W132</f>
        <v>178.96950000000001</v>
      </c>
      <c r="Y132" s="79">
        <v>111.82</v>
      </c>
    </row>
    <row r="133" spans="2:25" ht="13.5" thickBot="1">
      <c r="B133" s="287" t="s">
        <v>199</v>
      </c>
      <c r="C133" s="288"/>
      <c r="D133" s="288"/>
      <c r="E133" s="289"/>
      <c r="F133" s="75"/>
      <c r="G133" s="76">
        <f>SUM(F131:F132)*F133</f>
        <v>0</v>
      </c>
      <c r="H133" s="79"/>
      <c r="Y133" s="79">
        <f>X132+Y132</f>
        <v>290.78949999999998</v>
      </c>
    </row>
    <row r="134" spans="2:25" ht="13.5" thickBot="1">
      <c r="H134" s="79"/>
    </row>
    <row r="135" spans="2:25" ht="13.5" thickBot="1">
      <c r="B135" s="80" t="s">
        <v>94</v>
      </c>
      <c r="C135" s="81"/>
      <c r="D135" s="81"/>
      <c r="E135" s="82"/>
      <c r="F135" s="83"/>
      <c r="G135" s="84">
        <f>G133+G126+G120+G112+G91+G76+G57</f>
        <v>0</v>
      </c>
      <c r="H135" s="79"/>
    </row>
    <row r="137" spans="2:25">
      <c r="B137" s="52" t="s">
        <v>45</v>
      </c>
      <c r="H137" s="79"/>
    </row>
    <row r="138" spans="2:25" ht="13.9" customHeight="1" thickBot="1">
      <c r="B138" s="52" t="s">
        <v>201</v>
      </c>
      <c r="H138" s="79"/>
    </row>
    <row r="139" spans="2:25" ht="27.75" customHeight="1">
      <c r="B139" s="147" t="s">
        <v>64</v>
      </c>
      <c r="C139" s="148" t="s">
        <v>65</v>
      </c>
      <c r="D139" s="173" t="s">
        <v>270</v>
      </c>
      <c r="E139" s="149" t="s">
        <v>249</v>
      </c>
      <c r="F139" s="149" t="s">
        <v>66</v>
      </c>
      <c r="G139" s="150" t="s">
        <v>316</v>
      </c>
      <c r="H139" s="79"/>
    </row>
    <row r="140" spans="2:25">
      <c r="B140" s="85" t="s">
        <v>305</v>
      </c>
      <c r="C140" s="151" t="s">
        <v>10</v>
      </c>
      <c r="D140" s="174">
        <v>12</v>
      </c>
      <c r="E140" s="152"/>
      <c r="F140" s="152"/>
      <c r="G140" s="247"/>
      <c r="H140" s="79"/>
    </row>
    <row r="141" spans="2:25" ht="13.15" customHeight="1">
      <c r="B141" s="85" t="s">
        <v>29</v>
      </c>
      <c r="C141" s="151" t="s">
        <v>10</v>
      </c>
      <c r="D141" s="174">
        <v>12</v>
      </c>
      <c r="E141" s="152"/>
      <c r="F141" s="152"/>
      <c r="G141" s="248"/>
      <c r="H141" s="79"/>
    </row>
    <row r="142" spans="2:25">
      <c r="B142" s="85" t="s">
        <v>30</v>
      </c>
      <c r="C142" s="151" t="s">
        <v>10</v>
      </c>
      <c r="D142" s="174">
        <v>12</v>
      </c>
      <c r="E142" s="152"/>
      <c r="F142" s="152"/>
      <c r="G142" s="248"/>
      <c r="H142" s="79"/>
    </row>
    <row r="143" spans="2:25" ht="13.15" customHeight="1">
      <c r="B143" s="85" t="s">
        <v>31</v>
      </c>
      <c r="C143" s="151" t="s">
        <v>10</v>
      </c>
      <c r="D143" s="174">
        <v>12</v>
      </c>
      <c r="E143" s="152"/>
      <c r="F143" s="152"/>
      <c r="G143" s="248"/>
      <c r="H143" s="79"/>
    </row>
    <row r="144" spans="2:25" ht="13.9" customHeight="1">
      <c r="B144" s="85" t="s">
        <v>69</v>
      </c>
      <c r="C144" s="151" t="s">
        <v>48</v>
      </c>
      <c r="D144" s="174">
        <v>12</v>
      </c>
      <c r="E144" s="152"/>
      <c r="F144" s="152"/>
      <c r="G144" s="248"/>
      <c r="H144" s="79"/>
    </row>
    <row r="145" spans="2:8" ht="13.15" customHeight="1">
      <c r="B145" s="85" t="s">
        <v>95</v>
      </c>
      <c r="C145" s="151" t="s">
        <v>48</v>
      </c>
      <c r="D145" s="174">
        <v>12</v>
      </c>
      <c r="E145" s="152"/>
      <c r="F145" s="152"/>
      <c r="G145" s="248"/>
    </row>
    <row r="146" spans="2:8">
      <c r="B146" s="85" t="s">
        <v>68</v>
      </c>
      <c r="C146" s="151" t="s">
        <v>10</v>
      </c>
      <c r="D146" s="174">
        <v>12</v>
      </c>
      <c r="E146" s="152"/>
      <c r="F146" s="152"/>
      <c r="G146" s="248"/>
    </row>
    <row r="147" spans="2:8" s="178" customFormat="1">
      <c r="B147" s="175" t="s">
        <v>11</v>
      </c>
      <c r="C147" s="176" t="s">
        <v>10</v>
      </c>
      <c r="D147" s="174">
        <v>12</v>
      </c>
      <c r="E147" s="152"/>
      <c r="F147" s="152"/>
      <c r="G147" s="248"/>
      <c r="H147" s="177"/>
    </row>
    <row r="148" spans="2:8" ht="10.5" customHeight="1">
      <c r="B148" s="85" t="s">
        <v>32</v>
      </c>
      <c r="C148" s="151" t="s">
        <v>48</v>
      </c>
      <c r="D148" s="174">
        <v>12</v>
      </c>
      <c r="E148" s="152"/>
      <c r="F148" s="152"/>
      <c r="G148" s="248"/>
    </row>
    <row r="149" spans="2:8" ht="12.75" customHeight="1">
      <c r="B149" s="85" t="s">
        <v>63</v>
      </c>
      <c r="C149" s="151" t="s">
        <v>49</v>
      </c>
      <c r="D149" s="174">
        <v>1</v>
      </c>
      <c r="E149" s="152"/>
      <c r="F149" s="152"/>
      <c r="G149" s="248"/>
    </row>
    <row r="150" spans="2:8" ht="12.75" customHeight="1">
      <c r="B150" s="85" t="s">
        <v>202</v>
      </c>
      <c r="C150" s="151" t="s">
        <v>124</v>
      </c>
      <c r="D150" s="167">
        <v>1</v>
      </c>
      <c r="E150" s="152"/>
      <c r="F150" s="152"/>
      <c r="G150" s="248"/>
    </row>
    <row r="151" spans="2:8">
      <c r="B151" s="85" t="s">
        <v>5</v>
      </c>
      <c r="C151" s="151" t="s">
        <v>6</v>
      </c>
      <c r="D151" s="167">
        <f>F33+F34</f>
        <v>2</v>
      </c>
      <c r="E151" s="152"/>
      <c r="F151" s="152"/>
      <c r="G151" s="249"/>
    </row>
    <row r="152" spans="2:8" ht="13.5" thickBot="1">
      <c r="B152" s="287" t="s">
        <v>199</v>
      </c>
      <c r="C152" s="288"/>
      <c r="D152" s="288"/>
      <c r="E152" s="289"/>
      <c r="F152" s="75"/>
      <c r="G152" s="76">
        <f>F151*F152</f>
        <v>0</v>
      </c>
    </row>
    <row r="153" spans="2:8" ht="11.25" customHeight="1"/>
    <row r="154" spans="2:8" ht="13.9" customHeight="1" thickBot="1">
      <c r="B154" s="52" t="s">
        <v>203</v>
      </c>
    </row>
    <row r="155" spans="2:8" ht="24">
      <c r="B155" s="147" t="s">
        <v>64</v>
      </c>
      <c r="C155" s="148" t="s">
        <v>65</v>
      </c>
      <c r="D155" s="173" t="s">
        <v>270</v>
      </c>
      <c r="E155" s="149" t="s">
        <v>249</v>
      </c>
      <c r="F155" s="149" t="s">
        <v>66</v>
      </c>
      <c r="G155" s="150" t="s">
        <v>316</v>
      </c>
    </row>
    <row r="156" spans="2:8">
      <c r="B156" s="85" t="s">
        <v>67</v>
      </c>
      <c r="C156" s="151" t="s">
        <v>10</v>
      </c>
      <c r="D156" s="174">
        <v>6</v>
      </c>
      <c r="E156" s="152">
        <f>E140</f>
        <v>0</v>
      </c>
      <c r="F156" s="152">
        <f>IFERROR(E156/D156,0)</f>
        <v>0</v>
      </c>
      <c r="G156" s="247"/>
    </row>
    <row r="157" spans="2:8">
      <c r="B157" s="85" t="s">
        <v>29</v>
      </c>
      <c r="C157" s="151" t="s">
        <v>10</v>
      </c>
      <c r="D157" s="174">
        <v>6</v>
      </c>
      <c r="E157" s="152">
        <f>E141</f>
        <v>0</v>
      </c>
      <c r="F157" s="152">
        <f t="shared" ref="F157:F161" si="0">IFERROR(E157/D157,0)</f>
        <v>0</v>
      </c>
      <c r="G157" s="248"/>
    </row>
    <row r="158" spans="2:8">
      <c r="B158" s="85" t="s">
        <v>30</v>
      </c>
      <c r="C158" s="151" t="s">
        <v>10</v>
      </c>
      <c r="D158" s="174">
        <v>6</v>
      </c>
      <c r="E158" s="152">
        <f>E142</f>
        <v>0</v>
      </c>
      <c r="F158" s="152">
        <f t="shared" si="0"/>
        <v>0</v>
      </c>
      <c r="G158" s="248"/>
    </row>
    <row r="159" spans="2:8">
      <c r="B159" s="85" t="s">
        <v>69</v>
      </c>
      <c r="C159" s="151" t="s">
        <v>48</v>
      </c>
      <c r="D159" s="174">
        <v>6</v>
      </c>
      <c r="E159" s="152">
        <f>E144</f>
        <v>0</v>
      </c>
      <c r="F159" s="152">
        <f t="shared" si="0"/>
        <v>0</v>
      </c>
      <c r="G159" s="248"/>
    </row>
    <row r="160" spans="2:8">
      <c r="B160" s="85" t="s">
        <v>68</v>
      </c>
      <c r="C160" s="151" t="s">
        <v>10</v>
      </c>
      <c r="D160" s="174">
        <v>6</v>
      </c>
      <c r="E160" s="152">
        <f>E146</f>
        <v>0</v>
      </c>
      <c r="F160" s="152">
        <f t="shared" si="0"/>
        <v>0</v>
      </c>
      <c r="G160" s="248"/>
      <c r="H160" s="79"/>
    </row>
    <row r="161" spans="2:11">
      <c r="B161" s="85" t="s">
        <v>63</v>
      </c>
      <c r="C161" s="151" t="s">
        <v>49</v>
      </c>
      <c r="D161" s="174">
        <v>1</v>
      </c>
      <c r="E161" s="152">
        <f>E149</f>
        <v>0</v>
      </c>
      <c r="F161" s="152">
        <f t="shared" si="0"/>
        <v>0</v>
      </c>
      <c r="G161" s="248"/>
      <c r="H161" s="79"/>
    </row>
    <row r="162" spans="2:11">
      <c r="B162" s="85" t="s">
        <v>202</v>
      </c>
      <c r="C162" s="151" t="s">
        <v>124</v>
      </c>
      <c r="D162" s="167">
        <v>1</v>
      </c>
      <c r="E162" s="152">
        <f>E150</f>
        <v>0</v>
      </c>
      <c r="F162" s="152">
        <f t="shared" ref="F162:F163" si="1">D162*E162</f>
        <v>0</v>
      </c>
      <c r="G162" s="248"/>
      <c r="H162" s="79"/>
    </row>
    <row r="163" spans="2:11">
      <c r="B163" s="85" t="s">
        <v>5</v>
      </c>
      <c r="C163" s="151" t="s">
        <v>6</v>
      </c>
      <c r="D163" s="167">
        <f>F35+F36</f>
        <v>1</v>
      </c>
      <c r="E163" s="152">
        <f>+SUM(F156:F162)</f>
        <v>0</v>
      </c>
      <c r="F163" s="152">
        <f t="shared" si="1"/>
        <v>0</v>
      </c>
      <c r="G163" s="249"/>
      <c r="H163" s="79"/>
    </row>
    <row r="164" spans="2:11" ht="13.5" thickBot="1">
      <c r="B164" s="287" t="s">
        <v>199</v>
      </c>
      <c r="C164" s="288"/>
      <c r="D164" s="288"/>
      <c r="E164" s="289"/>
      <c r="F164" s="75">
        <f>$C$42</f>
        <v>1</v>
      </c>
      <c r="G164" s="76">
        <f>F163*F164</f>
        <v>0</v>
      </c>
      <c r="H164" s="79"/>
    </row>
    <row r="165" spans="2:11" ht="11.25" customHeight="1" thickBot="1">
      <c r="H165" s="79"/>
    </row>
    <row r="166" spans="2:11" ht="13.5" thickBot="1">
      <c r="B166" s="297" t="s">
        <v>204</v>
      </c>
      <c r="C166" s="298"/>
      <c r="D166" s="298"/>
      <c r="E166" s="298"/>
      <c r="F166" s="299"/>
      <c r="G166" s="84">
        <f>+G152+G164</f>
        <v>0</v>
      </c>
      <c r="H166" s="79"/>
    </row>
    <row r="167" spans="2:11" ht="11.25" customHeight="1">
      <c r="H167" s="79"/>
    </row>
    <row r="168" spans="2:11" ht="11.25" customHeight="1">
      <c r="H168" s="79"/>
    </row>
    <row r="169" spans="2:11">
      <c r="B169" s="52" t="s">
        <v>54</v>
      </c>
      <c r="H169" s="79"/>
    </row>
    <row r="170" spans="2:11">
      <c r="B170" s="52" t="s">
        <v>314</v>
      </c>
      <c r="H170" s="79"/>
    </row>
    <row r="171" spans="2:11" ht="13.5" thickBot="1">
      <c r="B171" s="127" t="s">
        <v>46</v>
      </c>
      <c r="H171" s="79"/>
    </row>
    <row r="172" spans="2:11">
      <c r="B172" s="147" t="s">
        <v>64</v>
      </c>
      <c r="C172" s="148" t="s">
        <v>65</v>
      </c>
      <c r="D172" s="148" t="s">
        <v>40</v>
      </c>
      <c r="E172" s="149" t="s">
        <v>249</v>
      </c>
      <c r="F172" s="149" t="s">
        <v>66</v>
      </c>
      <c r="G172" s="150" t="s">
        <v>316</v>
      </c>
      <c r="H172" s="79"/>
    </row>
    <row r="173" spans="2:11">
      <c r="B173" s="85" t="s">
        <v>109</v>
      </c>
      <c r="C173" s="151" t="s">
        <v>10</v>
      </c>
      <c r="D173" s="151">
        <v>1</v>
      </c>
      <c r="E173" s="152"/>
      <c r="F173" s="152"/>
      <c r="G173" s="247"/>
      <c r="H173" s="79"/>
    </row>
    <row r="174" spans="2:11">
      <c r="B174" s="85" t="s">
        <v>105</v>
      </c>
      <c r="C174" s="151" t="s">
        <v>106</v>
      </c>
      <c r="D174" s="151">
        <v>10</v>
      </c>
      <c r="E174" s="152"/>
      <c r="F174" s="152"/>
      <c r="G174" s="248"/>
      <c r="H174" s="79"/>
    </row>
    <row r="175" spans="2:11">
      <c r="B175" s="85" t="s">
        <v>217</v>
      </c>
      <c r="C175" s="151" t="s">
        <v>106</v>
      </c>
      <c r="D175" s="151">
        <v>10</v>
      </c>
      <c r="E175" s="152"/>
      <c r="F175" s="152"/>
      <c r="G175" s="248"/>
      <c r="J175" s="179"/>
      <c r="K175" s="179"/>
    </row>
    <row r="176" spans="2:11">
      <c r="B176" s="85" t="s">
        <v>108</v>
      </c>
      <c r="C176" s="151" t="s">
        <v>2</v>
      </c>
      <c r="D176" s="154">
        <f>'5. Depreciação'!C14</f>
        <v>65.180000000000007</v>
      </c>
      <c r="E176" s="152"/>
      <c r="F176" s="152"/>
      <c r="G176" s="248"/>
    </row>
    <row r="177" spans="2:11">
      <c r="B177" s="85" t="s">
        <v>50</v>
      </c>
      <c r="C177" s="151" t="s">
        <v>8</v>
      </c>
      <c r="D177" s="151">
        <f>D174*12</f>
        <v>120</v>
      </c>
      <c r="E177" s="152"/>
      <c r="F177" s="152"/>
      <c r="G177" s="248"/>
    </row>
    <row r="178" spans="2:11">
      <c r="B178" s="85" t="s">
        <v>315</v>
      </c>
      <c r="C178" s="151" t="s">
        <v>10</v>
      </c>
      <c r="D178" s="151">
        <f>D173</f>
        <v>1</v>
      </c>
      <c r="E178" s="152"/>
      <c r="F178" s="152"/>
      <c r="G178" s="248"/>
      <c r="H178" s="79"/>
    </row>
    <row r="179" spans="2:11">
      <c r="B179" s="85" t="s">
        <v>107</v>
      </c>
      <c r="C179" s="151" t="s">
        <v>106</v>
      </c>
      <c r="D179" s="151">
        <v>10</v>
      </c>
      <c r="E179" s="152"/>
      <c r="F179" s="152"/>
      <c r="G179" s="248"/>
    </row>
    <row r="180" spans="2:11">
      <c r="B180" s="85" t="s">
        <v>218</v>
      </c>
      <c r="C180" s="151" t="s">
        <v>106</v>
      </c>
      <c r="D180" s="151">
        <v>10</v>
      </c>
      <c r="E180" s="152"/>
      <c r="F180" s="152"/>
      <c r="G180" s="248"/>
      <c r="J180" s="179"/>
      <c r="K180" s="179"/>
    </row>
    <row r="181" spans="2:11">
      <c r="B181" s="85" t="s">
        <v>317</v>
      </c>
      <c r="C181" s="151" t="s">
        <v>2</v>
      </c>
      <c r="D181" s="165">
        <f>'5. Depreciação'!C14</f>
        <v>65.180000000000007</v>
      </c>
      <c r="E181" s="152"/>
      <c r="F181" s="152"/>
      <c r="G181" s="248"/>
    </row>
    <row r="182" spans="2:11">
      <c r="B182" s="85" t="s">
        <v>309</v>
      </c>
      <c r="C182" s="151" t="s">
        <v>8</v>
      </c>
      <c r="D182" s="151">
        <f>D179*12</f>
        <v>120</v>
      </c>
      <c r="E182" s="152"/>
      <c r="F182" s="152"/>
      <c r="G182" s="248"/>
    </row>
    <row r="183" spans="2:11">
      <c r="B183" s="85" t="s">
        <v>273</v>
      </c>
      <c r="C183" s="151"/>
      <c r="D183" s="151"/>
      <c r="E183" s="154"/>
      <c r="F183" s="152"/>
      <c r="G183" s="248"/>
    </row>
    <row r="184" spans="2:11">
      <c r="B184" s="85" t="s">
        <v>274</v>
      </c>
      <c r="C184" s="151" t="s">
        <v>10</v>
      </c>
      <c r="D184" s="151">
        <v>1</v>
      </c>
      <c r="E184" s="152"/>
      <c r="F184" s="152"/>
      <c r="G184" s="249"/>
    </row>
    <row r="185" spans="2:11" ht="13.5" thickBot="1">
      <c r="B185" s="128"/>
      <c r="C185" s="129"/>
      <c r="D185" s="129"/>
      <c r="E185" s="77" t="s">
        <v>199</v>
      </c>
      <c r="F185" s="75"/>
      <c r="G185" s="76">
        <f>F184*F185</f>
        <v>0</v>
      </c>
    </row>
    <row r="186" spans="2:11" ht="8.25" customHeight="1"/>
    <row r="187" spans="2:11" ht="9.75" customHeight="1" thickBot="1">
      <c r="B187" s="127" t="s">
        <v>113</v>
      </c>
    </row>
    <row r="188" spans="2:11">
      <c r="B188" s="147" t="s">
        <v>64</v>
      </c>
      <c r="C188" s="148" t="s">
        <v>65</v>
      </c>
      <c r="D188" s="148" t="s">
        <v>40</v>
      </c>
      <c r="E188" s="149" t="s">
        <v>249</v>
      </c>
      <c r="F188" s="149" t="s">
        <v>66</v>
      </c>
      <c r="G188" s="150" t="s">
        <v>316</v>
      </c>
      <c r="J188" s="179"/>
      <c r="K188" s="179"/>
    </row>
    <row r="189" spans="2:11">
      <c r="B189" s="85" t="s">
        <v>112</v>
      </c>
      <c r="C189" s="151" t="s">
        <v>10</v>
      </c>
      <c r="D189" s="151"/>
      <c r="E189" s="152"/>
      <c r="F189" s="152"/>
      <c r="G189" s="247"/>
      <c r="J189" s="179"/>
      <c r="K189" s="179"/>
    </row>
    <row r="190" spans="2:11">
      <c r="B190" s="85" t="s">
        <v>221</v>
      </c>
      <c r="C190" s="151" t="s">
        <v>2</v>
      </c>
      <c r="D190" s="151"/>
      <c r="E190" s="152"/>
      <c r="F190" s="152"/>
      <c r="G190" s="248"/>
      <c r="J190" s="179"/>
      <c r="K190" s="179"/>
    </row>
    <row r="191" spans="2:11">
      <c r="B191" s="85" t="s">
        <v>219</v>
      </c>
      <c r="C191" s="151" t="s">
        <v>33</v>
      </c>
      <c r="D191" s="180"/>
      <c r="E191" s="152"/>
      <c r="F191" s="152"/>
      <c r="G191" s="248"/>
      <c r="J191" s="179"/>
      <c r="K191" s="179"/>
    </row>
    <row r="192" spans="2:11">
      <c r="B192" s="85" t="s">
        <v>116</v>
      </c>
      <c r="C192" s="151" t="s">
        <v>33</v>
      </c>
      <c r="D192" s="154"/>
      <c r="E192" s="152"/>
      <c r="F192" s="152"/>
      <c r="G192" s="248"/>
      <c r="J192" s="179"/>
      <c r="K192" s="179"/>
    </row>
    <row r="193" spans="2:11">
      <c r="B193" s="85" t="s">
        <v>117</v>
      </c>
      <c r="C193" s="151" t="s">
        <v>33</v>
      </c>
      <c r="D193" s="151"/>
      <c r="E193" s="152"/>
      <c r="F193" s="152"/>
      <c r="G193" s="248"/>
      <c r="J193" s="179"/>
      <c r="K193" s="179"/>
    </row>
    <row r="194" spans="2:11">
      <c r="B194" s="85" t="s">
        <v>318</v>
      </c>
      <c r="C194" s="151" t="s">
        <v>10</v>
      </c>
      <c r="D194" s="151"/>
      <c r="E194" s="152"/>
      <c r="F194" s="152"/>
      <c r="G194" s="248"/>
      <c r="J194" s="179"/>
      <c r="K194" s="179"/>
    </row>
    <row r="195" spans="2:11">
      <c r="B195" s="85" t="s">
        <v>221</v>
      </c>
      <c r="C195" s="151" t="s">
        <v>2</v>
      </c>
      <c r="D195" s="151"/>
      <c r="E195" s="152"/>
      <c r="F195" s="152"/>
      <c r="G195" s="248"/>
      <c r="J195" s="179"/>
      <c r="K195" s="179"/>
    </row>
    <row r="196" spans="2:11">
      <c r="B196" s="85" t="s">
        <v>220</v>
      </c>
      <c r="C196" s="151" t="s">
        <v>33</v>
      </c>
      <c r="D196" s="180"/>
      <c r="E196" s="152"/>
      <c r="F196" s="152"/>
      <c r="G196" s="248"/>
      <c r="J196" s="179"/>
      <c r="K196" s="179"/>
    </row>
    <row r="197" spans="2:11">
      <c r="B197" s="85" t="s">
        <v>118</v>
      </c>
      <c r="C197" s="151" t="s">
        <v>33</v>
      </c>
      <c r="D197" s="154"/>
      <c r="E197" s="152"/>
      <c r="F197" s="152"/>
      <c r="G197" s="248"/>
      <c r="J197" s="179"/>
      <c r="K197" s="179"/>
    </row>
    <row r="198" spans="2:11">
      <c r="B198" s="85" t="s">
        <v>115</v>
      </c>
      <c r="C198" s="151" t="s">
        <v>33</v>
      </c>
      <c r="D198" s="151"/>
      <c r="E198" s="152"/>
      <c r="F198" s="152"/>
      <c r="G198" s="248"/>
      <c r="J198" s="179"/>
      <c r="K198" s="179"/>
    </row>
    <row r="199" spans="2:11">
      <c r="B199" s="85" t="s">
        <v>273</v>
      </c>
      <c r="C199" s="151"/>
      <c r="D199" s="151"/>
      <c r="E199" s="152"/>
      <c r="F199" s="152"/>
      <c r="G199" s="248"/>
      <c r="J199" s="179"/>
      <c r="K199" s="179"/>
    </row>
    <row r="200" spans="2:11">
      <c r="B200" s="85" t="s">
        <v>274</v>
      </c>
      <c r="C200" s="151" t="s">
        <v>10</v>
      </c>
      <c r="D200" s="151"/>
      <c r="E200" s="152"/>
      <c r="F200" s="152"/>
      <c r="G200" s="249"/>
      <c r="J200" s="179"/>
      <c r="K200" s="179"/>
    </row>
    <row r="201" spans="2:11" ht="13.5" thickBot="1">
      <c r="B201" s="287" t="s">
        <v>199</v>
      </c>
      <c r="C201" s="288"/>
      <c r="D201" s="288"/>
      <c r="E201" s="289"/>
      <c r="F201" s="75"/>
      <c r="G201" s="76">
        <f>F200*F201</f>
        <v>0</v>
      </c>
      <c r="J201" s="179"/>
      <c r="K201" s="179"/>
    </row>
    <row r="202" spans="2:11" ht="11.25" customHeight="1">
      <c r="J202" s="179"/>
      <c r="K202" s="179"/>
    </row>
    <row r="203" spans="2:11" ht="13.5" thickBot="1">
      <c r="B203" s="52" t="s">
        <v>51</v>
      </c>
      <c r="J203" s="179"/>
      <c r="K203" s="179"/>
    </row>
    <row r="204" spans="2:11">
      <c r="B204" s="147" t="s">
        <v>64</v>
      </c>
      <c r="C204" s="148" t="s">
        <v>65</v>
      </c>
      <c r="D204" s="148" t="s">
        <v>40</v>
      </c>
      <c r="E204" s="149" t="s">
        <v>249</v>
      </c>
      <c r="F204" s="149" t="s">
        <v>66</v>
      </c>
      <c r="G204" s="150" t="s">
        <v>316</v>
      </c>
      <c r="J204" s="179"/>
      <c r="K204" s="179"/>
    </row>
    <row r="205" spans="2:11">
      <c r="B205" s="85" t="s">
        <v>12</v>
      </c>
      <c r="C205" s="151" t="s">
        <v>10</v>
      </c>
      <c r="D205" s="154"/>
      <c r="E205" s="152"/>
      <c r="F205" s="152"/>
      <c r="G205" s="247"/>
      <c r="J205" s="179"/>
      <c r="K205" s="179"/>
    </row>
    <row r="206" spans="2:11">
      <c r="B206" s="85" t="s">
        <v>198</v>
      </c>
      <c r="C206" s="151" t="s">
        <v>10</v>
      </c>
      <c r="D206" s="154"/>
      <c r="E206" s="152"/>
      <c r="F206" s="152"/>
      <c r="G206" s="248"/>
      <c r="J206" s="179"/>
      <c r="K206" s="179"/>
    </row>
    <row r="207" spans="2:11">
      <c r="B207" s="85" t="s">
        <v>13</v>
      </c>
      <c r="C207" s="151" t="s">
        <v>10</v>
      </c>
      <c r="D207" s="154"/>
      <c r="E207" s="152"/>
      <c r="F207" s="152"/>
      <c r="G207" s="248"/>
      <c r="J207" s="179"/>
      <c r="K207" s="179"/>
    </row>
    <row r="208" spans="2:11">
      <c r="B208" s="85" t="s">
        <v>14</v>
      </c>
      <c r="C208" s="151" t="s">
        <v>8</v>
      </c>
      <c r="D208" s="151"/>
      <c r="E208" s="152"/>
      <c r="F208" s="152"/>
      <c r="G208" s="249"/>
      <c r="J208" s="179"/>
      <c r="K208" s="179"/>
    </row>
    <row r="209" spans="2:11" ht="13.5" thickBot="1">
      <c r="B209" s="287" t="s">
        <v>199</v>
      </c>
      <c r="C209" s="288"/>
      <c r="D209" s="288"/>
      <c r="E209" s="289"/>
      <c r="F209" s="75">
        <v>0.75</v>
      </c>
      <c r="G209" s="76">
        <f>F208*F209</f>
        <v>0</v>
      </c>
      <c r="J209" s="179"/>
      <c r="K209" s="179"/>
    </row>
    <row r="210" spans="2:11" ht="11.25" customHeight="1">
      <c r="J210" s="179"/>
      <c r="K210" s="179"/>
    </row>
    <row r="211" spans="2:11">
      <c r="B211" s="52" t="s">
        <v>52</v>
      </c>
      <c r="C211" s="181"/>
      <c r="J211" s="179"/>
      <c r="K211" s="179"/>
    </row>
    <row r="212" spans="2:11" ht="13.5" thickBot="1">
      <c r="B212" s="87" t="s">
        <v>120</v>
      </c>
      <c r="C212" s="201">
        <v>640</v>
      </c>
      <c r="J212" s="179"/>
      <c r="K212" s="179"/>
    </row>
    <row r="213" spans="2:11">
      <c r="B213" s="147" t="s">
        <v>64</v>
      </c>
      <c r="C213" s="148" t="s">
        <v>65</v>
      </c>
      <c r="D213" s="148" t="s">
        <v>272</v>
      </c>
      <c r="E213" s="149" t="s">
        <v>249</v>
      </c>
      <c r="F213" s="149" t="s">
        <v>66</v>
      </c>
      <c r="G213" s="150" t="s">
        <v>316</v>
      </c>
      <c r="J213" s="179"/>
      <c r="K213" s="179"/>
    </row>
    <row r="214" spans="2:11">
      <c r="B214" s="85" t="s">
        <v>15</v>
      </c>
      <c r="C214" s="151" t="s">
        <v>16</v>
      </c>
      <c r="D214" s="182"/>
      <c r="E214" s="152"/>
      <c r="F214" s="152"/>
      <c r="G214" s="247"/>
      <c r="J214" s="179"/>
      <c r="K214" s="179"/>
    </row>
    <row r="215" spans="2:11">
      <c r="B215" s="85" t="s">
        <v>17</v>
      </c>
      <c r="C215" s="151" t="s">
        <v>18</v>
      </c>
      <c r="D215" s="169"/>
      <c r="E215" s="152"/>
      <c r="F215" s="152"/>
      <c r="G215" s="248"/>
      <c r="J215" s="179"/>
      <c r="K215" s="179"/>
    </row>
    <row r="216" spans="2:11">
      <c r="B216" s="85" t="s">
        <v>250</v>
      </c>
      <c r="C216" s="151" t="s">
        <v>19</v>
      </c>
      <c r="D216" s="182"/>
      <c r="E216" s="152"/>
      <c r="F216" s="152"/>
      <c r="G216" s="248"/>
      <c r="J216" s="179"/>
      <c r="K216" s="179"/>
    </row>
    <row r="217" spans="2:11">
      <c r="B217" s="85" t="s">
        <v>20</v>
      </c>
      <c r="C217" s="151" t="s">
        <v>18</v>
      </c>
      <c r="D217" s="169"/>
      <c r="E217" s="152"/>
      <c r="F217" s="152"/>
      <c r="G217" s="248"/>
      <c r="J217" s="179"/>
      <c r="K217" s="179"/>
    </row>
    <row r="218" spans="2:11">
      <c r="B218" s="85" t="s">
        <v>251</v>
      </c>
      <c r="C218" s="151" t="s">
        <v>19</v>
      </c>
      <c r="D218" s="182"/>
      <c r="E218" s="152"/>
      <c r="F218" s="152"/>
      <c r="G218" s="248"/>
      <c r="J218" s="179"/>
      <c r="K218" s="179"/>
    </row>
    <row r="219" spans="2:11">
      <c r="B219" s="85" t="s">
        <v>21</v>
      </c>
      <c r="C219" s="151" t="s">
        <v>18</v>
      </c>
      <c r="D219" s="169"/>
      <c r="E219" s="152"/>
      <c r="F219" s="152"/>
      <c r="G219" s="248"/>
      <c r="J219" s="179"/>
      <c r="K219" s="179"/>
    </row>
    <row r="220" spans="2:11">
      <c r="B220" s="85" t="s">
        <v>252</v>
      </c>
      <c r="C220" s="151" t="s">
        <v>19</v>
      </c>
      <c r="D220" s="182"/>
      <c r="E220" s="152"/>
      <c r="F220" s="152"/>
      <c r="G220" s="248"/>
      <c r="J220" s="179"/>
      <c r="K220" s="179"/>
    </row>
    <row r="221" spans="2:11">
      <c r="B221" s="85" t="s">
        <v>22</v>
      </c>
      <c r="C221" s="151" t="s">
        <v>18</v>
      </c>
      <c r="D221" s="169"/>
      <c r="E221" s="152"/>
      <c r="F221" s="152"/>
      <c r="G221" s="248"/>
      <c r="J221" s="179"/>
      <c r="K221" s="179"/>
    </row>
    <row r="222" spans="2:11">
      <c r="B222" s="85" t="s">
        <v>23</v>
      </c>
      <c r="C222" s="151" t="s">
        <v>24</v>
      </c>
      <c r="D222" s="182"/>
      <c r="E222" s="152"/>
      <c r="F222" s="152"/>
      <c r="G222" s="248"/>
      <c r="J222" s="179"/>
      <c r="K222" s="179"/>
    </row>
    <row r="223" spans="2:11">
      <c r="B223" s="85" t="s">
        <v>25</v>
      </c>
      <c r="C223" s="151" t="s">
        <v>18</v>
      </c>
      <c r="D223" s="169"/>
      <c r="E223" s="152"/>
      <c r="F223" s="152"/>
      <c r="G223" s="248"/>
      <c r="J223" s="179"/>
      <c r="K223" s="179"/>
    </row>
    <row r="224" spans="2:11">
      <c r="B224" s="85" t="s">
        <v>271</v>
      </c>
      <c r="C224" s="151" t="s">
        <v>121</v>
      </c>
      <c r="D224" s="169"/>
      <c r="E224" s="152"/>
      <c r="F224" s="154"/>
      <c r="G224" s="249"/>
      <c r="J224" s="179"/>
      <c r="K224" s="179"/>
    </row>
    <row r="225" spans="2:11" ht="13.5" thickBot="1">
      <c r="B225" s="287" t="s">
        <v>199</v>
      </c>
      <c r="C225" s="288"/>
      <c r="D225" s="288"/>
      <c r="E225" s="289"/>
      <c r="F225" s="75"/>
      <c r="G225" s="76">
        <f>(F215+F217+F219+F221+F223)*F225</f>
        <v>0</v>
      </c>
      <c r="J225" s="179"/>
      <c r="K225" s="179"/>
    </row>
    <row r="226" spans="2:11" ht="11.25" customHeight="1">
      <c r="J226" s="179"/>
      <c r="K226" s="179"/>
    </row>
    <row r="227" spans="2:11" ht="13.5" thickBot="1">
      <c r="B227" s="52" t="s">
        <v>53</v>
      </c>
      <c r="J227" s="179"/>
      <c r="K227" s="179"/>
    </row>
    <row r="228" spans="2:11">
      <c r="B228" s="147" t="s">
        <v>64</v>
      </c>
      <c r="C228" s="148" t="s">
        <v>65</v>
      </c>
      <c r="D228" s="148" t="s">
        <v>40</v>
      </c>
      <c r="E228" s="149" t="s">
        <v>249</v>
      </c>
      <c r="F228" s="149" t="s">
        <v>66</v>
      </c>
      <c r="G228" s="150" t="s">
        <v>316</v>
      </c>
      <c r="J228" s="179"/>
      <c r="K228" s="179"/>
    </row>
    <row r="229" spans="2:11">
      <c r="B229" s="85" t="s">
        <v>119</v>
      </c>
      <c r="C229" s="151" t="s">
        <v>121</v>
      </c>
      <c r="D229" s="169">
        <f>C212</f>
        <v>640</v>
      </c>
      <c r="E229" s="183">
        <f>E224</f>
        <v>0</v>
      </c>
      <c r="F229" s="183">
        <f>D229*E229</f>
        <v>0</v>
      </c>
      <c r="G229" s="184"/>
      <c r="J229" s="179"/>
      <c r="K229" s="179"/>
    </row>
    <row r="230" spans="2:11" ht="13.5" thickBot="1">
      <c r="B230" s="287" t="s">
        <v>199</v>
      </c>
      <c r="C230" s="288"/>
      <c r="D230" s="288"/>
      <c r="E230" s="289"/>
      <c r="F230" s="75"/>
      <c r="G230" s="76">
        <f>F229*F230</f>
        <v>0</v>
      </c>
      <c r="J230" s="179"/>
      <c r="K230" s="179"/>
    </row>
    <row r="231" spans="2:11" ht="11.25" customHeight="1">
      <c r="J231" s="179"/>
      <c r="K231" s="179"/>
    </row>
    <row r="232" spans="2:11" ht="11.25" customHeight="1">
      <c r="J232" s="179"/>
      <c r="K232" s="179"/>
    </row>
    <row r="233" spans="2:11" ht="13.5" thickBot="1">
      <c r="B233" s="52" t="s">
        <v>62</v>
      </c>
      <c r="J233" s="179"/>
      <c r="K233" s="179"/>
    </row>
    <row r="234" spans="2:11">
      <c r="B234" s="147" t="s">
        <v>64</v>
      </c>
      <c r="C234" s="148" t="s">
        <v>65</v>
      </c>
      <c r="D234" s="148" t="s">
        <v>40</v>
      </c>
      <c r="E234" s="149" t="s">
        <v>249</v>
      </c>
      <c r="F234" s="149" t="s">
        <v>66</v>
      </c>
      <c r="G234" s="150" t="s">
        <v>316</v>
      </c>
      <c r="J234" s="179"/>
      <c r="K234" s="179"/>
    </row>
    <row r="235" spans="2:11">
      <c r="B235" s="85" t="s">
        <v>96</v>
      </c>
      <c r="C235" s="151" t="s">
        <v>10</v>
      </c>
      <c r="D235" s="151"/>
      <c r="E235" s="152"/>
      <c r="F235" s="152"/>
      <c r="G235" s="247"/>
      <c r="J235" s="179"/>
      <c r="K235" s="179"/>
    </row>
    <row r="236" spans="2:11">
      <c r="B236" s="85" t="s">
        <v>122</v>
      </c>
      <c r="C236" s="151" t="s">
        <v>10</v>
      </c>
      <c r="D236" s="151"/>
      <c r="E236" s="152"/>
      <c r="F236" s="152"/>
      <c r="G236" s="248"/>
      <c r="J236" s="179"/>
      <c r="K236" s="179"/>
    </row>
    <row r="237" spans="2:11">
      <c r="B237" s="85" t="s">
        <v>70</v>
      </c>
      <c r="C237" s="151" t="s">
        <v>10</v>
      </c>
      <c r="D237" s="154"/>
      <c r="E237" s="152"/>
      <c r="F237" s="152"/>
      <c r="G237" s="248"/>
      <c r="J237" s="179"/>
      <c r="K237" s="179"/>
    </row>
    <row r="238" spans="2:11">
      <c r="B238" s="85" t="s">
        <v>97</v>
      </c>
      <c r="C238" s="151" t="s">
        <v>26</v>
      </c>
      <c r="D238" s="185"/>
      <c r="E238" s="152"/>
      <c r="F238" s="152"/>
      <c r="G238" s="248"/>
      <c r="J238" s="179"/>
      <c r="K238" s="179"/>
    </row>
    <row r="239" spans="2:11">
      <c r="B239" s="85" t="s">
        <v>55</v>
      </c>
      <c r="C239" s="151" t="s">
        <v>18</v>
      </c>
      <c r="D239" s="169"/>
      <c r="E239" s="152"/>
      <c r="F239" s="152"/>
      <c r="G239" s="249"/>
      <c r="J239" s="179"/>
      <c r="K239" s="179"/>
    </row>
    <row r="240" spans="2:11" ht="13.5" thickBot="1">
      <c r="B240" s="287" t="s">
        <v>199</v>
      </c>
      <c r="C240" s="288"/>
      <c r="D240" s="288"/>
      <c r="E240" s="289"/>
      <c r="F240" s="75"/>
      <c r="G240" s="76">
        <f>F239*F240</f>
        <v>0</v>
      </c>
      <c r="J240" s="179"/>
      <c r="K240" s="179"/>
    </row>
    <row r="241" spans="2:11" ht="11.25" customHeight="1" thickBot="1">
      <c r="J241" s="179"/>
      <c r="K241" s="179"/>
    </row>
    <row r="242" spans="2:11" ht="13.5" thickBot="1">
      <c r="B242" s="80" t="s">
        <v>237</v>
      </c>
      <c r="C242" s="81"/>
      <c r="D242" s="81"/>
      <c r="E242" s="82"/>
      <c r="F242" s="83"/>
      <c r="G242" s="84">
        <f>+SUM(G173:G241)</f>
        <v>0</v>
      </c>
      <c r="H242" s="79"/>
    </row>
    <row r="243" spans="2:11" ht="11.25" customHeight="1">
      <c r="H243" s="79"/>
    </row>
    <row r="244" spans="2:11" ht="13.5" thickBot="1">
      <c r="B244" s="57" t="s">
        <v>74</v>
      </c>
      <c r="C244" s="139"/>
      <c r="D244" s="139"/>
      <c r="E244" s="133"/>
      <c r="F244" s="133"/>
      <c r="G244" s="138"/>
      <c r="H244" s="79"/>
    </row>
    <row r="245" spans="2:11">
      <c r="B245" s="147" t="s">
        <v>64</v>
      </c>
      <c r="C245" s="148" t="s">
        <v>65</v>
      </c>
      <c r="D245" s="148" t="s">
        <v>40</v>
      </c>
      <c r="E245" s="149" t="s">
        <v>249</v>
      </c>
      <c r="F245" s="149" t="s">
        <v>66</v>
      </c>
      <c r="G245" s="150" t="s">
        <v>316</v>
      </c>
      <c r="H245" s="79"/>
    </row>
    <row r="246" spans="2:11">
      <c r="B246" s="85" t="s">
        <v>71</v>
      </c>
      <c r="C246" s="151" t="s">
        <v>10</v>
      </c>
      <c r="D246" s="174"/>
      <c r="E246" s="152"/>
      <c r="F246" s="152"/>
      <c r="G246" s="247"/>
      <c r="H246" s="79"/>
    </row>
    <row r="247" spans="2:11">
      <c r="B247" s="85" t="s">
        <v>27</v>
      </c>
      <c r="C247" s="151" t="s">
        <v>10</v>
      </c>
      <c r="D247" s="174"/>
      <c r="E247" s="152"/>
      <c r="F247" s="152"/>
      <c r="G247" s="248"/>
      <c r="H247" s="79"/>
    </row>
    <row r="248" spans="2:11">
      <c r="B248" s="85" t="s">
        <v>28</v>
      </c>
      <c r="C248" s="151" t="s">
        <v>10</v>
      </c>
      <c r="D248" s="174"/>
      <c r="E248" s="152"/>
      <c r="F248" s="152"/>
      <c r="G248" s="248"/>
      <c r="H248" s="79"/>
    </row>
    <row r="249" spans="2:11">
      <c r="B249" s="85" t="s">
        <v>57</v>
      </c>
      <c r="C249" s="151" t="s">
        <v>58</v>
      </c>
      <c r="D249" s="174"/>
      <c r="E249" s="152"/>
      <c r="F249" s="152"/>
      <c r="G249" s="248"/>
      <c r="H249" s="79"/>
    </row>
    <row r="250" spans="2:11">
      <c r="B250" s="85" t="s">
        <v>60</v>
      </c>
      <c r="C250" s="151" t="s">
        <v>58</v>
      </c>
      <c r="D250" s="174"/>
      <c r="E250" s="152"/>
      <c r="F250" s="152"/>
      <c r="G250" s="249"/>
      <c r="H250" s="79"/>
    </row>
    <row r="251" spans="2:11" ht="13.5" thickBot="1">
      <c r="B251" s="287" t="s">
        <v>199</v>
      </c>
      <c r="C251" s="288"/>
      <c r="D251" s="288"/>
      <c r="E251" s="289"/>
      <c r="F251" s="75"/>
      <c r="G251" s="76">
        <f>(F246+F247+F248+F249+F250)*F251</f>
        <v>0</v>
      </c>
      <c r="H251" s="79"/>
    </row>
    <row r="252" spans="2:11" ht="11.25" customHeight="1" thickBot="1">
      <c r="H252" s="79"/>
    </row>
    <row r="253" spans="2:11" ht="13.5" thickBot="1">
      <c r="B253" s="80" t="s">
        <v>238</v>
      </c>
      <c r="C253" s="81"/>
      <c r="D253" s="81"/>
      <c r="E253" s="82"/>
      <c r="F253" s="83"/>
      <c r="G253" s="84">
        <f>+G251</f>
        <v>0</v>
      </c>
      <c r="H253" s="79"/>
    </row>
    <row r="254" spans="2:11" ht="6" customHeight="1">
      <c r="H254" s="79"/>
    </row>
    <row r="255" spans="2:11" ht="13.5" thickBot="1">
      <c r="B255" s="57" t="s">
        <v>75</v>
      </c>
      <c r="C255" s="139"/>
      <c r="D255" s="139"/>
      <c r="E255" s="133"/>
      <c r="F255" s="133"/>
      <c r="G255" s="138"/>
    </row>
    <row r="256" spans="2:11">
      <c r="B256" s="147" t="s">
        <v>64</v>
      </c>
      <c r="C256" s="148" t="s">
        <v>65</v>
      </c>
      <c r="D256" s="148" t="s">
        <v>40</v>
      </c>
      <c r="E256" s="149" t="s">
        <v>249</v>
      </c>
      <c r="F256" s="149" t="s">
        <v>66</v>
      </c>
      <c r="G256" s="150" t="s">
        <v>316</v>
      </c>
    </row>
    <row r="257" spans="2:8">
      <c r="B257" s="85" t="s">
        <v>235</v>
      </c>
      <c r="C257" s="88" t="s">
        <v>58</v>
      </c>
      <c r="D257" s="167"/>
      <c r="E257" s="154"/>
      <c r="F257" s="154"/>
      <c r="G257" s="247"/>
    </row>
    <row r="258" spans="2:8">
      <c r="B258" s="85" t="s">
        <v>61</v>
      </c>
      <c r="C258" s="88" t="s">
        <v>8</v>
      </c>
      <c r="D258" s="186"/>
      <c r="E258" s="89"/>
      <c r="F258" s="89"/>
      <c r="G258" s="248"/>
    </row>
    <row r="259" spans="2:8">
      <c r="B259" s="85" t="s">
        <v>236</v>
      </c>
      <c r="C259" s="151" t="s">
        <v>10</v>
      </c>
      <c r="D259" s="167"/>
      <c r="E259" s="154"/>
      <c r="F259" s="154"/>
      <c r="G259" s="248"/>
    </row>
    <row r="260" spans="2:8">
      <c r="B260" s="85" t="s">
        <v>37</v>
      </c>
      <c r="C260" s="88" t="s">
        <v>8</v>
      </c>
      <c r="D260" s="186"/>
      <c r="E260" s="89"/>
      <c r="F260" s="89"/>
      <c r="G260" s="249"/>
    </row>
    <row r="261" spans="2:8" ht="13.5" thickBot="1">
      <c r="B261" s="287" t="s">
        <v>199</v>
      </c>
      <c r="C261" s="288"/>
      <c r="D261" s="288"/>
      <c r="E261" s="289"/>
      <c r="F261" s="75"/>
      <c r="G261" s="94">
        <f>(F258+F260)*F261</f>
        <v>0</v>
      </c>
    </row>
    <row r="262" spans="2:8" s="56" customFormat="1" ht="11.25" customHeight="1" thickBot="1">
      <c r="B262" s="79"/>
      <c r="C262" s="79"/>
      <c r="D262" s="79"/>
      <c r="E262" s="92"/>
      <c r="F262" s="92"/>
      <c r="G262" s="93"/>
      <c r="H262" s="55"/>
    </row>
    <row r="263" spans="2:8" ht="13.5" thickBot="1">
      <c r="B263" s="80" t="s">
        <v>234</v>
      </c>
      <c r="C263" s="81"/>
      <c r="D263" s="81"/>
      <c r="E263" s="82"/>
      <c r="F263" s="83"/>
      <c r="G263" s="78">
        <f>+G261</f>
        <v>0</v>
      </c>
    </row>
    <row r="264" spans="2:8" ht="11.25" customHeight="1" thickBot="1"/>
    <row r="265" spans="2:8" ht="17.25" customHeight="1" thickBot="1">
      <c r="B265" s="80" t="s">
        <v>239</v>
      </c>
      <c r="C265" s="81"/>
      <c r="D265" s="81"/>
      <c r="E265" s="82"/>
      <c r="F265" s="83"/>
      <c r="G265" s="90">
        <f>+G135+G166+G242+G253+G263</f>
        <v>0</v>
      </c>
    </row>
    <row r="266" spans="2:8" ht="6" customHeight="1"/>
    <row r="267" spans="2:8">
      <c r="B267" s="52" t="s">
        <v>319</v>
      </c>
    </row>
    <row r="268" spans="2:8" ht="4.5" customHeight="1" thickBot="1"/>
    <row r="269" spans="2:8">
      <c r="B269" s="147" t="s">
        <v>64</v>
      </c>
      <c r="C269" s="148" t="s">
        <v>65</v>
      </c>
      <c r="D269" s="148" t="s">
        <v>40</v>
      </c>
      <c r="E269" s="149" t="s">
        <v>249</v>
      </c>
      <c r="F269" s="149" t="s">
        <v>66</v>
      </c>
      <c r="G269" s="150" t="s">
        <v>316</v>
      </c>
    </row>
    <row r="270" spans="2:8">
      <c r="B270" s="85" t="s">
        <v>36</v>
      </c>
      <c r="C270" s="151" t="s">
        <v>2</v>
      </c>
      <c r="D270" s="187"/>
      <c r="E270" s="152">
        <f>+G265</f>
        <v>0</v>
      </c>
      <c r="F270" s="152">
        <f>E270*D270</f>
        <v>0</v>
      </c>
      <c r="G270" s="184"/>
    </row>
    <row r="271" spans="2:8" ht="13.5" thickBot="1">
      <c r="B271" s="287" t="s">
        <v>199</v>
      </c>
      <c r="C271" s="288"/>
      <c r="D271" s="288"/>
      <c r="E271" s="289"/>
      <c r="F271" s="75">
        <v>1</v>
      </c>
      <c r="G271" s="76">
        <f>+F270</f>
        <v>0</v>
      </c>
    </row>
    <row r="272" spans="2:8" ht="11.25" customHeight="1" thickBot="1"/>
    <row r="273" spans="2:32" ht="13.5" thickBot="1">
      <c r="B273" s="80" t="s">
        <v>254</v>
      </c>
      <c r="C273" s="81"/>
      <c r="D273" s="81"/>
      <c r="E273" s="82"/>
      <c r="F273" s="83"/>
      <c r="G273" s="84">
        <f>G271</f>
        <v>0</v>
      </c>
    </row>
    <row r="274" spans="2:32" ht="13.5" thickBot="1">
      <c r="B274" s="139"/>
      <c r="C274" s="139"/>
      <c r="D274" s="139"/>
      <c r="E274" s="133"/>
      <c r="F274" s="133"/>
      <c r="G274" s="138"/>
    </row>
    <row r="275" spans="2:32" ht="13.5" thickBot="1">
      <c r="B275" s="80" t="s">
        <v>322</v>
      </c>
      <c r="C275" s="81"/>
      <c r="D275" s="81"/>
      <c r="E275" s="82"/>
      <c r="F275" s="83"/>
      <c r="G275" s="84">
        <f>G265+G273</f>
        <v>0</v>
      </c>
    </row>
    <row r="276" spans="2:32" ht="13.5" thickBot="1">
      <c r="B276" s="139"/>
      <c r="C276" s="139"/>
      <c r="D276" s="139"/>
      <c r="E276" s="133"/>
      <c r="F276" s="133"/>
      <c r="G276" s="188"/>
    </row>
    <row r="277" spans="2:32" ht="15.75" customHeight="1" thickBot="1">
      <c r="B277" s="245" t="s">
        <v>321</v>
      </c>
      <c r="C277" s="246"/>
      <c r="D277" s="246"/>
      <c r="E277" s="246"/>
      <c r="F277" s="246"/>
      <c r="G277" s="91">
        <f>G282</f>
        <v>0</v>
      </c>
      <c r="AF277" s="200"/>
    </row>
    <row r="278" spans="2:32" s="139" customFormat="1" ht="15.75" customHeight="1" thickBot="1">
      <c r="B278" s="189"/>
      <c r="C278" s="189"/>
      <c r="D278" s="189"/>
      <c r="E278" s="189"/>
      <c r="F278" s="189"/>
      <c r="G278" s="188"/>
      <c r="H278" s="133"/>
    </row>
    <row r="279" spans="2:32">
      <c r="B279" s="284" t="s">
        <v>311</v>
      </c>
      <c r="C279" s="285"/>
      <c r="D279" s="285"/>
      <c r="E279" s="285"/>
      <c r="F279" s="286"/>
      <c r="G279" s="283"/>
    </row>
    <row r="280" spans="2:32" ht="15" customHeight="1">
      <c r="B280" s="277" t="s">
        <v>233</v>
      </c>
      <c r="C280" s="278"/>
      <c r="D280" s="279"/>
      <c r="E280" s="190">
        <v>45</v>
      </c>
      <c r="F280" s="134"/>
      <c r="G280" s="249"/>
      <c r="H280" s="92" t="s">
        <v>209</v>
      </c>
      <c r="V280" s="191"/>
    </row>
    <row r="281" spans="2:32" hidden="1">
      <c r="B281" s="85"/>
      <c r="C281" s="87"/>
      <c r="D281" s="87"/>
      <c r="E281" s="165"/>
      <c r="F281" s="165"/>
      <c r="G281" s="184"/>
    </row>
    <row r="282" spans="2:32" ht="13.5" thickBot="1">
      <c r="B282" s="280" t="s">
        <v>320</v>
      </c>
      <c r="C282" s="281"/>
      <c r="D282" s="281"/>
      <c r="E282" s="282"/>
      <c r="F282" s="192" t="s">
        <v>310</v>
      </c>
      <c r="G282" s="194">
        <f>F280*E280</f>
        <v>0</v>
      </c>
      <c r="H282" s="92" t="s">
        <v>209</v>
      </c>
      <c r="V282" s="191"/>
    </row>
    <row r="283" spans="2:32" ht="12.6" customHeight="1" thickBot="1">
      <c r="B283" s="139"/>
      <c r="C283" s="139"/>
      <c r="D283" s="139"/>
      <c r="E283" s="133"/>
      <c r="F283" s="133"/>
      <c r="G283" s="138"/>
    </row>
    <row r="284" spans="2:32" ht="21.75" customHeight="1" thickBot="1">
      <c r="B284" s="294" t="s">
        <v>240</v>
      </c>
      <c r="C284" s="295"/>
      <c r="D284" s="295"/>
      <c r="E284" s="295"/>
      <c r="F284" s="296"/>
      <c r="G284" s="84">
        <f>G275+G277</f>
        <v>0</v>
      </c>
    </row>
    <row r="285" spans="2:32" ht="15">
      <c r="B285" s="290"/>
      <c r="C285" s="290"/>
      <c r="D285" s="290"/>
      <c r="E285" s="290"/>
      <c r="F285" s="290"/>
      <c r="G285" s="290"/>
    </row>
    <row r="286" spans="2:32" ht="9.75" customHeight="1">
      <c r="E286" s="79"/>
      <c r="F286" s="79"/>
      <c r="G286" s="141"/>
    </row>
    <row r="287" spans="2:32" ht="15">
      <c r="B287" s="274"/>
      <c r="C287" s="274"/>
      <c r="D287" s="274"/>
      <c r="E287" s="274"/>
      <c r="F287" s="274"/>
      <c r="G287" s="274"/>
    </row>
    <row r="288" spans="2:32" ht="15">
      <c r="B288" s="274"/>
      <c r="C288" s="274"/>
      <c r="D288" s="274"/>
      <c r="E288" s="274"/>
      <c r="F288" s="274"/>
      <c r="G288" s="274"/>
    </row>
    <row r="289" spans="2:7" ht="15">
      <c r="B289" s="274"/>
      <c r="C289" s="274"/>
      <c r="D289" s="274"/>
      <c r="E289" s="274"/>
      <c r="F289" s="274"/>
      <c r="G289" s="274"/>
    </row>
    <row r="290" spans="2:7" ht="15">
      <c r="B290" s="274"/>
      <c r="C290" s="274"/>
      <c r="D290" s="274"/>
      <c r="E290" s="274"/>
      <c r="F290" s="274"/>
      <c r="G290" s="274"/>
    </row>
    <row r="291" spans="2:7" ht="15">
      <c r="B291" s="274"/>
      <c r="C291" s="274"/>
      <c r="D291" s="274"/>
      <c r="E291" s="274"/>
      <c r="F291" s="274"/>
      <c r="G291" s="274"/>
    </row>
    <row r="294" spans="2:7" ht="15">
      <c r="B294" s="274"/>
      <c r="C294" s="274"/>
      <c r="D294" s="274"/>
      <c r="E294" s="274"/>
      <c r="F294" s="274"/>
      <c r="G294" s="274"/>
    </row>
    <row r="295" spans="2:7" ht="15">
      <c r="B295" s="274"/>
      <c r="C295" s="274"/>
      <c r="D295" s="274"/>
      <c r="E295" s="274"/>
      <c r="F295" s="274"/>
      <c r="G295" s="274"/>
    </row>
    <row r="296" spans="2:7" ht="15">
      <c r="B296" s="274"/>
      <c r="C296" s="274"/>
      <c r="D296" s="274"/>
      <c r="E296" s="274"/>
      <c r="F296" s="274"/>
      <c r="G296" s="274"/>
    </row>
    <row r="297" spans="2:7" ht="15">
      <c r="B297" s="274"/>
      <c r="C297" s="274"/>
      <c r="D297" s="274"/>
      <c r="E297" s="274"/>
      <c r="F297" s="274"/>
      <c r="G297" s="274"/>
    </row>
    <row r="298" spans="2:7" ht="15">
      <c r="B298" s="274"/>
      <c r="C298" s="274"/>
      <c r="D298" s="274"/>
      <c r="E298" s="274"/>
      <c r="F298" s="274"/>
      <c r="G298" s="274"/>
    </row>
    <row r="299" spans="2:7" ht="15">
      <c r="B299" s="274"/>
      <c r="C299" s="274"/>
      <c r="D299" s="274"/>
      <c r="E299" s="274"/>
      <c r="F299" s="274"/>
      <c r="G299" s="274"/>
    </row>
    <row r="300" spans="2:7" ht="15">
      <c r="B300" s="274"/>
      <c r="C300" s="274"/>
      <c r="D300" s="274"/>
      <c r="E300" s="274"/>
      <c r="F300" s="274"/>
      <c r="G300" s="274"/>
    </row>
    <row r="301" spans="2:7" ht="15">
      <c r="B301" s="274"/>
      <c r="C301" s="274"/>
      <c r="D301" s="274"/>
      <c r="E301" s="274"/>
      <c r="F301" s="274"/>
      <c r="G301" s="274"/>
    </row>
    <row r="302" spans="2:7" ht="15">
      <c r="B302" s="274"/>
      <c r="C302" s="274"/>
      <c r="D302" s="274"/>
      <c r="E302" s="274"/>
      <c r="F302" s="274"/>
      <c r="G302" s="274"/>
    </row>
    <row r="303" spans="2:7" ht="15">
      <c r="B303" s="274"/>
      <c r="C303" s="274"/>
      <c r="D303" s="274"/>
      <c r="E303" s="274"/>
      <c r="F303" s="274"/>
      <c r="G303" s="274"/>
    </row>
    <row r="304" spans="2:7" ht="15">
      <c r="B304" s="274"/>
      <c r="C304" s="274"/>
      <c r="D304" s="274"/>
      <c r="E304" s="274"/>
      <c r="F304" s="274"/>
      <c r="G304" s="274"/>
    </row>
    <row r="305" spans="2:8" ht="15">
      <c r="B305" s="274"/>
      <c r="C305" s="274"/>
      <c r="D305" s="274"/>
      <c r="E305" s="274"/>
      <c r="F305" s="274"/>
      <c r="G305" s="274"/>
    </row>
    <row r="306" spans="2:8" ht="15">
      <c r="B306" s="274"/>
      <c r="C306" s="274"/>
      <c r="D306" s="274"/>
      <c r="E306" s="274"/>
      <c r="F306" s="274"/>
      <c r="G306" s="274"/>
    </row>
    <row r="307" spans="2:8" ht="15">
      <c r="B307" s="274"/>
      <c r="C307" s="274"/>
      <c r="D307" s="274"/>
      <c r="E307" s="274"/>
      <c r="F307" s="274"/>
      <c r="G307" s="274"/>
    </row>
    <row r="316" spans="2:8" ht="9" customHeight="1">
      <c r="E316" s="79"/>
      <c r="F316" s="79"/>
      <c r="G316" s="141"/>
      <c r="H316" s="79"/>
    </row>
  </sheetData>
  <mergeCells count="85">
    <mergeCell ref="G257:G260"/>
    <mergeCell ref="B271:E271"/>
    <mergeCell ref="B251:E251"/>
    <mergeCell ref="B35:E35"/>
    <mergeCell ref="B36:E36"/>
    <mergeCell ref="B37:E37"/>
    <mergeCell ref="B284:F284"/>
    <mergeCell ref="B166:F166"/>
    <mergeCell ref="B225:E225"/>
    <mergeCell ref="B209:E209"/>
    <mergeCell ref="B261:E261"/>
    <mergeCell ref="B25:E25"/>
    <mergeCell ref="B26:E26"/>
    <mergeCell ref="B28:E28"/>
    <mergeCell ref="G189:G200"/>
    <mergeCell ref="B201:E201"/>
    <mergeCell ref="B20:E20"/>
    <mergeCell ref="B21:E21"/>
    <mergeCell ref="B22:E22"/>
    <mergeCell ref="B23:E23"/>
    <mergeCell ref="B24:E24"/>
    <mergeCell ref="B306:G306"/>
    <mergeCell ref="B307:G307"/>
    <mergeCell ref="B287:G287"/>
    <mergeCell ref="B285:G285"/>
    <mergeCell ref="B301:G301"/>
    <mergeCell ref="B302:G302"/>
    <mergeCell ref="B303:G303"/>
    <mergeCell ref="B304:G304"/>
    <mergeCell ref="B305:G305"/>
    <mergeCell ref="B297:G297"/>
    <mergeCell ref="B298:G298"/>
    <mergeCell ref="B299:G299"/>
    <mergeCell ref="B300:G300"/>
    <mergeCell ref="B291:G291"/>
    <mergeCell ref="B295:G295"/>
    <mergeCell ref="B296:G296"/>
    <mergeCell ref="B294:G294"/>
    <mergeCell ref="B288:G288"/>
    <mergeCell ref="B289:G289"/>
    <mergeCell ref="B290:G290"/>
    <mergeCell ref="B39:E39"/>
    <mergeCell ref="B280:D280"/>
    <mergeCell ref="B282:E282"/>
    <mergeCell ref="G279:G280"/>
    <mergeCell ref="B279:F279"/>
    <mergeCell ref="B57:E57"/>
    <mergeCell ref="B230:E230"/>
    <mergeCell ref="B240:E240"/>
    <mergeCell ref="B91:E91"/>
    <mergeCell ref="B133:E133"/>
    <mergeCell ref="B152:E152"/>
    <mergeCell ref="B164:E164"/>
    <mergeCell ref="B6:G6"/>
    <mergeCell ref="B7:G7"/>
    <mergeCell ref="B32:E32"/>
    <mergeCell ref="B8:G8"/>
    <mergeCell ref="B31:F31"/>
    <mergeCell ref="B27:E27"/>
    <mergeCell ref="B10:E10"/>
    <mergeCell ref="B9:E9"/>
    <mergeCell ref="B11:E11"/>
    <mergeCell ref="B13:E13"/>
    <mergeCell ref="B14:E14"/>
    <mergeCell ref="B15:E15"/>
    <mergeCell ref="B16:E16"/>
    <mergeCell ref="B17:E17"/>
    <mergeCell ref="B18:E18"/>
    <mergeCell ref="B19:E19"/>
    <mergeCell ref="B3:G3"/>
    <mergeCell ref="B4:G4"/>
    <mergeCell ref="B5:G5"/>
    <mergeCell ref="B277:F277"/>
    <mergeCell ref="G48:G56"/>
    <mergeCell ref="G80:G90"/>
    <mergeCell ref="G140:G151"/>
    <mergeCell ref="G131:G132"/>
    <mergeCell ref="G156:G163"/>
    <mergeCell ref="G173:G184"/>
    <mergeCell ref="G205:G208"/>
    <mergeCell ref="G214:G224"/>
    <mergeCell ref="G235:G239"/>
    <mergeCell ref="G246:G250"/>
    <mergeCell ref="B33:E33"/>
    <mergeCell ref="B34:E34"/>
  </mergeCells>
  <phoneticPr fontId="9" type="noConversion"/>
  <hyperlinks>
    <hyperlink ref="B187" location="AbaRemun" display="3.1.2. Remuneração do Capital"/>
    <hyperlink ref="B171" location="AbaDeprec" display="3.1.1. Depreciação"/>
  </hyperlinks>
  <pageMargins left="0.25" right="0.25" top="0.75" bottom="0.75" header="0.3" footer="0.3"/>
  <pageSetup paperSize="9" scale="81" fitToHeight="0" orientation="portrait" r:id="rId1"/>
  <headerFooter alignWithMargins="0">
    <oddFooter>&amp;R&amp;P de &amp;N</oddFooter>
  </headerFooter>
  <rowBreaks count="4" manualBreakCount="4">
    <brk id="44" max="19" man="1"/>
    <brk id="113" max="19" man="1"/>
    <brk id="167" max="19" man="1"/>
    <brk id="231" max="1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M65"/>
  <sheetViews>
    <sheetView zoomScaleNormal="100" workbookViewId="0">
      <selection activeCell="E16" sqref="E16"/>
    </sheetView>
  </sheetViews>
  <sheetFormatPr defaultRowHeight="12.75"/>
  <cols>
    <col min="1" max="1" width="9.140625" style="54"/>
    <col min="2" max="2" width="13.5703125" style="95" customWidth="1"/>
    <col min="3" max="3" width="36.7109375" style="54" bestFit="1" customWidth="1"/>
    <col min="4" max="4" width="14.5703125" style="95" customWidth="1"/>
    <col min="5" max="5" width="37.28515625" style="96" customWidth="1"/>
    <col min="6" max="11" width="9.140625" style="54"/>
    <col min="12" max="12" width="11" style="54" bestFit="1" customWidth="1"/>
    <col min="13" max="16384" width="9.140625" style="54"/>
  </cols>
  <sheetData>
    <row r="1" spans="2:13">
      <c r="B1" s="74"/>
    </row>
    <row r="2" spans="2:13">
      <c r="B2" s="97"/>
    </row>
    <row r="3" spans="2:13" ht="13.5" thickBot="1"/>
    <row r="4" spans="2:13" ht="18">
      <c r="B4" s="300" t="s">
        <v>243</v>
      </c>
      <c r="C4" s="301"/>
      <c r="D4" s="302"/>
      <c r="E4" s="98"/>
      <c r="F4" s="98"/>
      <c r="G4" s="98"/>
    </row>
    <row r="5" spans="2:13" ht="14.25">
      <c r="B5" s="99" t="s">
        <v>144</v>
      </c>
      <c r="C5" s="100" t="s">
        <v>145</v>
      </c>
      <c r="D5" s="101" t="s">
        <v>146</v>
      </c>
      <c r="E5" s="11"/>
    </row>
    <row r="6" spans="2:13" ht="14.25">
      <c r="B6" s="99" t="s">
        <v>147</v>
      </c>
      <c r="C6" s="100" t="s">
        <v>41</v>
      </c>
      <c r="D6" s="102">
        <v>0.2</v>
      </c>
      <c r="E6" s="11"/>
      <c r="G6" s="96"/>
      <c r="H6" s="96"/>
      <c r="I6" s="96"/>
      <c r="J6" s="96"/>
      <c r="K6" s="96"/>
      <c r="L6" s="96"/>
      <c r="M6" s="96"/>
    </row>
    <row r="7" spans="2:13" ht="14.25">
      <c r="B7" s="99" t="s">
        <v>148</v>
      </c>
      <c r="C7" s="100" t="s">
        <v>149</v>
      </c>
      <c r="D7" s="102">
        <v>1.4999999999999999E-2</v>
      </c>
      <c r="E7" s="11"/>
      <c r="G7" s="96"/>
      <c r="H7" s="96"/>
      <c r="I7" s="96"/>
      <c r="J7" s="96"/>
      <c r="K7" s="96"/>
      <c r="L7" s="96"/>
      <c r="M7" s="96"/>
    </row>
    <row r="8" spans="2:13" ht="14.25">
      <c r="B8" s="99" t="s">
        <v>150</v>
      </c>
      <c r="C8" s="100" t="s">
        <v>151</v>
      </c>
      <c r="D8" s="102">
        <v>0.01</v>
      </c>
      <c r="E8" s="11"/>
      <c r="G8" s="96"/>
      <c r="H8" s="96"/>
      <c r="I8" s="96"/>
      <c r="J8" s="96"/>
      <c r="K8" s="96"/>
      <c r="L8" s="96"/>
      <c r="M8" s="96"/>
    </row>
    <row r="9" spans="2:13" ht="14.25">
      <c r="B9" s="99" t="s">
        <v>152</v>
      </c>
      <c r="C9" s="100" t="s">
        <v>153</v>
      </c>
      <c r="D9" s="102">
        <v>2E-3</v>
      </c>
      <c r="E9" s="11"/>
      <c r="G9" s="96"/>
      <c r="H9" s="96"/>
      <c r="I9" s="96"/>
      <c r="J9" s="96"/>
      <c r="K9" s="96"/>
      <c r="L9" s="96"/>
      <c r="M9" s="96"/>
    </row>
    <row r="10" spans="2:13" ht="14.25">
      <c r="B10" s="99" t="s">
        <v>154</v>
      </c>
      <c r="C10" s="100" t="s">
        <v>155</v>
      </c>
      <c r="D10" s="102">
        <v>6.0000000000000001E-3</v>
      </c>
      <c r="E10" s="11"/>
      <c r="G10" s="96"/>
      <c r="H10" s="96"/>
      <c r="I10" s="96"/>
      <c r="J10" s="96"/>
      <c r="K10" s="96"/>
      <c r="L10" s="96"/>
      <c r="M10" s="96"/>
    </row>
    <row r="11" spans="2:13" ht="14.25">
      <c r="B11" s="99" t="s">
        <v>156</v>
      </c>
      <c r="C11" s="100" t="s">
        <v>157</v>
      </c>
      <c r="D11" s="102">
        <v>2.5000000000000001E-2</v>
      </c>
      <c r="E11" s="11"/>
      <c r="G11" s="96"/>
      <c r="H11" s="96"/>
      <c r="I11" s="96"/>
      <c r="J11" s="96"/>
      <c r="K11" s="96"/>
      <c r="L11" s="96"/>
      <c r="M11" s="96"/>
    </row>
    <row r="12" spans="2:13" ht="14.25">
      <c r="B12" s="99" t="s">
        <v>158</v>
      </c>
      <c r="C12" s="100" t="s">
        <v>159</v>
      </c>
      <c r="D12" s="102">
        <v>0.03</v>
      </c>
      <c r="E12" s="11"/>
      <c r="G12" s="96"/>
      <c r="H12" s="96"/>
      <c r="I12" s="96"/>
      <c r="J12" s="96"/>
      <c r="K12" s="96"/>
      <c r="L12" s="96"/>
      <c r="M12" s="96"/>
    </row>
    <row r="13" spans="2:13" ht="14.25">
      <c r="B13" s="99" t="s">
        <v>160</v>
      </c>
      <c r="C13" s="100" t="s">
        <v>42</v>
      </c>
      <c r="D13" s="102">
        <v>0.08</v>
      </c>
      <c r="E13" s="11"/>
      <c r="G13" s="96"/>
      <c r="H13" s="96"/>
      <c r="I13" s="96"/>
      <c r="J13" s="96"/>
      <c r="K13" s="96"/>
      <c r="L13" s="96"/>
      <c r="M13" s="96"/>
    </row>
    <row r="14" spans="2:13" ht="15">
      <c r="B14" s="99" t="s">
        <v>161</v>
      </c>
      <c r="C14" s="103" t="s">
        <v>162</v>
      </c>
      <c r="D14" s="104">
        <f>SUM(D6:D13)</f>
        <v>0.36800000000000005</v>
      </c>
      <c r="E14" s="11"/>
      <c r="G14" s="96"/>
      <c r="H14" s="96"/>
      <c r="I14" s="96"/>
      <c r="J14" s="96"/>
      <c r="K14" s="96"/>
      <c r="L14" s="96"/>
      <c r="M14" s="96"/>
    </row>
    <row r="15" spans="2:13" ht="15">
      <c r="B15" s="99"/>
      <c r="C15" s="103"/>
      <c r="D15" s="104"/>
      <c r="E15" s="11"/>
      <c r="G15" s="96"/>
      <c r="H15" s="96"/>
      <c r="I15" s="96"/>
      <c r="J15" s="96"/>
      <c r="K15" s="96"/>
      <c r="L15" s="96"/>
      <c r="M15" s="96"/>
    </row>
    <row r="16" spans="2:13" ht="14.25">
      <c r="B16" s="99" t="s">
        <v>163</v>
      </c>
      <c r="C16" s="105" t="s">
        <v>164</v>
      </c>
      <c r="D16" s="102">
        <f>ROUND(IF('3.CAGED'!C39&gt;24,(1-12/'3.CAGED'!C39)*0.1111,0.1111-D25),4)</f>
        <v>5.74E-2</v>
      </c>
      <c r="E16" s="11"/>
      <c r="G16" s="96"/>
      <c r="H16" s="96"/>
      <c r="I16" s="96"/>
      <c r="J16" s="96"/>
      <c r="K16" s="96"/>
      <c r="L16" s="96"/>
      <c r="M16" s="96"/>
    </row>
    <row r="17" spans="2:13" ht="14.25">
      <c r="B17" s="99" t="s">
        <v>165</v>
      </c>
      <c r="C17" s="105" t="s">
        <v>166</v>
      </c>
      <c r="D17" s="102">
        <f>ROUND('3.CAGED'!C33/'3.CAGED'!C30,4)</f>
        <v>8.3299999999999999E-2</v>
      </c>
      <c r="E17" s="11"/>
      <c r="G17" s="96"/>
      <c r="H17" s="96"/>
      <c r="I17" s="96"/>
      <c r="J17" s="96"/>
      <c r="K17" s="96"/>
      <c r="L17" s="96"/>
      <c r="M17" s="96"/>
    </row>
    <row r="18" spans="2:13" ht="14.25">
      <c r="B18" s="99" t="s">
        <v>231</v>
      </c>
      <c r="C18" s="105" t="s">
        <v>168</v>
      </c>
      <c r="D18" s="102">
        <v>5.9999999999999995E-4</v>
      </c>
      <c r="E18" s="11"/>
      <c r="G18" s="96"/>
      <c r="H18" s="96"/>
      <c r="I18" s="96"/>
      <c r="J18" s="96"/>
      <c r="K18" s="96"/>
      <c r="L18" s="96"/>
      <c r="M18" s="96"/>
    </row>
    <row r="19" spans="2:13" ht="14.25">
      <c r="B19" s="99" t="s">
        <v>167</v>
      </c>
      <c r="C19" s="105" t="s">
        <v>170</v>
      </c>
      <c r="D19" s="102">
        <v>8.2000000000000007E-3</v>
      </c>
      <c r="E19" s="11"/>
      <c r="G19" s="96"/>
      <c r="H19" s="96"/>
      <c r="I19" s="96"/>
      <c r="J19" s="96"/>
      <c r="K19" s="96"/>
      <c r="L19" s="96"/>
      <c r="M19" s="96"/>
    </row>
    <row r="20" spans="2:13" ht="14.25">
      <c r="B20" s="99" t="s">
        <v>169</v>
      </c>
      <c r="C20" s="105" t="s">
        <v>172</v>
      </c>
      <c r="D20" s="102">
        <v>3.0999999999999999E-3</v>
      </c>
      <c r="E20" s="11"/>
      <c r="G20" s="96"/>
      <c r="H20" s="96"/>
      <c r="I20" s="96"/>
      <c r="J20" s="96"/>
      <c r="K20" s="96"/>
      <c r="L20" s="96"/>
      <c r="M20" s="96"/>
    </row>
    <row r="21" spans="2:13" ht="14.25">
      <c r="B21" s="99" t="s">
        <v>171</v>
      </c>
      <c r="C21" s="105" t="s">
        <v>173</v>
      </c>
      <c r="D21" s="102">
        <v>1.66E-2</v>
      </c>
      <c r="E21" s="11"/>
      <c r="G21" s="96"/>
      <c r="H21" s="96"/>
      <c r="I21" s="96"/>
      <c r="J21" s="96"/>
      <c r="K21" s="96"/>
      <c r="L21" s="96"/>
      <c r="M21" s="96"/>
    </row>
    <row r="22" spans="2:13" ht="15">
      <c r="B22" s="99" t="s">
        <v>174</v>
      </c>
      <c r="C22" s="103" t="s">
        <v>175</v>
      </c>
      <c r="D22" s="104">
        <f>SUM(D16:D21)</f>
        <v>0.16919999999999999</v>
      </c>
      <c r="E22" s="10"/>
      <c r="G22" s="96"/>
      <c r="H22" s="96"/>
      <c r="I22" s="96"/>
      <c r="J22" s="96"/>
      <c r="K22" s="96"/>
      <c r="L22" s="96"/>
      <c r="M22" s="96"/>
    </row>
    <row r="23" spans="2:13" ht="15">
      <c r="B23" s="99"/>
      <c r="C23" s="103"/>
      <c r="D23" s="104"/>
      <c r="E23" s="10"/>
      <c r="G23" s="96"/>
      <c r="H23" s="96"/>
      <c r="I23" s="96"/>
      <c r="J23" s="96"/>
      <c r="K23" s="96"/>
      <c r="L23" s="96"/>
      <c r="M23" s="96"/>
    </row>
    <row r="24" spans="2:13" ht="14.25">
      <c r="B24" s="99" t="s">
        <v>176</v>
      </c>
      <c r="C24" s="100" t="s">
        <v>177</v>
      </c>
      <c r="D24" s="102">
        <f>ROUND(('3.CAGED'!C38) *'3.CAGED'!C29/'3.CAGED'!C30,4)</f>
        <v>3.9E-2</v>
      </c>
      <c r="E24" s="11"/>
      <c r="F24" s="106"/>
      <c r="G24" s="96"/>
      <c r="H24" s="96"/>
      <c r="I24" s="96"/>
      <c r="J24" s="96"/>
      <c r="K24" s="96"/>
      <c r="L24" s="96"/>
      <c r="M24" s="96"/>
    </row>
    <row r="25" spans="2:13" ht="14.25">
      <c r="B25" s="99" t="s">
        <v>230</v>
      </c>
      <c r="C25" s="100" t="s">
        <v>179</v>
      </c>
      <c r="D25" s="102">
        <f>ROUND(IF('3.CAGED'!C39&gt;12,12/'3.CAGED'!C39*0.1111,0.1111),4)</f>
        <v>5.3699999999999998E-2</v>
      </c>
      <c r="E25" s="11"/>
      <c r="G25" s="96"/>
      <c r="H25" s="96"/>
      <c r="I25" s="107"/>
      <c r="J25" s="96"/>
      <c r="K25" s="96"/>
      <c r="L25" s="96"/>
      <c r="M25" s="96"/>
    </row>
    <row r="26" spans="2:13" ht="14.25">
      <c r="B26" s="99" t="s">
        <v>178</v>
      </c>
      <c r="C26" s="100" t="s">
        <v>181</v>
      </c>
      <c r="D26" s="102">
        <f>ROUND(('3.CAGED'!C32+'3.CAGED'!C31)/360*D24,4)</f>
        <v>4.3E-3</v>
      </c>
      <c r="E26" s="11"/>
      <c r="G26" s="96"/>
      <c r="H26" s="96"/>
      <c r="I26" s="96"/>
      <c r="J26" s="96"/>
      <c r="K26" s="96"/>
      <c r="L26" s="96"/>
      <c r="M26" s="96"/>
    </row>
    <row r="27" spans="2:13" ht="14.25">
      <c r="B27" s="99" t="s">
        <v>180</v>
      </c>
      <c r="C27" s="100" t="s">
        <v>183</v>
      </c>
      <c r="D27" s="102">
        <f>ROUND(('3.CAGED'!C30+'3.CAGED'!C31+'3.CAGED'!C33)/'3.CAGED'!C28*'3.CAGED'!C35*'3.CAGED'!C36*'3.CAGED'!C29/'3.CAGED'!C30,4)</f>
        <v>3.5900000000000001E-2</v>
      </c>
      <c r="E27" s="11"/>
      <c r="G27" s="96"/>
      <c r="H27" s="108"/>
      <c r="I27" s="96"/>
      <c r="J27" s="96"/>
      <c r="K27" s="96"/>
      <c r="L27" s="96"/>
      <c r="M27" s="96"/>
    </row>
    <row r="28" spans="2:13" ht="14.25">
      <c r="B28" s="99" t="s">
        <v>182</v>
      </c>
      <c r="C28" s="100" t="s">
        <v>184</v>
      </c>
      <c r="D28" s="102">
        <f>ROUND(('3.CAGED'!C32/'3.CAGED'!C30)*'3.CAGED'!C29/12,4)</f>
        <v>2.7000000000000001E-3</v>
      </c>
      <c r="E28" s="11"/>
      <c r="G28" s="96"/>
      <c r="H28" s="96"/>
      <c r="I28" s="96"/>
      <c r="J28" s="96"/>
      <c r="K28" s="96"/>
      <c r="L28" s="96"/>
      <c r="M28" s="96"/>
    </row>
    <row r="29" spans="2:13" ht="15">
      <c r="B29" s="99" t="s">
        <v>185</v>
      </c>
      <c r="C29" s="103" t="s">
        <v>186</v>
      </c>
      <c r="D29" s="104">
        <f>SUM(D24:D28)</f>
        <v>0.13560000000000003</v>
      </c>
      <c r="E29" s="10"/>
      <c r="G29" s="96"/>
      <c r="H29" s="96"/>
      <c r="I29" s="96"/>
      <c r="J29" s="96"/>
      <c r="K29" s="96"/>
      <c r="L29" s="96"/>
      <c r="M29" s="96"/>
    </row>
    <row r="30" spans="2:13" ht="15">
      <c r="B30" s="99"/>
      <c r="C30" s="103"/>
      <c r="D30" s="104"/>
      <c r="E30" s="10"/>
      <c r="G30" s="96"/>
      <c r="H30" s="96"/>
      <c r="I30" s="96"/>
      <c r="J30" s="96"/>
      <c r="K30" s="96"/>
      <c r="L30" s="96"/>
      <c r="M30" s="96"/>
    </row>
    <row r="31" spans="2:13" ht="14.25">
      <c r="B31" s="99" t="s">
        <v>187</v>
      </c>
      <c r="C31" s="100" t="s">
        <v>188</v>
      </c>
      <c r="D31" s="102">
        <f>ROUND(D14*D22,4)</f>
        <v>6.2300000000000001E-2</v>
      </c>
      <c r="E31" s="11"/>
      <c r="G31" s="96"/>
      <c r="H31" s="96"/>
      <c r="I31" s="96"/>
      <c r="J31" s="96"/>
      <c r="K31" s="96"/>
      <c r="L31" s="96"/>
      <c r="M31" s="96"/>
    </row>
    <row r="32" spans="2:13" ht="28.5">
      <c r="B32" s="99" t="s">
        <v>189</v>
      </c>
      <c r="C32" s="109" t="s">
        <v>190</v>
      </c>
      <c r="D32" s="102">
        <f>ROUND((D24*D14),4)</f>
        <v>1.44E-2</v>
      </c>
      <c r="E32" s="11"/>
      <c r="G32" s="96"/>
      <c r="H32" s="96"/>
      <c r="I32" s="96"/>
      <c r="J32" s="96"/>
      <c r="K32" s="96"/>
      <c r="L32" s="96"/>
      <c r="M32" s="96"/>
    </row>
    <row r="33" spans="2:13" ht="15">
      <c r="B33" s="99" t="s">
        <v>191</v>
      </c>
      <c r="C33" s="103" t="s">
        <v>192</v>
      </c>
      <c r="D33" s="104">
        <f>SUM(D31:D32)</f>
        <v>7.6700000000000004E-2</v>
      </c>
      <c r="E33" s="10"/>
      <c r="G33" s="96"/>
      <c r="H33" s="96"/>
      <c r="I33" s="96"/>
      <c r="J33" s="96"/>
      <c r="K33" s="96"/>
      <c r="L33" s="96"/>
      <c r="M33" s="96"/>
    </row>
    <row r="34" spans="2:13" ht="15.75" thickBot="1">
      <c r="B34" s="110"/>
      <c r="C34" s="111" t="s">
        <v>193</v>
      </c>
      <c r="D34" s="112">
        <f>D33+D29+D22+D14</f>
        <v>0.74950000000000006</v>
      </c>
      <c r="E34" s="10"/>
      <c r="G34" s="96"/>
      <c r="H34" s="96"/>
      <c r="I34" s="96"/>
      <c r="J34" s="96"/>
      <c r="K34" s="96"/>
      <c r="L34" s="96"/>
      <c r="M34" s="96"/>
    </row>
    <row r="35" spans="2:13" ht="15">
      <c r="B35" s="113"/>
      <c r="C35" s="114"/>
      <c r="D35" s="115"/>
      <c r="E35" s="10"/>
      <c r="G35" s="96"/>
      <c r="H35" s="96"/>
      <c r="I35" s="96"/>
      <c r="J35" s="96"/>
      <c r="K35" s="96"/>
      <c r="L35" s="96"/>
      <c r="M35" s="96"/>
    </row>
    <row r="36" spans="2:13" ht="14.25">
      <c r="B36" s="113"/>
      <c r="C36" s="11"/>
      <c r="D36" s="116"/>
      <c r="E36" s="11"/>
      <c r="G36" s="96"/>
      <c r="H36" s="96"/>
      <c r="I36" s="96"/>
      <c r="J36" s="96"/>
      <c r="K36" s="96"/>
      <c r="L36" s="96"/>
      <c r="M36" s="96"/>
    </row>
    <row r="37" spans="2:13" ht="14.25">
      <c r="B37" s="113"/>
      <c r="C37" s="11"/>
      <c r="D37" s="116"/>
      <c r="E37" s="11"/>
      <c r="G37" s="96"/>
      <c r="H37" s="96"/>
      <c r="I37" s="96"/>
      <c r="J37" s="96"/>
      <c r="K37" s="96"/>
      <c r="L37" s="96"/>
      <c r="M37" s="96"/>
    </row>
    <row r="38" spans="2:13" ht="14.25">
      <c r="B38" s="113"/>
      <c r="C38" s="11"/>
      <c r="D38" s="116"/>
      <c r="E38" s="11"/>
      <c r="G38" s="96"/>
      <c r="H38" s="96"/>
      <c r="I38" s="96"/>
      <c r="J38" s="96"/>
      <c r="K38" s="96"/>
      <c r="L38" s="96"/>
      <c r="M38" s="96"/>
    </row>
    <row r="39" spans="2:13" ht="14.25">
      <c r="B39" s="113"/>
      <c r="C39" s="11"/>
      <c r="D39" s="116"/>
      <c r="E39" s="11"/>
      <c r="G39" s="96"/>
      <c r="H39" s="96"/>
      <c r="I39" s="96"/>
      <c r="J39" s="96"/>
      <c r="K39" s="96"/>
      <c r="L39" s="96"/>
      <c r="M39" s="96"/>
    </row>
    <row r="40" spans="2:13" ht="15">
      <c r="B40" s="113"/>
      <c r="C40" s="114"/>
      <c r="D40" s="115"/>
      <c r="E40" s="11"/>
      <c r="G40" s="96"/>
      <c r="H40" s="96"/>
      <c r="I40" s="96"/>
      <c r="J40" s="96"/>
      <c r="K40" s="96"/>
      <c r="L40" s="96"/>
      <c r="M40" s="96"/>
    </row>
    <row r="41" spans="2:13" ht="15">
      <c r="B41" s="117"/>
      <c r="C41" s="114"/>
      <c r="D41" s="115"/>
      <c r="E41" s="10"/>
      <c r="F41" s="96"/>
      <c r="G41" s="96"/>
      <c r="H41" s="96"/>
      <c r="I41" s="96"/>
      <c r="J41" s="96"/>
      <c r="K41" s="96"/>
      <c r="L41" s="96"/>
      <c r="M41" s="96"/>
    </row>
    <row r="42" spans="2:13" ht="16.5">
      <c r="B42" s="118"/>
      <c r="C42" s="96"/>
      <c r="D42" s="119"/>
      <c r="F42" s="96"/>
      <c r="G42" s="96"/>
      <c r="H42" s="96"/>
      <c r="I42" s="96"/>
      <c r="J42" s="96"/>
      <c r="K42" s="96"/>
      <c r="L42" s="96"/>
      <c r="M42" s="96"/>
    </row>
    <row r="43" spans="2:13">
      <c r="B43" s="120"/>
      <c r="C43" s="121"/>
      <c r="D43" s="122"/>
      <c r="F43" s="96"/>
      <c r="G43" s="96"/>
      <c r="H43" s="96"/>
      <c r="I43" s="96"/>
      <c r="J43" s="96"/>
      <c r="K43" s="96"/>
      <c r="L43" s="96"/>
      <c r="M43" s="96"/>
    </row>
    <row r="44" spans="2:13" ht="14.25">
      <c r="B44" s="113"/>
      <c r="C44" s="123"/>
      <c r="D44" s="122"/>
      <c r="F44" s="96"/>
      <c r="G44" s="96"/>
      <c r="H44" s="96"/>
      <c r="I44" s="96"/>
      <c r="J44" s="96"/>
      <c r="K44" s="96"/>
      <c r="L44" s="96"/>
      <c r="M44" s="96"/>
    </row>
    <row r="45" spans="2:13" ht="14.25">
      <c r="B45" s="113"/>
      <c r="C45" s="123"/>
      <c r="D45" s="113"/>
      <c r="F45" s="96"/>
      <c r="G45" s="96"/>
      <c r="H45" s="96"/>
      <c r="I45" s="96"/>
      <c r="J45" s="96"/>
      <c r="K45" s="96"/>
      <c r="L45" s="96"/>
      <c r="M45" s="96"/>
    </row>
    <row r="46" spans="2:13" ht="14.25">
      <c r="B46" s="113"/>
      <c r="C46" s="124"/>
      <c r="D46" s="122"/>
      <c r="F46" s="96"/>
      <c r="G46" s="96"/>
      <c r="H46" s="96"/>
      <c r="I46" s="96"/>
      <c r="J46" s="96"/>
      <c r="K46" s="96"/>
      <c r="L46" s="96"/>
      <c r="M46" s="96"/>
    </row>
    <row r="47" spans="2:13" ht="14.25">
      <c r="B47" s="113"/>
      <c r="C47" s="123"/>
      <c r="D47" s="113"/>
      <c r="F47" s="96"/>
      <c r="G47" s="96"/>
      <c r="H47" s="96"/>
      <c r="I47" s="96"/>
      <c r="J47" s="96"/>
      <c r="K47" s="96"/>
      <c r="L47" s="96"/>
      <c r="M47" s="96"/>
    </row>
    <row r="48" spans="2:13" ht="14.25">
      <c r="B48" s="113"/>
      <c r="C48" s="124"/>
      <c r="D48" s="122"/>
      <c r="F48" s="96"/>
      <c r="G48" s="96"/>
      <c r="H48" s="96"/>
      <c r="I48" s="96"/>
      <c r="J48" s="96"/>
      <c r="K48" s="96"/>
      <c r="L48" s="96"/>
      <c r="M48" s="96"/>
    </row>
    <row r="49" spans="2:13" ht="14.25">
      <c r="B49" s="113"/>
      <c r="C49" s="123"/>
      <c r="D49" s="113"/>
      <c r="F49" s="96"/>
      <c r="G49" s="96"/>
      <c r="H49" s="96"/>
      <c r="I49" s="96"/>
      <c r="J49" s="96"/>
      <c r="K49" s="96"/>
      <c r="L49" s="96"/>
      <c r="M49" s="96"/>
    </row>
    <row r="50" spans="2:13" ht="14.25">
      <c r="B50" s="113"/>
      <c r="C50" s="124"/>
      <c r="D50" s="122"/>
      <c r="F50" s="96"/>
      <c r="G50" s="96"/>
      <c r="H50" s="96"/>
      <c r="I50" s="96"/>
      <c r="J50" s="96"/>
      <c r="K50" s="96"/>
      <c r="L50" s="96"/>
      <c r="M50" s="96"/>
    </row>
    <row r="51" spans="2:13" ht="14.25">
      <c r="B51" s="113"/>
      <c r="C51" s="123"/>
      <c r="D51" s="113"/>
      <c r="F51" s="96"/>
      <c r="G51" s="96"/>
      <c r="H51" s="96"/>
      <c r="I51" s="96"/>
      <c r="J51" s="96"/>
      <c r="K51" s="96"/>
      <c r="L51" s="96"/>
      <c r="M51" s="96"/>
    </row>
    <row r="52" spans="2:13" ht="14.25">
      <c r="B52" s="113"/>
      <c r="C52" s="124"/>
      <c r="D52" s="122"/>
      <c r="F52" s="96"/>
      <c r="G52" s="96"/>
      <c r="H52" s="96"/>
      <c r="I52" s="96"/>
      <c r="J52" s="96"/>
      <c r="K52" s="96"/>
      <c r="L52" s="96"/>
      <c r="M52" s="96"/>
    </row>
    <row r="53" spans="2:13" ht="16.5">
      <c r="B53" s="118"/>
      <c r="C53" s="96"/>
      <c r="D53" s="119"/>
      <c r="F53" s="96"/>
      <c r="G53" s="96"/>
      <c r="H53" s="96"/>
      <c r="I53" s="96"/>
      <c r="J53" s="96"/>
      <c r="K53" s="96"/>
      <c r="L53" s="96"/>
      <c r="M53" s="96"/>
    </row>
    <row r="54" spans="2:13">
      <c r="B54" s="119"/>
      <c r="C54" s="96"/>
      <c r="D54" s="119"/>
      <c r="F54" s="96"/>
      <c r="G54" s="96"/>
      <c r="H54" s="96"/>
      <c r="I54" s="96"/>
      <c r="J54" s="96"/>
      <c r="K54" s="96"/>
      <c r="L54" s="96"/>
      <c r="M54" s="96"/>
    </row>
    <row r="55" spans="2:13">
      <c r="B55" s="119"/>
      <c r="C55" s="96"/>
      <c r="D55" s="119"/>
      <c r="F55" s="96"/>
      <c r="G55" s="96"/>
      <c r="H55" s="96"/>
      <c r="I55" s="96"/>
      <c r="J55" s="96"/>
      <c r="K55" s="96"/>
      <c r="L55" s="96"/>
      <c r="M55" s="96"/>
    </row>
    <row r="56" spans="2:13">
      <c r="B56" s="120"/>
      <c r="C56" s="96"/>
      <c r="D56" s="119"/>
      <c r="F56" s="96"/>
      <c r="G56" s="96"/>
      <c r="H56" s="96"/>
      <c r="I56" s="96"/>
      <c r="J56" s="96"/>
      <c r="K56" s="96"/>
      <c r="L56" s="96"/>
      <c r="M56" s="96"/>
    </row>
    <row r="57" spans="2:13">
      <c r="B57" s="119"/>
      <c r="C57" s="96"/>
      <c r="D57" s="119"/>
      <c r="F57" s="96"/>
    </row>
    <row r="58" spans="2:13">
      <c r="B58" s="119"/>
      <c r="C58" s="96"/>
      <c r="D58" s="119"/>
      <c r="F58" s="96"/>
    </row>
    <row r="59" spans="2:13">
      <c r="B59" s="119"/>
      <c r="C59" s="96"/>
      <c r="D59" s="119"/>
      <c r="F59" s="96"/>
    </row>
    <row r="60" spans="2:13">
      <c r="B60" s="119"/>
      <c r="C60" s="96"/>
      <c r="D60" s="119"/>
      <c r="F60" s="96"/>
    </row>
    <row r="61" spans="2:13">
      <c r="B61" s="119"/>
      <c r="C61" s="96"/>
      <c r="D61" s="119"/>
      <c r="F61" s="96"/>
    </row>
    <row r="62" spans="2:13">
      <c r="B62" s="119"/>
      <c r="C62" s="96"/>
      <c r="D62" s="119"/>
      <c r="F62" s="96"/>
    </row>
    <row r="63" spans="2:13">
      <c r="B63" s="119"/>
      <c r="C63" s="96"/>
      <c r="D63" s="119"/>
      <c r="F63" s="96"/>
    </row>
    <row r="64" spans="2:13">
      <c r="B64" s="119"/>
      <c r="C64" s="96"/>
      <c r="D64" s="119"/>
      <c r="F64" s="96"/>
    </row>
    <row r="65" spans="2:6">
      <c r="B65" s="119"/>
      <c r="C65" s="96"/>
      <c r="D65" s="119"/>
      <c r="F65" s="96"/>
    </row>
  </sheetData>
  <mergeCells count="1">
    <mergeCell ref="B4:D4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1"/>
  <sheetViews>
    <sheetView topLeftCell="A10" zoomScaleNormal="100" workbookViewId="0">
      <selection activeCell="M16" sqref="M16"/>
    </sheetView>
  </sheetViews>
  <sheetFormatPr defaultRowHeight="12.75"/>
  <cols>
    <col min="1" max="1" width="5.42578125" style="54" customWidth="1"/>
    <col min="2" max="2" width="67.140625" style="54" customWidth="1"/>
    <col min="3" max="3" width="13.7109375" style="54" customWidth="1"/>
    <col min="4" max="4" width="10.28515625" style="54" hidden="1" customWidth="1"/>
    <col min="5" max="5" width="13.7109375" style="54" hidden="1" customWidth="1"/>
    <col min="6" max="6" width="14.42578125" style="54" hidden="1" customWidth="1"/>
    <col min="7" max="7" width="12.7109375" style="54" hidden="1" customWidth="1"/>
    <col min="8" max="8" width="4.42578125" style="54" hidden="1" customWidth="1"/>
    <col min="9" max="9" width="6.85546875" style="54" hidden="1" customWidth="1"/>
    <col min="10" max="10" width="3.28515625" style="54" hidden="1" customWidth="1"/>
    <col min="11" max="11" width="0" style="54" hidden="1" customWidth="1"/>
    <col min="12" max="12" width="4.140625" style="54" customWidth="1"/>
    <col min="13" max="16384" width="9.140625" style="54"/>
  </cols>
  <sheetData>
    <row r="1" spans="1:12" hidden="1">
      <c r="A1" s="126" t="s">
        <v>255</v>
      </c>
    </row>
    <row r="2" spans="1:12" hidden="1"/>
    <row r="3" spans="1:12" hidden="1">
      <c r="A3" s="54" t="s">
        <v>215</v>
      </c>
    </row>
    <row r="4" spans="1:12" hidden="1">
      <c r="A4" s="178" t="s">
        <v>211</v>
      </c>
    </row>
    <row r="5" spans="1:12" ht="25.5" hidden="1" customHeight="1">
      <c r="A5" s="306" t="s">
        <v>269</v>
      </c>
      <c r="B5" s="305"/>
      <c r="C5" s="305"/>
    </row>
    <row r="6" spans="1:12" hidden="1">
      <c r="A6" s="54" t="s">
        <v>212</v>
      </c>
    </row>
    <row r="7" spans="1:12" ht="26.25" hidden="1" customHeight="1">
      <c r="A7" s="305" t="s">
        <v>213</v>
      </c>
      <c r="B7" s="305"/>
      <c r="C7" s="305"/>
    </row>
    <row r="8" spans="1:12" hidden="1">
      <c r="A8" s="54" t="s">
        <v>214</v>
      </c>
    </row>
    <row r="9" spans="1:12" hidden="1">
      <c r="A9" s="54" t="s">
        <v>256</v>
      </c>
    </row>
    <row r="10" spans="1:12" ht="13.5" thickBot="1"/>
    <row r="11" spans="1:12" ht="18">
      <c r="B11" s="303" t="s">
        <v>241</v>
      </c>
      <c r="C11" s="304"/>
    </row>
    <row r="12" spans="1:12" ht="15">
      <c r="A12" s="96"/>
      <c r="B12" s="214" t="s">
        <v>210</v>
      </c>
      <c r="C12" s="215"/>
    </row>
    <row r="13" spans="1:12" ht="15">
      <c r="A13" s="96"/>
      <c r="B13" s="216" t="s">
        <v>125</v>
      </c>
      <c r="C13" s="217">
        <v>2486</v>
      </c>
      <c r="L13" s="307"/>
    </row>
    <row r="14" spans="1:12" ht="15">
      <c r="A14" s="96"/>
      <c r="B14" s="218" t="s">
        <v>126</v>
      </c>
      <c r="C14" s="217">
        <v>3303</v>
      </c>
      <c r="L14" s="307"/>
    </row>
    <row r="15" spans="1:12" ht="14.25">
      <c r="A15" s="96"/>
      <c r="B15" s="219" t="s">
        <v>127</v>
      </c>
      <c r="C15" s="220">
        <v>81</v>
      </c>
      <c r="L15" s="307"/>
    </row>
    <row r="16" spans="1:12" ht="14.25">
      <c r="A16" s="96"/>
      <c r="B16" s="219" t="s">
        <v>128</v>
      </c>
      <c r="C16" s="220">
        <v>2336</v>
      </c>
      <c r="L16" s="307"/>
    </row>
    <row r="17" spans="1:12" ht="14.25">
      <c r="A17" s="96"/>
      <c r="B17" s="219" t="s">
        <v>129</v>
      </c>
      <c r="C17" s="220">
        <v>342</v>
      </c>
      <c r="L17" s="307"/>
    </row>
    <row r="18" spans="1:12" ht="14.25">
      <c r="A18" s="96"/>
      <c r="B18" s="219" t="s">
        <v>130</v>
      </c>
      <c r="C18" s="220">
        <v>18</v>
      </c>
      <c r="L18" s="307"/>
    </row>
    <row r="19" spans="1:12" ht="14.25">
      <c r="A19" s="96"/>
      <c r="B19" s="219" t="s">
        <v>131</v>
      </c>
      <c r="C19" s="220">
        <v>500</v>
      </c>
      <c r="L19" s="307"/>
    </row>
    <row r="20" spans="1:12" ht="14.25">
      <c r="A20" s="96"/>
      <c r="B20" s="219" t="s">
        <v>132</v>
      </c>
      <c r="C20" s="220">
        <v>1</v>
      </c>
      <c r="L20" s="307"/>
    </row>
    <row r="21" spans="1:12" ht="14.25">
      <c r="A21" s="96"/>
      <c r="B21" s="219" t="s">
        <v>133</v>
      </c>
      <c r="C21" s="220">
        <v>25</v>
      </c>
      <c r="L21" s="307"/>
    </row>
    <row r="22" spans="1:12" ht="14.25">
      <c r="A22" s="96"/>
      <c r="B22" s="221" t="s">
        <v>134</v>
      </c>
      <c r="C22" s="222">
        <v>0</v>
      </c>
      <c r="L22" s="307"/>
    </row>
    <row r="23" spans="1:12" ht="15">
      <c r="A23" s="96" t="s">
        <v>135</v>
      </c>
      <c r="B23" s="214" t="s">
        <v>136</v>
      </c>
      <c r="C23" s="215"/>
      <c r="L23" s="307"/>
    </row>
    <row r="24" spans="1:12" ht="14.25">
      <c r="A24" s="96"/>
      <c r="B24" s="223" t="s">
        <v>275</v>
      </c>
      <c r="C24" s="224">
        <v>6400</v>
      </c>
      <c r="L24" s="307"/>
    </row>
    <row r="25" spans="1:12" ht="14.25">
      <c r="A25" s="96"/>
      <c r="B25" s="219" t="s">
        <v>276</v>
      </c>
      <c r="C25" s="220">
        <v>5583</v>
      </c>
      <c r="L25" s="307"/>
    </row>
    <row r="26" spans="1:12" ht="14.25">
      <c r="B26" s="219" t="s">
        <v>277</v>
      </c>
      <c r="C26" s="220">
        <v>-817</v>
      </c>
      <c r="L26" s="307"/>
    </row>
    <row r="27" spans="1:12" ht="14.25">
      <c r="B27" s="225"/>
      <c r="C27" s="226"/>
    </row>
    <row r="28" spans="1:12" ht="15">
      <c r="B28" s="227" t="s">
        <v>137</v>
      </c>
      <c r="C28" s="228">
        <f>MEDIAN(C13,C14)/MEDIAN(C24,C25)</f>
        <v>0.48310105983476592</v>
      </c>
      <c r="G28" s="54">
        <f>12/C28</f>
        <v>24.839523233719124</v>
      </c>
    </row>
    <row r="29" spans="1:12" ht="15">
      <c r="B29" s="216" t="s">
        <v>138</v>
      </c>
      <c r="C29" s="228">
        <f>C16/MEDIAN(C24,C25)</f>
        <v>0.38988567136777103</v>
      </c>
    </row>
    <row r="30" spans="1:12" ht="15">
      <c r="B30" s="229" t="s">
        <v>139</v>
      </c>
      <c r="C30" s="230">
        <v>360</v>
      </c>
    </row>
    <row r="31" spans="1:12" ht="15">
      <c r="B31" s="216" t="s">
        <v>257</v>
      </c>
      <c r="C31" s="230">
        <v>10</v>
      </c>
    </row>
    <row r="32" spans="1:12" ht="15">
      <c r="B32" s="216" t="s">
        <v>258</v>
      </c>
      <c r="C32" s="230">
        <v>30</v>
      </c>
      <c r="G32" s="54">
        <f>TRUNC(G37)</f>
        <v>0</v>
      </c>
    </row>
    <row r="33" spans="2:11" ht="15">
      <c r="B33" s="216" t="s">
        <v>259</v>
      </c>
      <c r="C33" s="230">
        <v>30</v>
      </c>
    </row>
    <row r="34" spans="2:11" s="126" customFormat="1" ht="15">
      <c r="B34" s="216" t="s">
        <v>140</v>
      </c>
      <c r="C34" s="231">
        <f>MEDIAN(C24,C25)</f>
        <v>5991.5</v>
      </c>
    </row>
    <row r="35" spans="2:11" s="126" customFormat="1" ht="15">
      <c r="B35" s="216" t="s">
        <v>42</v>
      </c>
      <c r="C35" s="232">
        <v>0.08</v>
      </c>
      <c r="K35" s="126">
        <f>IF(C39&gt;12,C39-12,C39)</f>
        <v>12.839523233719124</v>
      </c>
    </row>
    <row r="36" spans="2:11" s="126" customFormat="1" ht="15">
      <c r="B36" s="216" t="s">
        <v>141</v>
      </c>
      <c r="C36" s="232">
        <v>0.5</v>
      </c>
      <c r="K36" s="126" t="e">
        <f>IF(#REF!&gt;12,#REF!-12,#REF!)</f>
        <v>#REF!</v>
      </c>
    </row>
    <row r="37" spans="2:11" s="126" customFormat="1" ht="15">
      <c r="B37" s="216" t="s">
        <v>142</v>
      </c>
      <c r="C37" s="233">
        <f>((1/C28)-TRUNC(E37))</f>
        <v>6.9960269476593506E-2</v>
      </c>
      <c r="D37" s="126">
        <f>TRUNC(E37)</f>
        <v>2</v>
      </c>
      <c r="E37" s="126">
        <f>1/C28</f>
        <v>2.0699602694765935</v>
      </c>
      <c r="F37" s="126">
        <f>((1/C28)-TRUNC(E37))</f>
        <v>6.9960269476593506E-2</v>
      </c>
      <c r="G37" s="126">
        <f>12*F37</f>
        <v>0.83952323371912208</v>
      </c>
      <c r="K37" s="126" t="e">
        <f>IF(#REF!&gt;12,#REF!-12,#REF!)</f>
        <v>#REF!</v>
      </c>
    </row>
    <row r="38" spans="2:11" s="126" customFormat="1" ht="15">
      <c r="B38" s="214" t="s">
        <v>143</v>
      </c>
      <c r="C38" s="217">
        <f>30+D38</f>
        <v>36</v>
      </c>
      <c r="D38" s="126">
        <f>3*D37</f>
        <v>6</v>
      </c>
      <c r="G38" s="126">
        <f>G37/12*40/360</f>
        <v>7.7733632751770566E-3</v>
      </c>
      <c r="K38" s="126" t="e">
        <f>IF(#REF!&gt;12,#REF!-12,#REF!)</f>
        <v>#REF!</v>
      </c>
    </row>
    <row r="39" spans="2:11" s="126" customFormat="1" ht="15.75" thickBot="1">
      <c r="B39" s="234" t="s">
        <v>261</v>
      </c>
      <c r="C39" s="235">
        <f>12/C28</f>
        <v>24.839523233719124</v>
      </c>
      <c r="K39" s="126" t="e">
        <f>IF(#REF!&gt;12,#REF!-12,#REF!)</f>
        <v>#REF!</v>
      </c>
    </row>
    <row r="40" spans="2:11">
      <c r="K40" s="54" t="e">
        <f t="shared" ref="K40:K41" si="0">IF(K39&gt;12,K39-12,K39)</f>
        <v>#REF!</v>
      </c>
    </row>
    <row r="41" spans="2:11">
      <c r="K41" s="54" t="e">
        <f t="shared" si="0"/>
        <v>#REF!</v>
      </c>
    </row>
  </sheetData>
  <mergeCells count="4">
    <mergeCell ref="B11:C11"/>
    <mergeCell ref="A7:C7"/>
    <mergeCell ref="A5:C5"/>
    <mergeCell ref="L13:L26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22"/>
  <sheetViews>
    <sheetView topLeftCell="A4" zoomScaleNormal="100" workbookViewId="0">
      <selection activeCell="K10" sqref="K10"/>
    </sheetView>
  </sheetViews>
  <sheetFormatPr defaultRowHeight="12.75"/>
  <cols>
    <col min="1" max="1" width="5.5703125" customWidth="1"/>
    <col min="2" max="2" width="41.85546875" bestFit="1" customWidth="1"/>
    <col min="3" max="3" width="5.5703125" bestFit="1" customWidth="1"/>
    <col min="5" max="5" width="11.42578125" customWidth="1"/>
    <col min="6" max="6" width="9.28515625" style="5" customWidth="1"/>
    <col min="7" max="7" width="11.140625" customWidth="1"/>
    <col min="8" max="8" width="3" customWidth="1"/>
    <col min="11" max="11" width="18.7109375" customWidth="1"/>
  </cols>
  <sheetData>
    <row r="1" spans="2:9" s="8" customFormat="1" ht="14.25" hidden="1">
      <c r="B1" s="3" t="s">
        <v>207</v>
      </c>
      <c r="C1" s="7"/>
      <c r="D1" s="7"/>
      <c r="F1" s="9"/>
    </row>
    <row r="2" spans="2:9" s="8" customFormat="1" ht="14.25" hidden="1">
      <c r="B2" s="6" t="s">
        <v>262</v>
      </c>
      <c r="C2" s="7"/>
      <c r="D2" s="7"/>
      <c r="F2" s="9"/>
    </row>
    <row r="3" spans="2:9" s="8" customFormat="1" ht="14.25" hidden="1">
      <c r="B3" s="2" t="s">
        <v>208</v>
      </c>
      <c r="C3" s="7"/>
      <c r="D3" s="7"/>
      <c r="F3" s="9"/>
    </row>
    <row r="4" spans="2:9" s="8" customFormat="1" ht="14.25">
      <c r="B4" s="6"/>
      <c r="C4" s="7"/>
      <c r="D4" s="7"/>
      <c r="F4" s="9"/>
    </row>
    <row r="5" spans="2:9" s="8" customFormat="1" ht="15" thickBot="1">
      <c r="C5" s="7"/>
      <c r="D5" s="7"/>
      <c r="F5" s="9"/>
    </row>
    <row r="6" spans="2:9" ht="15.75" customHeight="1">
      <c r="B6" s="313" t="s">
        <v>242</v>
      </c>
      <c r="C6" s="314"/>
      <c r="D6" s="314"/>
      <c r="E6" s="314"/>
      <c r="F6" s="314"/>
      <c r="G6" s="315"/>
    </row>
    <row r="7" spans="2:9" ht="16.5" customHeight="1" thickBot="1">
      <c r="B7" s="316"/>
      <c r="C7" s="317"/>
      <c r="D7" s="317"/>
      <c r="E7" s="317"/>
      <c r="F7" s="317"/>
      <c r="G7" s="318"/>
    </row>
    <row r="8" spans="2:9" ht="20.100000000000001" customHeight="1">
      <c r="B8" s="319" t="s">
        <v>312</v>
      </c>
      <c r="C8" s="320"/>
      <c r="D8" s="321" t="s">
        <v>2</v>
      </c>
      <c r="E8" s="310" t="s">
        <v>260</v>
      </c>
      <c r="F8" s="311"/>
      <c r="G8" s="312"/>
      <c r="H8" s="8"/>
      <c r="I8" s="8"/>
    </row>
    <row r="9" spans="2:9" ht="20.100000000000001" customHeight="1" thickBot="1">
      <c r="B9" s="256"/>
      <c r="C9" s="257"/>
      <c r="D9" s="322"/>
      <c r="E9" s="204" t="s">
        <v>194</v>
      </c>
      <c r="F9" s="205" t="s">
        <v>195</v>
      </c>
      <c r="G9" s="206" t="s">
        <v>196</v>
      </c>
      <c r="H9" s="8"/>
      <c r="I9" s="8"/>
    </row>
    <row r="10" spans="2:9" ht="20.100000000000001" customHeight="1">
      <c r="B10" s="58" t="s">
        <v>76</v>
      </c>
      <c r="C10" s="59" t="s">
        <v>77</v>
      </c>
      <c r="D10" s="60">
        <v>5.0799999999999998E-2</v>
      </c>
      <c r="E10" s="61">
        <v>2.9700000000000001E-2</v>
      </c>
      <c r="F10" s="62">
        <v>5.0799999999999998E-2</v>
      </c>
      <c r="G10" s="63">
        <v>6.2700000000000006E-2</v>
      </c>
      <c r="H10" s="8"/>
      <c r="I10" s="8"/>
    </row>
    <row r="11" spans="2:9" ht="20.100000000000001" customHeight="1">
      <c r="B11" s="15" t="s">
        <v>78</v>
      </c>
      <c r="C11" s="16" t="s">
        <v>79</v>
      </c>
      <c r="D11" s="17">
        <v>1.3299999999999999E-2</v>
      </c>
      <c r="E11" s="33">
        <f>0.3%+0.56%</f>
        <v>8.6E-3</v>
      </c>
      <c r="F11" s="34">
        <f>0.48%+0.85%</f>
        <v>1.3299999999999999E-2</v>
      </c>
      <c r="G11" s="35">
        <f>0.82%+0.89%</f>
        <v>1.7099999999999997E-2</v>
      </c>
      <c r="H11" s="8"/>
      <c r="I11" s="8"/>
    </row>
    <row r="12" spans="2:9" ht="20.100000000000001" customHeight="1">
      <c r="B12" s="15" t="s">
        <v>80</v>
      </c>
      <c r="C12" s="16" t="s">
        <v>81</v>
      </c>
      <c r="D12" s="17">
        <v>0.1085</v>
      </c>
      <c r="E12" s="33">
        <v>7.7799999999999994E-2</v>
      </c>
      <c r="F12" s="34">
        <v>0.1085</v>
      </c>
      <c r="G12" s="35">
        <v>0.13550000000000001</v>
      </c>
      <c r="H12" s="8"/>
      <c r="I12" s="8"/>
    </row>
    <row r="13" spans="2:9" ht="20.100000000000001" customHeight="1">
      <c r="B13" s="15" t="s">
        <v>82</v>
      </c>
      <c r="C13" s="16" t="s">
        <v>83</v>
      </c>
      <c r="D13" s="18">
        <f>(1+F13)^(F14/252)-1</f>
        <v>4.6158307385257835E-4</v>
      </c>
      <c r="E13" s="33" t="s">
        <v>301</v>
      </c>
      <c r="F13" s="19">
        <v>5.3E-3</v>
      </c>
      <c r="G13" s="14"/>
      <c r="H13" s="8"/>
      <c r="I13" s="8"/>
    </row>
    <row r="14" spans="2:9" ht="20.100000000000001" customHeight="1">
      <c r="B14" s="15" t="s">
        <v>84</v>
      </c>
      <c r="C14" s="308" t="s">
        <v>85</v>
      </c>
      <c r="D14" s="17">
        <v>0.03</v>
      </c>
      <c r="E14" s="49" t="s">
        <v>197</v>
      </c>
      <c r="F14" s="20">
        <v>22</v>
      </c>
      <c r="G14" s="21"/>
      <c r="H14" s="8"/>
      <c r="I14" s="8"/>
    </row>
    <row r="15" spans="2:9" ht="20.100000000000001" customHeight="1" thickBot="1">
      <c r="B15" s="22" t="s">
        <v>86</v>
      </c>
      <c r="C15" s="309"/>
      <c r="D15" s="23">
        <v>3.6499999999999998E-2</v>
      </c>
      <c r="E15" s="12"/>
      <c r="F15" s="24"/>
      <c r="G15" s="21"/>
      <c r="H15" s="8"/>
      <c r="I15" s="8"/>
    </row>
    <row r="16" spans="2:9" ht="20.100000000000001" customHeight="1">
      <c r="B16" s="25" t="s">
        <v>87</v>
      </c>
      <c r="C16" s="26"/>
      <c r="D16" s="27"/>
      <c r="E16" s="12"/>
      <c r="F16" s="24"/>
      <c r="G16" s="21"/>
      <c r="H16" s="8"/>
      <c r="I16" s="8"/>
    </row>
    <row r="17" spans="2:11" ht="20.100000000000001" customHeight="1" thickBot="1">
      <c r="B17" s="28" t="s">
        <v>88</v>
      </c>
      <c r="C17" s="29"/>
      <c r="D17" s="30"/>
      <c r="E17" s="12"/>
      <c r="F17" s="24"/>
      <c r="G17" s="21"/>
      <c r="H17" s="8"/>
      <c r="I17" s="8"/>
    </row>
    <row r="18" spans="2:11" ht="20.100000000000001" customHeight="1" thickBot="1">
      <c r="B18" s="31" t="s">
        <v>89</v>
      </c>
      <c r="C18" s="65"/>
      <c r="D18" s="32">
        <f>ROUND((((1+D10+D11)*(1+D12)*(1+D13))/(1-(D14+D15))-1),4)</f>
        <v>0.26419999999999999</v>
      </c>
      <c r="E18" s="66">
        <v>0.21429999999999999</v>
      </c>
      <c r="F18" s="67">
        <v>0.2717</v>
      </c>
      <c r="G18" s="68">
        <v>0.3362</v>
      </c>
      <c r="H18" s="8"/>
      <c r="I18" s="8"/>
      <c r="K18" s="64"/>
    </row>
    <row r="19" spans="2:11" ht="14.25">
      <c r="B19" s="8"/>
      <c r="C19" s="8"/>
      <c r="D19" s="8"/>
      <c r="E19" s="8"/>
      <c r="F19" s="9"/>
      <c r="G19" s="8"/>
      <c r="H19" s="8"/>
      <c r="I19" s="8"/>
    </row>
    <row r="20" spans="2:11" ht="14.25">
      <c r="B20" s="8"/>
      <c r="C20" s="8"/>
      <c r="D20" s="8"/>
      <c r="E20" s="8"/>
      <c r="F20" s="9"/>
      <c r="G20" s="8"/>
      <c r="H20" s="8"/>
      <c r="I20" s="8"/>
    </row>
    <row r="21" spans="2:11" ht="14.25">
      <c r="B21" s="8"/>
      <c r="C21" s="8"/>
      <c r="D21" s="8"/>
      <c r="E21" s="8"/>
      <c r="F21" s="9"/>
      <c r="G21" s="8"/>
      <c r="H21" s="8"/>
      <c r="I21" s="8"/>
    </row>
    <row r="22" spans="2:11" ht="14.25">
      <c r="B22" s="8"/>
      <c r="C22" s="8"/>
      <c r="D22" s="8"/>
      <c r="E22" s="8"/>
      <c r="F22" s="9"/>
      <c r="G22" s="8"/>
      <c r="H22" s="8"/>
      <c r="I22" s="8"/>
    </row>
  </sheetData>
  <mergeCells count="5">
    <mergeCell ref="C14:C15"/>
    <mergeCell ref="E8:G8"/>
    <mergeCell ref="B6:G7"/>
    <mergeCell ref="B8:C9"/>
    <mergeCell ref="D8:D9"/>
  </mergeCells>
  <pageMargins left="0.25" right="0.25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C19"/>
  <sheetViews>
    <sheetView zoomScaleNormal="100" workbookViewId="0">
      <selection activeCell="F4" sqref="F4"/>
    </sheetView>
  </sheetViews>
  <sheetFormatPr defaultRowHeight="19.5" customHeight="1"/>
  <cols>
    <col min="1" max="1" width="12.28515625" style="54" customWidth="1"/>
    <col min="2" max="2" width="24.5703125" style="54" customWidth="1"/>
    <col min="3" max="3" width="24.28515625" style="54" customWidth="1"/>
    <col min="4" max="16384" width="9.140625" style="54"/>
  </cols>
  <sheetData>
    <row r="2" spans="2:3" ht="19.5" customHeight="1" thickBot="1"/>
    <row r="3" spans="2:3" ht="19.5" customHeight="1" thickBot="1">
      <c r="B3" s="323" t="s">
        <v>244</v>
      </c>
      <c r="C3" s="324"/>
    </row>
    <row r="4" spans="2:3" s="126" customFormat="1" ht="19.5" customHeight="1">
      <c r="B4" s="202" t="s">
        <v>216</v>
      </c>
      <c r="C4" s="203" t="s">
        <v>303</v>
      </c>
    </row>
    <row r="5" spans="2:3" ht="19.5" customHeight="1">
      <c r="B5" s="99">
        <v>1</v>
      </c>
      <c r="C5" s="211">
        <v>33.629999999999995</v>
      </c>
    </row>
    <row r="6" spans="2:3" ht="19.5" customHeight="1">
      <c r="B6" s="99">
        <v>2</v>
      </c>
      <c r="C6" s="211">
        <v>43.13</v>
      </c>
    </row>
    <row r="7" spans="2:3" ht="19.5" customHeight="1">
      <c r="B7" s="99">
        <v>3</v>
      </c>
      <c r="C7" s="211">
        <v>48.68</v>
      </c>
    </row>
    <row r="8" spans="2:3" ht="19.5" customHeight="1">
      <c r="B8" s="99">
        <v>4</v>
      </c>
      <c r="C8" s="211">
        <v>52.62</v>
      </c>
    </row>
    <row r="9" spans="2:3" ht="19.5" customHeight="1">
      <c r="B9" s="99">
        <v>5</v>
      </c>
      <c r="C9" s="211">
        <v>55.679999999999993</v>
      </c>
    </row>
    <row r="10" spans="2:3" ht="19.5" customHeight="1">
      <c r="B10" s="99">
        <v>6</v>
      </c>
      <c r="C10" s="211">
        <v>58.18</v>
      </c>
    </row>
    <row r="11" spans="2:3" ht="19.5" customHeight="1">
      <c r="B11" s="99">
        <v>7</v>
      </c>
      <c r="C11" s="211">
        <v>60.29</v>
      </c>
    </row>
    <row r="12" spans="2:3" ht="19.5" customHeight="1">
      <c r="B12" s="99">
        <v>8</v>
      </c>
      <c r="C12" s="211">
        <v>62.12</v>
      </c>
    </row>
    <row r="13" spans="2:3" ht="19.5" customHeight="1">
      <c r="B13" s="99">
        <v>9</v>
      </c>
      <c r="C13" s="211">
        <v>63.73</v>
      </c>
    </row>
    <row r="14" spans="2:3" ht="19.5" customHeight="1">
      <c r="B14" s="202">
        <v>10</v>
      </c>
      <c r="C14" s="212">
        <v>65.180000000000007</v>
      </c>
    </row>
    <row r="15" spans="2:3" ht="19.5" customHeight="1">
      <c r="B15" s="99">
        <v>11</v>
      </c>
      <c r="C15" s="211">
        <v>66.47999999999999</v>
      </c>
    </row>
    <row r="16" spans="2:3" ht="19.5" customHeight="1">
      <c r="B16" s="99">
        <v>12</v>
      </c>
      <c r="C16" s="211">
        <v>67.67</v>
      </c>
    </row>
    <row r="17" spans="2:3" ht="19.5" customHeight="1">
      <c r="B17" s="99">
        <v>13</v>
      </c>
      <c r="C17" s="211">
        <v>68.77</v>
      </c>
    </row>
    <row r="18" spans="2:3" ht="19.5" customHeight="1">
      <c r="B18" s="99">
        <v>14</v>
      </c>
      <c r="C18" s="211">
        <v>69.789999999999992</v>
      </c>
    </row>
    <row r="19" spans="2:3" ht="19.5" customHeight="1" thickBot="1">
      <c r="B19" s="110">
        <v>15</v>
      </c>
      <c r="C19" s="213">
        <v>70.73</v>
      </c>
    </row>
  </sheetData>
  <mergeCells count="1">
    <mergeCell ref="B3:C3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B19"/>
  <sheetViews>
    <sheetView zoomScaleNormal="100" workbookViewId="0">
      <selection sqref="A1:XFD1048576"/>
    </sheetView>
  </sheetViews>
  <sheetFormatPr defaultRowHeight="12.75"/>
  <cols>
    <col min="1" max="1" width="9.140625" style="54"/>
    <col min="2" max="2" width="70.42578125" style="54" customWidth="1"/>
    <col min="3" max="4" width="9.140625" style="54"/>
    <col min="5" max="5" width="12.85546875" style="54" bestFit="1" customWidth="1"/>
    <col min="6" max="16384" width="9.140625" style="54"/>
  </cols>
  <sheetData>
    <row r="2" spans="2:2" ht="13.5" thickBot="1"/>
    <row r="3" spans="2:2" ht="18">
      <c r="B3" s="207" t="s">
        <v>248</v>
      </c>
    </row>
    <row r="4" spans="2:2">
      <c r="B4" s="236"/>
    </row>
    <row r="5" spans="2:2">
      <c r="B5" s="236" t="s">
        <v>263</v>
      </c>
    </row>
    <row r="6" spans="2:2">
      <c r="B6" s="236"/>
    </row>
    <row r="7" spans="2:2">
      <c r="B7" s="236"/>
    </row>
    <row r="8" spans="2:2">
      <c r="B8" s="236"/>
    </row>
    <row r="9" spans="2:2">
      <c r="B9" s="236"/>
    </row>
    <row r="10" spans="2:2">
      <c r="B10" s="236"/>
    </row>
    <row r="11" spans="2:2">
      <c r="B11" s="236"/>
    </row>
    <row r="12" spans="2:2">
      <c r="B12" s="236"/>
    </row>
    <row r="13" spans="2:2">
      <c r="B13" s="236"/>
    </row>
    <row r="14" spans="2:2" ht="19.5">
      <c r="B14" s="237" t="s">
        <v>245</v>
      </c>
    </row>
    <row r="15" spans="2:2" ht="15">
      <c r="B15" s="237" t="s">
        <v>110</v>
      </c>
    </row>
    <row r="16" spans="2:2" ht="15">
      <c r="B16" s="237" t="s">
        <v>114</v>
      </c>
    </row>
    <row r="17" spans="2:2" ht="19.5">
      <c r="B17" s="237" t="s">
        <v>246</v>
      </c>
    </row>
    <row r="18" spans="2:2" ht="19.5">
      <c r="B18" s="237" t="s">
        <v>247</v>
      </c>
    </row>
    <row r="19" spans="2:2" ht="15.75" thickBot="1">
      <c r="B19" s="238" t="s">
        <v>111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O212"/>
  <sheetViews>
    <sheetView topLeftCell="A5" zoomScale="110" zoomScaleNormal="110" workbookViewId="0">
      <selection activeCell="G7" sqref="G7"/>
    </sheetView>
  </sheetViews>
  <sheetFormatPr defaultRowHeight="12.75"/>
  <cols>
    <col min="1" max="1" width="9.140625" style="178"/>
    <col min="2" max="2" width="58.28515625" style="36" customWidth="1"/>
    <col min="3" max="3" width="11.140625" style="36" bestFit="1" customWidth="1"/>
    <col min="4" max="4" width="11.28515625" style="36" bestFit="1" customWidth="1"/>
    <col min="5" max="5" width="3.7109375" style="178" customWidth="1"/>
    <col min="6" max="41" width="9.140625" style="178"/>
    <col min="42" max="16384" width="9.140625" style="36"/>
  </cols>
  <sheetData>
    <row r="1" spans="1:41" hidden="1">
      <c r="B1" s="3" t="s">
        <v>207</v>
      </c>
    </row>
    <row r="2" spans="1:41" hidden="1">
      <c r="B2" s="37" t="s">
        <v>278</v>
      </c>
    </row>
    <row r="3" spans="1:41" hidden="1">
      <c r="B3" s="37" t="s">
        <v>304</v>
      </c>
    </row>
    <row r="4" spans="1:41" hidden="1">
      <c r="B4" s="1" t="s">
        <v>302</v>
      </c>
    </row>
    <row r="5" spans="1:41" s="178" customFormat="1" ht="13.5" thickBot="1"/>
    <row r="6" spans="1:41" ht="18">
      <c r="B6" s="325" t="s">
        <v>298</v>
      </c>
      <c r="C6" s="326"/>
      <c r="D6" s="327"/>
    </row>
    <row r="7" spans="1:41" s="4" customFormat="1" ht="15">
      <c r="A7" s="126"/>
      <c r="B7" s="208" t="s">
        <v>299</v>
      </c>
      <c r="C7" s="209" t="s">
        <v>279</v>
      </c>
      <c r="D7" s="210" t="s">
        <v>146</v>
      </c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</row>
    <row r="8" spans="1:41" ht="14.25">
      <c r="B8" s="38" t="s">
        <v>287</v>
      </c>
      <c r="C8" s="39" t="s">
        <v>280</v>
      </c>
      <c r="D8" s="13">
        <v>3613</v>
      </c>
    </row>
    <row r="9" spans="1:41" ht="14.25">
      <c r="B9" s="12" t="s">
        <v>288</v>
      </c>
      <c r="C9" s="40" t="s">
        <v>285</v>
      </c>
      <c r="D9" s="41">
        <f>0.0362741*D8^0.2336249</f>
        <v>0.24592529026498275</v>
      </c>
    </row>
    <row r="10" spans="1:41" ht="14.25">
      <c r="B10" s="12" t="s">
        <v>289</v>
      </c>
      <c r="C10" s="40" t="s">
        <v>286</v>
      </c>
      <c r="D10" s="42">
        <f>D8*D9/1000</f>
        <v>0.88852807372738263</v>
      </c>
    </row>
    <row r="11" spans="1:41" ht="14.25">
      <c r="B11" s="12" t="s">
        <v>295</v>
      </c>
      <c r="C11" s="40" t="s">
        <v>281</v>
      </c>
      <c r="D11" s="43">
        <f>(D10*30)</f>
        <v>26.655842211821479</v>
      </c>
    </row>
    <row r="12" spans="1:41" ht="14.25">
      <c r="B12" s="12" t="s">
        <v>291</v>
      </c>
      <c r="C12" s="40" t="s">
        <v>93</v>
      </c>
      <c r="D12" s="46">
        <v>4</v>
      </c>
    </row>
    <row r="13" spans="1:41" ht="14.25">
      <c r="B13" s="12" t="s">
        <v>290</v>
      </c>
      <c r="C13" s="40" t="s">
        <v>286</v>
      </c>
      <c r="D13" s="42">
        <f>IFERROR(D10*7/D12,0)</f>
        <v>1.5549241290229197</v>
      </c>
    </row>
    <row r="14" spans="1:41" ht="14.25">
      <c r="B14" s="38" t="s">
        <v>282</v>
      </c>
      <c r="C14" s="40" t="s">
        <v>283</v>
      </c>
      <c r="D14" s="21">
        <v>500</v>
      </c>
    </row>
    <row r="15" spans="1:41" ht="14.25">
      <c r="B15" s="12" t="s">
        <v>296</v>
      </c>
      <c r="C15" s="40"/>
      <c r="D15" s="13">
        <v>1</v>
      </c>
    </row>
    <row r="16" spans="1:41" ht="14.25">
      <c r="B16" s="38" t="s">
        <v>297</v>
      </c>
      <c r="C16" s="40" t="s">
        <v>284</v>
      </c>
      <c r="D16" s="13">
        <v>15</v>
      </c>
    </row>
    <row r="17" spans="2:5" ht="14.25">
      <c r="B17" s="12" t="s">
        <v>292</v>
      </c>
      <c r="C17" s="40" t="s">
        <v>281</v>
      </c>
      <c r="D17" s="21">
        <f>IF(AND(D16&gt;=15,D15=1),5.8,D16/2)</f>
        <v>5.8</v>
      </c>
    </row>
    <row r="18" spans="2:5" ht="14.25">
      <c r="B18" s="38" t="s">
        <v>293</v>
      </c>
      <c r="C18" s="40"/>
      <c r="D18" s="42">
        <f>IFERROR(D13/D17,0)</f>
        <v>0.26809036707291717</v>
      </c>
    </row>
    <row r="19" spans="2:5" ht="14.25">
      <c r="B19" s="38" t="s">
        <v>300</v>
      </c>
      <c r="C19" s="40"/>
      <c r="D19" s="48">
        <v>1</v>
      </c>
    </row>
    <row r="20" spans="2:5" ht="15" thickBot="1">
      <c r="B20" s="44" t="s">
        <v>294</v>
      </c>
      <c r="C20" s="45"/>
      <c r="D20" s="47">
        <f>IFERROR(D18/D19,0)</f>
        <v>0.26809036707291717</v>
      </c>
    </row>
    <row r="21" spans="2:5" s="178" customFormat="1"/>
    <row r="22" spans="2:5" s="178" customFormat="1"/>
    <row r="23" spans="2:5" s="178" customFormat="1">
      <c r="E23" s="178">
        <v>1</v>
      </c>
    </row>
    <row r="24" spans="2:5" s="178" customFormat="1"/>
    <row r="25" spans="2:5" s="178" customFormat="1"/>
    <row r="26" spans="2:5" s="178" customFormat="1"/>
    <row r="27" spans="2:5" s="178" customFormat="1"/>
    <row r="28" spans="2:5" s="178" customFormat="1"/>
    <row r="29" spans="2:5" s="178" customFormat="1"/>
    <row r="30" spans="2:5" s="178" customFormat="1"/>
    <row r="31" spans="2:5" s="178" customFormat="1"/>
    <row r="32" spans="2:5" s="178" customFormat="1"/>
    <row r="33" s="178" customFormat="1"/>
    <row r="34" s="178" customFormat="1"/>
    <row r="35" s="178" customFormat="1"/>
    <row r="36" s="178" customFormat="1"/>
    <row r="37" s="178" customFormat="1"/>
    <row r="38" s="178" customFormat="1"/>
    <row r="39" s="178" customFormat="1"/>
    <row r="40" s="178" customFormat="1"/>
    <row r="41" s="178" customFormat="1"/>
    <row r="42" s="178" customFormat="1"/>
    <row r="43" s="178" customFormat="1"/>
    <row r="44" s="178" customFormat="1"/>
    <row r="45" s="178" customFormat="1"/>
    <row r="46" s="178" customFormat="1"/>
    <row r="47" s="178" customFormat="1"/>
    <row r="48" s="178" customFormat="1"/>
    <row r="49" s="178" customFormat="1"/>
    <row r="50" s="178" customFormat="1"/>
    <row r="51" s="178" customFormat="1"/>
    <row r="52" s="178" customFormat="1"/>
    <row r="53" s="178" customFormat="1"/>
    <row r="54" s="178" customFormat="1"/>
    <row r="55" s="178" customFormat="1"/>
    <row r="56" s="178" customFormat="1"/>
    <row r="57" s="178" customFormat="1"/>
    <row r="58" s="178" customFormat="1"/>
    <row r="59" s="178" customFormat="1"/>
    <row r="60" s="178" customFormat="1"/>
    <row r="61" s="178" customFormat="1"/>
    <row r="62" s="178" customFormat="1"/>
    <row r="63" s="178" customFormat="1"/>
    <row r="64" s="178" customFormat="1"/>
    <row r="65" s="178" customFormat="1"/>
    <row r="66" s="178" customFormat="1"/>
    <row r="67" s="178" customFormat="1"/>
    <row r="68" s="178" customFormat="1"/>
    <row r="69" s="178" customFormat="1"/>
    <row r="70" s="178" customFormat="1"/>
    <row r="71" s="178" customFormat="1"/>
    <row r="72" s="178" customFormat="1"/>
    <row r="73" s="178" customFormat="1"/>
    <row r="74" s="178" customFormat="1"/>
    <row r="75" s="178" customFormat="1"/>
    <row r="76" s="178" customFormat="1"/>
    <row r="77" s="178" customFormat="1"/>
    <row r="78" s="178" customFormat="1"/>
    <row r="79" s="178" customFormat="1"/>
    <row r="80" s="178" customFormat="1"/>
    <row r="81" s="178" customFormat="1"/>
    <row r="82" s="178" customFormat="1"/>
    <row r="83" s="178" customFormat="1"/>
    <row r="84" s="178" customFormat="1"/>
    <row r="85" s="178" customFormat="1"/>
    <row r="86" s="178" customFormat="1"/>
    <row r="87" s="178" customFormat="1"/>
    <row r="88" s="178" customFormat="1"/>
    <row r="89" s="178" customFormat="1"/>
    <row r="90" s="178" customFormat="1"/>
    <row r="91" s="178" customFormat="1"/>
    <row r="92" s="178" customFormat="1"/>
    <row r="93" s="178" customFormat="1"/>
    <row r="94" s="178" customFormat="1"/>
    <row r="95" s="178" customFormat="1"/>
    <row r="96" s="178" customFormat="1"/>
    <row r="97" s="178" customFormat="1"/>
    <row r="98" s="178" customFormat="1"/>
    <row r="99" s="178" customFormat="1"/>
    <row r="100" s="178" customFormat="1"/>
    <row r="101" s="178" customFormat="1"/>
    <row r="102" s="178" customFormat="1"/>
    <row r="103" s="178" customFormat="1"/>
    <row r="104" s="178" customFormat="1"/>
    <row r="105" s="178" customFormat="1"/>
    <row r="106" s="178" customFormat="1"/>
    <row r="107" s="178" customFormat="1"/>
    <row r="108" s="178" customFormat="1"/>
    <row r="109" s="178" customFormat="1"/>
    <row r="110" s="178" customFormat="1"/>
    <row r="111" s="178" customFormat="1"/>
    <row r="112" s="178" customFormat="1"/>
    <row r="113" s="178" customFormat="1"/>
    <row r="114" s="178" customFormat="1"/>
    <row r="115" s="178" customFormat="1"/>
    <row r="116" s="178" customFormat="1"/>
    <row r="117" s="178" customFormat="1"/>
    <row r="118" s="178" customFormat="1"/>
    <row r="119" s="178" customFormat="1"/>
    <row r="120" s="178" customFormat="1"/>
    <row r="121" s="178" customFormat="1"/>
    <row r="122" s="178" customFormat="1"/>
    <row r="123" s="178" customFormat="1"/>
    <row r="124" s="178" customFormat="1"/>
    <row r="125" s="178" customFormat="1"/>
    <row r="126" s="178" customFormat="1"/>
    <row r="127" s="178" customFormat="1"/>
    <row r="128" s="178" customFormat="1"/>
    <row r="129" s="178" customFormat="1"/>
    <row r="130" s="178" customFormat="1"/>
    <row r="131" s="178" customFormat="1"/>
    <row r="132" s="178" customFormat="1"/>
    <row r="133" s="178" customFormat="1"/>
    <row r="134" s="178" customFormat="1"/>
    <row r="135" s="178" customFormat="1"/>
    <row r="136" s="178" customFormat="1"/>
    <row r="137" s="178" customFormat="1"/>
    <row r="138" s="178" customFormat="1"/>
    <row r="139" s="178" customFormat="1"/>
    <row r="140" s="178" customFormat="1"/>
    <row r="141" s="178" customFormat="1"/>
    <row r="142" s="178" customFormat="1"/>
    <row r="143" s="178" customFormat="1"/>
    <row r="144" s="178" customFormat="1"/>
    <row r="145" s="178" customFormat="1"/>
    <row r="146" s="178" customFormat="1"/>
    <row r="147" s="178" customFormat="1"/>
    <row r="148" s="178" customFormat="1"/>
    <row r="149" s="178" customFormat="1"/>
    <row r="150" s="178" customFormat="1"/>
    <row r="151" s="178" customFormat="1"/>
    <row r="152" s="178" customFormat="1"/>
    <row r="153" s="178" customFormat="1"/>
    <row r="154" s="178" customFormat="1"/>
    <row r="155" s="178" customFormat="1"/>
    <row r="156" s="178" customFormat="1"/>
    <row r="157" s="178" customFormat="1"/>
    <row r="158" s="178" customFormat="1"/>
    <row r="159" s="178" customFormat="1"/>
    <row r="160" s="178" customFormat="1"/>
    <row r="161" s="178" customFormat="1"/>
    <row r="162" s="178" customFormat="1"/>
    <row r="163" s="178" customFormat="1"/>
    <row r="164" s="178" customFormat="1"/>
    <row r="165" s="178" customFormat="1"/>
    <row r="166" s="178" customFormat="1"/>
    <row r="167" s="178" customFormat="1"/>
    <row r="168" s="178" customFormat="1"/>
    <row r="169" s="178" customFormat="1"/>
    <row r="170" s="178" customFormat="1"/>
    <row r="171" s="178" customFormat="1"/>
    <row r="172" s="178" customFormat="1"/>
    <row r="173" s="178" customFormat="1"/>
    <row r="174" s="178" customFormat="1"/>
    <row r="175" s="178" customFormat="1"/>
    <row r="176" s="178" customFormat="1"/>
    <row r="177" s="178" customFormat="1"/>
    <row r="178" s="178" customFormat="1"/>
    <row r="179" s="178" customFormat="1"/>
    <row r="180" s="178" customFormat="1"/>
    <row r="181" s="178" customFormat="1"/>
    <row r="182" s="178" customFormat="1"/>
    <row r="183" s="178" customFormat="1"/>
    <row r="184" s="178" customFormat="1"/>
    <row r="185" s="178" customFormat="1"/>
    <row r="186" s="178" customFormat="1"/>
    <row r="187" s="178" customFormat="1"/>
    <row r="188" s="178" customFormat="1"/>
    <row r="189" s="178" customFormat="1"/>
    <row r="190" s="178" customFormat="1"/>
    <row r="191" s="178" customFormat="1"/>
    <row r="192" s="178" customFormat="1"/>
    <row r="193" s="178" customFormat="1"/>
    <row r="194" s="178" customFormat="1"/>
    <row r="195" s="178" customFormat="1"/>
    <row r="196" s="178" customFormat="1"/>
    <row r="197" s="178" customFormat="1"/>
    <row r="198" s="178" customFormat="1"/>
    <row r="199" s="178" customFormat="1"/>
    <row r="200" s="178" customFormat="1"/>
    <row r="201" s="178" customFormat="1"/>
    <row r="202" s="178" customFormat="1"/>
    <row r="203" s="178" customFormat="1"/>
    <row r="204" s="178" customFormat="1"/>
    <row r="205" s="178" customFormat="1"/>
    <row r="206" s="178" customFormat="1"/>
    <row r="207" s="178" customFormat="1"/>
    <row r="208" s="178" customFormat="1"/>
    <row r="209" s="178" customFormat="1"/>
    <row r="210" s="178" customFormat="1"/>
    <row r="211" s="178" customFormat="1"/>
    <row r="212" s="178" customFormat="1"/>
  </sheetData>
  <mergeCells count="1">
    <mergeCell ref="B6:D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9</vt:i4>
      </vt:variant>
    </vt:vector>
  </HeadingPairs>
  <TitlesOfParts>
    <vt:vector size="16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'3.CAGED'!Area_de_impressao</vt:lpstr>
      <vt:lpstr>'4.BDI'!Area_de_impressao</vt:lpstr>
      <vt:lpstr>'5. Depreciação'!Area_de_impressao</vt:lpstr>
      <vt:lpstr>'6.Remuneração de capital'!Area_de_impressao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Josimar</cp:lastModifiedBy>
  <cp:lastPrinted>2023-10-31T18:59:17Z</cp:lastPrinted>
  <dcterms:created xsi:type="dcterms:W3CDTF">2000-12-13T10:02:50Z</dcterms:created>
  <dcterms:modified xsi:type="dcterms:W3CDTF">2023-10-31T18:59:19Z</dcterms:modified>
</cp:coreProperties>
</file>