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7935" tabRatio="685"/>
  </bookViews>
  <sheets>
    <sheet name="1. Coleta Domiciliar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Depreciação'!$A$1</definedName>
    <definedName name="AbaRemun">'6.Remuneração de capital'!$A$1</definedName>
    <definedName name="_xlnm.Print_Area" localSheetId="0">'1. Coleta Domiciliar'!$A$1:$F$300</definedName>
    <definedName name="_xlnm.Print_Area" localSheetId="1">'2.Encargos Sociais'!$A$1:$C$39</definedName>
    <definedName name="_xlnm.Print_Titles" localSheetId="0">'1. Coleta Domiciliar'!$1:$7</definedName>
  </definedNames>
  <calcPr calcId="125725"/>
</workbook>
</file>

<file path=xl/calcChain.xml><?xml version="1.0" encoding="utf-8"?>
<calcChain xmlns="http://schemas.openxmlformats.org/spreadsheetml/2006/main">
  <c r="D294" i="2"/>
  <c r="F296" s="1"/>
  <c r="C235"/>
  <c r="C233"/>
  <c r="C231"/>
  <c r="C229"/>
  <c r="C187"/>
  <c r="C25" i="5"/>
  <c r="D172" i="2" l="1"/>
  <c r="C171"/>
  <c r="C170"/>
  <c r="C169"/>
  <c r="C168"/>
  <c r="C167"/>
  <c r="C166"/>
  <c r="D93"/>
  <c r="E93" s="1"/>
  <c r="C21" i="9" l="1"/>
  <c r="C23" i="5" l="1"/>
  <c r="C217" i="2" l="1"/>
  <c r="C216"/>
  <c r="C218"/>
  <c r="A34" l="1"/>
  <c r="A33"/>
  <c r="A32"/>
  <c r="A24"/>
  <c r="A23"/>
  <c r="A15"/>
  <c r="C13" i="9" l="1"/>
  <c r="C14" s="1"/>
  <c r="C15" l="1"/>
  <c r="C17"/>
  <c r="C22" s="1"/>
  <c r="C24" s="1"/>
  <c r="C192" i="2"/>
  <c r="E43" l="1"/>
  <c r="E41"/>
  <c r="C211" l="1"/>
  <c r="D236"/>
  <c r="D234"/>
  <c r="D232"/>
  <c r="D230"/>
  <c r="D166" l="1"/>
  <c r="E166" s="1"/>
  <c r="E150"/>
  <c r="E151"/>
  <c r="E152"/>
  <c r="E153"/>
  <c r="E154"/>
  <c r="E155"/>
  <c r="E156"/>
  <c r="E157"/>
  <c r="E158"/>
  <c r="E149"/>
  <c r="D58" l="1"/>
  <c r="E58" s="1"/>
  <c r="D57"/>
  <c r="E57" s="1"/>
  <c r="D90"/>
  <c r="E90" s="1"/>
  <c r="C109"/>
  <c r="D59" l="1"/>
  <c r="E59" s="1"/>
  <c r="C112"/>
  <c r="D91"/>
  <c r="E91" s="1"/>
  <c r="D92" s="1"/>
  <c r="E92" s="1"/>
  <c r="C77"/>
  <c r="C74"/>
  <c r="C251" l="1"/>
  <c r="D104"/>
  <c r="A31"/>
  <c r="A30"/>
  <c r="A29"/>
  <c r="A28"/>
  <c r="A27"/>
  <c r="A26"/>
  <c r="A25"/>
  <c r="A22"/>
  <c r="A21"/>
  <c r="A20"/>
  <c r="A19"/>
  <c r="A18"/>
  <c r="A17"/>
  <c r="A16"/>
  <c r="C20" i="8"/>
  <c r="E120" i="2"/>
  <c r="E84"/>
  <c r="D200"/>
  <c r="C15" i="4"/>
  <c r="C20" s="1"/>
  <c r="C285" i="2" s="1"/>
  <c r="F13" i="4"/>
  <c r="E13"/>
  <c r="D13"/>
  <c r="C17" i="8"/>
  <c r="C115" i="2"/>
  <c r="C106"/>
  <c r="D109"/>
  <c r="E109" s="1"/>
  <c r="E88"/>
  <c r="D127" s="1"/>
  <c r="C127"/>
  <c r="E249"/>
  <c r="C228"/>
  <c r="C230" s="1"/>
  <c r="E230" s="1"/>
  <c r="D228"/>
  <c r="D237" s="1"/>
  <c r="D242" s="1"/>
  <c r="E184"/>
  <c r="D205"/>
  <c r="C193"/>
  <c r="C188"/>
  <c r="C71"/>
  <c r="C272"/>
  <c r="C274" s="1"/>
  <c r="E274" s="1"/>
  <c r="E275" s="1"/>
  <c r="C189"/>
  <c r="C205" s="1"/>
  <c r="C126"/>
  <c r="A40"/>
  <c r="A41"/>
  <c r="A42"/>
  <c r="A43"/>
  <c r="A47"/>
  <c r="E56"/>
  <c r="D126" s="1"/>
  <c r="A132"/>
  <c r="A138" s="1"/>
  <c r="A133"/>
  <c r="A139" s="1"/>
  <c r="E159"/>
  <c r="D167"/>
  <c r="E167" s="1"/>
  <c r="D168"/>
  <c r="E168" s="1"/>
  <c r="D169"/>
  <c r="E169" s="1"/>
  <c r="D170"/>
  <c r="E170" s="1"/>
  <c r="D171"/>
  <c r="E171" s="1"/>
  <c r="E172"/>
  <c r="E247"/>
  <c r="E218"/>
  <c r="E217"/>
  <c r="E260"/>
  <c r="E263"/>
  <c r="E264"/>
  <c r="E261"/>
  <c r="E262"/>
  <c r="D94"/>
  <c r="E94" s="1"/>
  <c r="C27" i="5" l="1"/>
  <c r="C28" s="1"/>
  <c r="C26"/>
  <c r="C31" i="8" s="1"/>
  <c r="D187" i="2"/>
  <c r="E187" s="1"/>
  <c r="D216"/>
  <c r="D77"/>
  <c r="E77" s="1"/>
  <c r="D72"/>
  <c r="E72" s="1"/>
  <c r="E103"/>
  <c r="D107"/>
  <c r="E107" s="1"/>
  <c r="D110"/>
  <c r="E110" s="1"/>
  <c r="D112"/>
  <c r="E112" s="1"/>
  <c r="D106"/>
  <c r="E106" s="1"/>
  <c r="D75"/>
  <c r="E75" s="1"/>
  <c r="D74"/>
  <c r="E74" s="1"/>
  <c r="C234"/>
  <c r="E234" s="1"/>
  <c r="D71"/>
  <c r="E71" s="1"/>
  <c r="C236"/>
  <c r="E236" s="1"/>
  <c r="F265"/>
  <c r="F267" s="1"/>
  <c r="E32" s="1"/>
  <c r="C133"/>
  <c r="E133" s="1"/>
  <c r="E228"/>
  <c r="E69"/>
  <c r="E189"/>
  <c r="C207" s="1"/>
  <c r="D160"/>
  <c r="C132"/>
  <c r="E132" s="1"/>
  <c r="C160"/>
  <c r="E44"/>
  <c r="C138"/>
  <c r="E138" s="1"/>
  <c r="E126"/>
  <c r="E205"/>
  <c r="C139"/>
  <c r="E139" s="1"/>
  <c r="D60"/>
  <c r="C173"/>
  <c r="C232"/>
  <c r="E232" s="1"/>
  <c r="C242"/>
  <c r="E242" s="1"/>
  <c r="F243" s="1"/>
  <c r="E30" s="1"/>
  <c r="E272"/>
  <c r="D273" s="1"/>
  <c r="E273" s="1"/>
  <c r="F276" s="1"/>
  <c r="F278" s="1"/>
  <c r="E33" s="1"/>
  <c r="E200"/>
  <c r="D250"/>
  <c r="E250" s="1"/>
  <c r="D251" s="1"/>
  <c r="E251" s="1"/>
  <c r="E127"/>
  <c r="D173"/>
  <c r="E95"/>
  <c r="E60" l="1"/>
  <c r="E61" s="1"/>
  <c r="D62" s="1"/>
  <c r="F252"/>
  <c r="E31" s="1"/>
  <c r="C30" i="8"/>
  <c r="C33" i="5"/>
  <c r="C27" i="8" s="1"/>
  <c r="D188" i="2"/>
  <c r="E188" s="1"/>
  <c r="E216"/>
  <c r="D219" s="1"/>
  <c r="E219" s="1"/>
  <c r="F220" s="1"/>
  <c r="E28" s="1"/>
  <c r="C202"/>
  <c r="C203" s="1"/>
  <c r="D204" s="1"/>
  <c r="E204" s="1"/>
  <c r="C28" i="8"/>
  <c r="C19"/>
  <c r="C25" s="1"/>
  <c r="C34" s="1"/>
  <c r="D78" i="2"/>
  <c r="E78" s="1"/>
  <c r="D79" s="1"/>
  <c r="E79" s="1"/>
  <c r="D113"/>
  <c r="E113" s="1"/>
  <c r="D115" s="1"/>
  <c r="E115" s="1"/>
  <c r="F134"/>
  <c r="E21" s="1"/>
  <c r="F140"/>
  <c r="E22" s="1"/>
  <c r="E173"/>
  <c r="F174" s="1"/>
  <c r="E160"/>
  <c r="F161" s="1"/>
  <c r="D192"/>
  <c r="E192" s="1"/>
  <c r="D193" s="1"/>
  <c r="E193" s="1"/>
  <c r="F128"/>
  <c r="E20" s="1"/>
  <c r="F238"/>
  <c r="E29" s="1"/>
  <c r="D96"/>
  <c r="C35" i="8" l="1"/>
  <c r="C36" s="1"/>
  <c r="C37" s="1"/>
  <c r="C29"/>
  <c r="C32" s="1"/>
  <c r="E194" i="2"/>
  <c r="D195" s="1"/>
  <c r="E195" s="1"/>
  <c r="F196" s="1"/>
  <c r="E26" s="1"/>
  <c r="C208"/>
  <c r="D209" s="1"/>
  <c r="E209" s="1"/>
  <c r="E210" s="1"/>
  <c r="D211" s="1"/>
  <c r="E211" s="1"/>
  <c r="F212" s="1"/>
  <c r="F176"/>
  <c r="E23" s="1"/>
  <c r="E116"/>
  <c r="D117" s="1"/>
  <c r="E80"/>
  <c r="C96" l="1"/>
  <c r="E27"/>
  <c r="E25" s="1"/>
  <c r="F255"/>
  <c r="E24" s="1"/>
  <c r="D81"/>
  <c r="C81" l="1"/>
  <c r="E81" s="1"/>
  <c r="E82" s="1"/>
  <c r="D83" s="1"/>
  <c r="E83" s="1"/>
  <c r="F84" s="1"/>
  <c r="E17" s="1"/>
  <c r="C62"/>
  <c r="E62" s="1"/>
  <c r="E63" s="1"/>
  <c r="D64" s="1"/>
  <c r="E64" s="1"/>
  <c r="F65" s="1"/>
  <c r="E16" s="1"/>
  <c r="C117"/>
  <c r="E117" s="1"/>
  <c r="E118" s="1"/>
  <c r="D119" s="1"/>
  <c r="E119" s="1"/>
  <c r="F120" s="1"/>
  <c r="E19" s="1"/>
  <c r="E96"/>
  <c r="E97" s="1"/>
  <c r="D98" s="1"/>
  <c r="E98" s="1"/>
  <c r="F99" s="1"/>
  <c r="E18" s="1"/>
  <c r="F142" l="1"/>
  <c r="F280" s="1"/>
  <c r="E15" l="1"/>
  <c r="D285"/>
  <c r="E285" s="1"/>
  <c r="F286" s="1"/>
  <c r="F288" s="1"/>
  <c r="E34" s="1"/>
  <c r="E35" l="1"/>
  <c r="F15" s="1"/>
  <c r="F291"/>
  <c r="F298" s="1"/>
  <c r="F33" l="1"/>
  <c r="F17"/>
  <c r="F23"/>
  <c r="F16"/>
  <c r="F22"/>
  <c r="F19"/>
  <c r="F24"/>
  <c r="F31"/>
  <c r="F30"/>
  <c r="F18"/>
  <c r="F25"/>
  <c r="F26"/>
  <c r="F27"/>
  <c r="F21"/>
  <c r="F28"/>
  <c r="F20"/>
  <c r="F32"/>
  <c r="F29"/>
  <c r="F34"/>
  <c r="F35" l="1"/>
</calcChain>
</file>

<file path=xl/comments1.xml><?xml version="1.0" encoding="utf-8"?>
<comments xmlns="http://schemas.openxmlformats.org/spreadsheetml/2006/main">
  <authors>
    <author>Clauber Bridi</author>
  </authors>
  <commentList>
    <comment ref="A13" author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0" author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" author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7" authorId="0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8" author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59" author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2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4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70" authorId="0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72" authorId="0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3" author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5" authorId="0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6" authorId="0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8" author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1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3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8" author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89" authorId="0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90" authorId="0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1" author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92" author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3" author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4" author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6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8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5" authorId="0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7" authorId="0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8" author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10" authorId="0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11" authorId="0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13" author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4" author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7" author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19" author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24" authorId="0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25" authorId="0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26" authorId="0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27" author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2" author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3" author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8" author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39" author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49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9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0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0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1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1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2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2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3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3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4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4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5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5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6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6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7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7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8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8" author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59" author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66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7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8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9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0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1" author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2" author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84" author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85" author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86" author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7" author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9" authorId="0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90" authorId="0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91" author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92" authorId="0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5" author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01" author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7" author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18" author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224" author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27" author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27" author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29" author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29" author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31" authorId="0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31" authorId="0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33" authorId="0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33" authorId="0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35" authorId="0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35" authorId="0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42" author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47" author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47" author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48" authorId="0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49" authorId="0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50" author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60" author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0" author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1" author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1" author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2" author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2" author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3" author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3" author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4" author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4" author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69" authorId="0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2" authorId="0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74" authorId="0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85" author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94" author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>
  <authors>
    <author>cbridi</author>
    <author>Clauber Bridi</author>
    <author>Omar</author>
  </authors>
  <commentList>
    <comment ref="C12" authorId="0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>
      <text>
        <r>
          <rPr>
            <b/>
            <sz val="8"/>
            <color indexed="81"/>
            <rFont val="Tahoma"/>
            <charset val="1"/>
          </rPr>
          <t>Informe o número de dias de coleta por semana</t>
        </r>
      </text>
    </comment>
    <comment ref="C19" authorId="0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<sst xmlns="http://schemas.openxmlformats.org/spreadsheetml/2006/main" count="608" uniqueCount="320">
  <si>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</si>
  <si>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</si>
  <si>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</si>
  <si>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</si>
  <si>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</si>
  <si>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</si>
  <si>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</si>
  <si>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</si>
  <si>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</si>
  <si>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</si>
  <si>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</si>
  <si>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</si>
  <si>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</si>
  <si>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</si>
  <si>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</si>
  <si>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</si>
  <si>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</si>
  <si>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</si>
  <si>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</si>
  <si>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</si>
  <si>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</si>
  <si>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</si>
  <si>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</si>
  <si>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</si>
  <si>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</si>
  <si>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</si>
  <si>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</si>
  <si>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</si>
  <si>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</si>
  <si>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</si>
  <si>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</si>
  <si>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</si>
  <si>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</si>
  <si>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</si>
  <si>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R$/tonelada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</si>
  <si>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</si>
  <si>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</si>
  <si>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</si>
  <si>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</si>
  <si>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</si>
  <si>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</si>
  <si>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</si>
  <si>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</si>
  <si>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</si>
  <si>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</si>
  <si>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</si>
  <si>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</si>
  <si>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</si>
  <si>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</si>
  <si>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</si>
  <si>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</si>
  <si>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</si>
  <si>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</si>
  <si>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</si>
  <si>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</si>
  <si>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</si>
  <si>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</si>
  <si>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</si>
  <si>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</si>
  <si>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</si>
  <si>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</si>
  <si>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</si>
  <si>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</si>
  <si>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</si>
  <si>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</si>
  <si>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</si>
  <si>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</si>
  <si>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</si>
  <si>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</si>
  <si>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</si>
  <si>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</si>
  <si>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</si>
  <si>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</si>
  <si>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PREÇO POR TONELADA COLETADA:  [A/B]</t>
  </si>
  <si>
    <t>Custo de recapagem</t>
  </si>
  <si>
    <t>Recipiente térmico para água (5L)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</si>
  <si>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</si>
  <si>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</si>
  <si>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</si>
  <si>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</si>
  <si>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</si>
  <si>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</si>
  <si>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</si>
  <si>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</si>
  <si>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</si>
  <si>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</si>
  <si>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</si>
  <si>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</si>
  <si>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</si>
  <si>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</si>
  <si>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</si>
  <si>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</si>
  <si>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</si>
  <si>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</si>
  <si>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</si>
  <si>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</si>
  <si>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</si>
  <si>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</si>
  <si>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</si>
  <si>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</si>
  <si>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</si>
  <si>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r>
      <t>3.1. Veículo Coletor Compactador</t>
    </r>
    <r>
      <rPr>
        <sz val="10"/>
        <color indexed="10"/>
        <rFont val="Arial"/>
        <family val="2"/>
      </rPr>
      <t xml:space="preserve"> xx</t>
    </r>
    <r>
      <rPr>
        <sz val="10"/>
        <rFont val="Arial"/>
        <family val="2"/>
      </rPr>
      <t xml:space="preserve"> m³</t>
    </r>
  </si>
  <si>
    <t>Custo do jogo de pneus xxx/xx Rxx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</si>
  <si>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</si>
  <si>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</si>
  <si>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</si>
  <si>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Horas Extras Noturnas (100%)</t>
  </si>
  <si>
    <t>1.1. Coletor Turno Dia</t>
  </si>
  <si>
    <t>1.4. Motorista Turno Noite</t>
  </si>
  <si>
    <t>hora contabilizada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</si>
  <si>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</si>
  <si>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</si>
  <si>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</si>
  <si>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</si>
  <si>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</si>
  <si>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</si>
  <si>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</si>
  <si>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</si>
  <si>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</si>
  <si>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</si>
  <si>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</si>
  <si>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</si>
  <si>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</si>
  <si>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</si>
  <si>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</si>
  <si>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</si>
  <si>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</si>
  <si>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</si>
  <si>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</si>
  <si>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</si>
  <si>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</si>
  <si>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</si>
  <si>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</si>
  <si>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</si>
  <si>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</si>
  <si>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</si>
  <si>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</si>
  <si>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</si>
  <si>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</si>
  <si>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</si>
  <si>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</si>
  <si>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</si>
  <si>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</si>
  <si>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</si>
  <si>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</si>
  <si>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</si>
  <si>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</si>
  <si>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</si>
  <si>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</si>
  <si>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</si>
  <si>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</si>
  <si>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</si>
  <si>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</si>
  <si>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</si>
  <si>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</si>
  <si>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</si>
  <si>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</si>
  <si>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</si>
  <si>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</si>
  <si>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</si>
  <si>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</si>
  <si>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</si>
  <si>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</si>
  <si>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</si>
  <si>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</si>
  <si>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</si>
  <si>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</si>
  <si>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</si>
  <si>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</si>
  <si>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</si>
  <si>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</si>
  <si>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</si>
  <si>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</si>
  <si>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</si>
  <si>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</si>
  <si>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</si>
  <si>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</si>
  <si>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</si>
  <si>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</si>
  <si>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</si>
  <si>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</si>
  <si>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</si>
  <si>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</si>
  <si>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</si>
  <si>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</si>
  <si>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</si>
  <si>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</si>
  <si>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</si>
  <si>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</si>
  <si>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</si>
  <si>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</si>
  <si>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</si>
  <si>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</si>
  <si>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</si>
  <si>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</si>
  <si>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</si>
  <si>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</si>
  <si>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</si>
  <si>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</si>
  <si>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</si>
  <si>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</si>
  <si>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</si>
  <si>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</si>
  <si>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</si>
  <si>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</si>
  <si>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</si>
  <si>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</si>
  <si>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</si>
  <si>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</si>
  <si>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</si>
  <si>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</si>
  <si>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</si>
  <si>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</si>
  <si>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</si>
  <si>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</si>
  <si>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</si>
  <si>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Excluir esta linha caso a contratação seja por preço global mensal</t>
  </si>
  <si>
    <t>Rio Grande do Sul  - Coleta de Resíduos Não-Perigosos - CNAE 38114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</si>
  <si>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</si>
  <si>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</si>
  <si>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</si>
  <si>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</si>
  <si>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</si>
  <si>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</si>
  <si>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</si>
  <si>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</si>
  <si>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</si>
  <si>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</si>
  <si>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</si>
  <si>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</si>
  <si>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</si>
  <si>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 xml:space="preserve">1. Coleta de Resíduos Sólidos </t>
  </si>
  <si>
    <t xml:space="preserve">Quantidade média de resíduos coletados por mês: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</si>
  <si>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</si>
  <si>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</si>
  <si>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</si>
  <si>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</si>
  <si>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</si>
  <si>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</si>
  <si>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</si>
  <si>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</si>
  <si>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</si>
  <si>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</si>
  <si>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</si>
  <si>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</si>
  <si>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</si>
  <si>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</si>
  <si>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</si>
  <si>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</si>
  <si>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</si>
  <si>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</si>
  <si>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</si>
  <si>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</si>
  <si>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</si>
  <si>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</si>
  <si>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</si>
  <si>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</si>
  <si>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</si>
  <si>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</si>
  <si>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</si>
  <si>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</si>
  <si>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</si>
  <si>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</si>
  <si>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</si>
  <si>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</si>
  <si>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</si>
  <si>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</si>
  <si>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</si>
  <si>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</si>
  <si>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</si>
  <si>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</si>
  <si>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</si>
  <si>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</si>
  <si>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</si>
  <si>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</si>
  <si>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</si>
  <si>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</si>
  <si>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</si>
  <si>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</si>
  <si>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</si>
  <si>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</si>
  <si>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</si>
  <si>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</si>
  <si>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</si>
  <si>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</si>
  <si>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</si>
  <si>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</si>
  <si>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</si>
  <si>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</si>
  <si>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</si>
  <si>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</si>
  <si>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</si>
  <si>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</si>
  <si>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</si>
  <si>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</si>
  <si>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</si>
  <si>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</si>
  <si>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</si>
  <si>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</si>
  <si>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</si>
  <si>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</si>
  <si>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</si>
  <si>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</si>
  <si>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</si>
  <si>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</si>
  <si>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</si>
  <si>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</si>
  <si>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</si>
  <si>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</si>
  <si>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</si>
  <si>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</si>
  <si>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</si>
  <si>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</si>
  <si>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</si>
  <si>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</si>
  <si>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</si>
  <si>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</si>
  <si>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t>1.2. Motorista Turno do Dia</t>
  </si>
  <si>
    <t>R$/Mês</t>
  </si>
  <si>
    <t>PREÇO TOTAL MENSAL:</t>
  </si>
</sst>
</file>

<file path=xl/styles.xml><?xml version="1.0" encoding="utf-8"?>
<styleSheet xmlns="http://schemas.openxmlformats.org/spreadsheetml/2006/main">
  <numFmts count="10">
    <numFmt numFmtId="164" formatCode="_-* #,##0.00_-;\-* #,##0.00_-;_-* &quot;-&quot;??_-;_-@_-"/>
    <numFmt numFmtId="165" formatCode="&quot;R$ &quot;#,##0.00_);\(&quot;R$ &quot;#,##0.00\)"/>
    <numFmt numFmtId="166" formatCode="_(* #,##0.00_);_(* \(#,##0.00\);_(* &quot;-&quot;??_);_(@_)"/>
    <numFmt numFmtId="167" formatCode="_(* #,##0_);_(* \(#,##0\);_(* &quot;-&quot;??_);_(@_)"/>
    <numFmt numFmtId="168" formatCode="_(* #,##0.000_);_(* \(#,##0.000\);_(* &quot;-&quot;??_);_(@_)"/>
    <numFmt numFmtId="169" formatCode="&quot;R$ &quot;#,##0.00"/>
    <numFmt numFmtId="170" formatCode="0.0000"/>
    <numFmt numFmtId="171" formatCode="_-* #,##0.000_-;\-* #,##0.000_-;_-* &quot;-&quot;??_-;_-@_-"/>
    <numFmt numFmtId="172" formatCode="_-* #,##0.00_-;\-* #,##0.00_-;_-* &quot;-&quot;?_-;_-@_-"/>
    <numFmt numFmtId="173" formatCode="_-* #,##0_-;\-* #,##0_-;_-* &quot;-&quot;?_-;_-@_-"/>
  </numFmts>
  <fonts count="33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81"/>
      <name val="Tahoma"/>
      <charset val="1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54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6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6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6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6" fillId="0" borderId="0" xfId="3" applyFont="1" applyAlignment="1">
      <alignment horizontal="center" vertical="center"/>
    </xf>
    <xf numFmtId="166" fontId="3" fillId="2" borderId="4" xfId="3" applyFont="1" applyFill="1" applyBorder="1" applyAlignment="1">
      <alignment horizontal="center" vertical="center"/>
    </xf>
    <xf numFmtId="166" fontId="3" fillId="2" borderId="4" xfId="3" applyFont="1" applyFill="1" applyBorder="1" applyAlignment="1">
      <alignment vertical="center"/>
    </xf>
    <xf numFmtId="166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6" fontId="3" fillId="0" borderId="6" xfId="3" applyFont="1" applyBorder="1" applyAlignment="1">
      <alignment vertical="center"/>
    </xf>
    <xf numFmtId="166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6" fontId="6" fillId="0" borderId="6" xfId="3" applyFont="1" applyBorder="1" applyAlignment="1">
      <alignment vertical="center"/>
    </xf>
    <xf numFmtId="166" fontId="6" fillId="0" borderId="7" xfId="3" applyFont="1" applyBorder="1" applyAlignment="1">
      <alignment vertical="center"/>
    </xf>
    <xf numFmtId="166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6" fontId="3" fillId="0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6" fontId="3" fillId="0" borderId="0" xfId="3" applyFont="1" applyBorder="1" applyAlignment="1">
      <alignment vertical="center"/>
    </xf>
    <xf numFmtId="166" fontId="5" fillId="0" borderId="0" xfId="3" applyFont="1" applyAlignment="1">
      <alignment vertical="center"/>
    </xf>
    <xf numFmtId="167" fontId="6" fillId="0" borderId="1" xfId="3" applyNumberFormat="1" applyFont="1" applyBorder="1" applyAlignment="1">
      <alignment vertical="center"/>
    </xf>
    <xf numFmtId="166" fontId="6" fillId="0" borderId="0" xfId="3" applyFont="1"/>
    <xf numFmtId="166" fontId="4" fillId="0" borderId="0" xfId="3" applyFont="1" applyAlignment="1">
      <alignment vertical="center"/>
    </xf>
    <xf numFmtId="166" fontId="0" fillId="0" borderId="11" xfId="3" applyFont="1" applyBorder="1" applyAlignment="1">
      <alignment vertical="center"/>
    </xf>
    <xf numFmtId="166" fontId="3" fillId="0" borderId="12" xfId="3" applyFont="1" applyBorder="1" applyAlignment="1">
      <alignment horizontal="center" vertical="center"/>
    </xf>
    <xf numFmtId="166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6" fontId="3" fillId="0" borderId="0" xfId="3" applyFont="1" applyAlignment="1">
      <alignment vertical="center"/>
    </xf>
    <xf numFmtId="166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6" fontId="0" fillId="0" borderId="9" xfId="3" applyFont="1" applyBorder="1" applyAlignment="1">
      <alignment vertical="center"/>
    </xf>
    <xf numFmtId="166" fontId="3" fillId="0" borderId="13" xfId="3" applyFont="1" applyBorder="1" applyAlignment="1">
      <alignment horizontal="right" vertical="center"/>
    </xf>
    <xf numFmtId="166" fontId="0" fillId="0" borderId="14" xfId="3" applyFont="1" applyBorder="1" applyAlignment="1">
      <alignment vertical="center"/>
    </xf>
    <xf numFmtId="166" fontId="6" fillId="0" borderId="1" xfId="3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66" fontId="6" fillId="0" borderId="0" xfId="3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6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6" fontId="6" fillId="0" borderId="0" xfId="3" applyFont="1" applyBorder="1" applyAlignment="1">
      <alignment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166" fontId="13" fillId="2" borderId="17" xfId="3" applyFont="1" applyFill="1" applyBorder="1" applyAlignment="1">
      <alignment horizontal="center" vertical="center"/>
    </xf>
    <xf numFmtId="166" fontId="13" fillId="2" borderId="18" xfId="3" applyFont="1" applyFill="1" applyBorder="1" applyAlignment="1">
      <alignment horizontal="center" vertical="center"/>
    </xf>
    <xf numFmtId="166" fontId="3" fillId="0" borderId="19" xfId="3" applyFont="1" applyBorder="1" applyAlignment="1">
      <alignment horizontal="center" vertical="center"/>
    </xf>
    <xf numFmtId="166" fontId="1" fillId="0" borderId="14" xfId="3" applyFont="1" applyBorder="1" applyAlignment="1">
      <alignment horizontal="left" vertical="center"/>
    </xf>
    <xf numFmtId="166" fontId="6" fillId="0" borderId="9" xfId="3" applyFont="1" applyBorder="1" applyAlignment="1">
      <alignment vertical="center"/>
    </xf>
    <xf numFmtId="166" fontId="6" fillId="0" borderId="14" xfId="3" applyFont="1" applyBorder="1" applyAlignment="1">
      <alignment vertical="center"/>
    </xf>
    <xf numFmtId="167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6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6" fontId="6" fillId="0" borderId="19" xfId="3" applyFont="1" applyBorder="1" applyAlignment="1">
      <alignment vertical="center"/>
    </xf>
    <xf numFmtId="166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6" fontId="12" fillId="0" borderId="1" xfId="3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66" fontId="3" fillId="2" borderId="4" xfId="3" applyNumberFormat="1" applyFont="1" applyFill="1" applyBorder="1" applyAlignment="1">
      <alignment horizontal="center" vertical="center"/>
    </xf>
    <xf numFmtId="166" fontId="6" fillId="0" borderId="1" xfId="3" applyFont="1" applyFill="1" applyBorder="1" applyAlignment="1">
      <alignment horizontal="center" vertical="center"/>
    </xf>
    <xf numFmtId="166" fontId="11" fillId="0" borderId="0" xfId="3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6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6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6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7" fontId="6" fillId="0" borderId="1" xfId="3" applyNumberFormat="1" applyFont="1" applyBorder="1" applyAlignment="1">
      <alignment horizontal="center" vertical="center"/>
    </xf>
    <xf numFmtId="166" fontId="6" fillId="3" borderId="1" xfId="3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8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7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6" fontId="3" fillId="0" borderId="1" xfId="3" applyFont="1" applyBorder="1" applyAlignment="1">
      <alignment horizontal="center" vertical="center"/>
    </xf>
    <xf numFmtId="166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3" fillId="2" borderId="3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166" fontId="13" fillId="2" borderId="33" xfId="3" applyFont="1" applyFill="1" applyBorder="1" applyAlignment="1">
      <alignment horizontal="center" vertical="center"/>
    </xf>
    <xf numFmtId="166" fontId="6" fillId="0" borderId="0" xfId="3" applyFont="1" applyFill="1" applyAlignment="1">
      <alignment vertical="center"/>
    </xf>
    <xf numFmtId="166" fontId="3" fillId="0" borderId="1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5" fontId="3" fillId="0" borderId="34" xfId="0" applyNumberFormat="1" applyFont="1" applyBorder="1" applyAlignment="1">
      <alignment vertical="center"/>
    </xf>
    <xf numFmtId="166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6" fontId="3" fillId="0" borderId="0" xfId="3" applyFont="1" applyAlignment="1">
      <alignment horizontal="center" vertical="center"/>
    </xf>
    <xf numFmtId="166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6" fillId="0" borderId="0" xfId="3" applyFont="1" applyAlignment="1">
      <alignment horizontal="right" vertical="center"/>
    </xf>
    <xf numFmtId="166" fontId="3" fillId="2" borderId="7" xfId="3" applyFont="1" applyFill="1" applyBorder="1" applyAlignment="1">
      <alignment horizontal="center" vertical="center"/>
    </xf>
    <xf numFmtId="166" fontId="3" fillId="0" borderId="14" xfId="3" applyFont="1" applyBorder="1" applyAlignment="1">
      <alignment vertical="center"/>
    </xf>
    <xf numFmtId="166" fontId="3" fillId="0" borderId="9" xfId="0" applyNumberFormat="1" applyFont="1" applyBorder="1" applyAlignment="1">
      <alignment vertical="center"/>
    </xf>
    <xf numFmtId="166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6" fontId="3" fillId="0" borderId="38" xfId="3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166" fontId="6" fillId="0" borderId="39" xfId="3" applyFont="1" applyBorder="1" applyAlignment="1">
      <alignment vertical="center"/>
    </xf>
    <xf numFmtId="166" fontId="6" fillId="0" borderId="40" xfId="3" applyFont="1" applyBorder="1" applyAlignment="1">
      <alignment vertical="center"/>
    </xf>
    <xf numFmtId="166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6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166" fontId="6" fillId="6" borderId="1" xfId="3" applyFont="1" applyFill="1" applyBorder="1" applyAlignment="1">
      <alignment horizontal="center" vertical="center"/>
    </xf>
    <xf numFmtId="166" fontId="6" fillId="6" borderId="1" xfId="3" applyFont="1" applyFill="1" applyBorder="1" applyAlignment="1">
      <alignment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6" fontId="6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0" fillId="0" borderId="38" xfId="0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166" fontId="0" fillId="0" borderId="0" xfId="3" applyFont="1" applyFill="1" applyBorder="1" applyAlignment="1">
      <alignment vertical="center"/>
    </xf>
    <xf numFmtId="166" fontId="0" fillId="0" borderId="39" xfId="3" applyFont="1" applyFill="1" applyBorder="1" applyAlignment="1">
      <alignment vertical="center"/>
    </xf>
    <xf numFmtId="0" fontId="6" fillId="0" borderId="1" xfId="0" applyNumberFormat="1" applyFont="1" applyBorder="1" applyAlignment="1">
      <alignment horizontal="center" vertical="center"/>
    </xf>
    <xf numFmtId="167" fontId="3" fillId="0" borderId="0" xfId="3" applyNumberFormat="1" applyFont="1" applyBorder="1" applyAlignment="1">
      <alignment horizontal="center" vertical="center"/>
    </xf>
    <xf numFmtId="0" fontId="18" fillId="0" borderId="14" xfId="0" applyFont="1" applyBorder="1"/>
    <xf numFmtId="0" fontId="6" fillId="0" borderId="0" xfId="0" applyFont="1" applyBorder="1"/>
    <xf numFmtId="0" fontId="18" fillId="0" borderId="47" xfId="0" applyFont="1" applyBorder="1"/>
    <xf numFmtId="0" fontId="18" fillId="3" borderId="20" xfId="0" applyFont="1" applyFill="1" applyBorder="1"/>
    <xf numFmtId="0" fontId="18" fillId="0" borderId="23" xfId="0" applyFont="1" applyBorder="1"/>
    <xf numFmtId="0" fontId="18" fillId="0" borderId="48" xfId="0" applyFont="1" applyBorder="1"/>
    <xf numFmtId="0" fontId="18" fillId="0" borderId="20" xfId="0" applyFont="1" applyBorder="1"/>
    <xf numFmtId="0" fontId="18" fillId="0" borderId="28" xfId="0" applyFont="1" applyBorder="1"/>
    <xf numFmtId="2" fontId="19" fillId="7" borderId="1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2" fontId="19" fillId="7" borderId="36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10" fontId="19" fillId="0" borderId="20" xfId="0" applyNumberFormat="1" applyFont="1" applyBorder="1" applyAlignment="1">
      <alignment horizontal="right" vertical="center"/>
    </xf>
    <xf numFmtId="0" fontId="19" fillId="0" borderId="0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10" fontId="23" fillId="0" borderId="20" xfId="0" applyNumberFormat="1" applyFont="1" applyBorder="1" applyAlignment="1">
      <alignment horizontal="right" vertical="center"/>
    </xf>
    <xf numFmtId="0" fontId="19" fillId="5" borderId="23" xfId="0" applyFont="1" applyFill="1" applyBorder="1" applyAlignment="1">
      <alignment horizontal="left" vertical="center"/>
    </xf>
    <xf numFmtId="0" fontId="23" fillId="5" borderId="1" xfId="0" applyFont="1" applyFill="1" applyBorder="1" applyAlignment="1">
      <alignment horizontal="left" vertical="center"/>
    </xf>
    <xf numFmtId="10" fontId="23" fillId="5" borderId="20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10" fontId="6" fillId="0" borderId="0" xfId="0" applyNumberFormat="1" applyFont="1"/>
    <xf numFmtId="9" fontId="19" fillId="0" borderId="0" xfId="2" applyFont="1" applyBorder="1" applyAlignment="1">
      <alignment horizontal="right" vertical="center"/>
    </xf>
    <xf numFmtId="10" fontId="6" fillId="0" borderId="0" xfId="0" applyNumberFormat="1" applyFont="1" applyBorder="1"/>
    <xf numFmtId="0" fontId="19" fillId="0" borderId="1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/>
    </xf>
    <xf numFmtId="0" fontId="19" fillId="9" borderId="24" xfId="0" applyFont="1" applyFill="1" applyBorder="1" applyAlignment="1">
      <alignment horizontal="left" vertical="center"/>
    </xf>
    <xf numFmtId="0" fontId="23" fillId="9" borderId="36" xfId="0" applyFont="1" applyFill="1" applyBorder="1" applyAlignment="1">
      <alignment horizontal="left" vertical="center"/>
    </xf>
    <xf numFmtId="10" fontId="23" fillId="9" borderId="37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10" fontId="23" fillId="0" borderId="0" xfId="0" applyNumberFormat="1" applyFont="1" applyFill="1" applyBorder="1" applyAlignment="1">
      <alignment horizontal="right" vertical="center"/>
    </xf>
    <xf numFmtId="0" fontId="25" fillId="4" borderId="0" xfId="0" applyFont="1" applyFill="1" applyBorder="1" applyAlignment="1">
      <alignment horizontal="left" vertical="center"/>
    </xf>
    <xf numFmtId="10" fontId="19" fillId="0" borderId="0" xfId="0" applyNumberFormat="1" applyFont="1" applyFill="1" applyBorder="1" applyAlignment="1">
      <alignment horizontal="right" vertical="center"/>
    </xf>
    <xf numFmtId="0" fontId="19" fillId="4" borderId="0" xfId="0" applyFont="1" applyFill="1" applyBorder="1" applyAlignment="1">
      <alignment horizontal="left" vertical="center"/>
    </xf>
    <xf numFmtId="10" fontId="19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10" fontId="23" fillId="0" borderId="0" xfId="0" applyNumberFormat="1" applyFont="1" applyBorder="1" applyAlignment="1">
      <alignment horizontal="right" vertical="center"/>
    </xf>
    <xf numFmtId="0" fontId="26" fillId="0" borderId="0" xfId="0" applyFont="1" applyBorder="1" applyAlignment="1">
      <alignment horizontal="justify" vertical="center"/>
    </xf>
    <xf numFmtId="0" fontId="8" fillId="0" borderId="0" xfId="1" applyFont="1" applyBorder="1" applyAlignment="1" applyProtection="1">
      <alignment horizontal="left" vertical="center"/>
    </xf>
    <xf numFmtId="0" fontId="27" fillId="0" borderId="0" xfId="0" applyFont="1" applyBorder="1"/>
    <xf numFmtId="0" fontId="19" fillId="0" borderId="0" xfId="0" applyFont="1" applyBorder="1" applyAlignment="1">
      <alignment horizontal="right" vertical="center"/>
    </xf>
    <xf numFmtId="0" fontId="8" fillId="0" borderId="0" xfId="1" applyFont="1" applyBorder="1" applyAlignment="1" applyProtection="1">
      <alignment vertical="center"/>
    </xf>
    <xf numFmtId="0" fontId="5" fillId="0" borderId="15" xfId="0" applyFont="1" applyBorder="1"/>
    <xf numFmtId="0" fontId="5" fillId="0" borderId="23" xfId="0" applyFont="1" applyBorder="1"/>
    <xf numFmtId="0" fontId="5" fillId="3" borderId="20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49" xfId="0" applyFont="1" applyBorder="1"/>
    <xf numFmtId="0" fontId="5" fillId="3" borderId="50" xfId="0" applyFont="1" applyFill="1" applyBorder="1"/>
    <xf numFmtId="0" fontId="5" fillId="0" borderId="38" xfId="0" applyFont="1" applyBorder="1"/>
    <xf numFmtId="0" fontId="5" fillId="0" borderId="39" xfId="0" applyFont="1" applyBorder="1"/>
    <xf numFmtId="0" fontId="7" fillId="0" borderId="48" xfId="0" applyFont="1" applyBorder="1"/>
    <xf numFmtId="0" fontId="7" fillId="0" borderId="38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Fill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Fill="1" applyBorder="1" applyAlignment="1">
      <alignment vertical="center"/>
    </xf>
    <xf numFmtId="0" fontId="5" fillId="0" borderId="26" xfId="0" applyFont="1" applyFill="1" applyBorder="1" applyAlignment="1">
      <alignment vertical="center"/>
    </xf>
    <xf numFmtId="10" fontId="5" fillId="0" borderId="27" xfId="0" applyNumberFormat="1" applyFont="1" applyFill="1" applyBorder="1" applyAlignment="1">
      <alignment vertical="center"/>
    </xf>
    <xf numFmtId="0" fontId="5" fillId="0" borderId="28" xfId="0" applyFont="1" applyFill="1" applyBorder="1" applyAlignment="1">
      <alignment horizontal="left" vertical="center"/>
    </xf>
    <xf numFmtId="0" fontId="5" fillId="0" borderId="29" xfId="0" applyFont="1" applyFill="1" applyBorder="1" applyAlignment="1">
      <alignment horizontal="left" vertical="center"/>
    </xf>
    <xf numFmtId="0" fontId="5" fillId="0" borderId="30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52" xfId="0" applyFont="1" applyBorder="1"/>
    <xf numFmtId="0" fontId="20" fillId="0" borderId="52" xfId="0" applyFont="1" applyBorder="1" applyAlignment="1">
      <alignment horizontal="justify"/>
    </xf>
    <xf numFmtId="0" fontId="20" fillId="0" borderId="53" xfId="0" applyFont="1" applyBorder="1" applyAlignment="1">
      <alignment horizontal="justify"/>
    </xf>
    <xf numFmtId="0" fontId="17" fillId="10" borderId="51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166" fontId="6" fillId="3" borderId="9" xfId="3" applyNumberFormat="1" applyFont="1" applyFill="1" applyBorder="1" applyAlignment="1">
      <alignment vertical="center"/>
    </xf>
    <xf numFmtId="166" fontId="6" fillId="0" borderId="10" xfId="3" applyFont="1" applyBorder="1" applyAlignment="1">
      <alignment vertical="center"/>
    </xf>
    <xf numFmtId="166" fontId="3" fillId="0" borderId="7" xfId="3" applyFont="1" applyBorder="1" applyAlignment="1">
      <alignment horizontal="right" vertical="center"/>
    </xf>
    <xf numFmtId="166" fontId="3" fillId="2" borderId="4" xfId="3" applyFont="1" applyFill="1" applyBorder="1" applyAlignment="1">
      <alignment horizontal="right" vertical="center"/>
    </xf>
    <xf numFmtId="169" fontId="3" fillId="0" borderId="1" xfId="0" applyNumberFormat="1" applyFont="1" applyBorder="1" applyAlignment="1">
      <alignment vertical="center"/>
    </xf>
    <xf numFmtId="169" fontId="0" fillId="0" borderId="1" xfId="0" applyNumberFormat="1" applyBorder="1" applyAlignment="1">
      <alignment vertical="center"/>
    </xf>
    <xf numFmtId="169" fontId="3" fillId="0" borderId="36" xfId="0" applyNumberFormat="1" applyFont="1" applyBorder="1" applyAlignment="1">
      <alignment vertical="center"/>
    </xf>
    <xf numFmtId="166" fontId="3" fillId="0" borderId="11" xfId="3" applyFont="1" applyBorder="1" applyAlignment="1">
      <alignment vertical="center"/>
    </xf>
    <xf numFmtId="166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6" fontId="3" fillId="0" borderId="9" xfId="3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8" fontId="6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8" fontId="3" fillId="0" borderId="1" xfId="3" applyNumberFormat="1" applyFont="1" applyBorder="1" applyAlignment="1">
      <alignment horizontal="center" vertical="center"/>
    </xf>
    <xf numFmtId="168" fontId="6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54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166" fontId="3" fillId="0" borderId="54" xfId="3" applyFont="1" applyBorder="1" applyAlignment="1">
      <alignment horizontal="center" vertical="center"/>
    </xf>
    <xf numFmtId="166" fontId="3" fillId="0" borderId="54" xfId="3" applyFont="1" applyFill="1" applyBorder="1" applyAlignment="1">
      <alignment horizontal="center" vertical="center"/>
    </xf>
    <xf numFmtId="4" fontId="1" fillId="0" borderId="0" xfId="0" applyNumberFormat="1" applyFont="1" applyBorder="1" applyAlignment="1">
      <alignment vertical="center"/>
    </xf>
    <xf numFmtId="0" fontId="1" fillId="0" borderId="0" xfId="0" applyFont="1" applyFill="1"/>
    <xf numFmtId="0" fontId="7" fillId="0" borderId="23" xfId="0" applyFont="1" applyBorder="1"/>
    <xf numFmtId="0" fontId="7" fillId="0" borderId="1" xfId="0" applyFont="1" applyBorder="1"/>
    <xf numFmtId="0" fontId="7" fillId="0" borderId="20" xfId="0" applyFont="1" applyBorder="1"/>
    <xf numFmtId="0" fontId="5" fillId="0" borderId="23" xfId="0" applyFont="1" applyFill="1" applyBorder="1"/>
    <xf numFmtId="0" fontId="5" fillId="0" borderId="1" xfId="0" applyFont="1" applyFill="1" applyBorder="1"/>
    <xf numFmtId="0" fontId="5" fillId="0" borderId="1" xfId="0" applyFont="1" applyBorder="1"/>
    <xf numFmtId="171" fontId="24" fillId="0" borderId="20" xfId="3" applyNumberFormat="1" applyFont="1" applyBorder="1" applyAlignment="1">
      <alignment horizontal="center" vertical="center" wrapText="1"/>
    </xf>
    <xf numFmtId="172" fontId="5" fillId="0" borderId="20" xfId="0" applyNumberFormat="1" applyFont="1" applyBorder="1"/>
    <xf numFmtId="2" fontId="5" fillId="0" borderId="20" xfId="0" applyNumberFormat="1" applyFont="1" applyBorder="1"/>
    <xf numFmtId="0" fontId="5" fillId="0" borderId="24" xfId="0" applyFont="1" applyFill="1" applyBorder="1"/>
    <xf numFmtId="0" fontId="5" fillId="0" borderId="36" xfId="0" applyFont="1" applyBorder="1"/>
    <xf numFmtId="172" fontId="5" fillId="3" borderId="20" xfId="0" applyNumberFormat="1" applyFont="1" applyFill="1" applyBorder="1"/>
    <xf numFmtId="172" fontId="5" fillId="0" borderId="37" xfId="0" applyNumberFormat="1" applyFont="1" applyBorder="1"/>
    <xf numFmtId="0" fontId="17" fillId="0" borderId="1" xfId="0" applyFont="1" applyFill="1" applyBorder="1" applyAlignment="1">
      <alignment horizontal="center"/>
    </xf>
    <xf numFmtId="0" fontId="17" fillId="0" borderId="23" xfId="0" applyFont="1" applyFill="1" applyBorder="1" applyAlignment="1">
      <alignment horizontal="center"/>
    </xf>
    <xf numFmtId="0" fontId="17" fillId="0" borderId="20" xfId="0" applyFont="1" applyFill="1" applyBorder="1" applyAlignment="1">
      <alignment horizontal="center"/>
    </xf>
    <xf numFmtId="173" fontId="5" fillId="3" borderId="20" xfId="0" applyNumberFormat="1" applyFont="1" applyFill="1" applyBorder="1"/>
    <xf numFmtId="0" fontId="5" fillId="0" borderId="23" xfId="0" applyFont="1" applyBorder="1" applyAlignment="1">
      <alignment horizontal="right"/>
    </xf>
    <xf numFmtId="0" fontId="4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4" fontId="32" fillId="0" borderId="0" xfId="0" applyNumberFormat="1" applyFont="1" applyBorder="1" applyAlignment="1">
      <alignment vertical="center"/>
    </xf>
    <xf numFmtId="0" fontId="5" fillId="0" borderId="20" xfId="0" applyFont="1" applyFill="1" applyBorder="1"/>
    <xf numFmtId="0" fontId="31" fillId="0" borderId="0" xfId="0" applyFont="1"/>
    <xf numFmtId="0" fontId="1" fillId="0" borderId="2" xfId="0" applyFont="1" applyBorder="1" applyAlignment="1">
      <alignment vertical="center"/>
    </xf>
    <xf numFmtId="170" fontId="7" fillId="0" borderId="20" xfId="0" applyNumberFormat="1" applyFont="1" applyBorder="1"/>
    <xf numFmtId="9" fontId="18" fillId="0" borderId="20" xfId="2" applyFont="1" applyBorder="1"/>
    <xf numFmtId="10" fontId="18" fillId="0" borderId="20" xfId="2" applyNumberFormat="1" applyFont="1" applyBorder="1"/>
    <xf numFmtId="9" fontId="7" fillId="0" borderId="31" xfId="2" applyFont="1" applyBorder="1"/>
    <xf numFmtId="0" fontId="5" fillId="0" borderId="55" xfId="0" applyFont="1" applyBorder="1"/>
    <xf numFmtId="9" fontId="6" fillId="3" borderId="1" xfId="2" applyFont="1" applyFill="1" applyBorder="1" applyAlignment="1">
      <alignment horizontal="center" vertical="center"/>
    </xf>
    <xf numFmtId="9" fontId="6" fillId="0" borderId="1" xfId="2" applyFont="1" applyBorder="1" applyAlignment="1">
      <alignment horizontal="center" vertical="center"/>
    </xf>
    <xf numFmtId="166" fontId="6" fillId="6" borderId="1" xfId="3" applyNumberFormat="1" applyFont="1" applyFill="1" applyBorder="1" applyAlignment="1">
      <alignment horizontal="center" vertical="center"/>
    </xf>
    <xf numFmtId="166" fontId="6" fillId="0" borderId="0" xfId="0" applyNumberFormat="1" applyFont="1" applyAlignment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66" fontId="3" fillId="0" borderId="14" xfId="3" applyFont="1" applyBorder="1" applyAlignment="1">
      <alignment horizontal="left" vertical="center"/>
    </xf>
    <xf numFmtId="166" fontId="3" fillId="0" borderId="9" xfId="3" applyFont="1" applyBorder="1" applyAlignment="1">
      <alignment horizontal="left" vertical="center"/>
    </xf>
    <xf numFmtId="0" fontId="17" fillId="8" borderId="25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6" fontId="3" fillId="0" borderId="5" xfId="3" applyFont="1" applyBorder="1" applyAlignment="1">
      <alignment horizontal="center" vertical="center"/>
    </xf>
    <xf numFmtId="166" fontId="3" fillId="0" borderId="6" xfId="3" applyFont="1" applyBorder="1" applyAlignment="1">
      <alignment horizontal="center" vertical="center"/>
    </xf>
    <xf numFmtId="166" fontId="3" fillId="0" borderId="43" xfId="3" applyFont="1" applyBorder="1" applyAlignment="1">
      <alignment horizontal="center" vertical="center"/>
    </xf>
    <xf numFmtId="166" fontId="4" fillId="8" borderId="5" xfId="3" applyFont="1" applyFill="1" applyBorder="1" applyAlignment="1">
      <alignment horizontal="center" vertical="center"/>
    </xf>
    <xf numFmtId="166" fontId="4" fillId="8" borderId="6" xfId="3" applyFont="1" applyFill="1" applyBorder="1" applyAlignment="1">
      <alignment horizontal="center" vertical="center"/>
    </xf>
    <xf numFmtId="166" fontId="4" fillId="8" borderId="7" xfId="3" applyFont="1" applyFill="1" applyBorder="1" applyAlignment="1">
      <alignment horizontal="center" vertical="center"/>
    </xf>
    <xf numFmtId="0" fontId="17" fillId="8" borderId="21" xfId="0" applyFont="1" applyFill="1" applyBorder="1" applyAlignment="1">
      <alignment horizontal="center" vertical="center"/>
    </xf>
    <xf numFmtId="0" fontId="17" fillId="8" borderId="2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/>
    </xf>
    <xf numFmtId="0" fontId="17" fillId="10" borderId="46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7" fillId="10" borderId="21" xfId="0" applyFont="1" applyFill="1" applyBorder="1" applyAlignment="1">
      <alignment horizontal="center"/>
    </xf>
    <xf numFmtId="0" fontId="17" fillId="10" borderId="22" xfId="0" applyFont="1" applyFill="1" applyBorder="1" applyAlignment="1">
      <alignment horizontal="center"/>
    </xf>
    <xf numFmtId="0" fontId="17" fillId="10" borderId="12" xfId="0" applyFont="1" applyFill="1" applyBorder="1" applyAlignment="1">
      <alignment horizontal="center"/>
    </xf>
  </cellXfs>
  <cellStyles count="4">
    <cellStyle name="Hyperlink" xfId="1" builtinId="8"/>
    <cellStyle name="Normal" xfId="0" builtinId="0"/>
    <cellStyle name="Porcentagem" xfId="2" builtinId="5"/>
    <cellStyle name="Separador de milhares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30"/>
  <sheetViews>
    <sheetView tabSelected="1" view="pageBreakPreview" zoomScaleNormal="100" zoomScaleSheetLayoutView="100" workbookViewId="0">
      <selection activeCell="G7" sqref="G7"/>
    </sheetView>
  </sheetViews>
  <sheetFormatPr defaultRowHeight="12.75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28.140625" style="10" customWidth="1"/>
    <col min="8" max="8" width="9.140625" style="9"/>
    <col min="9" max="9" width="14.5703125" style="9" customWidth="1"/>
    <col min="10" max="10" width="13.42578125" style="9" customWidth="1"/>
    <col min="11" max="16384" width="9.140625" style="9"/>
  </cols>
  <sheetData>
    <row r="1" spans="1:7" ht="15.75">
      <c r="A1" s="305" t="s">
        <v>214</v>
      </c>
    </row>
    <row r="2" spans="1:7" ht="15.75">
      <c r="A2" s="307" t="s">
        <v>300</v>
      </c>
    </row>
    <row r="3" spans="1:7" ht="15.75">
      <c r="A3" s="307" t="s">
        <v>301</v>
      </c>
    </row>
    <row r="4" spans="1:7" ht="15.75">
      <c r="A4" s="307" t="s">
        <v>302</v>
      </c>
    </row>
    <row r="5" spans="1:7" s="4" customFormat="1" ht="15.6" customHeight="1">
      <c r="A5" s="306" t="s">
        <v>297</v>
      </c>
      <c r="C5" s="140"/>
      <c r="D5" s="140"/>
      <c r="E5" s="140"/>
      <c r="F5" s="140"/>
      <c r="G5" s="6"/>
    </row>
    <row r="6" spans="1:7" s="4" customFormat="1" ht="15.6" customHeight="1">
      <c r="A6" s="139"/>
      <c r="B6" s="140"/>
      <c r="C6" s="140"/>
      <c r="D6" s="140"/>
      <c r="E6" s="140"/>
      <c r="F6" s="140"/>
      <c r="G6" s="6"/>
    </row>
    <row r="7" spans="1:7" s="4" customFormat="1" ht="15.6" customHeight="1">
      <c r="A7" s="307" t="s">
        <v>307</v>
      </c>
      <c r="B7" s="140"/>
      <c r="C7" s="140"/>
      <c r="D7" s="140"/>
      <c r="E7" s="140"/>
      <c r="F7" s="140"/>
      <c r="G7" s="6"/>
    </row>
    <row r="8" spans="1:7" s="4" customFormat="1" ht="15.6" customHeight="1">
      <c r="A8" s="307" t="s">
        <v>304</v>
      </c>
      <c r="B8" s="140"/>
      <c r="C8" s="140"/>
      <c r="D8" s="140"/>
      <c r="E8" s="140"/>
      <c r="F8" s="140"/>
      <c r="G8" s="6"/>
    </row>
    <row r="9" spans="1:7" s="4" customFormat="1" ht="16.5" customHeight="1" thickBot="1">
      <c r="A9" s="7"/>
      <c r="B9" s="5"/>
      <c r="C9" s="5"/>
      <c r="D9" s="6"/>
      <c r="E9" s="6"/>
      <c r="F9" s="6"/>
      <c r="G9" s="6"/>
    </row>
    <row r="10" spans="1:7" s="8" customFormat="1" ht="18">
      <c r="A10" s="324" t="s">
        <v>231</v>
      </c>
      <c r="B10" s="325"/>
      <c r="C10" s="325"/>
      <c r="D10" s="325"/>
      <c r="E10" s="325"/>
      <c r="F10" s="326"/>
      <c r="G10" s="36"/>
    </row>
    <row r="11" spans="1:7" s="8" customFormat="1" ht="21.75" customHeight="1">
      <c r="A11" s="327" t="s">
        <v>45</v>
      </c>
      <c r="B11" s="328"/>
      <c r="C11" s="328"/>
      <c r="D11" s="328"/>
      <c r="E11" s="328"/>
      <c r="F11" s="329"/>
      <c r="G11" s="36"/>
    </row>
    <row r="12" spans="1:7" s="4" customFormat="1" ht="10.9" customHeight="1" thickBot="1">
      <c r="A12" s="152"/>
      <c r="B12" s="153"/>
      <c r="C12" s="153"/>
      <c r="D12" s="154"/>
      <c r="E12" s="154"/>
      <c r="F12" s="155"/>
      <c r="G12" s="6"/>
    </row>
    <row r="13" spans="1:7" s="4" customFormat="1" ht="15.75" customHeight="1" thickBot="1">
      <c r="A13" s="333" t="s">
        <v>213</v>
      </c>
      <c r="B13" s="334"/>
      <c r="C13" s="334"/>
      <c r="D13" s="334"/>
      <c r="E13" s="334"/>
      <c r="F13" s="335"/>
      <c r="G13" s="6"/>
    </row>
    <row r="14" spans="1:7" s="4" customFormat="1" ht="15.75" customHeight="1">
      <c r="A14" s="64" t="s">
        <v>212</v>
      </c>
      <c r="B14" s="40"/>
      <c r="C14" s="40"/>
      <c r="D14" s="262"/>
      <c r="E14" s="116" t="s">
        <v>40</v>
      </c>
      <c r="F14" s="41" t="s">
        <v>2</v>
      </c>
      <c r="G14" s="6"/>
    </row>
    <row r="15" spans="1:7" s="11" customFormat="1" ht="15.75" customHeight="1">
      <c r="A15" s="126" t="str">
        <f>A52</f>
        <v>1. Mão-de-obra</v>
      </c>
      <c r="B15" s="127"/>
      <c r="C15" s="128"/>
      <c r="D15" s="128"/>
      <c r="E15" s="259">
        <f>+F142</f>
        <v>10470.93561207434</v>
      </c>
      <c r="F15" s="129">
        <f>IFERROR(E15/$E$35,0)</f>
        <v>0.58220177521128313</v>
      </c>
      <c r="G15" s="44"/>
    </row>
    <row r="16" spans="1:7" s="4" customFormat="1" ht="15.75" customHeight="1">
      <c r="A16" s="49" t="str">
        <f>A54</f>
        <v>1.1. Coletor Turno Dia</v>
      </c>
      <c r="B16" s="45"/>
      <c r="C16" s="47"/>
      <c r="D16" s="47"/>
      <c r="E16" s="260">
        <f>F65</f>
        <v>6077.3388914261341</v>
      </c>
      <c r="F16" s="58">
        <f>IFERROR(E16/$E$35,0)</f>
        <v>0.33791034748306753</v>
      </c>
      <c r="G16" s="6"/>
    </row>
    <row r="17" spans="1:7" s="4" customFormat="1" ht="15.75" customHeight="1">
      <c r="A17" s="49" t="str">
        <f>A67</f>
        <v>1.2. Coletor Turno Noite</v>
      </c>
      <c r="B17" s="45"/>
      <c r="C17" s="47"/>
      <c r="D17" s="47"/>
      <c r="E17" s="260">
        <f>F84</f>
        <v>0</v>
      </c>
      <c r="F17" s="58">
        <f t="shared" ref="F17:F34" si="0">IFERROR(E17/$E$35,0)</f>
        <v>0</v>
      </c>
      <c r="G17" s="6"/>
    </row>
    <row r="18" spans="1:7" s="4" customFormat="1" ht="15.75" customHeight="1">
      <c r="A18" s="49" t="str">
        <f>A86</f>
        <v>1.2. Motorista Turno do Dia</v>
      </c>
      <c r="B18" s="45"/>
      <c r="C18" s="47"/>
      <c r="D18" s="47"/>
      <c r="E18" s="260">
        <f>F99</f>
        <v>3452.9983821866672</v>
      </c>
      <c r="F18" s="58">
        <f t="shared" si="0"/>
        <v>0.19199256517178681</v>
      </c>
      <c r="G18" s="6"/>
    </row>
    <row r="19" spans="1:7" s="4" customFormat="1" ht="15.75" customHeight="1">
      <c r="A19" s="49" t="str">
        <f>A101</f>
        <v>1.4. Motorista Turno Noite</v>
      </c>
      <c r="B19" s="45"/>
      <c r="C19" s="47"/>
      <c r="D19" s="47"/>
      <c r="E19" s="260">
        <f>F120</f>
        <v>0</v>
      </c>
      <c r="F19" s="58">
        <f t="shared" si="0"/>
        <v>0</v>
      </c>
      <c r="G19" s="6"/>
    </row>
    <row r="20" spans="1:7" s="4" customFormat="1" ht="15.75" customHeight="1">
      <c r="A20" s="49" t="str">
        <f>A122</f>
        <v>1.5. Vale Transporte</v>
      </c>
      <c r="B20" s="45"/>
      <c r="C20" s="47"/>
      <c r="D20" s="47"/>
      <c r="E20" s="260">
        <f>F128</f>
        <v>124.01833846153849</v>
      </c>
      <c r="F20" s="58">
        <f t="shared" si="0"/>
        <v>6.8956299117913858E-3</v>
      </c>
      <c r="G20" s="6"/>
    </row>
    <row r="21" spans="1:7" s="4" customFormat="1" ht="15.75" customHeight="1">
      <c r="A21" s="49" t="str">
        <f>A130</f>
        <v>1.6. Vale-refeição (diário)</v>
      </c>
      <c r="B21" s="45"/>
      <c r="C21" s="47"/>
      <c r="D21" s="47"/>
      <c r="E21" s="260">
        <f>F134</f>
        <v>704.76</v>
      </c>
      <c r="F21" s="58">
        <f t="shared" si="0"/>
        <v>3.9185851035580865E-2</v>
      </c>
      <c r="G21" s="6"/>
    </row>
    <row r="22" spans="1:7" s="4" customFormat="1" ht="15.75" customHeight="1">
      <c r="A22" s="49" t="str">
        <f>A136</f>
        <v>1.7. Auxílio Alimentação (mensal)</v>
      </c>
      <c r="B22" s="45"/>
      <c r="C22" s="47"/>
      <c r="D22" s="47"/>
      <c r="E22" s="260">
        <f>F140</f>
        <v>111.82</v>
      </c>
      <c r="F22" s="58">
        <f t="shared" si="0"/>
        <v>6.2173816090564911E-3</v>
      </c>
      <c r="G22" s="6"/>
    </row>
    <row r="23" spans="1:7" s="11" customFormat="1" ht="15.75" customHeight="1">
      <c r="A23" s="322" t="str">
        <f>A144</f>
        <v>2. Uniformes e Equipamentos de Proteção Individual</v>
      </c>
      <c r="B23" s="323"/>
      <c r="C23" s="323"/>
      <c r="D23" s="128"/>
      <c r="E23" s="259">
        <f>+F176</f>
        <v>128.21250000000001</v>
      </c>
      <c r="F23" s="129">
        <f t="shared" si="0"/>
        <v>7.1288324052151261E-3</v>
      </c>
      <c r="G23" s="44"/>
    </row>
    <row r="24" spans="1:7" s="11" customFormat="1" ht="15.75" customHeight="1">
      <c r="A24" s="137" t="str">
        <f>A178</f>
        <v>3. Veículos e Equipamentos</v>
      </c>
      <c r="B24" s="138"/>
      <c r="C24" s="128"/>
      <c r="D24" s="128"/>
      <c r="E24" s="259">
        <f>+F255</f>
        <v>3789.5974254166667</v>
      </c>
      <c r="F24" s="129">
        <f t="shared" si="0"/>
        <v>0.21070804273397792</v>
      </c>
      <c r="G24" s="44"/>
    </row>
    <row r="25" spans="1:7" s="4" customFormat="1" ht="15.75" customHeight="1">
      <c r="A25" s="65" t="str">
        <f>A180</f>
        <v>3.1. Veículo Coletor Compactador xx m³</v>
      </c>
      <c r="B25" s="46"/>
      <c r="C25" s="47"/>
      <c r="D25" s="47"/>
      <c r="E25" s="260">
        <f>SUM(E26:E31)</f>
        <v>3789.5974254166667</v>
      </c>
      <c r="F25" s="145">
        <f t="shared" si="0"/>
        <v>0.21070804273397792</v>
      </c>
      <c r="G25" s="6"/>
    </row>
    <row r="26" spans="1:7" s="4" customFormat="1" ht="15.75" customHeight="1">
      <c r="A26" s="65" t="str">
        <f>A182</f>
        <v>3.1.1. Depreciação</v>
      </c>
      <c r="B26" s="46"/>
      <c r="C26" s="47"/>
      <c r="D26" s="47"/>
      <c r="E26" s="260">
        <f>F196</f>
        <v>734.00827500000025</v>
      </c>
      <c r="F26" s="145">
        <f t="shared" si="0"/>
        <v>4.08121047208038E-2</v>
      </c>
      <c r="G26" s="6"/>
    </row>
    <row r="27" spans="1:7" s="4" customFormat="1" ht="15.75" customHeight="1">
      <c r="A27" s="65" t="str">
        <f>A198</f>
        <v>3.1.2. Remuneração do Capital</v>
      </c>
      <c r="B27" s="46"/>
      <c r="C27" s="47"/>
      <c r="D27" s="47"/>
      <c r="E27" s="260">
        <f>F212</f>
        <v>252.19908375</v>
      </c>
      <c r="F27" s="145">
        <f t="shared" si="0"/>
        <v>1.4022696701199676E-2</v>
      </c>
      <c r="G27" s="6"/>
    </row>
    <row r="28" spans="1:7" s="4" customFormat="1" ht="15.75" customHeight="1">
      <c r="A28" s="65" t="str">
        <f>A214</f>
        <v>3.1.3. Impostos e Seguros</v>
      </c>
      <c r="B28" s="46"/>
      <c r="C28" s="47"/>
      <c r="D28" s="47"/>
      <c r="E28" s="260">
        <f>F220</f>
        <v>148.125</v>
      </c>
      <c r="F28" s="145">
        <f t="shared" si="0"/>
        <v>8.2360011701081443E-3</v>
      </c>
      <c r="G28" s="6"/>
    </row>
    <row r="29" spans="1:7" s="4" customFormat="1" ht="15.75" customHeight="1">
      <c r="A29" s="65" t="str">
        <f>A222</f>
        <v>3.1.4. Consumos</v>
      </c>
      <c r="B29" s="46"/>
      <c r="C29" s="47"/>
      <c r="D29" s="47"/>
      <c r="E29" s="260">
        <f>F238</f>
        <v>1317.0192000000002</v>
      </c>
      <c r="F29" s="145">
        <f t="shared" si="0"/>
        <v>7.3228500740961308E-2</v>
      </c>
      <c r="G29" s="6"/>
    </row>
    <row r="30" spans="1:7" s="4" customFormat="1" ht="15.75" customHeight="1">
      <c r="A30" s="65" t="str">
        <f>A240</f>
        <v>3.1.5. Manutenção</v>
      </c>
      <c r="B30" s="46"/>
      <c r="C30" s="47"/>
      <c r="D30" s="47"/>
      <c r="E30" s="260">
        <f>F243</f>
        <v>1317.0192</v>
      </c>
      <c r="F30" s="145">
        <f t="shared" si="0"/>
        <v>7.3228500740961294E-2</v>
      </c>
      <c r="G30" s="6"/>
    </row>
    <row r="31" spans="1:7" s="4" customFormat="1" ht="15.75" customHeight="1">
      <c r="A31" s="65" t="str">
        <f>A245</f>
        <v>3.1.6. Pneus</v>
      </c>
      <c r="B31" s="46"/>
      <c r="C31" s="47"/>
      <c r="D31" s="47"/>
      <c r="E31" s="260">
        <f>F252</f>
        <v>21.226666666666667</v>
      </c>
      <c r="F31" s="145">
        <f t="shared" si="0"/>
        <v>1.1802386599437111E-3</v>
      </c>
      <c r="G31" s="6"/>
    </row>
    <row r="32" spans="1:7" s="11" customFormat="1" ht="15.75" customHeight="1">
      <c r="A32" s="137" t="str">
        <f>A257</f>
        <v>4. Ferramentas e Materiais de Consumo</v>
      </c>
      <c r="B32" s="138"/>
      <c r="C32" s="128"/>
      <c r="D32" s="128"/>
      <c r="E32" s="259">
        <f>+F267</f>
        <v>372</v>
      </c>
      <c r="F32" s="129">
        <f t="shared" si="0"/>
        <v>2.0683830786701975E-2</v>
      </c>
      <c r="G32" s="44"/>
    </row>
    <row r="33" spans="1:7" s="11" customFormat="1" ht="15.75" customHeight="1">
      <c r="A33" s="137" t="str">
        <f>A269</f>
        <v>5. Monitoramento da Frota</v>
      </c>
      <c r="B33" s="138"/>
      <c r="C33" s="128"/>
      <c r="D33" s="128"/>
      <c r="E33" s="259">
        <f>+F278</f>
        <v>131.25</v>
      </c>
      <c r="F33" s="129">
        <f t="shared" si="0"/>
        <v>7.2977225557920274E-3</v>
      </c>
      <c r="G33" s="44"/>
    </row>
    <row r="34" spans="1:7" s="11" customFormat="1" ht="15.75" customHeight="1" thickBot="1">
      <c r="A34" s="137" t="str">
        <f>A282</f>
        <v>6. Benefícios e Despesas Indiretas - BDI</v>
      </c>
      <c r="B34" s="138"/>
      <c r="C34" s="128"/>
      <c r="D34" s="128"/>
      <c r="E34" s="261">
        <f>+F288</f>
        <v>3093.0674731368817</v>
      </c>
      <c r="F34" s="129">
        <f t="shared" si="0"/>
        <v>0.17197979630702989</v>
      </c>
      <c r="G34" s="44"/>
    </row>
    <row r="35" spans="1:7" s="4" customFormat="1" ht="15.75" customHeight="1" thickBot="1">
      <c r="A35" s="42" t="s">
        <v>252</v>
      </c>
      <c r="B35" s="43"/>
      <c r="C35" s="26"/>
      <c r="D35" s="26"/>
      <c r="E35" s="115">
        <f>E15+E23+E24+E32+E33+E34</f>
        <v>17985.063010627888</v>
      </c>
      <c r="F35" s="144">
        <f>F15+F23+F24+F32+F33+F34</f>
        <v>1</v>
      </c>
      <c r="G35" s="6"/>
    </row>
    <row r="37" spans="1:7" ht="13.5" thickBot="1"/>
    <row r="38" spans="1:7" s="4" customFormat="1" ht="15" customHeight="1" thickBot="1">
      <c r="A38" s="333" t="s">
        <v>104</v>
      </c>
      <c r="B38" s="334"/>
      <c r="C38" s="334"/>
      <c r="D38" s="334"/>
      <c r="E38" s="335"/>
      <c r="F38" s="10"/>
      <c r="G38" s="6"/>
    </row>
    <row r="39" spans="1:7" s="4" customFormat="1" ht="15" customHeight="1" thickBot="1">
      <c r="A39" s="330" t="s">
        <v>41</v>
      </c>
      <c r="B39" s="331"/>
      <c r="C39" s="331"/>
      <c r="D39" s="332"/>
      <c r="E39" s="48" t="s">
        <v>42</v>
      </c>
      <c r="F39" s="10"/>
      <c r="G39" s="6"/>
    </row>
    <row r="40" spans="1:7" s="4" customFormat="1" ht="15" customHeight="1">
      <c r="A40" s="73" t="str">
        <f>+A54</f>
        <v>1.1. Coletor Turno Dia</v>
      </c>
      <c r="B40" s="74"/>
      <c r="C40" s="74"/>
      <c r="D40" s="75"/>
      <c r="E40" s="76">
        <v>2</v>
      </c>
      <c r="F40" s="10"/>
      <c r="G40" s="6"/>
    </row>
    <row r="41" spans="1:7" s="4" customFormat="1" ht="15" customHeight="1">
      <c r="A41" s="67" t="str">
        <f>+A67</f>
        <v>1.2. Coletor Turno Noite</v>
      </c>
      <c r="B41" s="66"/>
      <c r="C41" s="66"/>
      <c r="D41" s="77"/>
      <c r="E41" s="70">
        <f>C83</f>
        <v>0</v>
      </c>
      <c r="F41" s="10"/>
      <c r="G41" s="6"/>
    </row>
    <row r="42" spans="1:7" s="4" customFormat="1" ht="15" customHeight="1">
      <c r="A42" s="67" t="str">
        <f>+A86</f>
        <v>1.2. Motorista Turno do Dia</v>
      </c>
      <c r="B42" s="66"/>
      <c r="C42" s="66"/>
      <c r="D42" s="77"/>
      <c r="E42" s="70">
        <v>1</v>
      </c>
      <c r="F42" s="10"/>
      <c r="G42" s="6"/>
    </row>
    <row r="43" spans="1:7" s="4" customFormat="1" ht="15" customHeight="1">
      <c r="A43" s="67" t="str">
        <f>+A101</f>
        <v>1.4. Motorista Turno Noite</v>
      </c>
      <c r="B43" s="66"/>
      <c r="C43" s="66"/>
      <c r="D43" s="77"/>
      <c r="E43" s="70">
        <f>C119</f>
        <v>0</v>
      </c>
      <c r="F43" s="10"/>
      <c r="G43" s="6"/>
    </row>
    <row r="44" spans="1:7" s="4" customFormat="1" ht="15" customHeight="1" thickBot="1">
      <c r="A44" s="71" t="s">
        <v>61</v>
      </c>
      <c r="B44" s="72"/>
      <c r="C44" s="72"/>
      <c r="D44" s="78"/>
      <c r="E44" s="79">
        <f>SUM(E40:E43)</f>
        <v>3</v>
      </c>
      <c r="F44" s="10"/>
      <c r="G44" s="6"/>
    </row>
    <row r="45" spans="1:7" s="4" customFormat="1" ht="15" customHeight="1" thickBot="1">
      <c r="A45" s="130"/>
      <c r="B45" s="131"/>
      <c r="C45" s="59"/>
      <c r="D45" s="59"/>
      <c r="E45" s="132"/>
      <c r="F45" s="10"/>
      <c r="G45" s="6"/>
    </row>
    <row r="46" spans="1:7" s="4" customFormat="1" ht="15" customHeight="1">
      <c r="A46" s="320" t="s">
        <v>58</v>
      </c>
      <c r="B46" s="321"/>
      <c r="C46" s="321"/>
      <c r="D46" s="321"/>
      <c r="E46" s="48" t="s">
        <v>42</v>
      </c>
      <c r="F46" s="9"/>
      <c r="G46" s="6"/>
    </row>
    <row r="47" spans="1:7" s="4" customFormat="1" ht="15" customHeight="1" thickBot="1">
      <c r="A47" s="133" t="str">
        <f>+A180</f>
        <v>3.1. Veículo Coletor Compactador xx m³</v>
      </c>
      <c r="B47" s="134"/>
      <c r="C47" s="134"/>
      <c r="D47" s="135"/>
      <c r="E47" s="136">
        <v>1</v>
      </c>
      <c r="F47" s="9"/>
      <c r="G47" s="6"/>
    </row>
    <row r="48" spans="1:7" s="4" customFormat="1" ht="15" customHeight="1">
      <c r="A48" s="59"/>
      <c r="B48" s="59"/>
      <c r="C48" s="59"/>
      <c r="D48" s="54"/>
      <c r="E48" s="252"/>
      <c r="F48" s="9"/>
      <c r="G48" s="6"/>
    </row>
    <row r="49" spans="1:7" s="4" customFormat="1" ht="13.5" thickBot="1">
      <c r="A49" s="59"/>
      <c r="B49" s="59"/>
      <c r="C49" s="59"/>
      <c r="D49" s="54"/>
      <c r="E49" s="68"/>
      <c r="F49" s="9"/>
      <c r="G49" s="6"/>
    </row>
    <row r="50" spans="1:7" s="11" customFormat="1" ht="15.75" customHeight="1" thickBot="1">
      <c r="A50" s="263" t="s">
        <v>207</v>
      </c>
      <c r="B50" s="264"/>
      <c r="C50" s="35"/>
      <c r="D50" s="34"/>
      <c r="E50" s="157"/>
      <c r="G50" s="44"/>
    </row>
    <row r="51" spans="1:7" s="4" customFormat="1" ht="15.75" customHeight="1">
      <c r="A51" s="59"/>
      <c r="B51" s="59"/>
      <c r="C51" s="59"/>
      <c r="D51" s="54"/>
      <c r="E51" s="68"/>
      <c r="F51" s="9"/>
      <c r="G51" s="6"/>
    </row>
    <row r="52" spans="1:7" ht="13.15" customHeight="1">
      <c r="A52" s="11" t="s">
        <v>49</v>
      </c>
    </row>
    <row r="53" spans="1:7" ht="11.25" customHeight="1"/>
    <row r="54" spans="1:7" ht="13.9" customHeight="1" thickBot="1">
      <c r="A54" s="9" t="s">
        <v>107</v>
      </c>
    </row>
    <row r="55" spans="1:7" ht="13.9" customHeight="1" thickBot="1">
      <c r="A55" s="60" t="s">
        <v>66</v>
      </c>
      <c r="B55" s="61" t="s">
        <v>67</v>
      </c>
      <c r="C55" s="61" t="s">
        <v>42</v>
      </c>
      <c r="D55" s="62" t="s">
        <v>248</v>
      </c>
      <c r="E55" s="62" t="s">
        <v>68</v>
      </c>
      <c r="F55" s="63" t="s">
        <v>69</v>
      </c>
    </row>
    <row r="56" spans="1:7" ht="13.15" customHeight="1">
      <c r="A56" s="13" t="s">
        <v>224</v>
      </c>
      <c r="B56" s="14" t="s">
        <v>8</v>
      </c>
      <c r="C56" s="14">
        <v>1</v>
      </c>
      <c r="D56" s="87">
        <v>1687.48</v>
      </c>
      <c r="E56" s="15">
        <f>C56*D56</f>
        <v>1687.48</v>
      </c>
    </row>
    <row r="57" spans="1:7">
      <c r="A57" s="16" t="s">
        <v>36</v>
      </c>
      <c r="B57" s="17" t="s">
        <v>0</v>
      </c>
      <c r="C57" s="88"/>
      <c r="D57" s="18">
        <f>D56/220*2</f>
        <v>15.340727272727273</v>
      </c>
      <c r="E57" s="18">
        <f>C57*D57</f>
        <v>0</v>
      </c>
      <c r="G57" s="10" t="s">
        <v>263</v>
      </c>
    </row>
    <row r="58" spans="1:7" ht="13.15" customHeight="1">
      <c r="A58" s="16" t="s">
        <v>37</v>
      </c>
      <c r="B58" s="17" t="s">
        <v>0</v>
      </c>
      <c r="C58" s="88"/>
      <c r="D58" s="18">
        <f>D56/220*1.5</f>
        <v>11.505545454545455</v>
      </c>
      <c r="E58" s="18">
        <f>C58*D58</f>
        <v>0</v>
      </c>
      <c r="G58" s="10" t="s">
        <v>265</v>
      </c>
    </row>
    <row r="59" spans="1:7" ht="13.15" customHeight="1">
      <c r="A59" s="16" t="s">
        <v>228</v>
      </c>
      <c r="B59" s="17" t="s">
        <v>35</v>
      </c>
      <c r="D59" s="18">
        <f>63/302*(SUM(E57:E58))</f>
        <v>0</v>
      </c>
      <c r="E59" s="18">
        <f>D59</f>
        <v>0</v>
      </c>
      <c r="G59" s="10" t="s">
        <v>227</v>
      </c>
    </row>
    <row r="60" spans="1:7">
      <c r="A60" s="16" t="s">
        <v>1</v>
      </c>
      <c r="B60" s="17" t="s">
        <v>2</v>
      </c>
      <c r="C60" s="317">
        <v>0.4</v>
      </c>
      <c r="D60" s="83">
        <f>SUM(E56:E59)</f>
        <v>1687.48</v>
      </c>
      <c r="E60" s="18">
        <f>C60*D60</f>
        <v>674.99200000000008</v>
      </c>
    </row>
    <row r="61" spans="1:7">
      <c r="A61" s="117" t="s">
        <v>3</v>
      </c>
      <c r="B61" s="118"/>
      <c r="C61" s="118"/>
      <c r="D61" s="119"/>
      <c r="E61" s="120">
        <f>SUM(E56:E60)</f>
        <v>2362.4720000000002</v>
      </c>
    </row>
    <row r="62" spans="1:7">
      <c r="A62" s="16" t="s">
        <v>4</v>
      </c>
      <c r="B62" s="17" t="s">
        <v>2</v>
      </c>
      <c r="C62" s="318">
        <f>'2.Encargos Sociais'!$C$37*100</f>
        <v>71.496604444444458</v>
      </c>
      <c r="D62" s="18">
        <f>E61</f>
        <v>2362.4720000000002</v>
      </c>
      <c r="E62" s="18">
        <f>D62*C62/100</f>
        <v>1689.087260950756</v>
      </c>
    </row>
    <row r="63" spans="1:7">
      <c r="A63" s="117" t="s">
        <v>76</v>
      </c>
      <c r="B63" s="118"/>
      <c r="C63" s="118"/>
      <c r="D63" s="119"/>
      <c r="E63" s="120">
        <f>E61+E62</f>
        <v>4051.5592609507562</v>
      </c>
    </row>
    <row r="64" spans="1:7" ht="13.5" thickBot="1">
      <c r="A64" s="16" t="s">
        <v>5</v>
      </c>
      <c r="B64" s="17" t="s">
        <v>6</v>
      </c>
      <c r="C64" s="86">
        <v>2</v>
      </c>
      <c r="D64" s="18">
        <f>E63</f>
        <v>4051.5592609507562</v>
      </c>
      <c r="E64" s="18">
        <f>C64*D64</f>
        <v>8103.1185219015124</v>
      </c>
      <c r="G64" s="6"/>
    </row>
    <row r="65" spans="1:7" ht="13.9" customHeight="1" thickBot="1">
      <c r="D65" s="124" t="s">
        <v>206</v>
      </c>
      <c r="E65" s="50">
        <v>0.75</v>
      </c>
      <c r="F65" s="125">
        <f>E64*E65</f>
        <v>6077.3388914261341</v>
      </c>
      <c r="G65" s="6"/>
    </row>
    <row r="66" spans="1:7" ht="11.25" customHeight="1"/>
    <row r="67" spans="1:7" ht="13.5" hidden="1" thickBot="1">
      <c r="A67" s="9" t="s">
        <v>95</v>
      </c>
    </row>
    <row r="68" spans="1:7" ht="13.5" hidden="1" thickBot="1">
      <c r="A68" s="60" t="s">
        <v>66</v>
      </c>
      <c r="B68" s="61" t="s">
        <v>67</v>
      </c>
      <c r="C68" s="61" t="s">
        <v>42</v>
      </c>
      <c r="D68" s="62" t="s">
        <v>248</v>
      </c>
      <c r="E68" s="62" t="s">
        <v>68</v>
      </c>
      <c r="F68" s="63" t="s">
        <v>69</v>
      </c>
    </row>
    <row r="69" spans="1:7" hidden="1">
      <c r="A69" s="13" t="s">
        <v>224</v>
      </c>
      <c r="B69" s="14" t="s">
        <v>8</v>
      </c>
      <c r="C69" s="14">
        <v>1</v>
      </c>
      <c r="D69" s="15">
        <v>0</v>
      </c>
      <c r="E69" s="15">
        <f>C69*D69</f>
        <v>0</v>
      </c>
    </row>
    <row r="70" spans="1:7" hidden="1">
      <c r="A70" s="16" t="s">
        <v>7</v>
      </c>
      <c r="B70" s="17" t="s">
        <v>105</v>
      </c>
      <c r="C70" s="88"/>
      <c r="D70" s="18"/>
      <c r="E70" s="18"/>
    </row>
    <row r="71" spans="1:7" hidden="1">
      <c r="A71" s="16"/>
      <c r="B71" s="17" t="s">
        <v>109</v>
      </c>
      <c r="C71" s="121">
        <f>C70*8/7</f>
        <v>0</v>
      </c>
      <c r="D71" s="18">
        <f>D69/220*0.2</f>
        <v>0</v>
      </c>
      <c r="E71" s="18">
        <f>C71*D71</f>
        <v>0</v>
      </c>
    </row>
    <row r="72" spans="1:7" hidden="1">
      <c r="A72" s="16" t="s">
        <v>36</v>
      </c>
      <c r="B72" s="17" t="s">
        <v>0</v>
      </c>
      <c r="C72" s="88"/>
      <c r="D72" s="18">
        <f>D69/220*2</f>
        <v>0</v>
      </c>
      <c r="E72" s="18">
        <f>C72*D72</f>
        <v>0</v>
      </c>
      <c r="G72" s="10" t="s">
        <v>263</v>
      </c>
    </row>
    <row r="73" spans="1:7" hidden="1">
      <c r="A73" s="16" t="s">
        <v>106</v>
      </c>
      <c r="B73" s="17" t="s">
        <v>105</v>
      </c>
      <c r="C73" s="88"/>
      <c r="D73" s="18"/>
      <c r="E73" s="18"/>
      <c r="G73" s="10" t="s">
        <v>264</v>
      </c>
    </row>
    <row r="74" spans="1:7" hidden="1">
      <c r="A74" s="16"/>
      <c r="B74" s="17" t="s">
        <v>109</v>
      </c>
      <c r="C74" s="121">
        <f>C73*8/7</f>
        <v>0</v>
      </c>
      <c r="D74" s="18">
        <f>D69/220*2*1.2</f>
        <v>0</v>
      </c>
      <c r="E74" s="18">
        <f>C74*D74</f>
        <v>0</v>
      </c>
      <c r="G74" s="10" t="s">
        <v>264</v>
      </c>
    </row>
    <row r="75" spans="1:7" hidden="1">
      <c r="A75" s="16" t="s">
        <v>37</v>
      </c>
      <c r="B75" s="17" t="s">
        <v>0</v>
      </c>
      <c r="C75" s="88"/>
      <c r="D75" s="18">
        <f>D69/220*1.5</f>
        <v>0</v>
      </c>
      <c r="E75" s="18">
        <f>C75*D75</f>
        <v>0</v>
      </c>
      <c r="G75" s="10" t="s">
        <v>265</v>
      </c>
    </row>
    <row r="76" spans="1:7" hidden="1">
      <c r="A76" s="16" t="s">
        <v>226</v>
      </c>
      <c r="B76" s="17" t="s">
        <v>105</v>
      </c>
      <c r="C76" s="88"/>
      <c r="D76" s="18"/>
      <c r="E76" s="18"/>
      <c r="G76" s="10" t="s">
        <v>266</v>
      </c>
    </row>
    <row r="77" spans="1:7" hidden="1">
      <c r="A77" s="16"/>
      <c r="B77" s="17" t="s">
        <v>109</v>
      </c>
      <c r="C77" s="18">
        <f>C76*8/7</f>
        <v>0</v>
      </c>
      <c r="D77" s="18">
        <f>D69/220*1.5*1.2</f>
        <v>0</v>
      </c>
      <c r="E77" s="18">
        <f>C77*D77</f>
        <v>0</v>
      </c>
      <c r="G77" s="10" t="s">
        <v>266</v>
      </c>
    </row>
    <row r="78" spans="1:7" ht="13.15" hidden="1" customHeight="1">
      <c r="A78" s="16" t="s">
        <v>228</v>
      </c>
      <c r="B78" s="17" t="s">
        <v>35</v>
      </c>
      <c r="D78" s="18">
        <f>63/302*(SUM(E72:E77))</f>
        <v>0</v>
      </c>
      <c r="E78" s="18">
        <f>D78</f>
        <v>0</v>
      </c>
      <c r="G78" s="10" t="s">
        <v>227</v>
      </c>
    </row>
    <row r="79" spans="1:7" hidden="1">
      <c r="A79" s="16" t="s">
        <v>1</v>
      </c>
      <c r="B79" s="17" t="s">
        <v>2</v>
      </c>
      <c r="C79" s="317">
        <v>0.4</v>
      </c>
      <c r="D79" s="83">
        <f>SUM(E69:E78)</f>
        <v>0</v>
      </c>
      <c r="E79" s="18">
        <f>C79*D79/100</f>
        <v>0</v>
      </c>
    </row>
    <row r="80" spans="1:7" hidden="1">
      <c r="A80" s="117" t="s">
        <v>3</v>
      </c>
      <c r="B80" s="118"/>
      <c r="C80" s="118"/>
      <c r="D80" s="119"/>
      <c r="E80" s="120">
        <f>SUM(E69:E79)</f>
        <v>0</v>
      </c>
    </row>
    <row r="81" spans="1:7" hidden="1">
      <c r="A81" s="16" t="s">
        <v>4</v>
      </c>
      <c r="B81" s="17" t="s">
        <v>2</v>
      </c>
      <c r="C81" s="142">
        <f>'2.Encargos Sociais'!$C$37*100</f>
        <v>71.496604444444458</v>
      </c>
      <c r="D81" s="18">
        <f>E80</f>
        <v>0</v>
      </c>
      <c r="E81" s="18">
        <f>D81*C81/100</f>
        <v>0</v>
      </c>
    </row>
    <row r="82" spans="1:7" hidden="1">
      <c r="A82" s="117" t="s">
        <v>76</v>
      </c>
      <c r="B82" s="118"/>
      <c r="C82" s="118"/>
      <c r="D82" s="119"/>
      <c r="E82" s="120">
        <f>E80+E81</f>
        <v>0</v>
      </c>
    </row>
    <row r="83" spans="1:7" ht="13.5" hidden="1" thickBot="1">
      <c r="A83" s="16" t="s">
        <v>5</v>
      </c>
      <c r="B83" s="17" t="s">
        <v>6</v>
      </c>
      <c r="C83" s="86"/>
      <c r="D83" s="18">
        <f>E82</f>
        <v>0</v>
      </c>
      <c r="E83" s="18">
        <f>C83*D83</f>
        <v>0</v>
      </c>
    </row>
    <row r="84" spans="1:7" ht="13.5" hidden="1" thickBot="1">
      <c r="D84" s="124" t="s">
        <v>206</v>
      </c>
      <c r="E84" s="50">
        <f>$B$50</f>
        <v>0</v>
      </c>
      <c r="F84" s="125">
        <f>E83*E84</f>
        <v>0</v>
      </c>
    </row>
    <row r="85" spans="1:7" ht="11.25" hidden="1" customHeight="1"/>
    <row r="86" spans="1:7" ht="13.5" thickBot="1">
      <c r="A86" s="7" t="s">
        <v>317</v>
      </c>
    </row>
    <row r="87" spans="1:7" s="12" customFormat="1" ht="13.15" customHeight="1" thickBot="1">
      <c r="A87" s="60" t="s">
        <v>66</v>
      </c>
      <c r="B87" s="61" t="s">
        <v>67</v>
      </c>
      <c r="C87" s="61" t="s">
        <v>42</v>
      </c>
      <c r="D87" s="62" t="s">
        <v>248</v>
      </c>
      <c r="E87" s="62" t="s">
        <v>68</v>
      </c>
      <c r="F87" s="63" t="s">
        <v>69</v>
      </c>
      <c r="G87" s="10"/>
    </row>
    <row r="88" spans="1:7">
      <c r="A88" s="310" t="s">
        <v>305</v>
      </c>
      <c r="B88" s="14" t="s">
        <v>8</v>
      </c>
      <c r="C88" s="14">
        <v>1</v>
      </c>
      <c r="D88" s="87">
        <v>2156.6</v>
      </c>
      <c r="E88" s="15">
        <f>C88*D88</f>
        <v>2156.6</v>
      </c>
    </row>
    <row r="89" spans="1:7">
      <c r="A89" s="310" t="s">
        <v>306</v>
      </c>
      <c r="B89" s="14" t="s">
        <v>8</v>
      </c>
      <c r="C89" s="14">
        <v>1</v>
      </c>
      <c r="D89" s="87">
        <v>1320</v>
      </c>
      <c r="E89" s="15"/>
    </row>
    <row r="90" spans="1:7">
      <c r="A90" s="16" t="s">
        <v>36</v>
      </c>
      <c r="B90" s="17" t="s">
        <v>0</v>
      </c>
      <c r="C90" s="88"/>
      <c r="D90" s="18">
        <f>D88/220*2</f>
        <v>19.605454545454545</v>
      </c>
      <c r="E90" s="18">
        <f>C90*D90</f>
        <v>0</v>
      </c>
      <c r="G90" s="10" t="s">
        <v>263</v>
      </c>
    </row>
    <row r="91" spans="1:7">
      <c r="A91" s="16" t="s">
        <v>37</v>
      </c>
      <c r="B91" s="17" t="s">
        <v>0</v>
      </c>
      <c r="C91" s="88"/>
      <c r="D91" s="18">
        <f>D88/220*1.5</f>
        <v>14.704090909090908</v>
      </c>
      <c r="E91" s="18">
        <f>C91*D91</f>
        <v>0</v>
      </c>
      <c r="G91" s="10" t="s">
        <v>265</v>
      </c>
    </row>
    <row r="92" spans="1:7" ht="13.15" customHeight="1">
      <c r="A92" s="16" t="s">
        <v>228</v>
      </c>
      <c r="B92" s="17" t="s">
        <v>35</v>
      </c>
      <c r="D92" s="18">
        <f>63/302*(SUM(E90:E91))</f>
        <v>0</v>
      </c>
      <c r="E92" s="18">
        <f>D92</f>
        <v>0</v>
      </c>
      <c r="G92" s="10" t="s">
        <v>227</v>
      </c>
    </row>
    <row r="93" spans="1:7">
      <c r="A93" s="16" t="s">
        <v>225</v>
      </c>
      <c r="B93" s="17"/>
      <c r="C93" s="316">
        <v>0.4</v>
      </c>
      <c r="D93" s="18">
        <f>D89</f>
        <v>1320</v>
      </c>
      <c r="E93" s="18">
        <f>D93*C93</f>
        <v>528</v>
      </c>
    </row>
    <row r="94" spans="1:7">
      <c r="A94" s="16" t="s">
        <v>1</v>
      </c>
      <c r="B94" s="17" t="s">
        <v>2</v>
      </c>
      <c r="C94" s="86"/>
      <c r="D94" s="83">
        <f>IF(C93=2,SUM(E88:E92),IF(C93=1,(SUM(E88:E92))*D89/D88,0))</f>
        <v>0</v>
      </c>
      <c r="E94" s="18">
        <f>C94*D94/100</f>
        <v>0</v>
      </c>
    </row>
    <row r="95" spans="1:7" s="11" customFormat="1">
      <c r="A95" s="103" t="s">
        <v>3</v>
      </c>
      <c r="B95" s="118"/>
      <c r="C95" s="118"/>
      <c r="D95" s="119"/>
      <c r="E95" s="105">
        <f>SUM(E88:E94)</f>
        <v>2684.6</v>
      </c>
      <c r="F95" s="44"/>
      <c r="G95" s="44"/>
    </row>
    <row r="96" spans="1:7">
      <c r="A96" s="16" t="s">
        <v>4</v>
      </c>
      <c r="B96" s="17" t="s">
        <v>2</v>
      </c>
      <c r="C96" s="142">
        <f>'2.Encargos Sociais'!$C$37*100</f>
        <v>71.496604444444458</v>
      </c>
      <c r="D96" s="18">
        <f>E95</f>
        <v>2684.6</v>
      </c>
      <c r="E96" s="18">
        <f>D96*C96/100</f>
        <v>1919.3978429155559</v>
      </c>
    </row>
    <row r="97" spans="1:7" s="11" customFormat="1">
      <c r="A97" s="103" t="s">
        <v>267</v>
      </c>
      <c r="B97" s="270"/>
      <c r="C97" s="270"/>
      <c r="D97" s="271"/>
      <c r="E97" s="105">
        <f>E95+E96</f>
        <v>4603.9978429155562</v>
      </c>
      <c r="F97" s="44"/>
      <c r="G97" s="44"/>
    </row>
    <row r="98" spans="1:7" ht="13.5" thickBot="1">
      <c r="A98" s="16" t="s">
        <v>5</v>
      </c>
      <c r="B98" s="17" t="s">
        <v>6</v>
      </c>
      <c r="C98" s="86">
        <v>1</v>
      </c>
      <c r="D98" s="18">
        <f>E97</f>
        <v>4603.9978429155562</v>
      </c>
      <c r="E98" s="18">
        <f>C98*D98</f>
        <v>4603.9978429155562</v>
      </c>
    </row>
    <row r="99" spans="1:7" ht="13.5" thickBot="1">
      <c r="D99" s="124" t="s">
        <v>206</v>
      </c>
      <c r="E99" s="50">
        <v>0.75</v>
      </c>
      <c r="F99" s="125">
        <f>E98*E99</f>
        <v>3452.9983821866672</v>
      </c>
    </row>
    <row r="100" spans="1:7" ht="11.25" customHeight="1"/>
    <row r="101" spans="1:7" ht="13.5" hidden="1" thickBot="1">
      <c r="A101" s="9" t="s">
        <v>108</v>
      </c>
    </row>
    <row r="102" spans="1:7" ht="13.5" hidden="1" thickBot="1">
      <c r="A102" s="60" t="s">
        <v>66</v>
      </c>
      <c r="B102" s="61" t="s">
        <v>67</v>
      </c>
      <c r="C102" s="61" t="s">
        <v>42</v>
      </c>
      <c r="D102" s="62" t="s">
        <v>248</v>
      </c>
      <c r="E102" s="62" t="s">
        <v>68</v>
      </c>
      <c r="F102" s="63" t="s">
        <v>69</v>
      </c>
    </row>
    <row r="103" spans="1:7" hidden="1">
      <c r="A103" s="310" t="s">
        <v>305</v>
      </c>
      <c r="B103" s="14" t="s">
        <v>8</v>
      </c>
      <c r="C103" s="14">
        <v>1</v>
      </c>
      <c r="D103" s="15">
        <v>0</v>
      </c>
      <c r="E103" s="15">
        <f>C103*D103</f>
        <v>0</v>
      </c>
    </row>
    <row r="104" spans="1:7" hidden="1">
      <c r="A104" s="310" t="s">
        <v>306</v>
      </c>
      <c r="B104" s="14" t="s">
        <v>8</v>
      </c>
      <c r="C104" s="14">
        <v>1</v>
      </c>
      <c r="D104" s="18">
        <f>D89</f>
        <v>1320</v>
      </c>
      <c r="E104" s="18"/>
    </row>
    <row r="105" spans="1:7" hidden="1">
      <c r="A105" s="16" t="s">
        <v>7</v>
      </c>
      <c r="B105" s="17" t="s">
        <v>105</v>
      </c>
      <c r="C105" s="88"/>
      <c r="D105" s="16"/>
      <c r="E105" s="16"/>
    </row>
    <row r="106" spans="1:7" hidden="1">
      <c r="A106" s="16"/>
      <c r="B106" s="17" t="s">
        <v>109</v>
      </c>
      <c r="C106" s="18">
        <f>C105*8/7</f>
        <v>0</v>
      </c>
      <c r="D106" s="18">
        <f>D103/220*0.2</f>
        <v>0</v>
      </c>
      <c r="E106" s="18">
        <f>C106*D106</f>
        <v>0</v>
      </c>
    </row>
    <row r="107" spans="1:7" hidden="1">
      <c r="A107" s="16" t="s">
        <v>36</v>
      </c>
      <c r="B107" s="17" t="s">
        <v>0</v>
      </c>
      <c r="C107" s="88"/>
      <c r="D107" s="18">
        <f>D103/220*2</f>
        <v>0</v>
      </c>
      <c r="E107" s="18">
        <f>C107*D107</f>
        <v>0</v>
      </c>
      <c r="G107" s="10" t="s">
        <v>263</v>
      </c>
    </row>
    <row r="108" spans="1:7" hidden="1">
      <c r="A108" s="16" t="s">
        <v>106</v>
      </c>
      <c r="B108" s="17" t="s">
        <v>105</v>
      </c>
      <c r="C108" s="88"/>
      <c r="D108" s="18"/>
      <c r="E108" s="18"/>
      <c r="G108" s="10" t="s">
        <v>264</v>
      </c>
    </row>
    <row r="109" spans="1:7" hidden="1">
      <c r="A109" s="16"/>
      <c r="B109" s="17" t="s">
        <v>109</v>
      </c>
      <c r="C109" s="18">
        <f>C108*8/7</f>
        <v>0</v>
      </c>
      <c r="D109" s="18">
        <f>D103/220*2*1.2</f>
        <v>0</v>
      </c>
      <c r="E109" s="18">
        <f>C109*D109</f>
        <v>0</v>
      </c>
      <c r="G109" s="10" t="s">
        <v>264</v>
      </c>
    </row>
    <row r="110" spans="1:7" hidden="1">
      <c r="A110" s="16" t="s">
        <v>37</v>
      </c>
      <c r="B110" s="17" t="s">
        <v>0</v>
      </c>
      <c r="C110" s="88"/>
      <c r="D110" s="18">
        <f>D103/220*1.5</f>
        <v>0</v>
      </c>
      <c r="E110" s="18">
        <f>C110*D110</f>
        <v>0</v>
      </c>
      <c r="G110" s="10" t="s">
        <v>265</v>
      </c>
    </row>
    <row r="111" spans="1:7" hidden="1">
      <c r="A111" s="16" t="s">
        <v>226</v>
      </c>
      <c r="B111" s="17" t="s">
        <v>105</v>
      </c>
      <c r="C111" s="88"/>
      <c r="D111" s="18"/>
      <c r="E111" s="18"/>
      <c r="G111" s="10" t="s">
        <v>266</v>
      </c>
    </row>
    <row r="112" spans="1:7" hidden="1">
      <c r="A112" s="16"/>
      <c r="B112" s="17" t="s">
        <v>109</v>
      </c>
      <c r="C112" s="18">
        <f>C111*8/7</f>
        <v>0</v>
      </c>
      <c r="D112" s="18">
        <f>D103/220*1.5*1.2</f>
        <v>0</v>
      </c>
      <c r="E112" s="18">
        <f>C112*D112</f>
        <v>0</v>
      </c>
      <c r="G112" s="10" t="s">
        <v>266</v>
      </c>
    </row>
    <row r="113" spans="1:7" ht="13.15" hidden="1" customHeight="1">
      <c r="A113" s="16" t="s">
        <v>228</v>
      </c>
      <c r="B113" s="17" t="s">
        <v>35</v>
      </c>
      <c r="D113" s="18">
        <f>63/302*(SUM(E107:E112))</f>
        <v>0</v>
      </c>
      <c r="E113" s="18">
        <f>D113</f>
        <v>0</v>
      </c>
      <c r="G113" s="10" t="s">
        <v>227</v>
      </c>
    </row>
    <row r="114" spans="1:7" hidden="1">
      <c r="A114" s="16" t="s">
        <v>225</v>
      </c>
      <c r="B114" s="17"/>
      <c r="C114" s="90"/>
      <c r="D114" s="18"/>
      <c r="E114" s="18"/>
    </row>
    <row r="115" spans="1:7" hidden="1">
      <c r="A115" s="16" t="s">
        <v>1</v>
      </c>
      <c r="B115" s="17" t="s">
        <v>2</v>
      </c>
      <c r="C115" s="83">
        <f>+C94</f>
        <v>0</v>
      </c>
      <c r="D115" s="83">
        <f>IF(C114=2,SUM(E103:E113),IF(C114=1,SUM(E103:E113)*D104/D103,0))</f>
        <v>0</v>
      </c>
      <c r="E115" s="18">
        <f>C115*D115/100</f>
        <v>0</v>
      </c>
    </row>
    <row r="116" spans="1:7" s="11" customFormat="1" hidden="1">
      <c r="A116" s="117" t="s">
        <v>3</v>
      </c>
      <c r="B116" s="118"/>
      <c r="C116" s="118"/>
      <c r="D116" s="119"/>
      <c r="E116" s="120">
        <f>SUM(E103:E115)</f>
        <v>0</v>
      </c>
      <c r="F116" s="44"/>
      <c r="G116" s="44"/>
    </row>
    <row r="117" spans="1:7" hidden="1">
      <c r="A117" s="16" t="s">
        <v>4</v>
      </c>
      <c r="B117" s="17" t="s">
        <v>2</v>
      </c>
      <c r="C117" s="142">
        <f>'2.Encargos Sociais'!$C$37*100</f>
        <v>71.496604444444458</v>
      </c>
      <c r="D117" s="18">
        <f>E116</f>
        <v>0</v>
      </c>
      <c r="E117" s="18">
        <f>D117*C117/100</f>
        <v>0</v>
      </c>
    </row>
    <row r="118" spans="1:7" s="11" customFormat="1" hidden="1">
      <c r="A118" s="117" t="s">
        <v>267</v>
      </c>
      <c r="B118" s="118"/>
      <c r="C118" s="118"/>
      <c r="D118" s="119"/>
      <c r="E118" s="120">
        <f>E116+E117</f>
        <v>0</v>
      </c>
      <c r="F118" s="44"/>
      <c r="G118" s="44"/>
    </row>
    <row r="119" spans="1:7" ht="13.5" hidden="1" thickBot="1">
      <c r="A119" s="16" t="s">
        <v>5</v>
      </c>
      <c r="B119" s="17" t="s">
        <v>6</v>
      </c>
      <c r="C119" s="86"/>
      <c r="D119" s="18">
        <f>E118</f>
        <v>0</v>
      </c>
      <c r="E119" s="18">
        <f>C119*D119</f>
        <v>0</v>
      </c>
    </row>
    <row r="120" spans="1:7" ht="13.5" hidden="1" thickBot="1">
      <c r="D120" s="124" t="s">
        <v>206</v>
      </c>
      <c r="E120" s="50">
        <f>$B$50</f>
        <v>0</v>
      </c>
      <c r="F120" s="125">
        <f>E119*E120</f>
        <v>0</v>
      </c>
    </row>
    <row r="121" spans="1:7" ht="11.25" hidden="1" customHeight="1">
      <c r="G121" s="9"/>
    </row>
    <row r="122" spans="1:7" ht="13.5" thickBot="1">
      <c r="A122" s="9" t="s">
        <v>110</v>
      </c>
      <c r="B122" s="93"/>
      <c r="D122" s="9"/>
      <c r="E122" s="9"/>
      <c r="G122" s="9"/>
    </row>
    <row r="123" spans="1:7" ht="13.5" thickBot="1">
      <c r="A123" s="60" t="s">
        <v>66</v>
      </c>
      <c r="B123" s="61" t="s">
        <v>67</v>
      </c>
      <c r="C123" s="61" t="s">
        <v>42</v>
      </c>
      <c r="D123" s="62" t="s">
        <v>248</v>
      </c>
      <c r="E123" s="62" t="s">
        <v>68</v>
      </c>
      <c r="F123" s="63" t="s">
        <v>69</v>
      </c>
      <c r="G123" s="9"/>
    </row>
    <row r="124" spans="1:7">
      <c r="A124" s="16" t="s">
        <v>96</v>
      </c>
      <c r="B124" s="17" t="s">
        <v>35</v>
      </c>
      <c r="C124" s="94">
        <v>1</v>
      </c>
      <c r="D124" s="92">
        <v>3.85</v>
      </c>
      <c r="E124" s="18"/>
      <c r="G124" s="9"/>
    </row>
    <row r="125" spans="1:7">
      <c r="A125" s="16" t="s">
        <v>97</v>
      </c>
      <c r="B125" s="17" t="s">
        <v>98</v>
      </c>
      <c r="C125" s="91">
        <v>12</v>
      </c>
      <c r="D125" s="18"/>
      <c r="E125" s="18"/>
      <c r="G125" s="9"/>
    </row>
    <row r="126" spans="1:7">
      <c r="A126" s="16" t="s">
        <v>77</v>
      </c>
      <c r="B126" s="17" t="s">
        <v>9</v>
      </c>
      <c r="C126" s="37">
        <f>$C$125*2*(C64+C83)</f>
        <v>48</v>
      </c>
      <c r="D126" s="15">
        <f>IFERROR((($C$125*2*$D$124)-(E56*0.06*C125/26))/($C$125*2),"-")</f>
        <v>1.9029076923076926</v>
      </c>
      <c r="E126" s="18">
        <f>IFERROR(C126*D126,"-")</f>
        <v>91.339569230769243</v>
      </c>
      <c r="G126" s="9"/>
    </row>
    <row r="127" spans="1:7" ht="13.5" thickBot="1">
      <c r="A127" s="13" t="s">
        <v>46</v>
      </c>
      <c r="B127" s="14" t="s">
        <v>9</v>
      </c>
      <c r="C127" s="37">
        <f>$C$125*2*(C98+C119)</f>
        <v>24</v>
      </c>
      <c r="D127" s="15">
        <f>IFERROR((($C$125*2*$D$124)-(E88*0.06*C125/26))/($C$125*2),"-")</f>
        <v>1.3616153846153851</v>
      </c>
      <c r="E127" s="15">
        <f>IFERROR(C127*D127,"-")</f>
        <v>32.678769230769241</v>
      </c>
      <c r="G127" s="9"/>
    </row>
    <row r="128" spans="1:7" ht="13.5" thickBot="1">
      <c r="F128" s="22">
        <f>SUM(E126:E127)</f>
        <v>124.01833846153849</v>
      </c>
      <c r="G128" s="9"/>
    </row>
    <row r="129" spans="1:7" ht="11.25" customHeight="1">
      <c r="G129" s="9"/>
    </row>
    <row r="130" spans="1:7" ht="13.5" thickBot="1">
      <c r="A130" s="9" t="s">
        <v>133</v>
      </c>
      <c r="F130" s="23"/>
      <c r="G130" s="9"/>
    </row>
    <row r="131" spans="1:7" ht="13.5" thickBot="1">
      <c r="A131" s="60" t="s">
        <v>66</v>
      </c>
      <c r="B131" s="61" t="s">
        <v>67</v>
      </c>
      <c r="C131" s="61" t="s">
        <v>42</v>
      </c>
      <c r="D131" s="62" t="s">
        <v>248</v>
      </c>
      <c r="E131" s="62" t="s">
        <v>68</v>
      </c>
      <c r="F131" s="63" t="s">
        <v>69</v>
      </c>
      <c r="G131" s="9"/>
    </row>
    <row r="132" spans="1:7">
      <c r="A132" s="16" t="str">
        <f>+A126</f>
        <v>Coletor</v>
      </c>
      <c r="B132" s="17" t="s">
        <v>10</v>
      </c>
      <c r="C132" s="102">
        <f>C125*(E40+E41)</f>
        <v>24</v>
      </c>
      <c r="D132" s="95">
        <v>22</v>
      </c>
      <c r="E132" s="50">
        <f>C132*D132</f>
        <v>528</v>
      </c>
      <c r="F132" s="23"/>
      <c r="G132" s="9"/>
    </row>
    <row r="133" spans="1:7" ht="13.5" thickBot="1">
      <c r="A133" s="16" t="str">
        <f>+A127</f>
        <v>Motorista</v>
      </c>
      <c r="B133" s="17" t="s">
        <v>10</v>
      </c>
      <c r="C133" s="102">
        <f>C125*(E42+E43)</f>
        <v>12</v>
      </c>
      <c r="D133" s="95">
        <v>14.73</v>
      </c>
      <c r="E133" s="50">
        <f>C133*D133</f>
        <v>176.76</v>
      </c>
      <c r="F133" s="23"/>
      <c r="G133" s="9"/>
    </row>
    <row r="134" spans="1:7" ht="13.5" thickBot="1">
      <c r="F134" s="22">
        <f>SUM(E132:E133)</f>
        <v>704.76</v>
      </c>
      <c r="G134" s="9"/>
    </row>
    <row r="135" spans="1:7">
      <c r="G135" s="9"/>
    </row>
    <row r="136" spans="1:7" ht="13.5" thickBot="1">
      <c r="A136" s="9" t="s">
        <v>134</v>
      </c>
      <c r="F136" s="23"/>
      <c r="G136" s="9"/>
    </row>
    <row r="137" spans="1:7" ht="13.5" thickBot="1">
      <c r="A137" s="60" t="s">
        <v>66</v>
      </c>
      <c r="B137" s="61" t="s">
        <v>67</v>
      </c>
      <c r="C137" s="61" t="s">
        <v>42</v>
      </c>
      <c r="D137" s="62" t="s">
        <v>248</v>
      </c>
      <c r="E137" s="62" t="s">
        <v>68</v>
      </c>
      <c r="F137" s="63" t="s">
        <v>69</v>
      </c>
      <c r="G137" s="9"/>
    </row>
    <row r="138" spans="1:7">
      <c r="A138" s="16" t="str">
        <f>+A132</f>
        <v>Coletor</v>
      </c>
      <c r="B138" s="17" t="s">
        <v>10</v>
      </c>
      <c r="C138" s="102">
        <f>E40+E41</f>
        <v>2</v>
      </c>
      <c r="D138" s="95">
        <v>0</v>
      </c>
      <c r="E138" s="50">
        <f>C138*D138</f>
        <v>0</v>
      </c>
      <c r="F138" s="23"/>
      <c r="G138" s="9"/>
    </row>
    <row r="139" spans="1:7" ht="13.5" thickBot="1">
      <c r="A139" s="16" t="str">
        <f>+A133</f>
        <v>Motorista</v>
      </c>
      <c r="B139" s="17" t="s">
        <v>10</v>
      </c>
      <c r="C139" s="102">
        <f>E42+E43</f>
        <v>1</v>
      </c>
      <c r="D139" s="95">
        <v>111.82</v>
      </c>
      <c r="E139" s="50">
        <f>C139*D139</f>
        <v>111.82</v>
      </c>
      <c r="F139" s="23"/>
      <c r="G139" s="9"/>
    </row>
    <row r="140" spans="1:7" ht="13.5" thickBot="1">
      <c r="D140" s="124" t="s">
        <v>206</v>
      </c>
      <c r="E140" s="50">
        <v>1</v>
      </c>
      <c r="F140" s="22">
        <f>SUM(E138:E139)*E140</f>
        <v>111.82</v>
      </c>
      <c r="G140" s="9"/>
    </row>
    <row r="141" spans="1:7" ht="13.5" thickBot="1">
      <c r="G141" s="9"/>
    </row>
    <row r="142" spans="1:7" ht="13.5" thickBot="1">
      <c r="A142" s="24" t="s">
        <v>99</v>
      </c>
      <c r="B142" s="25"/>
      <c r="C142" s="25"/>
      <c r="D142" s="26"/>
      <c r="E142" s="27"/>
      <c r="F142" s="22">
        <f>F140+F134+F128+F120+F99+F84+F65</f>
        <v>10470.93561207434</v>
      </c>
      <c r="G142" s="9"/>
    </row>
    <row r="144" spans="1:7">
      <c r="A144" s="11" t="s">
        <v>47</v>
      </c>
      <c r="G144" s="9"/>
    </row>
    <row r="145" spans="1:7" ht="11.25" customHeight="1">
      <c r="G145" s="9"/>
    </row>
    <row r="146" spans="1:7" ht="13.9" customHeight="1">
      <c r="A146" s="9" t="s">
        <v>208</v>
      </c>
      <c r="G146" s="9"/>
    </row>
    <row r="147" spans="1:7" ht="11.25" customHeight="1" thickBot="1">
      <c r="G147" s="9"/>
    </row>
    <row r="148" spans="1:7" ht="27.75" customHeight="1" thickBot="1">
      <c r="A148" s="60" t="s">
        <v>66</v>
      </c>
      <c r="B148" s="61" t="s">
        <v>67</v>
      </c>
      <c r="C148" s="272" t="s">
        <v>268</v>
      </c>
      <c r="D148" s="62" t="s">
        <v>248</v>
      </c>
      <c r="E148" s="62" t="s">
        <v>68</v>
      </c>
      <c r="F148" s="63" t="s">
        <v>69</v>
      </c>
      <c r="G148" s="9"/>
    </row>
    <row r="149" spans="1:7">
      <c r="A149" s="13" t="s">
        <v>70</v>
      </c>
      <c r="B149" s="14" t="s">
        <v>10</v>
      </c>
      <c r="C149" s="101">
        <v>12</v>
      </c>
      <c r="D149" s="87">
        <v>35</v>
      </c>
      <c r="E149" s="15">
        <f>IFERROR(D149/C149,0)</f>
        <v>2.9166666666666665</v>
      </c>
      <c r="G149" s="9"/>
    </row>
    <row r="150" spans="1:7" ht="13.15" customHeight="1">
      <c r="A150" s="16" t="s">
        <v>30</v>
      </c>
      <c r="B150" s="17" t="s">
        <v>10</v>
      </c>
      <c r="C150" s="101">
        <v>6</v>
      </c>
      <c r="D150" s="87">
        <v>32</v>
      </c>
      <c r="E150" s="15">
        <f t="shared" ref="E150:E158" si="1">IFERROR(D150/C150,0)</f>
        <v>5.333333333333333</v>
      </c>
      <c r="G150" s="9"/>
    </row>
    <row r="151" spans="1:7">
      <c r="A151" s="16" t="s">
        <v>31</v>
      </c>
      <c r="B151" s="17" t="s">
        <v>10</v>
      </c>
      <c r="C151" s="101">
        <v>6</v>
      </c>
      <c r="D151" s="87">
        <v>25</v>
      </c>
      <c r="E151" s="15">
        <f t="shared" si="1"/>
        <v>4.166666666666667</v>
      </c>
      <c r="G151" s="9"/>
    </row>
    <row r="152" spans="1:7" ht="13.15" customHeight="1">
      <c r="A152" s="16" t="s">
        <v>32</v>
      </c>
      <c r="B152" s="17" t="s">
        <v>10</v>
      </c>
      <c r="C152" s="101">
        <v>6</v>
      </c>
      <c r="D152" s="87">
        <v>10</v>
      </c>
      <c r="E152" s="15">
        <f t="shared" si="1"/>
        <v>1.6666666666666667</v>
      </c>
      <c r="G152" s="9"/>
    </row>
    <row r="153" spans="1:7" ht="13.9" customHeight="1">
      <c r="A153" s="16" t="s">
        <v>72</v>
      </c>
      <c r="B153" s="17" t="s">
        <v>50</v>
      </c>
      <c r="C153" s="101">
        <v>6</v>
      </c>
      <c r="D153" s="87">
        <v>65</v>
      </c>
      <c r="E153" s="15">
        <f t="shared" si="1"/>
        <v>10.833333333333334</v>
      </c>
      <c r="G153" s="9"/>
    </row>
    <row r="154" spans="1:7" ht="13.15" customHeight="1">
      <c r="A154" s="16" t="s">
        <v>100</v>
      </c>
      <c r="B154" s="17" t="s">
        <v>50</v>
      </c>
      <c r="C154" s="101">
        <v>6</v>
      </c>
      <c r="D154" s="87">
        <v>6</v>
      </c>
      <c r="E154" s="15">
        <f t="shared" si="1"/>
        <v>1</v>
      </c>
    </row>
    <row r="155" spans="1:7">
      <c r="A155" s="16" t="s">
        <v>71</v>
      </c>
      <c r="B155" s="17" t="s">
        <v>10</v>
      </c>
      <c r="C155" s="101">
        <v>6</v>
      </c>
      <c r="D155" s="87">
        <v>28</v>
      </c>
      <c r="E155" s="15">
        <f t="shared" si="1"/>
        <v>4.666666666666667</v>
      </c>
    </row>
    <row r="156" spans="1:7" s="1" customFormat="1">
      <c r="A156" s="2" t="s">
        <v>11</v>
      </c>
      <c r="B156" s="3" t="s">
        <v>10</v>
      </c>
      <c r="C156" s="101">
        <v>12</v>
      </c>
      <c r="D156" s="87">
        <v>35</v>
      </c>
      <c r="E156" s="15">
        <f t="shared" si="1"/>
        <v>2.9166666666666665</v>
      </c>
      <c r="F156" s="38"/>
      <c r="G156" s="38"/>
    </row>
    <row r="157" spans="1:7">
      <c r="A157" s="16" t="s">
        <v>33</v>
      </c>
      <c r="B157" s="17" t="s">
        <v>50</v>
      </c>
      <c r="C157" s="101">
        <v>6</v>
      </c>
      <c r="D157" s="87">
        <v>12</v>
      </c>
      <c r="E157" s="15">
        <f t="shared" si="1"/>
        <v>2</v>
      </c>
    </row>
    <row r="158" spans="1:7" ht="13.15" customHeight="1">
      <c r="A158" s="16" t="s">
        <v>65</v>
      </c>
      <c r="B158" s="17" t="s">
        <v>51</v>
      </c>
      <c r="C158" s="101">
        <v>1</v>
      </c>
      <c r="D158" s="87">
        <v>42</v>
      </c>
      <c r="E158" s="15">
        <f t="shared" si="1"/>
        <v>42</v>
      </c>
    </row>
    <row r="159" spans="1:7">
      <c r="A159" s="16" t="s">
        <v>209</v>
      </c>
      <c r="B159" s="17" t="s">
        <v>135</v>
      </c>
      <c r="C159" s="122">
        <v>1</v>
      </c>
      <c r="D159" s="87">
        <v>20</v>
      </c>
      <c r="E159" s="18">
        <f t="shared" ref="E159:E160" si="2">C159*D159</f>
        <v>20</v>
      </c>
    </row>
    <row r="160" spans="1:7" ht="13.5" thickBot="1">
      <c r="A160" s="16" t="s">
        <v>5</v>
      </c>
      <c r="B160" s="17" t="s">
        <v>6</v>
      </c>
      <c r="C160" s="69">
        <f>E40+E41</f>
        <v>2</v>
      </c>
      <c r="D160" s="18">
        <f>+SUM(E149:E159)</f>
        <v>97.5</v>
      </c>
      <c r="E160" s="18">
        <f t="shared" si="2"/>
        <v>195</v>
      </c>
    </row>
    <row r="161" spans="1:7" ht="13.5" thickBot="1">
      <c r="D161" s="124" t="s">
        <v>206</v>
      </c>
      <c r="E161" s="50">
        <v>0.45</v>
      </c>
      <c r="F161" s="125">
        <f>E160*E161</f>
        <v>87.75</v>
      </c>
    </row>
    <row r="162" spans="1:7" ht="11.25" customHeight="1"/>
    <row r="163" spans="1:7" ht="13.9" customHeight="1">
      <c r="A163" s="9" t="s">
        <v>210</v>
      </c>
    </row>
    <row r="164" spans="1:7" ht="11.25" customHeight="1" thickBot="1"/>
    <row r="165" spans="1:7" ht="24.75" thickBot="1">
      <c r="A165" s="60" t="s">
        <v>66</v>
      </c>
      <c r="B165" s="61" t="s">
        <v>67</v>
      </c>
      <c r="C165" s="272" t="s">
        <v>268</v>
      </c>
      <c r="D165" s="62" t="s">
        <v>248</v>
      </c>
      <c r="E165" s="62" t="s">
        <v>68</v>
      </c>
      <c r="F165" s="63" t="s">
        <v>69</v>
      </c>
    </row>
    <row r="166" spans="1:7">
      <c r="A166" s="13" t="s">
        <v>70</v>
      </c>
      <c r="B166" s="14" t="s">
        <v>10</v>
      </c>
      <c r="C166" s="101">
        <f>C149</f>
        <v>12</v>
      </c>
      <c r="D166" s="15">
        <f>+D149</f>
        <v>35</v>
      </c>
      <c r="E166" s="15">
        <f>IFERROR(D166/C166,0)</f>
        <v>2.9166666666666665</v>
      </c>
    </row>
    <row r="167" spans="1:7">
      <c r="A167" s="16" t="s">
        <v>30</v>
      </c>
      <c r="B167" s="17" t="s">
        <v>10</v>
      </c>
      <c r="C167" s="101">
        <f>C150</f>
        <v>6</v>
      </c>
      <c r="D167" s="18">
        <f>+D150</f>
        <v>32</v>
      </c>
      <c r="E167" s="15">
        <f t="shared" ref="E167:E171" si="3">IFERROR(D167/C167,0)</f>
        <v>5.333333333333333</v>
      </c>
    </row>
    <row r="168" spans="1:7">
      <c r="A168" s="16" t="s">
        <v>31</v>
      </c>
      <c r="B168" s="17" t="s">
        <v>10</v>
      </c>
      <c r="C168" s="101">
        <f>C151</f>
        <v>6</v>
      </c>
      <c r="D168" s="18">
        <f>+D151</f>
        <v>25</v>
      </c>
      <c r="E168" s="15">
        <f t="shared" si="3"/>
        <v>4.166666666666667</v>
      </c>
    </row>
    <row r="169" spans="1:7">
      <c r="A169" s="16" t="s">
        <v>72</v>
      </c>
      <c r="B169" s="17" t="s">
        <v>50</v>
      </c>
      <c r="C169" s="101">
        <f>C153</f>
        <v>6</v>
      </c>
      <c r="D169" s="18">
        <f>+D153</f>
        <v>65</v>
      </c>
      <c r="E169" s="15">
        <f t="shared" si="3"/>
        <v>10.833333333333334</v>
      </c>
    </row>
    <row r="170" spans="1:7">
      <c r="A170" s="16" t="s">
        <v>71</v>
      </c>
      <c r="B170" s="17" t="s">
        <v>10</v>
      </c>
      <c r="C170" s="101">
        <f>C155</f>
        <v>6</v>
      </c>
      <c r="D170" s="18">
        <f>+D155</f>
        <v>28</v>
      </c>
      <c r="E170" s="15">
        <f t="shared" si="3"/>
        <v>4.666666666666667</v>
      </c>
      <c r="G170" s="9"/>
    </row>
    <row r="171" spans="1:7">
      <c r="A171" s="16" t="s">
        <v>65</v>
      </c>
      <c r="B171" s="17" t="s">
        <v>51</v>
      </c>
      <c r="C171" s="101">
        <f>C158</f>
        <v>1</v>
      </c>
      <c r="D171" s="18">
        <f>+D158</f>
        <v>42</v>
      </c>
      <c r="E171" s="15">
        <f t="shared" si="3"/>
        <v>42</v>
      </c>
      <c r="G171" s="9"/>
    </row>
    <row r="172" spans="1:7">
      <c r="A172" s="16" t="s">
        <v>209</v>
      </c>
      <c r="B172" s="17" t="s">
        <v>135</v>
      </c>
      <c r="C172" s="122">
        <v>1</v>
      </c>
      <c r="D172" s="87">
        <f>D159</f>
        <v>20</v>
      </c>
      <c r="E172" s="18">
        <f t="shared" ref="E172:E173" si="4">C172*D172</f>
        <v>20</v>
      </c>
      <c r="G172" s="9"/>
    </row>
    <row r="173" spans="1:7" ht="13.5" thickBot="1">
      <c r="A173" s="16" t="s">
        <v>5</v>
      </c>
      <c r="B173" s="17" t="s">
        <v>6</v>
      </c>
      <c r="C173" s="69">
        <f>E42+E43</f>
        <v>1</v>
      </c>
      <c r="D173" s="18">
        <f>+SUM(E166:E172)</f>
        <v>89.916666666666671</v>
      </c>
      <c r="E173" s="18">
        <f t="shared" si="4"/>
        <v>89.916666666666671</v>
      </c>
      <c r="G173" s="9"/>
    </row>
    <row r="174" spans="1:7" ht="13.5" thickBot="1">
      <c r="D174" s="124" t="s">
        <v>206</v>
      </c>
      <c r="E174" s="50">
        <v>0.45</v>
      </c>
      <c r="F174" s="125">
        <f>E173*E174</f>
        <v>40.462500000000006</v>
      </c>
      <c r="G174" s="9"/>
    </row>
    <row r="175" spans="1:7" ht="11.25" customHeight="1" thickBot="1">
      <c r="G175" s="9"/>
    </row>
    <row r="176" spans="1:7" ht="13.5" thickBot="1">
      <c r="A176" s="24" t="s">
        <v>211</v>
      </c>
      <c r="B176" s="28"/>
      <c r="C176" s="28"/>
      <c r="D176" s="29"/>
      <c r="E176" s="30"/>
      <c r="F176" s="21">
        <f>+F161+F174</f>
        <v>128.21250000000001</v>
      </c>
      <c r="G176" s="9"/>
    </row>
    <row r="177" spans="1:10" ht="11.25" customHeight="1">
      <c r="G177" s="9"/>
    </row>
    <row r="178" spans="1:10">
      <c r="A178" s="11" t="s">
        <v>56</v>
      </c>
      <c r="G178" s="9"/>
    </row>
    <row r="179" spans="1:10" ht="11.25" customHeight="1">
      <c r="B179" s="107"/>
      <c r="G179" s="9"/>
    </row>
    <row r="180" spans="1:10">
      <c r="A180" s="9" t="s">
        <v>101</v>
      </c>
      <c r="G180" s="9"/>
    </row>
    <row r="181" spans="1:10" ht="11.25" customHeight="1">
      <c r="G181" s="9"/>
    </row>
    <row r="182" spans="1:10" ht="13.5" thickBot="1">
      <c r="A182" s="107" t="s">
        <v>48</v>
      </c>
      <c r="G182" s="9"/>
    </row>
    <row r="183" spans="1:10" ht="13.5" thickBot="1">
      <c r="A183" s="60" t="s">
        <v>66</v>
      </c>
      <c r="B183" s="61" t="s">
        <v>67</v>
      </c>
      <c r="C183" s="61" t="s">
        <v>42</v>
      </c>
      <c r="D183" s="62" t="s">
        <v>248</v>
      </c>
      <c r="E183" s="62" t="s">
        <v>68</v>
      </c>
      <c r="F183" s="63" t="s">
        <v>69</v>
      </c>
      <c r="G183" s="9"/>
    </row>
    <row r="184" spans="1:10">
      <c r="A184" s="13" t="s">
        <v>117</v>
      </c>
      <c r="B184" s="14" t="s">
        <v>10</v>
      </c>
      <c r="C184" s="278">
        <v>1</v>
      </c>
      <c r="D184" s="87">
        <v>205000</v>
      </c>
      <c r="E184" s="15">
        <f>C184*D184</f>
        <v>205000</v>
      </c>
      <c r="G184" s="9"/>
    </row>
    <row r="185" spans="1:10">
      <c r="A185" s="16" t="s">
        <v>111</v>
      </c>
      <c r="B185" s="17" t="s">
        <v>112</v>
      </c>
      <c r="C185" s="86">
        <v>10</v>
      </c>
      <c r="D185" s="83"/>
      <c r="E185" s="18"/>
      <c r="G185" s="9"/>
    </row>
    <row r="186" spans="1:10">
      <c r="A186" s="16" t="s">
        <v>219</v>
      </c>
      <c r="B186" s="17" t="s">
        <v>112</v>
      </c>
      <c r="C186" s="86">
        <v>10</v>
      </c>
      <c r="D186" s="18"/>
      <c r="E186" s="18"/>
      <c r="F186" s="20"/>
      <c r="I186" s="85"/>
      <c r="J186" s="85"/>
    </row>
    <row r="187" spans="1:10">
      <c r="A187" s="16" t="s">
        <v>115</v>
      </c>
      <c r="B187" s="17" t="s">
        <v>2</v>
      </c>
      <c r="C187" s="142">
        <f>'5. Depreciação'!B12</f>
        <v>65.180000000000007</v>
      </c>
      <c r="D187" s="18">
        <f>E184</f>
        <v>205000</v>
      </c>
      <c r="E187" s="18">
        <f>C187*D187/100</f>
        <v>133619.00000000003</v>
      </c>
    </row>
    <row r="188" spans="1:10" ht="13.5" thickBot="1">
      <c r="A188" s="281" t="s">
        <v>52</v>
      </c>
      <c r="B188" s="282" t="s">
        <v>8</v>
      </c>
      <c r="C188" s="282">
        <f>C185*12</f>
        <v>120</v>
      </c>
      <c r="D188" s="283">
        <f>IF(C186&lt;=C185,E187,0)</f>
        <v>133619.00000000003</v>
      </c>
      <c r="E188" s="283">
        <f>IFERROR(D188/C188,0)</f>
        <v>1113.491666666667</v>
      </c>
    </row>
    <row r="189" spans="1:10" ht="13.5" thickTop="1">
      <c r="A189" s="13" t="s">
        <v>116</v>
      </c>
      <c r="B189" s="14" t="s">
        <v>10</v>
      </c>
      <c r="C189" s="14">
        <f>C184</f>
        <v>1</v>
      </c>
      <c r="D189" s="87">
        <v>95300</v>
      </c>
      <c r="E189" s="15">
        <f>C189*D189</f>
        <v>95300</v>
      </c>
      <c r="G189" s="9"/>
    </row>
    <row r="190" spans="1:10">
      <c r="A190" s="16" t="s">
        <v>113</v>
      </c>
      <c r="B190" s="17" t="s">
        <v>112</v>
      </c>
      <c r="C190" s="86">
        <v>10</v>
      </c>
      <c r="D190" s="18"/>
      <c r="E190" s="18"/>
    </row>
    <row r="191" spans="1:10">
      <c r="A191" s="16" t="s">
        <v>220</v>
      </c>
      <c r="B191" s="17" t="s">
        <v>112</v>
      </c>
      <c r="C191" s="86">
        <v>10</v>
      </c>
      <c r="D191" s="18"/>
      <c r="E191" s="18"/>
      <c r="F191" s="20"/>
      <c r="I191" s="85"/>
      <c r="J191" s="85"/>
    </row>
    <row r="192" spans="1:10">
      <c r="A192" s="16" t="s">
        <v>114</v>
      </c>
      <c r="B192" s="17" t="s">
        <v>2</v>
      </c>
      <c r="C192" s="143">
        <f>IFERROR(VLOOKUP(C190,'5. Depreciação'!A3:B17,2,FALSE),0)</f>
        <v>65.180000000000007</v>
      </c>
      <c r="D192" s="18">
        <f>E189</f>
        <v>95300</v>
      </c>
      <c r="E192" s="18">
        <f>C192*D192/100</f>
        <v>62116.540000000008</v>
      </c>
    </row>
    <row r="193" spans="1:10">
      <c r="A193" s="103" t="s">
        <v>118</v>
      </c>
      <c r="B193" s="104" t="s">
        <v>8</v>
      </c>
      <c r="C193" s="104">
        <f>C190*12</f>
        <v>120</v>
      </c>
      <c r="D193" s="105">
        <f>IF(C191&lt;=C190,E192,0)</f>
        <v>62116.540000000008</v>
      </c>
      <c r="E193" s="105">
        <f>IFERROR(D193/C193,0)</f>
        <v>517.63783333333345</v>
      </c>
    </row>
    <row r="194" spans="1:10">
      <c r="A194" s="117" t="s">
        <v>271</v>
      </c>
      <c r="B194" s="118"/>
      <c r="C194" s="118"/>
      <c r="D194" s="119"/>
      <c r="E194" s="120">
        <f>E188+E193</f>
        <v>1631.1295000000005</v>
      </c>
    </row>
    <row r="195" spans="1:10" ht="13.5" thickBot="1">
      <c r="A195" s="103" t="s">
        <v>272</v>
      </c>
      <c r="B195" s="104" t="s">
        <v>10</v>
      </c>
      <c r="C195" s="86">
        <v>1</v>
      </c>
      <c r="D195" s="105">
        <f>E194</f>
        <v>1631.1295000000005</v>
      </c>
      <c r="E195" s="120">
        <f>C195*D195</f>
        <v>1631.1295000000005</v>
      </c>
    </row>
    <row r="196" spans="1:10" ht="13.5" thickBot="1">
      <c r="A196" s="277"/>
      <c r="B196" s="277"/>
      <c r="C196" s="277"/>
      <c r="D196" s="124" t="s">
        <v>206</v>
      </c>
      <c r="E196" s="50">
        <v>0.45</v>
      </c>
      <c r="F196" s="21">
        <f>E195*E196</f>
        <v>734.00827500000025</v>
      </c>
    </row>
    <row r="197" spans="1:10" ht="11.25" customHeight="1"/>
    <row r="198" spans="1:10" ht="13.5" thickBot="1">
      <c r="A198" s="107" t="s">
        <v>123</v>
      </c>
    </row>
    <row r="199" spans="1:10" ht="13.5" thickBot="1">
      <c r="A199" s="109" t="s">
        <v>66</v>
      </c>
      <c r="B199" s="110" t="s">
        <v>67</v>
      </c>
      <c r="C199" s="110" t="s">
        <v>42</v>
      </c>
      <c r="D199" s="62" t="s">
        <v>248</v>
      </c>
      <c r="E199" s="111" t="s">
        <v>68</v>
      </c>
      <c r="F199" s="63" t="s">
        <v>69</v>
      </c>
      <c r="I199" s="85"/>
      <c r="J199" s="85"/>
    </row>
    <row r="200" spans="1:10">
      <c r="A200" s="16" t="s">
        <v>121</v>
      </c>
      <c r="B200" s="17" t="s">
        <v>10</v>
      </c>
      <c r="C200" s="278">
        <v>1</v>
      </c>
      <c r="D200" s="18">
        <f>D184</f>
        <v>205000</v>
      </c>
      <c r="E200" s="18">
        <f>C200*D200</f>
        <v>205000</v>
      </c>
      <c r="F200" s="20"/>
      <c r="I200" s="85"/>
      <c r="J200" s="85"/>
    </row>
    <row r="201" spans="1:10">
      <c r="A201" s="16" t="s">
        <v>223</v>
      </c>
      <c r="B201" s="17" t="s">
        <v>2</v>
      </c>
      <c r="C201" s="86">
        <v>6.4</v>
      </c>
      <c r="D201" s="18"/>
      <c r="E201" s="18"/>
      <c r="F201" s="20"/>
      <c r="I201" s="85"/>
      <c r="J201" s="85"/>
    </row>
    <row r="202" spans="1:10">
      <c r="A202" s="16" t="s">
        <v>221</v>
      </c>
      <c r="B202" s="17" t="s">
        <v>35</v>
      </c>
      <c r="C202" s="150">
        <f>IFERROR(IF(C186&lt;=C185,E184-(C187/(100*C185)*C186)*E184,E184-E187),0)</f>
        <v>71381</v>
      </c>
      <c r="D202" s="18"/>
      <c r="E202" s="18"/>
      <c r="F202" s="20"/>
      <c r="I202" s="85"/>
      <c r="J202" s="85"/>
    </row>
    <row r="203" spans="1:10">
      <c r="A203" s="16" t="s">
        <v>126</v>
      </c>
      <c r="B203" s="17" t="s">
        <v>35</v>
      </c>
      <c r="C203" s="83">
        <f>IFERROR(IF(C186&gt;=C185,C202,((((C202)-(E184-E187))*(((C185-C186)+1)/(2*(C185-C186))))+(E184-E187))),0)</f>
        <v>71381</v>
      </c>
      <c r="D203" s="18"/>
      <c r="E203" s="18"/>
      <c r="F203" s="20"/>
      <c r="I203" s="85"/>
      <c r="J203" s="85"/>
    </row>
    <row r="204" spans="1:10" ht="13.5" thickBot="1">
      <c r="A204" s="281" t="s">
        <v>127</v>
      </c>
      <c r="B204" s="282" t="s">
        <v>35</v>
      </c>
      <c r="C204" s="282"/>
      <c r="D204" s="284">
        <f>C201*C203/12/100</f>
        <v>380.69866666666667</v>
      </c>
      <c r="E204" s="283">
        <f>D204</f>
        <v>380.69866666666667</v>
      </c>
      <c r="F204" s="20"/>
      <c r="I204" s="85"/>
      <c r="J204" s="85"/>
    </row>
    <row r="205" spans="1:10" ht="13.5" thickTop="1">
      <c r="A205" s="13" t="s">
        <v>122</v>
      </c>
      <c r="B205" s="14" t="s">
        <v>10</v>
      </c>
      <c r="C205" s="14">
        <f>C189</f>
        <v>1</v>
      </c>
      <c r="D205" s="15">
        <f>D189</f>
        <v>95300</v>
      </c>
      <c r="E205" s="15">
        <f>C205*D205</f>
        <v>95300</v>
      </c>
      <c r="F205" s="20"/>
      <c r="I205" s="85"/>
      <c r="J205" s="85"/>
    </row>
    <row r="206" spans="1:10">
      <c r="A206" s="16" t="s">
        <v>223</v>
      </c>
      <c r="B206" s="17" t="s">
        <v>2</v>
      </c>
      <c r="C206" s="279">
        <v>6.5</v>
      </c>
      <c r="D206" s="18"/>
      <c r="E206" s="18"/>
      <c r="F206" s="20"/>
      <c r="I206" s="85"/>
      <c r="J206" s="85"/>
    </row>
    <row r="207" spans="1:10">
      <c r="A207" s="16" t="s">
        <v>222</v>
      </c>
      <c r="B207" s="17" t="s">
        <v>35</v>
      </c>
      <c r="C207" s="150">
        <f>IFERROR(IF(C191&lt;=C190,E189-(C192/(100*C190)*C191)*E189,E189-E192),0)</f>
        <v>33183.46</v>
      </c>
      <c r="D207" s="18"/>
      <c r="E207" s="18"/>
      <c r="F207" s="20"/>
      <c r="I207" s="85"/>
      <c r="J207" s="85"/>
    </row>
    <row r="208" spans="1:10">
      <c r="A208" s="16" t="s">
        <v>128</v>
      </c>
      <c r="B208" s="17" t="s">
        <v>35</v>
      </c>
      <c r="C208" s="83">
        <f>IFERROR(IF(C191&gt;=C190,C207,((((C207)-(E189-E192))*(((C190-C191)+1)/(2*(C190-C191))))+(E189-E192))),0)</f>
        <v>33183.46</v>
      </c>
      <c r="D208" s="18"/>
      <c r="E208" s="18"/>
      <c r="F208" s="20"/>
      <c r="I208" s="85"/>
      <c r="J208" s="85"/>
    </row>
    <row r="209" spans="1:10">
      <c r="A209" s="103" t="s">
        <v>125</v>
      </c>
      <c r="B209" s="104" t="s">
        <v>35</v>
      </c>
      <c r="C209" s="104"/>
      <c r="D209" s="113">
        <f>C206*C208/12/100</f>
        <v>179.74374166666664</v>
      </c>
      <c r="E209" s="105">
        <f>D209</f>
        <v>179.74374166666664</v>
      </c>
      <c r="F209" s="20"/>
      <c r="I209" s="85"/>
      <c r="J209" s="85"/>
    </row>
    <row r="210" spans="1:10">
      <c r="A210" s="117" t="s">
        <v>271</v>
      </c>
      <c r="B210" s="118"/>
      <c r="C210" s="118"/>
      <c r="D210" s="119"/>
      <c r="E210" s="120">
        <f>E204+E209</f>
        <v>560.44240833333333</v>
      </c>
      <c r="F210" s="20"/>
      <c r="I210" s="85"/>
      <c r="J210" s="85"/>
    </row>
    <row r="211" spans="1:10" ht="13.5" thickBot="1">
      <c r="A211" s="103" t="s">
        <v>272</v>
      </c>
      <c r="B211" s="104" t="s">
        <v>10</v>
      </c>
      <c r="C211" s="279">
        <f>C195</f>
        <v>1</v>
      </c>
      <c r="D211" s="105">
        <f>E210</f>
        <v>560.44240833333333</v>
      </c>
      <c r="E211" s="120">
        <f>C211*D211</f>
        <v>560.44240833333333</v>
      </c>
      <c r="F211" s="20"/>
      <c r="I211" s="85"/>
      <c r="J211" s="85"/>
    </row>
    <row r="212" spans="1:10" ht="13.5" thickBot="1">
      <c r="C212" s="19"/>
      <c r="D212" s="124" t="s">
        <v>206</v>
      </c>
      <c r="E212" s="50">
        <v>0.45</v>
      </c>
      <c r="F212" s="21">
        <f>E211*E212</f>
        <v>252.19908375</v>
      </c>
      <c r="I212" s="85"/>
      <c r="J212" s="85"/>
    </row>
    <row r="213" spans="1:10" ht="11.25" customHeight="1">
      <c r="I213" s="85"/>
      <c r="J213" s="85"/>
    </row>
    <row r="214" spans="1:10" ht="13.5" thickBot="1">
      <c r="A214" s="9" t="s">
        <v>53</v>
      </c>
      <c r="I214" s="85"/>
      <c r="J214" s="85"/>
    </row>
    <row r="215" spans="1:10" ht="13.5" thickBot="1">
      <c r="A215" s="60" t="s">
        <v>66</v>
      </c>
      <c r="B215" s="61" t="s">
        <v>67</v>
      </c>
      <c r="C215" s="61" t="s">
        <v>42</v>
      </c>
      <c r="D215" s="62" t="s">
        <v>248</v>
      </c>
      <c r="E215" s="62" t="s">
        <v>68</v>
      </c>
      <c r="F215" s="63" t="s">
        <v>69</v>
      </c>
      <c r="I215" s="85"/>
      <c r="J215" s="85"/>
    </row>
    <row r="216" spans="1:10">
      <c r="A216" s="13" t="s">
        <v>12</v>
      </c>
      <c r="B216" s="14" t="s">
        <v>10</v>
      </c>
      <c r="C216" s="15">
        <f>C195</f>
        <v>1</v>
      </c>
      <c r="D216" s="15">
        <f>0.01*($E$184)</f>
        <v>2050</v>
      </c>
      <c r="E216" s="15">
        <f>C216*D216</f>
        <v>2050</v>
      </c>
      <c r="I216" s="85"/>
      <c r="J216" s="85"/>
    </row>
    <row r="217" spans="1:10">
      <c r="A217" s="16" t="s">
        <v>205</v>
      </c>
      <c r="B217" s="17" t="s">
        <v>10</v>
      </c>
      <c r="C217" s="15">
        <f>C195</f>
        <v>1</v>
      </c>
      <c r="D217" s="89">
        <v>650</v>
      </c>
      <c r="E217" s="18">
        <f>C217*D217</f>
        <v>650</v>
      </c>
      <c r="I217" s="85"/>
      <c r="J217" s="85"/>
    </row>
    <row r="218" spans="1:10">
      <c r="A218" s="16" t="s">
        <v>13</v>
      </c>
      <c r="B218" s="17" t="s">
        <v>10</v>
      </c>
      <c r="C218" s="15">
        <f>C195</f>
        <v>1</v>
      </c>
      <c r="D218" s="89">
        <v>1250</v>
      </c>
      <c r="E218" s="18">
        <f>C218*D218</f>
        <v>1250</v>
      </c>
      <c r="F218" s="31"/>
      <c r="I218" s="85"/>
      <c r="J218" s="85"/>
    </row>
    <row r="219" spans="1:10" ht="13.5" thickBot="1">
      <c r="A219" s="103" t="s">
        <v>14</v>
      </c>
      <c r="B219" s="104" t="s">
        <v>8</v>
      </c>
      <c r="C219" s="104">
        <v>12</v>
      </c>
      <c r="D219" s="105">
        <f>SUM(E216:E218)</f>
        <v>3950</v>
      </c>
      <c r="E219" s="105">
        <f>D219/C219</f>
        <v>329.16666666666669</v>
      </c>
      <c r="I219" s="85"/>
      <c r="J219" s="85"/>
    </row>
    <row r="220" spans="1:10" ht="13.5" thickBot="1">
      <c r="D220" s="124" t="s">
        <v>206</v>
      </c>
      <c r="E220" s="50">
        <v>0.45</v>
      </c>
      <c r="F220" s="125">
        <f>E219*E220</f>
        <v>148.125</v>
      </c>
      <c r="I220" s="85"/>
      <c r="J220" s="85"/>
    </row>
    <row r="221" spans="1:10" ht="11.25" customHeight="1">
      <c r="I221" s="85"/>
      <c r="J221" s="85"/>
    </row>
    <row r="222" spans="1:10">
      <c r="A222" s="9" t="s">
        <v>54</v>
      </c>
      <c r="B222" s="32"/>
      <c r="I222" s="85"/>
      <c r="J222" s="85"/>
    </row>
    <row r="223" spans="1:10">
      <c r="B223" s="32"/>
      <c r="I223" s="85"/>
      <c r="J223" s="85"/>
    </row>
    <row r="224" spans="1:10">
      <c r="A224" s="103" t="s">
        <v>130</v>
      </c>
      <c r="B224" s="114">
        <v>640</v>
      </c>
      <c r="I224" s="85"/>
      <c r="J224" s="85"/>
    </row>
    <row r="225" spans="1:10" ht="13.5" thickBot="1">
      <c r="B225" s="32"/>
      <c r="I225" s="85"/>
      <c r="J225" s="85"/>
    </row>
    <row r="226" spans="1:10" ht="13.5" thickBot="1">
      <c r="A226" s="60" t="s">
        <v>66</v>
      </c>
      <c r="B226" s="61" t="s">
        <v>67</v>
      </c>
      <c r="C226" s="61" t="s">
        <v>270</v>
      </c>
      <c r="D226" s="62" t="s">
        <v>248</v>
      </c>
      <c r="E226" s="62" t="s">
        <v>68</v>
      </c>
      <c r="F226" s="63" t="s">
        <v>69</v>
      </c>
      <c r="I226" s="85"/>
      <c r="J226" s="85"/>
    </row>
    <row r="227" spans="1:10">
      <c r="A227" s="13" t="s">
        <v>15</v>
      </c>
      <c r="B227" s="14" t="s">
        <v>16</v>
      </c>
      <c r="C227" s="97">
        <v>3</v>
      </c>
      <c r="D227" s="98">
        <v>6.15</v>
      </c>
      <c r="E227" s="15"/>
      <c r="I227" s="85"/>
      <c r="J227" s="85"/>
    </row>
    <row r="228" spans="1:10">
      <c r="A228" s="16" t="s">
        <v>17</v>
      </c>
      <c r="B228" s="17" t="s">
        <v>18</v>
      </c>
      <c r="C228" s="94">
        <f>B224</f>
        <v>640</v>
      </c>
      <c r="D228" s="276">
        <f>IFERROR(+D227/C227,"-")</f>
        <v>2.0500000000000003</v>
      </c>
      <c r="E228" s="18">
        <f>IFERROR(C228*D228,"-")</f>
        <v>1312.0000000000002</v>
      </c>
      <c r="I228" s="85"/>
      <c r="J228" s="85"/>
    </row>
    <row r="229" spans="1:10">
      <c r="A229" s="16" t="s">
        <v>249</v>
      </c>
      <c r="B229" s="17" t="s">
        <v>19</v>
      </c>
      <c r="C229" s="100">
        <f>25/1000</f>
        <v>2.5000000000000001E-2</v>
      </c>
      <c r="D229" s="89">
        <v>35</v>
      </c>
      <c r="E229" s="18"/>
      <c r="G229" s="112"/>
      <c r="H229" s="52"/>
      <c r="I229" s="85"/>
      <c r="J229" s="85"/>
    </row>
    <row r="230" spans="1:10">
      <c r="A230" s="16" t="s">
        <v>20</v>
      </c>
      <c r="B230" s="17" t="s">
        <v>18</v>
      </c>
      <c r="C230" s="94">
        <f>C228</f>
        <v>640</v>
      </c>
      <c r="D230" s="273">
        <f>+C229*D229/1000</f>
        <v>8.7500000000000002E-4</v>
      </c>
      <c r="E230" s="18">
        <f>C230*D230</f>
        <v>0.56000000000000005</v>
      </c>
      <c r="G230" s="112"/>
      <c r="H230" s="52"/>
      <c r="I230" s="85"/>
      <c r="J230" s="85"/>
    </row>
    <row r="231" spans="1:10">
      <c r="A231" s="16" t="s">
        <v>250</v>
      </c>
      <c r="B231" s="17" t="s">
        <v>19</v>
      </c>
      <c r="C231" s="100">
        <f>25/1000</f>
        <v>2.5000000000000001E-2</v>
      </c>
      <c r="D231" s="89">
        <v>155</v>
      </c>
      <c r="E231" s="18"/>
      <c r="G231" s="112"/>
      <c r="H231" s="52"/>
      <c r="I231" s="85"/>
      <c r="J231" s="85"/>
    </row>
    <row r="232" spans="1:10">
      <c r="A232" s="16" t="s">
        <v>21</v>
      </c>
      <c r="B232" s="17" t="s">
        <v>18</v>
      </c>
      <c r="C232" s="94">
        <f>C228</f>
        <v>640</v>
      </c>
      <c r="D232" s="273">
        <f>+C231*D231/1000</f>
        <v>3.875E-3</v>
      </c>
      <c r="E232" s="18">
        <f>C232*D232</f>
        <v>2.48</v>
      </c>
      <c r="G232" s="112"/>
      <c r="H232" s="52"/>
      <c r="I232" s="85"/>
      <c r="J232" s="85"/>
    </row>
    <row r="233" spans="1:10">
      <c r="A233" s="16" t="s">
        <v>251</v>
      </c>
      <c r="B233" s="17" t="s">
        <v>19</v>
      </c>
      <c r="C233" s="100">
        <f>25/1000</f>
        <v>2.5000000000000001E-2</v>
      </c>
      <c r="D233" s="89">
        <v>85.5</v>
      </c>
      <c r="E233" s="18"/>
      <c r="G233" s="112"/>
      <c r="H233" s="52"/>
      <c r="I233" s="85"/>
      <c r="J233" s="85"/>
    </row>
    <row r="234" spans="1:10">
      <c r="A234" s="16" t="s">
        <v>22</v>
      </c>
      <c r="B234" s="17" t="s">
        <v>18</v>
      </c>
      <c r="C234" s="94">
        <f>C228</f>
        <v>640</v>
      </c>
      <c r="D234" s="273">
        <f>+C233*D233/1000</f>
        <v>2.1375000000000001E-3</v>
      </c>
      <c r="E234" s="18">
        <f>C234*D234</f>
        <v>1.3680000000000001</v>
      </c>
      <c r="G234" s="112"/>
      <c r="H234" s="52"/>
      <c r="I234" s="85"/>
      <c r="J234" s="85"/>
    </row>
    <row r="235" spans="1:10">
      <c r="A235" s="16" t="s">
        <v>23</v>
      </c>
      <c r="B235" s="17" t="s">
        <v>24</v>
      </c>
      <c r="C235" s="100">
        <f>50/1000</f>
        <v>0.05</v>
      </c>
      <c r="D235" s="89">
        <v>19.100000000000001</v>
      </c>
      <c r="E235" s="18"/>
      <c r="G235" s="112"/>
      <c r="H235" s="52"/>
      <c r="I235" s="85"/>
      <c r="J235" s="85"/>
    </row>
    <row r="236" spans="1:10">
      <c r="A236" s="16" t="s">
        <v>25</v>
      </c>
      <c r="B236" s="17" t="s">
        <v>18</v>
      </c>
      <c r="C236" s="94">
        <f>C228</f>
        <v>640</v>
      </c>
      <c r="D236" s="273">
        <f>+C235*D235/1000</f>
        <v>9.5500000000000012E-4</v>
      </c>
      <c r="E236" s="18">
        <f>C236*D236</f>
        <v>0.61120000000000008</v>
      </c>
      <c r="G236" s="112"/>
      <c r="H236" s="52"/>
      <c r="I236" s="85"/>
      <c r="J236" s="85"/>
    </row>
    <row r="237" spans="1:10" ht="13.5" thickBot="1">
      <c r="A237" s="103" t="s">
        <v>269</v>
      </c>
      <c r="B237" s="104" t="s">
        <v>131</v>
      </c>
      <c r="C237" s="274"/>
      <c r="D237" s="275">
        <f>IFERROR(D228+D230+D232+D234+D236,0)</f>
        <v>2.0578425</v>
      </c>
      <c r="E237" s="18"/>
      <c r="G237" s="112"/>
      <c r="H237" s="52"/>
      <c r="I237" s="85"/>
      <c r="J237" s="85"/>
    </row>
    <row r="238" spans="1:10" ht="13.5" thickBot="1">
      <c r="F238" s="21">
        <f>SUM(E227:E236)</f>
        <v>1317.0192000000002</v>
      </c>
      <c r="I238" s="85"/>
      <c r="J238" s="85"/>
    </row>
    <row r="239" spans="1:10" ht="11.25" customHeight="1">
      <c r="I239" s="85"/>
      <c r="J239" s="85"/>
    </row>
    <row r="240" spans="1:10" ht="13.5" thickBot="1">
      <c r="A240" s="9" t="s">
        <v>55</v>
      </c>
      <c r="I240" s="85"/>
      <c r="J240" s="85"/>
    </row>
    <row r="241" spans="1:10" ht="13.5" thickBot="1">
      <c r="A241" s="60" t="s">
        <v>66</v>
      </c>
      <c r="B241" s="61" t="s">
        <v>67</v>
      </c>
      <c r="C241" s="61" t="s">
        <v>42</v>
      </c>
      <c r="D241" s="62" t="s">
        <v>248</v>
      </c>
      <c r="E241" s="62" t="s">
        <v>68</v>
      </c>
      <c r="F241" s="63" t="s">
        <v>69</v>
      </c>
      <c r="I241" s="85"/>
      <c r="J241" s="85"/>
    </row>
    <row r="242" spans="1:10" ht="13.5" thickBot="1">
      <c r="A242" s="13" t="s">
        <v>129</v>
      </c>
      <c r="B242" s="14" t="s">
        <v>131</v>
      </c>
      <c r="C242" s="94">
        <f>C228</f>
        <v>640</v>
      </c>
      <c r="D242" s="98">
        <f>D237</f>
        <v>2.0578425</v>
      </c>
      <c r="E242" s="15">
        <f>C242*D242</f>
        <v>1317.0192</v>
      </c>
      <c r="I242" s="85"/>
      <c r="J242" s="85"/>
    </row>
    <row r="243" spans="1:10" ht="13.5" thickBot="1">
      <c r="F243" s="21">
        <f>E242</f>
        <v>1317.0192</v>
      </c>
      <c r="I243" s="85"/>
      <c r="J243" s="85"/>
    </row>
    <row r="244" spans="1:10" ht="11.25" customHeight="1">
      <c r="I244" s="85"/>
      <c r="J244" s="85"/>
    </row>
    <row r="245" spans="1:10" ht="13.5" thickBot="1">
      <c r="A245" s="9" t="s">
        <v>64</v>
      </c>
      <c r="I245" s="85"/>
      <c r="J245" s="85"/>
    </row>
    <row r="246" spans="1:10" ht="13.5" thickBot="1">
      <c r="A246" s="60" t="s">
        <v>66</v>
      </c>
      <c r="B246" s="61" t="s">
        <v>67</v>
      </c>
      <c r="C246" s="61" t="s">
        <v>42</v>
      </c>
      <c r="D246" s="62" t="s">
        <v>248</v>
      </c>
      <c r="E246" s="62" t="s">
        <v>68</v>
      </c>
      <c r="F246" s="63" t="s">
        <v>69</v>
      </c>
      <c r="I246" s="85"/>
      <c r="J246" s="85"/>
    </row>
    <row r="247" spans="1:10">
      <c r="A247" s="13" t="s">
        <v>102</v>
      </c>
      <c r="B247" s="14" t="s">
        <v>10</v>
      </c>
      <c r="C247" s="96">
        <v>1</v>
      </c>
      <c r="D247" s="87">
        <v>1250</v>
      </c>
      <c r="E247" s="15">
        <f>C247*D247</f>
        <v>1250</v>
      </c>
      <c r="I247" s="85"/>
      <c r="J247" s="85"/>
    </row>
    <row r="248" spans="1:10">
      <c r="A248" s="13" t="s">
        <v>132</v>
      </c>
      <c r="B248" s="14" t="s">
        <v>10</v>
      </c>
      <c r="C248" s="96">
        <v>6</v>
      </c>
      <c r="D248" s="106"/>
      <c r="E248" s="15"/>
      <c r="I248" s="85"/>
      <c r="J248" s="85"/>
    </row>
    <row r="249" spans="1:10">
      <c r="A249" s="13" t="s">
        <v>74</v>
      </c>
      <c r="B249" s="14" t="s">
        <v>10</v>
      </c>
      <c r="C249" s="15">
        <v>4</v>
      </c>
      <c r="D249" s="87">
        <v>185</v>
      </c>
      <c r="E249" s="15">
        <f>C249*D249</f>
        <v>740</v>
      </c>
      <c r="I249" s="85"/>
      <c r="J249" s="85"/>
    </row>
    <row r="250" spans="1:10">
      <c r="A250" s="16" t="s">
        <v>103</v>
      </c>
      <c r="B250" s="17" t="s">
        <v>26</v>
      </c>
      <c r="C250" s="99">
        <v>60000</v>
      </c>
      <c r="D250" s="18">
        <f>E247+E249</f>
        <v>1990</v>
      </c>
      <c r="E250" s="18">
        <f>IFERROR(D250/C250,"-")</f>
        <v>3.3166666666666664E-2</v>
      </c>
      <c r="I250" s="85"/>
      <c r="J250" s="85"/>
    </row>
    <row r="251" spans="1:10" ht="13.5" thickBot="1">
      <c r="A251" s="16" t="s">
        <v>57</v>
      </c>
      <c r="B251" s="17" t="s">
        <v>18</v>
      </c>
      <c r="C251" s="94">
        <f>B224</f>
        <v>640</v>
      </c>
      <c r="D251" s="18">
        <f>E250</f>
        <v>3.3166666666666664E-2</v>
      </c>
      <c r="E251" s="18">
        <f>IFERROR(C251*D251,0)</f>
        <v>21.226666666666667</v>
      </c>
      <c r="I251" s="85"/>
      <c r="J251" s="85"/>
    </row>
    <row r="252" spans="1:10" ht="13.5" thickBot="1">
      <c r="F252" s="21">
        <f>E251</f>
        <v>21.226666666666667</v>
      </c>
      <c r="I252" s="85"/>
      <c r="J252" s="85"/>
    </row>
    <row r="253" spans="1:10" ht="11.25" customHeight="1">
      <c r="I253" s="85"/>
      <c r="J253" s="85"/>
    </row>
    <row r="254" spans="1:10" ht="11.25" customHeight="1" thickBot="1">
      <c r="G254" s="9"/>
    </row>
    <row r="255" spans="1:10" ht="13.5" thickBot="1">
      <c r="A255" s="24" t="s">
        <v>236</v>
      </c>
      <c r="B255" s="25"/>
      <c r="C255" s="25"/>
      <c r="D255" s="26"/>
      <c r="E255" s="27"/>
      <c r="F255" s="21">
        <f>+SUM(F184:F254)</f>
        <v>3789.5974254166667</v>
      </c>
      <c r="G255" s="9"/>
    </row>
    <row r="256" spans="1:10" ht="11.25" customHeight="1">
      <c r="G256" s="9"/>
    </row>
    <row r="257" spans="1:7">
      <c r="A257" s="34" t="s">
        <v>78</v>
      </c>
      <c r="B257" s="34"/>
      <c r="C257" s="34"/>
      <c r="D257" s="35"/>
      <c r="E257" s="35"/>
      <c r="F257" s="33"/>
      <c r="G257" s="9"/>
    </row>
    <row r="258" spans="1:7" ht="11.25" customHeight="1" thickBot="1">
      <c r="G258" s="9"/>
    </row>
    <row r="259" spans="1:7" ht="13.5" thickBot="1">
      <c r="A259" s="60" t="s">
        <v>66</v>
      </c>
      <c r="B259" s="61" t="s">
        <v>67</v>
      </c>
      <c r="C259" s="61" t="s">
        <v>42</v>
      </c>
      <c r="D259" s="62" t="s">
        <v>248</v>
      </c>
      <c r="E259" s="62" t="s">
        <v>68</v>
      </c>
      <c r="F259" s="63" t="s">
        <v>69</v>
      </c>
      <c r="G259" s="9"/>
    </row>
    <row r="260" spans="1:7">
      <c r="A260" s="16" t="s">
        <v>75</v>
      </c>
      <c r="B260" s="17" t="s">
        <v>10</v>
      </c>
      <c r="C260" s="101">
        <v>1</v>
      </c>
      <c r="D260" s="87">
        <v>35</v>
      </c>
      <c r="E260" s="18">
        <f>C260*D260</f>
        <v>35</v>
      </c>
      <c r="F260" s="55"/>
      <c r="G260" s="9"/>
    </row>
    <row r="261" spans="1:7">
      <c r="A261" s="16" t="s">
        <v>28</v>
      </c>
      <c r="B261" s="17" t="s">
        <v>10</v>
      </c>
      <c r="C261" s="101">
        <v>1</v>
      </c>
      <c r="D261" s="87">
        <v>17</v>
      </c>
      <c r="E261" s="18">
        <f>C261*D261</f>
        <v>17</v>
      </c>
      <c r="F261" s="55"/>
      <c r="G261" s="9"/>
    </row>
    <row r="262" spans="1:7">
      <c r="A262" s="16" t="s">
        <v>29</v>
      </c>
      <c r="B262" s="17" t="s">
        <v>10</v>
      </c>
      <c r="C262" s="101">
        <v>1</v>
      </c>
      <c r="D262" s="87">
        <v>15</v>
      </c>
      <c r="E262" s="18">
        <f>C262*D262</f>
        <v>15</v>
      </c>
      <c r="F262" s="55"/>
      <c r="G262" s="9"/>
    </row>
    <row r="263" spans="1:7">
      <c r="A263" s="16" t="s">
        <v>59</v>
      </c>
      <c r="B263" s="17" t="s">
        <v>60</v>
      </c>
      <c r="C263" s="101">
        <v>1</v>
      </c>
      <c r="D263" s="87">
        <v>155</v>
      </c>
      <c r="E263" s="18">
        <f>C263*D263</f>
        <v>155</v>
      </c>
      <c r="F263" s="55"/>
      <c r="G263" s="319"/>
    </row>
    <row r="264" spans="1:7" ht="13.5" thickBot="1">
      <c r="A264" s="16" t="s">
        <v>62</v>
      </c>
      <c r="B264" s="17" t="s">
        <v>60</v>
      </c>
      <c r="C264" s="101">
        <v>1</v>
      </c>
      <c r="D264" s="87">
        <v>150</v>
      </c>
      <c r="E264" s="18">
        <f>C264*D264</f>
        <v>150</v>
      </c>
      <c r="F264" s="55"/>
      <c r="G264" s="9"/>
    </row>
    <row r="265" spans="1:7" ht="13.5" thickBot="1">
      <c r="A265" s="34"/>
      <c r="B265" s="34"/>
      <c r="C265" s="34"/>
      <c r="D265" s="34"/>
      <c r="E265" s="35"/>
      <c r="F265" s="21">
        <f>SUM(E260:E264)</f>
        <v>372</v>
      </c>
      <c r="G265" s="9"/>
    </row>
    <row r="266" spans="1:7" ht="11.25" customHeight="1" thickBot="1">
      <c r="G266" s="9"/>
    </row>
    <row r="267" spans="1:7" ht="13.5" thickBot="1">
      <c r="A267" s="24" t="s">
        <v>237</v>
      </c>
      <c r="B267" s="25"/>
      <c r="C267" s="25"/>
      <c r="D267" s="26"/>
      <c r="E267" s="27"/>
      <c r="F267" s="21">
        <f>+F265</f>
        <v>372</v>
      </c>
      <c r="G267" s="9"/>
    </row>
    <row r="268" spans="1:7" ht="11.25" customHeight="1">
      <c r="G268" s="9"/>
    </row>
    <row r="269" spans="1:7">
      <c r="A269" s="34" t="s">
        <v>79</v>
      </c>
      <c r="B269" s="34"/>
      <c r="C269" s="34"/>
      <c r="D269" s="35"/>
      <c r="E269" s="35"/>
      <c r="F269" s="33"/>
    </row>
    <row r="270" spans="1:7" ht="11.25" customHeight="1" thickBot="1"/>
    <row r="271" spans="1:7" ht="13.5" thickBot="1">
      <c r="A271" s="60" t="s">
        <v>66</v>
      </c>
      <c r="B271" s="61" t="s">
        <v>67</v>
      </c>
      <c r="C271" s="61" t="s">
        <v>42</v>
      </c>
      <c r="D271" s="62" t="s">
        <v>248</v>
      </c>
      <c r="E271" s="62" t="s">
        <v>68</v>
      </c>
      <c r="F271" s="63" t="s">
        <v>69</v>
      </c>
    </row>
    <row r="272" spans="1:7">
      <c r="A272" s="16" t="s">
        <v>234</v>
      </c>
      <c r="B272" s="53" t="s">
        <v>60</v>
      </c>
      <c r="C272" s="69">
        <f>C184</f>
        <v>1</v>
      </c>
      <c r="D272" s="89">
        <v>1500</v>
      </c>
      <c r="E272" s="18">
        <f>+D272*C272</f>
        <v>1500</v>
      </c>
      <c r="F272" s="55"/>
    </row>
    <row r="273" spans="1:7">
      <c r="A273" s="16" t="s">
        <v>63</v>
      </c>
      <c r="B273" s="53" t="s">
        <v>8</v>
      </c>
      <c r="C273" s="156">
        <v>60</v>
      </c>
      <c r="D273" s="80">
        <f>SUM(E272:E272)</f>
        <v>1500</v>
      </c>
      <c r="E273" s="80">
        <f>+D273/C273</f>
        <v>25</v>
      </c>
      <c r="F273" s="55"/>
    </row>
    <row r="274" spans="1:7">
      <c r="A274" s="16" t="s">
        <v>235</v>
      </c>
      <c r="B274" s="17" t="s">
        <v>10</v>
      </c>
      <c r="C274" s="69">
        <f>+C272</f>
        <v>1</v>
      </c>
      <c r="D274" s="89">
        <v>150</v>
      </c>
      <c r="E274" s="18">
        <f>C274*D274</f>
        <v>150</v>
      </c>
      <c r="F274" s="55"/>
    </row>
    <row r="275" spans="1:7" ht="13.5" thickBot="1">
      <c r="A275" s="16" t="s">
        <v>39</v>
      </c>
      <c r="B275" s="53" t="s">
        <v>8</v>
      </c>
      <c r="C275" s="156">
        <v>1</v>
      </c>
      <c r="D275" s="80">
        <v>150</v>
      </c>
      <c r="E275" s="80">
        <f>+D275/C275</f>
        <v>150</v>
      </c>
      <c r="F275" s="55"/>
    </row>
    <row r="276" spans="1:7" ht="13.5" thickBot="1">
      <c r="A276" s="81"/>
      <c r="B276" s="81"/>
      <c r="C276" s="81"/>
      <c r="D276" s="124" t="s">
        <v>206</v>
      </c>
      <c r="E276" s="50">
        <v>0.75</v>
      </c>
      <c r="F276" s="82">
        <f>(E273+E275)*E276</f>
        <v>131.25</v>
      </c>
    </row>
    <row r="277" spans="1:7" s="51" customFormat="1" ht="11.25" customHeight="1" thickBot="1">
      <c r="A277" s="9"/>
      <c r="B277" s="9"/>
      <c r="C277" s="9"/>
      <c r="D277" s="10"/>
      <c r="E277" s="10"/>
      <c r="F277" s="10"/>
      <c r="G277" s="84"/>
    </row>
    <row r="278" spans="1:7" ht="13.5" thickBot="1">
      <c r="A278" s="24" t="s">
        <v>233</v>
      </c>
      <c r="B278" s="25"/>
      <c r="C278" s="25"/>
      <c r="D278" s="26"/>
      <c r="E278" s="27"/>
      <c r="F278" s="21">
        <f>+F276</f>
        <v>131.25</v>
      </c>
    </row>
    <row r="279" spans="1:7" ht="11.25" customHeight="1" thickBot="1"/>
    <row r="280" spans="1:7" ht="17.25" customHeight="1" thickBot="1">
      <c r="A280" s="24" t="s">
        <v>238</v>
      </c>
      <c r="B280" s="28"/>
      <c r="C280" s="28"/>
      <c r="D280" s="29"/>
      <c r="E280" s="30"/>
      <c r="F280" s="22">
        <f>+F142+F176+F255+F267+F278</f>
        <v>14891.995537491006</v>
      </c>
    </row>
    <row r="281" spans="1:7" ht="11.25" customHeight="1"/>
    <row r="282" spans="1:7">
      <c r="A282" s="11" t="s">
        <v>94</v>
      </c>
    </row>
    <row r="283" spans="1:7" ht="11.25" customHeight="1" thickBot="1"/>
    <row r="284" spans="1:7" ht="13.5" thickBot="1">
      <c r="A284" s="60" t="s">
        <v>66</v>
      </c>
      <c r="B284" s="61" t="s">
        <v>67</v>
      </c>
      <c r="C284" s="61" t="s">
        <v>42</v>
      </c>
      <c r="D284" s="62" t="s">
        <v>248</v>
      </c>
      <c r="E284" s="62" t="s">
        <v>68</v>
      </c>
      <c r="F284" s="63" t="s">
        <v>69</v>
      </c>
    </row>
    <row r="285" spans="1:7" ht="13.5" thickBot="1">
      <c r="A285" s="13" t="s">
        <v>38</v>
      </c>
      <c r="B285" s="14" t="s">
        <v>2</v>
      </c>
      <c r="C285" s="142">
        <f>'4.BDI'!C20*100</f>
        <v>20.77</v>
      </c>
      <c r="D285" s="15">
        <f>+F280</f>
        <v>14891.995537491006</v>
      </c>
      <c r="E285" s="15">
        <f>C285*D285/100</f>
        <v>3093.0674731368817</v>
      </c>
    </row>
    <row r="286" spans="1:7" ht="13.5" thickBot="1">
      <c r="F286" s="21">
        <f>+E285</f>
        <v>3093.0674731368817</v>
      </c>
    </row>
    <row r="287" spans="1:7" ht="11.25" customHeight="1" thickBot="1"/>
    <row r="288" spans="1:7" ht="13.5" thickBot="1">
      <c r="A288" s="24" t="s">
        <v>253</v>
      </c>
      <c r="B288" s="28"/>
      <c r="C288" s="28"/>
      <c r="D288" s="29"/>
      <c r="E288" s="30"/>
      <c r="F288" s="22">
        <f>F286</f>
        <v>3093.0674731368817</v>
      </c>
    </row>
    <row r="289" spans="1:7">
      <c r="A289" s="34"/>
      <c r="B289" s="34"/>
      <c r="C289" s="34"/>
      <c r="D289" s="35"/>
      <c r="E289" s="35"/>
      <c r="F289" s="33"/>
    </row>
    <row r="290" spans="1:7" ht="11.25" customHeight="1" thickBot="1"/>
    <row r="291" spans="1:7" ht="24.75" customHeight="1" thickBot="1">
      <c r="A291" s="24" t="s">
        <v>239</v>
      </c>
      <c r="B291" s="28"/>
      <c r="C291" s="28"/>
      <c r="D291" s="29"/>
      <c r="E291" s="30"/>
      <c r="F291" s="22">
        <f>F280+F288</f>
        <v>17985.063010627888</v>
      </c>
    </row>
    <row r="292" spans="1:7" ht="12.6" customHeight="1">
      <c r="A292" s="56"/>
      <c r="B292" s="56"/>
      <c r="C292" s="56"/>
      <c r="D292" s="57"/>
      <c r="E292" s="57"/>
      <c r="F292" s="57"/>
    </row>
    <row r="293" spans="1:7" ht="14.25">
      <c r="A293" s="8"/>
      <c r="B293" s="8"/>
      <c r="C293" s="8"/>
      <c r="D293" s="36"/>
      <c r="E293" s="36"/>
    </row>
    <row r="294" spans="1:7" ht="16.149999999999999" customHeight="1">
      <c r="A294" s="253" t="s">
        <v>232</v>
      </c>
      <c r="B294" s="254"/>
      <c r="C294" s="254"/>
      <c r="D294" s="255">
        <f>'7. Dimensionamento'!C15</f>
        <v>26.655842211821479</v>
      </c>
      <c r="E294" s="256" t="s">
        <v>27</v>
      </c>
      <c r="F294" s="50">
        <v>160</v>
      </c>
      <c r="G294" s="10" t="s">
        <v>216</v>
      </c>
    </row>
    <row r="295" spans="1:7" ht="13.5" thickBot="1"/>
    <row r="296" spans="1:7" ht="25.5" customHeight="1" thickBot="1">
      <c r="A296" s="24" t="s">
        <v>73</v>
      </c>
      <c r="B296" s="25"/>
      <c r="C296" s="25"/>
      <c r="D296" s="26"/>
      <c r="E296" s="257" t="s">
        <v>34</v>
      </c>
      <c r="F296" s="258">
        <f>D294*F294</f>
        <v>4264.9347538914371</v>
      </c>
      <c r="G296" s="10" t="s">
        <v>216</v>
      </c>
    </row>
    <row r="297" spans="1:7" ht="12.6" customHeight="1" thickBot="1">
      <c r="A297" s="34"/>
      <c r="B297" s="34"/>
      <c r="C297" s="34"/>
      <c r="D297" s="35"/>
      <c r="E297" s="35"/>
      <c r="F297" s="35"/>
    </row>
    <row r="298" spans="1:7" s="4" customFormat="1" ht="18.75" customHeight="1" thickBot="1">
      <c r="A298" s="24" t="s">
        <v>319</v>
      </c>
      <c r="B298" s="25"/>
      <c r="C298" s="25"/>
      <c r="D298" s="26"/>
      <c r="E298" s="257" t="s">
        <v>318</v>
      </c>
      <c r="F298" s="258">
        <f>F291+F296</f>
        <v>22249.997764519325</v>
      </c>
      <c r="G298" s="6"/>
    </row>
    <row r="299" spans="1:7" s="4" customFormat="1" ht="9.75" customHeight="1">
      <c r="A299" s="39"/>
      <c r="B299" s="10"/>
      <c r="C299" s="10"/>
      <c r="D299" s="10"/>
      <c r="E299" s="10"/>
      <c r="F299" s="10"/>
      <c r="G299" s="6"/>
    </row>
    <row r="300" spans="1:7" s="4" customFormat="1" ht="9.75" customHeight="1">
      <c r="A300" s="39"/>
      <c r="B300" s="10"/>
      <c r="C300" s="10"/>
      <c r="D300" s="10"/>
      <c r="E300" s="10"/>
      <c r="F300" s="10"/>
      <c r="G300" s="6"/>
    </row>
    <row r="330" spans="4:7" ht="9" customHeight="1">
      <c r="D330" s="9"/>
      <c r="E330" s="9"/>
      <c r="F330" s="9"/>
      <c r="G330" s="9"/>
    </row>
  </sheetData>
  <mergeCells count="7">
    <mergeCell ref="A46:D46"/>
    <mergeCell ref="A23:C23"/>
    <mergeCell ref="A10:F10"/>
    <mergeCell ref="A11:F11"/>
    <mergeCell ref="A39:D39"/>
    <mergeCell ref="A13:F13"/>
    <mergeCell ref="A38:E38"/>
  </mergeCells>
  <phoneticPr fontId="9" type="noConversion"/>
  <hyperlinks>
    <hyperlink ref="A198" location="AbaRemun" display="3.1.2. Remuneração do Capital"/>
    <hyperlink ref="A182" location="AbaDeprec" display="3.1.1. Depreciação"/>
  </hyperlink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4" manualBreakCount="4">
    <brk id="51" max="5" man="1"/>
    <brk id="121" max="5" man="1"/>
    <brk id="177" max="5" man="1"/>
    <brk id="244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8"/>
  <sheetViews>
    <sheetView zoomScaleNormal="100" workbookViewId="0">
      <selection activeCell="D36" sqref="D36"/>
    </sheetView>
  </sheetViews>
  <sheetFormatPr defaultRowHeight="12.75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59" customWidth="1"/>
    <col min="5" max="10" width="9.140625" style="1"/>
    <col min="11" max="11" width="11" style="1" bestFit="1" customWidth="1"/>
    <col min="12" max="16384" width="9.140625" style="1"/>
  </cols>
  <sheetData>
    <row r="1" spans="1:12">
      <c r="A1" s="11" t="s">
        <v>214</v>
      </c>
    </row>
    <row r="2" spans="1:12">
      <c r="A2" s="141" t="s">
        <v>259</v>
      </c>
    </row>
    <row r="3" spans="1:12" s="4" customFormat="1" ht="15.6" customHeight="1">
      <c r="B3" s="140"/>
      <c r="C3" s="140"/>
      <c r="D3" s="140"/>
      <c r="E3" s="140"/>
      <c r="F3" s="140"/>
      <c r="G3" s="6"/>
    </row>
    <row r="4" spans="1:12" s="4" customFormat="1" ht="15.6" customHeight="1">
      <c r="A4" s="307" t="s">
        <v>307</v>
      </c>
      <c r="B4" s="140"/>
      <c r="C4" s="140"/>
      <c r="D4" s="140"/>
      <c r="E4" s="140"/>
      <c r="F4" s="140"/>
      <c r="G4" s="6"/>
    </row>
    <row r="5" spans="1:12" s="4" customFormat="1" ht="16.5" customHeight="1">
      <c r="A5" s="307" t="s">
        <v>304</v>
      </c>
      <c r="B5" s="5"/>
      <c r="C5" s="5"/>
      <c r="D5" s="6"/>
      <c r="E5" s="6"/>
      <c r="F5" s="6"/>
      <c r="G5" s="6"/>
    </row>
    <row r="6" spans="1:12" ht="13.5" thickBot="1"/>
    <row r="7" spans="1:12" ht="18">
      <c r="A7" s="336" t="s">
        <v>242</v>
      </c>
      <c r="B7" s="337"/>
      <c r="C7" s="338"/>
      <c r="D7" s="151"/>
      <c r="E7" s="151"/>
      <c r="F7" s="151"/>
    </row>
    <row r="8" spans="1:12" ht="14.25">
      <c r="A8" s="170" t="s">
        <v>152</v>
      </c>
      <c r="B8" s="171" t="s">
        <v>153</v>
      </c>
      <c r="C8" s="172" t="s">
        <v>154</v>
      </c>
      <c r="D8" s="173"/>
    </row>
    <row r="9" spans="1:12" ht="14.25">
      <c r="A9" s="170" t="s">
        <v>155</v>
      </c>
      <c r="B9" s="171" t="s">
        <v>43</v>
      </c>
      <c r="C9" s="174">
        <v>0.2</v>
      </c>
      <c r="D9" s="173"/>
      <c r="F9" s="159"/>
      <c r="G9" s="159"/>
      <c r="H9" s="159"/>
      <c r="I9" s="159"/>
      <c r="J9" s="159"/>
      <c r="K9" s="159"/>
      <c r="L9" s="159"/>
    </row>
    <row r="10" spans="1:12" ht="14.25">
      <c r="A10" s="170" t="s">
        <v>156</v>
      </c>
      <c r="B10" s="171" t="s">
        <v>157</v>
      </c>
      <c r="C10" s="174">
        <v>1.4999999999999999E-2</v>
      </c>
      <c r="D10" s="173"/>
      <c r="F10" s="159"/>
      <c r="G10" s="159"/>
      <c r="H10" s="159"/>
      <c r="I10" s="159"/>
      <c r="J10" s="159"/>
      <c r="K10" s="159"/>
      <c r="L10" s="159"/>
    </row>
    <row r="11" spans="1:12" ht="14.25">
      <c r="A11" s="170" t="s">
        <v>158</v>
      </c>
      <c r="B11" s="171" t="s">
        <v>159</v>
      </c>
      <c r="C11" s="174">
        <v>0.01</v>
      </c>
      <c r="D11" s="173"/>
      <c r="F11" s="159"/>
      <c r="G11" s="159"/>
      <c r="H11" s="159"/>
      <c r="I11" s="159"/>
      <c r="J11" s="159"/>
      <c r="K11" s="159"/>
      <c r="L11" s="159"/>
    </row>
    <row r="12" spans="1:12" ht="14.25">
      <c r="A12" s="170" t="s">
        <v>160</v>
      </c>
      <c r="B12" s="171" t="s">
        <v>161</v>
      </c>
      <c r="C12" s="174">
        <v>2E-3</v>
      </c>
      <c r="D12" s="173"/>
      <c r="F12" s="159"/>
      <c r="G12" s="159"/>
      <c r="H12" s="159"/>
      <c r="I12" s="159"/>
      <c r="J12" s="159"/>
      <c r="K12" s="159"/>
      <c r="L12" s="159"/>
    </row>
    <row r="13" spans="1:12" ht="14.25">
      <c r="A13" s="170" t="s">
        <v>162</v>
      </c>
      <c r="B13" s="171" t="s">
        <v>163</v>
      </c>
      <c r="C13" s="174">
        <v>6.0000000000000001E-3</v>
      </c>
      <c r="D13" s="173"/>
      <c r="F13" s="159"/>
      <c r="G13" s="159"/>
      <c r="H13" s="159"/>
      <c r="I13" s="159"/>
      <c r="J13" s="159"/>
      <c r="K13" s="159"/>
      <c r="L13" s="159"/>
    </row>
    <row r="14" spans="1:12" ht="14.25">
      <c r="A14" s="170" t="s">
        <v>164</v>
      </c>
      <c r="B14" s="171" t="s">
        <v>165</v>
      </c>
      <c r="C14" s="174">
        <v>2.5000000000000001E-2</v>
      </c>
      <c r="D14" s="173"/>
      <c r="F14" s="159"/>
      <c r="G14" s="159"/>
      <c r="H14" s="159"/>
      <c r="I14" s="159"/>
      <c r="J14" s="159"/>
      <c r="K14" s="159"/>
      <c r="L14" s="159"/>
    </row>
    <row r="15" spans="1:12" ht="14.25">
      <c r="A15" s="170" t="s">
        <v>166</v>
      </c>
      <c r="B15" s="171" t="s">
        <v>167</v>
      </c>
      <c r="C15" s="174">
        <v>0.03</v>
      </c>
      <c r="D15" s="173"/>
      <c r="F15" s="159"/>
      <c r="G15" s="159"/>
      <c r="H15" s="159"/>
      <c r="I15" s="159"/>
      <c r="J15" s="159"/>
      <c r="K15" s="159"/>
      <c r="L15" s="159"/>
    </row>
    <row r="16" spans="1:12" ht="14.25">
      <c r="A16" s="170" t="s">
        <v>168</v>
      </c>
      <c r="B16" s="171" t="s">
        <v>44</v>
      </c>
      <c r="C16" s="174">
        <v>0.08</v>
      </c>
      <c r="D16" s="175"/>
      <c r="F16" s="159"/>
      <c r="G16" s="159"/>
      <c r="H16" s="159"/>
      <c r="I16" s="159"/>
      <c r="J16" s="159"/>
      <c r="K16" s="159"/>
      <c r="L16" s="159"/>
    </row>
    <row r="17" spans="1:12" ht="15">
      <c r="A17" s="170" t="s">
        <v>169</v>
      </c>
      <c r="B17" s="176" t="s">
        <v>170</v>
      </c>
      <c r="C17" s="177">
        <f>SUM(C9:C16)</f>
        <v>0.36800000000000005</v>
      </c>
      <c r="D17" s="175"/>
      <c r="F17" s="159"/>
      <c r="G17" s="159"/>
      <c r="H17" s="159"/>
      <c r="I17" s="159"/>
      <c r="J17" s="159"/>
      <c r="K17" s="159"/>
      <c r="L17" s="159"/>
    </row>
    <row r="18" spans="1:12" ht="15">
      <c r="A18" s="178"/>
      <c r="B18" s="179"/>
      <c r="C18" s="180"/>
      <c r="D18" s="175"/>
      <c r="F18" s="159"/>
      <c r="G18" s="159"/>
      <c r="H18" s="159"/>
      <c r="I18" s="159"/>
      <c r="J18" s="159"/>
      <c r="K18" s="159"/>
      <c r="L18" s="159"/>
    </row>
    <row r="19" spans="1:12" ht="14.25">
      <c r="A19" s="170" t="s">
        <v>171</v>
      </c>
      <c r="B19" s="181" t="s">
        <v>172</v>
      </c>
      <c r="C19" s="174">
        <f>ROUND(IF('3.CAGED'!C28&gt;24,(1-12/'3.CAGED'!C28)*0.1111,0.1111-C28),4)</f>
        <v>6.1899999999999997E-2</v>
      </c>
      <c r="D19" s="175"/>
      <c r="F19" s="159"/>
      <c r="G19" s="159"/>
      <c r="H19" s="159"/>
      <c r="I19" s="159"/>
      <c r="J19" s="159"/>
      <c r="K19" s="159"/>
      <c r="L19" s="159"/>
    </row>
    <row r="20" spans="1:12" ht="14.25">
      <c r="A20" s="170" t="s">
        <v>173</v>
      </c>
      <c r="B20" s="181" t="s">
        <v>174</v>
      </c>
      <c r="C20" s="174">
        <f>ROUND('3.CAGED'!C32/'3.CAGED'!C29,4)</f>
        <v>8.3299999999999999E-2</v>
      </c>
      <c r="D20" s="175"/>
      <c r="F20" s="159"/>
      <c r="G20" s="159"/>
      <c r="H20" s="159"/>
      <c r="I20" s="159"/>
      <c r="J20" s="159"/>
      <c r="K20" s="159"/>
      <c r="L20" s="159"/>
    </row>
    <row r="21" spans="1:12" ht="14.25">
      <c r="A21" s="170" t="s">
        <v>230</v>
      </c>
      <c r="B21" s="181" t="s">
        <v>176</v>
      </c>
      <c r="C21" s="174">
        <v>5.9999999999999995E-4</v>
      </c>
      <c r="D21" s="175"/>
      <c r="F21" s="159"/>
      <c r="G21" s="159"/>
      <c r="H21" s="159"/>
      <c r="I21" s="159"/>
      <c r="J21" s="159"/>
      <c r="K21" s="159"/>
      <c r="L21" s="159"/>
    </row>
    <row r="22" spans="1:12" ht="14.25">
      <c r="A22" s="170" t="s">
        <v>175</v>
      </c>
      <c r="B22" s="181" t="s">
        <v>178</v>
      </c>
      <c r="C22" s="174">
        <v>8.2000000000000007E-3</v>
      </c>
      <c r="D22" s="175"/>
      <c r="F22" s="159"/>
      <c r="G22" s="159"/>
      <c r="H22" s="159"/>
      <c r="I22" s="159"/>
      <c r="J22" s="159"/>
      <c r="K22" s="159"/>
      <c r="L22" s="159"/>
    </row>
    <row r="23" spans="1:12" ht="14.25">
      <c r="A23" s="170" t="s">
        <v>177</v>
      </c>
      <c r="B23" s="181" t="s">
        <v>180</v>
      </c>
      <c r="C23" s="174">
        <v>3.0999999999999999E-3</v>
      </c>
      <c r="D23" s="175"/>
      <c r="F23" s="159"/>
      <c r="G23" s="159"/>
      <c r="H23" s="159"/>
      <c r="I23" s="159"/>
      <c r="J23" s="159"/>
      <c r="K23" s="159"/>
      <c r="L23" s="159"/>
    </row>
    <row r="24" spans="1:12" ht="14.25">
      <c r="A24" s="170" t="s">
        <v>179</v>
      </c>
      <c r="B24" s="181" t="s">
        <v>181</v>
      </c>
      <c r="C24" s="174">
        <v>1.66E-2</v>
      </c>
      <c r="D24" s="175"/>
      <c r="F24" s="159"/>
      <c r="G24" s="159"/>
      <c r="H24" s="159"/>
      <c r="I24" s="159"/>
      <c r="J24" s="159"/>
      <c r="K24" s="159"/>
      <c r="L24" s="159"/>
    </row>
    <row r="25" spans="1:12" ht="15">
      <c r="A25" s="170" t="s">
        <v>182</v>
      </c>
      <c r="B25" s="176" t="s">
        <v>183</v>
      </c>
      <c r="C25" s="177">
        <f>SUM(C19:C24)</f>
        <v>0.17369999999999999</v>
      </c>
      <c r="D25" s="182"/>
      <c r="F25" s="159"/>
      <c r="G25" s="159"/>
      <c r="H25" s="159"/>
      <c r="I25" s="159"/>
      <c r="J25" s="159"/>
      <c r="K25" s="159"/>
      <c r="L25" s="159"/>
    </row>
    <row r="26" spans="1:12" ht="15">
      <c r="A26" s="178"/>
      <c r="B26" s="179"/>
      <c r="C26" s="180"/>
      <c r="D26" s="182"/>
      <c r="F26" s="159"/>
      <c r="G26" s="159"/>
      <c r="H26" s="159"/>
      <c r="I26" s="159"/>
      <c r="J26" s="159"/>
      <c r="K26" s="159"/>
      <c r="L26" s="159"/>
    </row>
    <row r="27" spans="1:12" ht="14.25">
      <c r="A27" s="170" t="s">
        <v>184</v>
      </c>
      <c r="B27" s="171" t="s">
        <v>185</v>
      </c>
      <c r="C27" s="174">
        <f>ROUND(('3.CAGED'!C33) *'3.CAGED'!C26/'3.CAGED'!C29,4)</f>
        <v>2.5600000000000001E-2</v>
      </c>
      <c r="D27" s="175"/>
      <c r="E27" s="183"/>
      <c r="F27" s="159"/>
      <c r="G27" s="159"/>
      <c r="H27" s="159"/>
      <c r="I27" s="159"/>
      <c r="J27" s="159"/>
      <c r="K27" s="159"/>
      <c r="L27" s="159"/>
    </row>
    <row r="28" spans="1:12" ht="14.25">
      <c r="A28" s="170" t="s">
        <v>229</v>
      </c>
      <c r="B28" s="171" t="s">
        <v>187</v>
      </c>
      <c r="C28" s="174">
        <f>ROUND(IF('3.CAGED'!C28&gt;12,12/'3.CAGED'!C28*0.1111,0.1111),4)</f>
        <v>4.9200000000000001E-2</v>
      </c>
      <c r="D28" s="175"/>
      <c r="F28" s="159"/>
      <c r="G28" s="159"/>
      <c r="H28" s="184"/>
      <c r="I28" s="159"/>
      <c r="J28" s="159"/>
      <c r="K28" s="159"/>
      <c r="L28" s="159"/>
    </row>
    <row r="29" spans="1:12" ht="14.25">
      <c r="A29" s="170" t="s">
        <v>186</v>
      </c>
      <c r="B29" s="171" t="s">
        <v>189</v>
      </c>
      <c r="C29" s="174">
        <f>(('3.CAGED'!C30+'3.CAGED'!C31)/360*C27)</f>
        <v>2.8444444444444446E-3</v>
      </c>
      <c r="D29" s="175"/>
      <c r="E29" s="183"/>
      <c r="F29" s="159"/>
      <c r="G29" s="159"/>
      <c r="H29" s="159"/>
      <c r="I29" s="159"/>
      <c r="J29" s="159"/>
      <c r="K29" s="159"/>
      <c r="L29" s="159"/>
    </row>
    <row r="30" spans="1:12" ht="14.25">
      <c r="A30" s="170" t="s">
        <v>188</v>
      </c>
      <c r="B30" s="171" t="s">
        <v>191</v>
      </c>
      <c r="C30" s="174">
        <f>ROUND(('3.CAGED'!C29+'3.CAGED'!C30+'3.CAGED'!C32)/'3.CAGED'!C27*'3.CAGED'!C34*'3.CAGED'!C35*'3.CAGED'!C26/'3.CAGED'!C29,4)</f>
        <v>2.0500000000000001E-2</v>
      </c>
      <c r="D30" s="175"/>
      <c r="F30" s="159"/>
      <c r="G30" s="185"/>
      <c r="H30" s="159"/>
      <c r="I30" s="159"/>
      <c r="J30" s="159"/>
      <c r="K30" s="159"/>
      <c r="L30" s="159"/>
    </row>
    <row r="31" spans="1:12" ht="14.25">
      <c r="A31" s="170" t="s">
        <v>190</v>
      </c>
      <c r="B31" s="171" t="s">
        <v>192</v>
      </c>
      <c r="C31" s="174">
        <f>ROUND(('3.CAGED'!C31/'3.CAGED'!C29)*'3.CAGED'!C26/12,4)</f>
        <v>1.8E-3</v>
      </c>
      <c r="D31" s="175"/>
      <c r="F31" s="159"/>
      <c r="G31" s="159"/>
      <c r="H31" s="159"/>
      <c r="I31" s="159"/>
      <c r="J31" s="159"/>
      <c r="K31" s="159"/>
      <c r="L31" s="159"/>
    </row>
    <row r="32" spans="1:12" ht="15">
      <c r="A32" s="170" t="s">
        <v>193</v>
      </c>
      <c r="B32" s="176" t="s">
        <v>194</v>
      </c>
      <c r="C32" s="177">
        <f>SUM(C27:C31)</f>
        <v>9.9944444444444447E-2</v>
      </c>
      <c r="D32" s="182"/>
      <c r="F32" s="159"/>
      <c r="G32" s="159"/>
      <c r="H32" s="159"/>
      <c r="I32" s="159"/>
      <c r="J32" s="159"/>
      <c r="K32" s="159"/>
      <c r="L32" s="159"/>
    </row>
    <row r="33" spans="1:12" ht="15">
      <c r="A33" s="178"/>
      <c r="B33" s="179"/>
      <c r="C33" s="180"/>
      <c r="D33" s="182"/>
      <c r="F33" s="159"/>
      <c r="G33" s="159"/>
      <c r="H33" s="159"/>
      <c r="I33" s="159"/>
      <c r="J33" s="159"/>
      <c r="K33" s="159"/>
      <c r="L33" s="159"/>
    </row>
    <row r="34" spans="1:12" ht="14.25">
      <c r="A34" s="170" t="s">
        <v>195</v>
      </c>
      <c r="B34" s="171" t="s">
        <v>196</v>
      </c>
      <c r="C34" s="174">
        <f>ROUND(C17*C25,24)</f>
        <v>6.3921599999999995E-2</v>
      </c>
      <c r="D34" s="175"/>
      <c r="F34" s="159"/>
      <c r="G34" s="159"/>
      <c r="H34" s="159"/>
      <c r="I34" s="159"/>
      <c r="J34" s="159"/>
      <c r="K34" s="159"/>
      <c r="L34" s="159"/>
    </row>
    <row r="35" spans="1:12" ht="28.5">
      <c r="A35" s="170" t="s">
        <v>197</v>
      </c>
      <c r="B35" s="186" t="s">
        <v>303</v>
      </c>
      <c r="C35" s="174">
        <f>ROUND((C27*C17),4)</f>
        <v>9.4000000000000004E-3</v>
      </c>
      <c r="D35" s="175"/>
      <c r="F35" s="159"/>
      <c r="G35" s="159"/>
      <c r="H35" s="159"/>
      <c r="I35" s="159"/>
      <c r="J35" s="159"/>
      <c r="K35" s="159"/>
      <c r="L35" s="159"/>
    </row>
    <row r="36" spans="1:12" ht="15">
      <c r="A36" s="170" t="s">
        <v>198</v>
      </c>
      <c r="B36" s="176" t="s">
        <v>199</v>
      </c>
      <c r="C36" s="177">
        <f>SUM(C34:C35)</f>
        <v>7.3321600000000001E-2</v>
      </c>
      <c r="D36" s="187"/>
      <c r="F36" s="159"/>
      <c r="G36" s="159"/>
      <c r="H36" s="159"/>
      <c r="I36" s="159"/>
      <c r="J36" s="159"/>
      <c r="K36" s="159"/>
      <c r="L36" s="159"/>
    </row>
    <row r="37" spans="1:12" ht="15.75" thickBot="1">
      <c r="A37" s="188"/>
      <c r="B37" s="189" t="s">
        <v>200</v>
      </c>
      <c r="C37" s="190">
        <f>C36+C32+C25+C17</f>
        <v>0.71496604444444456</v>
      </c>
      <c r="D37" s="187"/>
      <c r="F37" s="159"/>
      <c r="G37" s="159"/>
      <c r="H37" s="159"/>
      <c r="I37" s="159"/>
      <c r="J37" s="159"/>
      <c r="K37" s="159"/>
      <c r="L37" s="159"/>
    </row>
    <row r="38" spans="1:12" ht="15">
      <c r="A38" s="175"/>
      <c r="B38" s="191"/>
      <c r="C38" s="192"/>
      <c r="D38" s="193"/>
      <c r="F38" s="159"/>
      <c r="G38" s="159"/>
      <c r="H38" s="159"/>
      <c r="I38" s="159"/>
      <c r="J38" s="159"/>
      <c r="K38" s="159"/>
      <c r="L38" s="159"/>
    </row>
    <row r="39" spans="1:12" ht="14.25">
      <c r="A39" s="175"/>
      <c r="B39" s="175"/>
      <c r="C39" s="194"/>
      <c r="D39" s="195"/>
      <c r="F39" s="159"/>
      <c r="G39" s="159"/>
      <c r="H39" s="159"/>
      <c r="I39" s="159"/>
      <c r="J39" s="159"/>
      <c r="K39" s="159"/>
      <c r="L39" s="159"/>
    </row>
    <row r="40" spans="1:12" ht="14.25">
      <c r="A40" s="173"/>
      <c r="B40" s="173"/>
      <c r="C40" s="196"/>
      <c r="D40" s="173"/>
      <c r="F40" s="159"/>
      <c r="G40" s="159"/>
      <c r="H40" s="159"/>
      <c r="I40" s="159"/>
      <c r="J40" s="159"/>
      <c r="K40" s="159"/>
      <c r="L40" s="159"/>
    </row>
    <row r="41" spans="1:12" ht="14.25">
      <c r="A41" s="173"/>
      <c r="B41" s="173"/>
      <c r="C41" s="196"/>
      <c r="D41" s="173"/>
      <c r="F41" s="159"/>
      <c r="G41" s="159"/>
      <c r="H41" s="159"/>
      <c r="I41" s="159"/>
      <c r="J41" s="159"/>
      <c r="K41" s="159"/>
      <c r="L41" s="159"/>
    </row>
    <row r="42" spans="1:12" ht="14.25">
      <c r="A42" s="173"/>
      <c r="B42" s="173"/>
      <c r="C42" s="196"/>
      <c r="D42" s="173"/>
      <c r="F42" s="159"/>
      <c r="G42" s="159"/>
      <c r="H42" s="159"/>
      <c r="I42" s="159"/>
      <c r="J42" s="159"/>
      <c r="K42" s="159"/>
      <c r="L42" s="159"/>
    </row>
    <row r="43" spans="1:12" ht="15">
      <c r="A43" s="173"/>
      <c r="B43" s="197"/>
      <c r="C43" s="198"/>
      <c r="D43" s="173"/>
      <c r="F43" s="159"/>
      <c r="G43" s="159"/>
      <c r="H43" s="159"/>
      <c r="I43" s="159"/>
      <c r="J43" s="159"/>
      <c r="K43" s="159"/>
      <c r="L43" s="159"/>
    </row>
    <row r="44" spans="1:12" ht="15">
      <c r="A44" s="187"/>
      <c r="B44" s="197"/>
      <c r="C44" s="198"/>
      <c r="D44" s="187"/>
      <c r="E44" s="159"/>
      <c r="F44" s="159"/>
      <c r="G44" s="159"/>
      <c r="H44" s="159"/>
      <c r="I44" s="159"/>
      <c r="J44" s="159"/>
      <c r="K44" s="159"/>
      <c r="L44" s="159"/>
    </row>
    <row r="45" spans="1:12" ht="16.5">
      <c r="A45" s="199"/>
      <c r="B45" s="159"/>
      <c r="C45" s="159"/>
      <c r="E45" s="159"/>
      <c r="F45" s="159"/>
      <c r="G45" s="159"/>
      <c r="H45" s="159"/>
      <c r="I45" s="159"/>
      <c r="J45" s="159"/>
      <c r="K45" s="159"/>
      <c r="L45" s="159"/>
    </row>
    <row r="46" spans="1:12">
      <c r="A46" s="200"/>
      <c r="B46" s="201"/>
      <c r="C46" s="201"/>
      <c r="E46" s="159"/>
      <c r="F46" s="159"/>
      <c r="G46" s="159"/>
      <c r="H46" s="159"/>
      <c r="I46" s="159"/>
      <c r="J46" s="159"/>
      <c r="K46" s="159"/>
      <c r="L46" s="159"/>
    </row>
    <row r="47" spans="1:12" ht="14.25">
      <c r="A47" s="173"/>
      <c r="B47" s="202"/>
      <c r="C47" s="201"/>
      <c r="E47" s="159"/>
      <c r="F47" s="159"/>
      <c r="G47" s="159"/>
      <c r="H47" s="159"/>
      <c r="I47" s="159"/>
      <c r="J47" s="159"/>
      <c r="K47" s="159"/>
      <c r="L47" s="159"/>
    </row>
    <row r="48" spans="1:12" ht="14.25">
      <c r="A48" s="173"/>
      <c r="B48" s="202"/>
      <c r="C48" s="173"/>
      <c r="E48" s="159"/>
      <c r="F48" s="159"/>
      <c r="G48" s="159"/>
      <c r="H48" s="159"/>
      <c r="I48" s="159"/>
      <c r="J48" s="159"/>
      <c r="K48" s="159"/>
      <c r="L48" s="159"/>
    </row>
    <row r="49" spans="1:12" ht="14.25">
      <c r="A49" s="173"/>
      <c r="B49" s="196"/>
      <c r="C49" s="201"/>
      <c r="E49" s="159"/>
      <c r="F49" s="159"/>
      <c r="G49" s="159"/>
      <c r="H49" s="159"/>
      <c r="I49" s="159"/>
      <c r="J49" s="159"/>
      <c r="K49" s="159"/>
      <c r="L49" s="159"/>
    </row>
    <row r="50" spans="1:12" ht="14.25">
      <c r="A50" s="173"/>
      <c r="B50" s="202"/>
      <c r="C50" s="173"/>
      <c r="E50" s="159"/>
      <c r="F50" s="159"/>
      <c r="G50" s="159"/>
      <c r="H50" s="159"/>
      <c r="I50" s="159"/>
      <c r="J50" s="159"/>
      <c r="K50" s="159"/>
      <c r="L50" s="159"/>
    </row>
    <row r="51" spans="1:12" ht="14.25">
      <c r="A51" s="173"/>
      <c r="B51" s="196"/>
      <c r="C51" s="201"/>
      <c r="E51" s="159"/>
      <c r="F51" s="159"/>
      <c r="G51" s="159"/>
      <c r="H51" s="159"/>
      <c r="I51" s="159"/>
      <c r="J51" s="159"/>
      <c r="K51" s="159"/>
      <c r="L51" s="159"/>
    </row>
    <row r="52" spans="1:12" ht="14.25">
      <c r="A52" s="173"/>
      <c r="B52" s="202"/>
      <c r="C52" s="173"/>
      <c r="E52" s="159"/>
      <c r="F52" s="159"/>
      <c r="G52" s="159"/>
      <c r="H52" s="159"/>
      <c r="I52" s="159"/>
      <c r="J52" s="159"/>
      <c r="K52" s="159"/>
      <c r="L52" s="159"/>
    </row>
    <row r="53" spans="1:12" ht="14.25">
      <c r="A53" s="173"/>
      <c r="B53" s="196"/>
      <c r="C53" s="201"/>
      <c r="E53" s="159"/>
      <c r="F53" s="159"/>
      <c r="G53" s="159"/>
      <c r="H53" s="159"/>
      <c r="I53" s="159"/>
      <c r="J53" s="159"/>
      <c r="K53" s="159"/>
      <c r="L53" s="159"/>
    </row>
    <row r="54" spans="1:12" ht="14.25">
      <c r="A54" s="173"/>
      <c r="B54" s="202"/>
      <c r="C54" s="173"/>
      <c r="E54" s="159"/>
      <c r="F54" s="159"/>
      <c r="G54" s="159"/>
      <c r="H54" s="159"/>
      <c r="I54" s="159"/>
      <c r="J54" s="159"/>
      <c r="K54" s="159"/>
      <c r="L54" s="159"/>
    </row>
    <row r="55" spans="1:12" ht="14.25">
      <c r="A55" s="173"/>
      <c r="B55" s="196"/>
      <c r="C55" s="201"/>
      <c r="E55" s="159"/>
      <c r="F55" s="159"/>
      <c r="G55" s="159"/>
      <c r="H55" s="159"/>
      <c r="I55" s="159"/>
      <c r="J55" s="159"/>
      <c r="K55" s="159"/>
      <c r="L55" s="159"/>
    </row>
    <row r="56" spans="1:12" ht="16.5">
      <c r="A56" s="199"/>
      <c r="B56" s="159"/>
      <c r="C56" s="159"/>
      <c r="E56" s="159"/>
      <c r="F56" s="159"/>
      <c r="G56" s="159"/>
      <c r="H56" s="159"/>
      <c r="I56" s="159"/>
      <c r="J56" s="159"/>
      <c r="K56" s="159"/>
      <c r="L56" s="159"/>
    </row>
    <row r="57" spans="1:12">
      <c r="A57" s="159"/>
      <c r="B57" s="159"/>
      <c r="C57" s="159"/>
      <c r="E57" s="159"/>
      <c r="F57" s="159"/>
      <c r="G57" s="159"/>
      <c r="H57" s="159"/>
      <c r="I57" s="159"/>
      <c r="J57" s="159"/>
      <c r="K57" s="159"/>
      <c r="L57" s="159"/>
    </row>
    <row r="58" spans="1:12">
      <c r="A58" s="159"/>
      <c r="B58" s="159"/>
      <c r="C58" s="159"/>
      <c r="E58" s="159"/>
      <c r="F58" s="159"/>
      <c r="G58" s="159"/>
      <c r="H58" s="159"/>
      <c r="I58" s="159"/>
      <c r="J58" s="159"/>
      <c r="K58" s="159"/>
      <c r="L58" s="159"/>
    </row>
    <row r="59" spans="1:12">
      <c r="A59" s="203"/>
      <c r="B59" s="159"/>
      <c r="C59" s="159"/>
      <c r="E59" s="159"/>
      <c r="F59" s="159"/>
      <c r="G59" s="159"/>
      <c r="H59" s="159"/>
      <c r="I59" s="159"/>
      <c r="J59" s="159"/>
      <c r="K59" s="159"/>
      <c r="L59" s="159"/>
    </row>
    <row r="60" spans="1:12">
      <c r="A60" s="159"/>
      <c r="B60" s="159"/>
      <c r="C60" s="159"/>
      <c r="E60" s="159"/>
    </row>
    <row r="61" spans="1:12">
      <c r="A61" s="159"/>
      <c r="B61" s="159"/>
      <c r="C61" s="159"/>
      <c r="E61" s="159"/>
    </row>
    <row r="62" spans="1:12">
      <c r="A62" s="159"/>
      <c r="B62" s="159"/>
      <c r="C62" s="159"/>
      <c r="E62" s="159"/>
    </row>
    <row r="63" spans="1:12">
      <c r="A63" s="159"/>
      <c r="B63" s="159"/>
      <c r="C63" s="159"/>
      <c r="E63" s="159"/>
    </row>
    <row r="64" spans="1:12">
      <c r="A64" s="159"/>
      <c r="B64" s="159"/>
      <c r="C64" s="159"/>
      <c r="E64" s="159"/>
    </row>
    <row r="65" spans="1:5">
      <c r="A65" s="159"/>
      <c r="B65" s="159"/>
      <c r="C65" s="159"/>
      <c r="E65" s="159"/>
    </row>
    <row r="66" spans="1:5">
      <c r="A66" s="159"/>
      <c r="B66" s="159"/>
      <c r="C66" s="159"/>
      <c r="E66" s="159"/>
    </row>
    <row r="67" spans="1:5">
      <c r="A67" s="159"/>
      <c r="B67" s="159"/>
      <c r="C67" s="159"/>
      <c r="E67" s="159"/>
    </row>
    <row r="68" spans="1:5">
      <c r="A68" s="159"/>
      <c r="B68" s="159"/>
      <c r="C68" s="159"/>
      <c r="E68" s="159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5"/>
  <sheetViews>
    <sheetView zoomScaleNormal="100" workbookViewId="0">
      <selection activeCell="E32" sqref="E32"/>
    </sheetView>
  </sheetViews>
  <sheetFormatPr defaultRowHeight="12.75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>
      <c r="A1" s="108" t="s">
        <v>254</v>
      </c>
    </row>
    <row r="3" spans="1:3">
      <c r="A3" s="309" t="s">
        <v>315</v>
      </c>
    </row>
    <row r="5" spans="1:3">
      <c r="A5" s="309" t="s">
        <v>314</v>
      </c>
    </row>
    <row r="6" spans="1:3" ht="13.5" thickBot="1"/>
    <row r="7" spans="1:3" ht="18">
      <c r="B7" s="339" t="s">
        <v>240</v>
      </c>
      <c r="C7" s="340"/>
    </row>
    <row r="8" spans="1:3" ht="15">
      <c r="A8" s="159"/>
      <c r="B8" s="158" t="s">
        <v>217</v>
      </c>
      <c r="C8" s="204"/>
    </row>
    <row r="9" spans="1:3" ht="15">
      <c r="A9" s="159"/>
      <c r="B9" s="160" t="s">
        <v>136</v>
      </c>
      <c r="C9" s="161">
        <v>2100</v>
      </c>
    </row>
    <row r="10" spans="1:3" ht="15">
      <c r="A10" s="159"/>
      <c r="B10" s="162" t="s">
        <v>137</v>
      </c>
      <c r="C10" s="161">
        <v>2031</v>
      </c>
    </row>
    <row r="11" spans="1:3" ht="14.25">
      <c r="A11" s="159"/>
      <c r="B11" s="205" t="s">
        <v>138</v>
      </c>
      <c r="C11" s="206">
        <v>44</v>
      </c>
    </row>
    <row r="12" spans="1:3" ht="14.25">
      <c r="A12" s="159"/>
      <c r="B12" s="205" t="s">
        <v>139</v>
      </c>
      <c r="C12" s="206">
        <v>1192</v>
      </c>
    </row>
    <row r="13" spans="1:3" ht="14.25">
      <c r="A13" s="159"/>
      <c r="B13" s="205" t="s">
        <v>140</v>
      </c>
      <c r="C13" s="206">
        <v>372</v>
      </c>
    </row>
    <row r="14" spans="1:3" ht="14.25">
      <c r="A14" s="159"/>
      <c r="B14" s="205" t="s">
        <v>141</v>
      </c>
      <c r="C14" s="206">
        <v>22</v>
      </c>
    </row>
    <row r="15" spans="1:3" ht="14.25">
      <c r="A15" s="159"/>
      <c r="B15" s="205" t="s">
        <v>142</v>
      </c>
      <c r="C15" s="206">
        <v>350</v>
      </c>
    </row>
    <row r="16" spans="1:3" ht="14.25">
      <c r="A16" s="159"/>
      <c r="B16" s="205" t="s">
        <v>143</v>
      </c>
      <c r="C16" s="206">
        <v>1</v>
      </c>
    </row>
    <row r="17" spans="1:5" ht="14.25">
      <c r="A17" s="159"/>
      <c r="B17" s="205" t="s">
        <v>144</v>
      </c>
      <c r="C17" s="206">
        <v>30</v>
      </c>
    </row>
    <row r="18" spans="1:5" ht="14.25">
      <c r="A18" s="159"/>
      <c r="B18" s="207" t="s">
        <v>145</v>
      </c>
      <c r="C18" s="208">
        <v>0</v>
      </c>
    </row>
    <row r="19" spans="1:5" ht="14.25">
      <c r="A19" s="159"/>
      <c r="B19" s="315" t="s">
        <v>310</v>
      </c>
      <c r="C19" s="208">
        <v>0</v>
      </c>
    </row>
    <row r="20" spans="1:5" ht="15">
      <c r="A20" s="159" t="s">
        <v>146</v>
      </c>
      <c r="B20" s="158" t="s">
        <v>147</v>
      </c>
      <c r="C20" s="204"/>
    </row>
    <row r="21" spans="1:5" ht="14.25">
      <c r="A21" s="159"/>
      <c r="B21" s="209" t="s">
        <v>312</v>
      </c>
      <c r="C21" s="210">
        <v>4625</v>
      </c>
    </row>
    <row r="22" spans="1:5" ht="14.25">
      <c r="A22" s="159"/>
      <c r="B22" s="205" t="s">
        <v>313</v>
      </c>
      <c r="C22" s="206">
        <v>4694</v>
      </c>
    </row>
    <row r="23" spans="1:5" ht="14.25">
      <c r="B23" s="205" t="s">
        <v>311</v>
      </c>
      <c r="C23" s="308">
        <f>C9-C10</f>
        <v>69</v>
      </c>
    </row>
    <row r="24" spans="1:5" ht="14.25">
      <c r="B24" s="211"/>
      <c r="C24" s="212"/>
    </row>
    <row r="25" spans="1:5" s="108" customFormat="1" ht="15">
      <c r="B25" s="160" t="s">
        <v>149</v>
      </c>
      <c r="C25" s="213">
        <f>MEDIAN(C21,C22)</f>
        <v>4659.5</v>
      </c>
    </row>
    <row r="26" spans="1:5" ht="15">
      <c r="B26" s="162" t="s">
        <v>308</v>
      </c>
      <c r="C26" s="313">
        <f>C12/C25</f>
        <v>0.25582144006867691</v>
      </c>
    </row>
    <row r="27" spans="1:5" ht="15">
      <c r="B27" s="162" t="s">
        <v>309</v>
      </c>
      <c r="C27" s="313">
        <f>MEDIAN(C9,C10)/C25</f>
        <v>0.44328790642772831</v>
      </c>
      <c r="E27" s="280"/>
    </row>
    <row r="28" spans="1:5" s="108" customFormat="1" ht="15">
      <c r="B28" s="162" t="s">
        <v>260</v>
      </c>
      <c r="C28" s="311">
        <f>12/C27</f>
        <v>27.070442992011618</v>
      </c>
    </row>
    <row r="29" spans="1:5" ht="15">
      <c r="B29" s="162" t="s">
        <v>148</v>
      </c>
      <c r="C29" s="164">
        <v>360</v>
      </c>
    </row>
    <row r="30" spans="1:5" ht="15">
      <c r="B30" s="162" t="s">
        <v>255</v>
      </c>
      <c r="C30" s="164">
        <v>10</v>
      </c>
    </row>
    <row r="31" spans="1:5" ht="15">
      <c r="B31" s="160" t="s">
        <v>256</v>
      </c>
      <c r="C31" s="163">
        <v>30</v>
      </c>
    </row>
    <row r="32" spans="1:5" ht="15">
      <c r="B32" s="160" t="s">
        <v>257</v>
      </c>
      <c r="C32" s="163">
        <v>30</v>
      </c>
    </row>
    <row r="33" spans="2:4" s="108" customFormat="1" ht="15">
      <c r="B33" s="160" t="s">
        <v>151</v>
      </c>
      <c r="C33" s="163">
        <f>30+(3*TRUNC(1/C27))</f>
        <v>36</v>
      </c>
    </row>
    <row r="34" spans="2:4" s="108" customFormat="1" ht="15">
      <c r="B34" s="162" t="s">
        <v>44</v>
      </c>
      <c r="C34" s="312">
        <v>0.08</v>
      </c>
    </row>
    <row r="35" spans="2:4" s="108" customFormat="1" ht="15.75" thickBot="1">
      <c r="B35" s="165" t="s">
        <v>150</v>
      </c>
      <c r="C35" s="314">
        <v>0.4</v>
      </c>
      <c r="D35" s="108" t="s">
        <v>316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4"/>
  <sheetViews>
    <sheetView zoomScaleNormal="100" workbookViewId="0">
      <selection activeCell="C15" sqref="C15"/>
    </sheetView>
  </sheetViews>
  <sheetFormatPr defaultRowHeight="12.75"/>
  <cols>
    <col min="1" max="1" width="41.85546875" bestFit="1" customWidth="1"/>
    <col min="2" max="2" width="5.5703125" bestFit="1" customWidth="1"/>
    <col min="4" max="4" width="9.7109375" bestFit="1" customWidth="1"/>
    <col min="5" max="5" width="8" style="123" bestFit="1" customWidth="1"/>
    <col min="6" max="6" width="9.7109375" bestFit="1" customWidth="1"/>
  </cols>
  <sheetData>
    <row r="1" spans="1:8" s="148" customFormat="1" ht="14.25">
      <c r="A1" s="11" t="s">
        <v>214</v>
      </c>
      <c r="B1" s="146"/>
      <c r="C1" s="146"/>
      <c r="E1" s="149"/>
    </row>
    <row r="2" spans="1:8" s="148" customFormat="1" ht="14.25">
      <c r="A2" s="141" t="s">
        <v>261</v>
      </c>
      <c r="B2" s="146"/>
      <c r="C2" s="146"/>
      <c r="E2" s="149"/>
    </row>
    <row r="3" spans="1:8" s="148" customFormat="1" ht="14.25">
      <c r="A3" s="9" t="s">
        <v>215</v>
      </c>
      <c r="B3" s="146"/>
      <c r="C3" s="146"/>
      <c r="E3" s="149"/>
    </row>
    <row r="4" spans="1:8" s="148" customFormat="1" ht="14.25">
      <c r="A4" s="9"/>
      <c r="B4" s="146"/>
      <c r="C4" s="146"/>
      <c r="E4" s="149"/>
    </row>
    <row r="5" spans="1:8" s="4" customFormat="1" ht="15.6" customHeight="1">
      <c r="A5" s="307" t="s">
        <v>307</v>
      </c>
      <c r="B5" s="140"/>
      <c r="C5" s="140"/>
      <c r="D5" s="140"/>
      <c r="E5" s="140"/>
      <c r="F5" s="140"/>
      <c r="G5" s="6"/>
    </row>
    <row r="6" spans="1:8" s="4" customFormat="1" ht="16.5" customHeight="1">
      <c r="A6" s="307" t="s">
        <v>304</v>
      </c>
      <c r="B6" s="5"/>
      <c r="C6" s="5"/>
      <c r="D6" s="6"/>
      <c r="E6" s="6"/>
      <c r="F6" s="6"/>
      <c r="G6" s="6"/>
    </row>
    <row r="7" spans="1:8" s="148" customFormat="1" ht="15" thickBot="1">
      <c r="B7" s="146"/>
      <c r="C7" s="146"/>
      <c r="E7" s="149"/>
    </row>
    <row r="8" spans="1:8" ht="15.75">
      <c r="A8" s="346" t="s">
        <v>241</v>
      </c>
      <c r="B8" s="347"/>
      <c r="C8" s="347"/>
      <c r="D8" s="347"/>
      <c r="E8" s="347"/>
      <c r="F8" s="348"/>
    </row>
    <row r="9" spans="1:8" ht="16.5" thickBot="1">
      <c r="A9" s="265"/>
      <c r="B9" s="266"/>
      <c r="C9" s="266"/>
      <c r="D9" s="266"/>
      <c r="E9" s="266"/>
      <c r="F9" s="267"/>
    </row>
    <row r="10" spans="1:8" ht="15">
      <c r="A10" s="214"/>
      <c r="B10" s="147"/>
      <c r="C10" s="147"/>
      <c r="D10" s="343" t="s">
        <v>258</v>
      </c>
      <c r="E10" s="344"/>
      <c r="F10" s="345"/>
      <c r="G10" s="148"/>
      <c r="H10" s="148"/>
    </row>
    <row r="11" spans="1:8" ht="15" thickBot="1">
      <c r="A11" s="211"/>
      <c r="B11" s="215"/>
      <c r="C11" s="215"/>
      <c r="D11" s="216" t="s">
        <v>201</v>
      </c>
      <c r="E11" s="217" t="s">
        <v>202</v>
      </c>
      <c r="F11" s="218" t="s">
        <v>203</v>
      </c>
      <c r="G11" s="148"/>
      <c r="H11" s="148"/>
    </row>
    <row r="12" spans="1:8" ht="14.25">
      <c r="A12" s="219" t="s">
        <v>80</v>
      </c>
      <c r="B12" s="220" t="s">
        <v>81</v>
      </c>
      <c r="C12" s="221">
        <v>2.9700000000000001E-2</v>
      </c>
      <c r="D12" s="242">
        <v>2.9700000000000001E-2</v>
      </c>
      <c r="E12" s="243">
        <v>5.0799999999999998E-2</v>
      </c>
      <c r="F12" s="244">
        <v>6.2700000000000006E-2</v>
      </c>
      <c r="G12" s="148"/>
      <c r="H12" s="148"/>
    </row>
    <row r="13" spans="1:8" ht="14.25">
      <c r="A13" s="223" t="s">
        <v>82</v>
      </c>
      <c r="B13" s="224" t="s">
        <v>83</v>
      </c>
      <c r="C13" s="225">
        <v>8.6E-3</v>
      </c>
      <c r="D13" s="242">
        <f>0.3%+0.56%</f>
        <v>8.6E-3</v>
      </c>
      <c r="E13" s="243">
        <f>0.48%+0.85%</f>
        <v>1.3299999999999999E-2</v>
      </c>
      <c r="F13" s="244">
        <f>0.82%+0.89%</f>
        <v>1.7099999999999997E-2</v>
      </c>
      <c r="G13" s="148"/>
      <c r="H13" s="148"/>
    </row>
    <row r="14" spans="1:8" ht="14.25">
      <c r="A14" s="223" t="s">
        <v>84</v>
      </c>
      <c r="B14" s="224" t="s">
        <v>85</v>
      </c>
      <c r="C14" s="225">
        <v>7.7799999999999994E-2</v>
      </c>
      <c r="D14" s="242">
        <v>7.7799999999999994E-2</v>
      </c>
      <c r="E14" s="243">
        <v>0.1085</v>
      </c>
      <c r="F14" s="244">
        <v>0.13550000000000001</v>
      </c>
      <c r="G14" s="148"/>
      <c r="H14" s="148"/>
    </row>
    <row r="15" spans="1:8" ht="14.25">
      <c r="A15" s="223" t="s">
        <v>86</v>
      </c>
      <c r="B15" s="224" t="s">
        <v>87</v>
      </c>
      <c r="C15" s="226">
        <f>(1+E15)^(E16/252)-1</f>
        <v>7.412503177122165E-3</v>
      </c>
      <c r="D15" s="242" t="s">
        <v>296</v>
      </c>
      <c r="E15" s="227">
        <v>6.4000000000000001E-2</v>
      </c>
      <c r="F15" s="222"/>
      <c r="G15" s="148"/>
      <c r="H15" s="148"/>
    </row>
    <row r="16" spans="1:8" ht="14.25">
      <c r="A16" s="223" t="s">
        <v>88</v>
      </c>
      <c r="B16" s="341" t="s">
        <v>89</v>
      </c>
      <c r="C16" s="225">
        <v>0.03</v>
      </c>
      <c r="D16" s="304" t="s">
        <v>204</v>
      </c>
      <c r="E16" s="228">
        <v>30</v>
      </c>
      <c r="F16" s="229"/>
      <c r="G16" s="148"/>
      <c r="H16" s="148"/>
    </row>
    <row r="17" spans="1:8" ht="15" thickBot="1">
      <c r="A17" s="230" t="s">
        <v>90</v>
      </c>
      <c r="B17" s="342"/>
      <c r="C17" s="231">
        <v>3.6499999999999998E-2</v>
      </c>
      <c r="D17" s="205"/>
      <c r="E17" s="232"/>
      <c r="F17" s="229"/>
      <c r="G17" s="148"/>
      <c r="H17" s="148"/>
    </row>
    <row r="18" spans="1:8" ht="14.25">
      <c r="A18" s="233" t="s">
        <v>91</v>
      </c>
      <c r="B18" s="234"/>
      <c r="C18" s="235"/>
      <c r="D18" s="205"/>
      <c r="E18" s="232"/>
      <c r="F18" s="229"/>
      <c r="G18" s="148"/>
      <c r="H18" s="148"/>
    </row>
    <row r="19" spans="1:8" ht="15" thickBot="1">
      <c r="A19" s="236" t="s">
        <v>92</v>
      </c>
      <c r="B19" s="237"/>
      <c r="C19" s="238"/>
      <c r="D19" s="205"/>
      <c r="E19" s="232"/>
      <c r="F19" s="229"/>
      <c r="G19" s="148"/>
      <c r="H19" s="148"/>
    </row>
    <row r="20" spans="1:8" ht="15.75" thickBot="1">
      <c r="A20" s="239" t="s">
        <v>93</v>
      </c>
      <c r="B20" s="240"/>
      <c r="C20" s="241">
        <f>ROUND((((1+C12+C13)*(1+C14)*(1+C15))/(1-(C16+C17))-1),4)</f>
        <v>0.2077</v>
      </c>
      <c r="D20" s="245">
        <v>0.21429999999999999</v>
      </c>
      <c r="E20" s="246">
        <v>0.2717</v>
      </c>
      <c r="F20" s="247">
        <v>0.3362</v>
      </c>
      <c r="G20" s="148"/>
      <c r="H20" s="148"/>
    </row>
    <row r="21" spans="1:8" ht="14.25">
      <c r="A21" s="148"/>
      <c r="B21" s="148"/>
      <c r="C21" s="148"/>
      <c r="D21" s="148"/>
      <c r="E21" s="149"/>
      <c r="F21" s="148"/>
      <c r="G21" s="148"/>
      <c r="H21" s="148"/>
    </row>
    <row r="22" spans="1:8" ht="14.25">
      <c r="A22" s="148"/>
      <c r="B22" s="148"/>
      <c r="C22" s="148"/>
      <c r="D22" s="148"/>
      <c r="E22" s="149"/>
      <c r="F22" s="148"/>
      <c r="G22" s="148"/>
      <c r="H22" s="148"/>
    </row>
    <row r="23" spans="1:8" ht="14.25">
      <c r="A23" s="148"/>
      <c r="B23" s="148"/>
      <c r="C23" s="148"/>
      <c r="D23" s="148"/>
      <c r="E23" s="149"/>
      <c r="F23" s="148"/>
      <c r="G23" s="148"/>
      <c r="H23" s="148"/>
    </row>
    <row r="24" spans="1:8" ht="14.25">
      <c r="A24" s="148"/>
      <c r="B24" s="148"/>
      <c r="C24" s="148"/>
      <c r="D24" s="148"/>
      <c r="E24" s="149"/>
      <c r="F24" s="148"/>
      <c r="G24" s="148"/>
      <c r="H24" s="148"/>
    </row>
  </sheetData>
  <mergeCells count="3"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3" sqref="B3"/>
    </sheetView>
  </sheetViews>
  <sheetFormatPr defaultRowHeight="19.5" customHeight="1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>
      <c r="A1" s="349" t="s">
        <v>243</v>
      </c>
      <c r="B1" s="350"/>
    </row>
    <row r="2" spans="1:2" s="108" customFormat="1" ht="19.5" customHeight="1">
      <c r="A2" s="268" t="s">
        <v>218</v>
      </c>
      <c r="B2" s="269" t="s">
        <v>298</v>
      </c>
    </row>
    <row r="3" spans="1:2" ht="19.5" customHeight="1">
      <c r="A3" s="167">
        <v>1</v>
      </c>
      <c r="B3" s="166">
        <v>33.629999999999995</v>
      </c>
    </row>
    <row r="4" spans="1:2" ht="19.5" customHeight="1">
      <c r="A4" s="167">
        <v>2</v>
      </c>
      <c r="B4" s="166">
        <v>43.13</v>
      </c>
    </row>
    <row r="5" spans="1:2" ht="19.5" customHeight="1">
      <c r="A5" s="167">
        <v>3</v>
      </c>
      <c r="B5" s="166">
        <v>48.68</v>
      </c>
    </row>
    <row r="6" spans="1:2" ht="19.5" customHeight="1">
      <c r="A6" s="167">
        <v>4</v>
      </c>
      <c r="B6" s="166">
        <v>52.62</v>
      </c>
    </row>
    <row r="7" spans="1:2" ht="19.5" customHeight="1">
      <c r="A7" s="167">
        <v>5</v>
      </c>
      <c r="B7" s="166">
        <v>55.679999999999993</v>
      </c>
    </row>
    <row r="8" spans="1:2" ht="19.5" customHeight="1">
      <c r="A8" s="167">
        <v>6</v>
      </c>
      <c r="B8" s="166">
        <v>58.18</v>
      </c>
    </row>
    <row r="9" spans="1:2" ht="19.5" customHeight="1">
      <c r="A9" s="167">
        <v>7</v>
      </c>
      <c r="B9" s="166">
        <v>60.29</v>
      </c>
    </row>
    <row r="10" spans="1:2" ht="19.5" customHeight="1">
      <c r="A10" s="167">
        <v>8</v>
      </c>
      <c r="B10" s="166">
        <v>62.12</v>
      </c>
    </row>
    <row r="11" spans="1:2" ht="19.5" customHeight="1">
      <c r="A11" s="167">
        <v>9</v>
      </c>
      <c r="B11" s="166">
        <v>63.73</v>
      </c>
    </row>
    <row r="12" spans="1:2" ht="19.5" customHeight="1">
      <c r="A12" s="167">
        <v>10</v>
      </c>
      <c r="B12" s="166">
        <v>65.180000000000007</v>
      </c>
    </row>
    <row r="13" spans="1:2" ht="19.5" customHeight="1">
      <c r="A13" s="167">
        <v>11</v>
      </c>
      <c r="B13" s="166">
        <v>66.47999999999999</v>
      </c>
    </row>
    <row r="14" spans="1:2" ht="19.5" customHeight="1">
      <c r="A14" s="167">
        <v>12</v>
      </c>
      <c r="B14" s="166">
        <v>67.67</v>
      </c>
    </row>
    <row r="15" spans="1:2" ht="19.5" customHeight="1">
      <c r="A15" s="167">
        <v>13</v>
      </c>
      <c r="B15" s="166">
        <v>68.77</v>
      </c>
    </row>
    <row r="16" spans="1:2" ht="19.5" customHeight="1">
      <c r="A16" s="167">
        <v>14</v>
      </c>
      <c r="B16" s="166">
        <v>69.789999999999992</v>
      </c>
    </row>
    <row r="17" spans="1:2" ht="19.5" customHeight="1" thickBot="1">
      <c r="A17" s="168">
        <v>15</v>
      </c>
      <c r="B17" s="169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7"/>
  <sheetViews>
    <sheetView workbookViewId="0">
      <selection activeCell="A24" sqref="A24"/>
    </sheetView>
  </sheetViews>
  <sheetFormatPr defaultRowHeight="12.75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>
      <c r="A1" s="251" t="s">
        <v>247</v>
      </c>
    </row>
    <row r="2" spans="1:1">
      <c r="A2" s="248"/>
    </row>
    <row r="3" spans="1:1">
      <c r="A3" s="248" t="s">
        <v>262</v>
      </c>
    </row>
    <row r="4" spans="1:1">
      <c r="A4" s="248"/>
    </row>
    <row r="5" spans="1:1">
      <c r="A5" s="248"/>
    </row>
    <row r="6" spans="1:1">
      <c r="A6" s="248"/>
    </row>
    <row r="7" spans="1:1">
      <c r="A7" s="248"/>
    </row>
    <row r="8" spans="1:1">
      <c r="A8" s="248"/>
    </row>
    <row r="9" spans="1:1">
      <c r="A9" s="248"/>
    </row>
    <row r="10" spans="1:1">
      <c r="A10" s="248"/>
    </row>
    <row r="11" spans="1:1">
      <c r="A11" s="248"/>
    </row>
    <row r="12" spans="1:1" ht="19.5">
      <c r="A12" s="249" t="s">
        <v>244</v>
      </c>
    </row>
    <row r="13" spans="1:1" ht="15">
      <c r="A13" s="249" t="s">
        <v>119</v>
      </c>
    </row>
    <row r="14" spans="1:1" ht="15">
      <c r="A14" s="249" t="s">
        <v>124</v>
      </c>
    </row>
    <row r="15" spans="1:1" ht="19.5">
      <c r="A15" s="249" t="s">
        <v>245</v>
      </c>
    </row>
    <row r="16" spans="1:1" ht="19.5">
      <c r="A16" s="249" t="s">
        <v>246</v>
      </c>
    </row>
    <row r="17" spans="1:1" ht="15.75" thickBot="1">
      <c r="A17" s="250" t="s">
        <v>120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4"/>
  <sheetViews>
    <sheetView zoomScaleNormal="100" workbookViewId="0">
      <selection activeCell="C24" sqref="C24"/>
    </sheetView>
  </sheetViews>
  <sheetFormatPr defaultRowHeight="12.75"/>
  <cols>
    <col min="1" max="1" width="58.28515625" style="280" customWidth="1"/>
    <col min="2" max="2" width="11.140625" style="280" bestFit="1" customWidth="1"/>
    <col min="3" max="3" width="11.28515625" style="280" bestFit="1" customWidth="1"/>
    <col min="4" max="16384" width="9.140625" style="280"/>
  </cols>
  <sheetData>
    <row r="1" spans="1:7">
      <c r="A1" s="11" t="s">
        <v>214</v>
      </c>
    </row>
    <row r="2" spans="1:7">
      <c r="A2" s="285" t="s">
        <v>273</v>
      </c>
    </row>
    <row r="3" spans="1:7">
      <c r="A3" s="285" t="s">
        <v>299</v>
      </c>
    </row>
    <row r="4" spans="1:7">
      <c r="A4" s="7" t="s">
        <v>297</v>
      </c>
    </row>
    <row r="5" spans="1:7">
      <c r="A5" s="7"/>
    </row>
    <row r="6" spans="1:7" s="4" customFormat="1" ht="15.6" customHeight="1">
      <c r="A6" s="307" t="s">
        <v>307</v>
      </c>
      <c r="B6" s="140"/>
      <c r="C6" s="140"/>
      <c r="D6" s="140"/>
      <c r="E6" s="140"/>
      <c r="F6" s="140"/>
      <c r="G6" s="6"/>
    </row>
    <row r="7" spans="1:7" s="4" customFormat="1" ht="16.5" customHeight="1">
      <c r="A7" s="307" t="s">
        <v>304</v>
      </c>
      <c r="B7" s="5"/>
      <c r="C7" s="5"/>
      <c r="D7" s="6"/>
      <c r="E7" s="6"/>
      <c r="F7" s="6"/>
      <c r="G7" s="6"/>
    </row>
    <row r="8" spans="1:7" ht="13.5" thickBot="1"/>
    <row r="9" spans="1:7" ht="18">
      <c r="A9" s="351" t="s">
        <v>293</v>
      </c>
      <c r="B9" s="352"/>
      <c r="C9" s="353"/>
    </row>
    <row r="10" spans="1:7" s="286" customFormat="1" ht="18">
      <c r="A10" s="301"/>
      <c r="B10" s="300"/>
      <c r="C10" s="302"/>
    </row>
    <row r="11" spans="1:7" s="108" customFormat="1" ht="15">
      <c r="A11" s="287" t="s">
        <v>294</v>
      </c>
      <c r="B11" s="288" t="s">
        <v>274</v>
      </c>
      <c r="C11" s="289" t="s">
        <v>154</v>
      </c>
    </row>
    <row r="12" spans="1:7" ht="14.25">
      <c r="A12" s="290" t="s">
        <v>282</v>
      </c>
      <c r="B12" s="291" t="s">
        <v>275</v>
      </c>
      <c r="C12" s="206">
        <v>3613</v>
      </c>
    </row>
    <row r="13" spans="1:7" ht="14.25">
      <c r="A13" s="205" t="s">
        <v>283</v>
      </c>
      <c r="B13" s="292" t="s">
        <v>280</v>
      </c>
      <c r="C13" s="293">
        <f>0.0362741*C12^0.2336249</f>
        <v>0.24592529026498275</v>
      </c>
    </row>
    <row r="14" spans="1:7" ht="14.25">
      <c r="A14" s="205" t="s">
        <v>284</v>
      </c>
      <c r="B14" s="292" t="s">
        <v>281</v>
      </c>
      <c r="C14" s="294">
        <f>C12*C13/1000</f>
        <v>0.88852807372738263</v>
      </c>
    </row>
    <row r="15" spans="1:7" ht="14.25">
      <c r="A15" s="205" t="s">
        <v>290</v>
      </c>
      <c r="B15" s="292" t="s">
        <v>276</v>
      </c>
      <c r="C15" s="295">
        <f>(C14*30)</f>
        <v>26.655842211821479</v>
      </c>
    </row>
    <row r="16" spans="1:7" ht="14.25">
      <c r="A16" s="205" t="s">
        <v>286</v>
      </c>
      <c r="B16" s="292" t="s">
        <v>98</v>
      </c>
      <c r="C16" s="298">
        <v>4</v>
      </c>
    </row>
    <row r="17" spans="1:3" ht="14.25">
      <c r="A17" s="205" t="s">
        <v>285</v>
      </c>
      <c r="B17" s="292" t="s">
        <v>281</v>
      </c>
      <c r="C17" s="294">
        <f>IFERROR(C14*7/C16,0)</f>
        <v>1.5549241290229197</v>
      </c>
    </row>
    <row r="18" spans="1:3" ht="14.25">
      <c r="A18" s="290" t="s">
        <v>277</v>
      </c>
      <c r="B18" s="292" t="s">
        <v>278</v>
      </c>
      <c r="C18" s="229">
        <v>500</v>
      </c>
    </row>
    <row r="19" spans="1:3" ht="14.25">
      <c r="A19" s="205" t="s">
        <v>291</v>
      </c>
      <c r="B19" s="292"/>
      <c r="C19" s="206">
        <v>1</v>
      </c>
    </row>
    <row r="20" spans="1:3" ht="14.25">
      <c r="A20" s="290" t="s">
        <v>292</v>
      </c>
      <c r="B20" s="292" t="s">
        <v>279</v>
      </c>
      <c r="C20" s="206">
        <v>15</v>
      </c>
    </row>
    <row r="21" spans="1:3" ht="14.25">
      <c r="A21" s="205" t="s">
        <v>287</v>
      </c>
      <c r="B21" s="292" t="s">
        <v>276</v>
      </c>
      <c r="C21" s="229">
        <f>IF(AND(C20&gt;=15,C19=1),5.8,C20/2)</f>
        <v>5.8</v>
      </c>
    </row>
    <row r="22" spans="1:3" ht="14.25">
      <c r="A22" s="290" t="s">
        <v>288</v>
      </c>
      <c r="B22" s="292"/>
      <c r="C22" s="294">
        <f>IFERROR(C17/C21,0)</f>
        <v>0.26809036707291717</v>
      </c>
    </row>
    <row r="23" spans="1:3" ht="14.25">
      <c r="A23" s="290" t="s">
        <v>295</v>
      </c>
      <c r="B23" s="292"/>
      <c r="C23" s="303">
        <v>1</v>
      </c>
    </row>
    <row r="24" spans="1:3" ht="15" thickBot="1">
      <c r="A24" s="296" t="s">
        <v>289</v>
      </c>
      <c r="B24" s="297"/>
      <c r="C24" s="299">
        <f>IFERROR(C22/C23,0)</f>
        <v>0.26809036707291717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Josimar</cp:lastModifiedBy>
  <cp:lastPrinted>2023-11-01T18:44:59Z</cp:lastPrinted>
  <dcterms:created xsi:type="dcterms:W3CDTF">2000-12-13T10:02:50Z</dcterms:created>
  <dcterms:modified xsi:type="dcterms:W3CDTF">2023-11-01T18:45:59Z</dcterms:modified>
</cp:coreProperties>
</file>