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10.1.1.201\Licitacao\EDITAIS E ANEXOS 2024\106 - Lixo (Concorrrencia)\"/>
    </mc:Choice>
  </mc:AlternateContent>
  <xr:revisionPtr revIDLastSave="0" documentId="13_ncr:1_{46619761-66EE-4A20-80FE-F9E70CA1050D}" xr6:coauthVersionLast="47" xr6:coauthVersionMax="47" xr10:uidLastSave="{00000000-0000-0000-0000-000000000000}"/>
  <bookViews>
    <workbookView xWindow="-120" yWindow="-120" windowWidth="20730" windowHeight="11160" tabRatio="802" activeTab="1" xr2:uid="{00000000-000D-0000-FFFF-FFFF00000000}"/>
  </bookViews>
  <sheets>
    <sheet name="Proposta" sheetId="10" r:id="rId1"/>
    <sheet name="Coleta Orgânica" sheetId="2" r:id="rId2"/>
    <sheet name="2.Encargos Sociais" sheetId="8" r:id="rId3"/>
    <sheet name="3.CAGED" sheetId="5" r:id="rId4"/>
    <sheet name="4.BDI" sheetId="4" r:id="rId5"/>
    <sheet name="5. Depreciação" sheetId="6" r:id="rId6"/>
    <sheet name="6.Remuneração de capital" sheetId="7" r:id="rId7"/>
    <sheet name="7. Dimensionamento" sheetId="9" r:id="rId8"/>
  </sheets>
  <functionGroups builtInGroupCount="19"/>
  <definedNames>
    <definedName name="AbaDeprec">'5. Depreciação'!$C$3</definedName>
    <definedName name="AbaRemun">'6.Remuneração de capital'!$A$3</definedName>
    <definedName name="_xlnm.Print_Area" localSheetId="2">'2.Encargos Sociais'!$A$1:$C$55</definedName>
    <definedName name="_xlnm.Print_Area" localSheetId="1">'Coleta Orgânica'!$A$1:$F$267</definedName>
    <definedName name="_xlnm.Print_Area" localSheetId="0">Proposta!$A$1:$G$58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6" i="10" l="1"/>
  <c r="D20" i="10"/>
  <c r="D64" i="2" l="1"/>
  <c r="C89" i="2" l="1"/>
  <c r="C88" i="2"/>
  <c r="C17" i="8" l="1"/>
  <c r="B5" i="10" l="1"/>
  <c r="B44" i="8" l="1"/>
  <c r="B35" i="9"/>
  <c r="A53" i="9"/>
  <c r="A52" i="9"/>
  <c r="A51" i="9"/>
  <c r="C27" i="4"/>
  <c r="D23" i="6"/>
  <c r="A29" i="7"/>
  <c r="A48" i="7"/>
  <c r="A47" i="7"/>
  <c r="A46" i="7"/>
  <c r="A36" i="6"/>
  <c r="A35" i="6"/>
  <c r="A34" i="6"/>
  <c r="A50" i="4"/>
  <c r="A49" i="4"/>
  <c r="A48" i="4"/>
  <c r="B43" i="5"/>
  <c r="A53" i="5"/>
  <c r="A52" i="5"/>
  <c r="A51" i="5"/>
  <c r="A53" i="8"/>
  <c r="A52" i="8"/>
  <c r="A51" i="8"/>
  <c r="C148" i="2" l="1"/>
  <c r="C143" i="2"/>
  <c r="A9" i="2" l="1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E113" i="2" l="1"/>
  <c r="E112" i="2"/>
  <c r="C21" i="9" l="1"/>
  <c r="C27" i="5" l="1"/>
  <c r="C173" i="2" l="1"/>
  <c r="C172" i="2"/>
  <c r="C174" i="2"/>
  <c r="A8" i="2" l="1"/>
  <c r="C14" i="9" l="1"/>
  <c r="C15" i="9" l="1"/>
  <c r="C17" i="9"/>
  <c r="C22" i="9" s="1"/>
  <c r="C24" i="9" s="1"/>
  <c r="E33" i="2" l="1"/>
  <c r="E32" i="2"/>
  <c r="E31" i="2"/>
  <c r="E37" i="2"/>
  <c r="C116" i="2" l="1"/>
  <c r="C94" i="2"/>
  <c r="E94" i="2" s="1"/>
  <c r="C167" i="2"/>
  <c r="C162" i="2"/>
  <c r="D192" i="2"/>
  <c r="D190" i="2"/>
  <c r="D188" i="2"/>
  <c r="D186" i="2"/>
  <c r="D122" i="2" l="1"/>
  <c r="E122" i="2" s="1"/>
  <c r="E106" i="2"/>
  <c r="E107" i="2"/>
  <c r="E108" i="2"/>
  <c r="E109" i="2"/>
  <c r="E110" i="2"/>
  <c r="E111" i="2"/>
  <c r="E114" i="2"/>
  <c r="E115" i="2"/>
  <c r="E105" i="2"/>
  <c r="D51" i="2" l="1"/>
  <c r="E51" i="2" s="1"/>
  <c r="D50" i="2"/>
  <c r="E50" i="2" s="1"/>
  <c r="E64" i="2"/>
  <c r="D52" i="2" l="1"/>
  <c r="E52" i="2" s="1"/>
  <c r="D65" i="2"/>
  <c r="E65" i="2" s="1"/>
  <c r="D66" i="2" s="1"/>
  <c r="E66" i="2" s="1"/>
  <c r="C207" i="2" l="1"/>
  <c r="C20" i="8"/>
  <c r="E232" i="2"/>
  <c r="E176" i="2"/>
  <c r="E168" i="2"/>
  <c r="E152" i="2"/>
  <c r="E130" i="2"/>
  <c r="E117" i="2"/>
  <c r="E96" i="2"/>
  <c r="E82" i="2"/>
  <c r="E73" i="2"/>
  <c r="E58" i="2"/>
  <c r="D156" i="2"/>
  <c r="C15" i="4"/>
  <c r="C20" i="4" s="1"/>
  <c r="F13" i="4"/>
  <c r="E13" i="4"/>
  <c r="D13" i="4"/>
  <c r="C29" i="5"/>
  <c r="D77" i="2"/>
  <c r="E62" i="2"/>
  <c r="D89" i="2" s="1"/>
  <c r="C205" i="2"/>
  <c r="E205" i="2" s="1"/>
  <c r="C184" i="2"/>
  <c r="C186" i="2" s="1"/>
  <c r="E186" i="2" s="1"/>
  <c r="D184" i="2"/>
  <c r="D193" i="2" s="1"/>
  <c r="E140" i="2"/>
  <c r="D161" i="2"/>
  <c r="C149" i="2"/>
  <c r="C144" i="2"/>
  <c r="C228" i="2"/>
  <c r="C230" i="2" s="1"/>
  <c r="E230" i="2" s="1"/>
  <c r="D231" i="2" s="1"/>
  <c r="E231" i="2" s="1"/>
  <c r="C145" i="2"/>
  <c r="C161" i="2" s="1"/>
  <c r="A31" i="2"/>
  <c r="A32" i="2"/>
  <c r="A33" i="2"/>
  <c r="A37" i="2"/>
  <c r="E49" i="2"/>
  <c r="D88" i="2" s="1"/>
  <c r="D123" i="2"/>
  <c r="E123" i="2" s="1"/>
  <c r="D124" i="2"/>
  <c r="E124" i="2" s="1"/>
  <c r="D125" i="2"/>
  <c r="E125" i="2" s="1"/>
  <c r="D126" i="2"/>
  <c r="E126" i="2" s="1"/>
  <c r="D127" i="2"/>
  <c r="E127" i="2" s="1"/>
  <c r="E128" i="2"/>
  <c r="E203" i="2"/>
  <c r="E174" i="2"/>
  <c r="E173" i="2"/>
  <c r="E216" i="2"/>
  <c r="E219" i="2"/>
  <c r="E220" i="2"/>
  <c r="E217" i="2"/>
  <c r="E218" i="2"/>
  <c r="D68" i="2" l="1"/>
  <c r="E68" i="2" s="1"/>
  <c r="E69" i="2" s="1"/>
  <c r="C241" i="2"/>
  <c r="C31" i="5"/>
  <c r="C32" i="5" s="1"/>
  <c r="C30" i="5"/>
  <c r="C31" i="8" s="1"/>
  <c r="D143" i="2"/>
  <c r="E143" i="2" s="1"/>
  <c r="D172" i="2"/>
  <c r="E77" i="2"/>
  <c r="C190" i="2"/>
  <c r="E190" i="2" s="1"/>
  <c r="C192" i="2"/>
  <c r="E192" i="2" s="1"/>
  <c r="F221" i="2"/>
  <c r="F223" i="2" s="1"/>
  <c r="E23" i="2" s="1"/>
  <c r="E184" i="2"/>
  <c r="E145" i="2"/>
  <c r="C163" i="2" s="1"/>
  <c r="D116" i="2"/>
  <c r="E34" i="2"/>
  <c r="E88" i="2"/>
  <c r="E161" i="2"/>
  <c r="C95" i="2"/>
  <c r="E95" i="2" s="1"/>
  <c r="D53" i="2"/>
  <c r="E53" i="2" s="1"/>
  <c r="E54" i="2" s="1"/>
  <c r="D55" i="2" s="1"/>
  <c r="C129" i="2"/>
  <c r="C188" i="2"/>
  <c r="E188" i="2" s="1"/>
  <c r="C198" i="2"/>
  <c r="E198" i="2" s="1"/>
  <c r="F199" i="2" s="1"/>
  <c r="E21" i="2" s="1"/>
  <c r="E228" i="2"/>
  <c r="D229" i="2" s="1"/>
  <c r="E229" i="2" s="1"/>
  <c r="F232" i="2" s="1"/>
  <c r="F234" i="2" s="1"/>
  <c r="E24" i="2" s="1"/>
  <c r="E156" i="2"/>
  <c r="D206" i="2"/>
  <c r="E206" i="2" s="1"/>
  <c r="D207" i="2" s="1"/>
  <c r="E207" i="2" s="1"/>
  <c r="F208" i="2" s="1"/>
  <c r="E22" i="2" s="1"/>
  <c r="E89" i="2"/>
  <c r="D129" i="2"/>
  <c r="C37" i="5" l="1"/>
  <c r="C27" i="8" s="1"/>
  <c r="C35" i="8" s="1"/>
  <c r="D144" i="2"/>
  <c r="E144" i="2" s="1"/>
  <c r="E172" i="2"/>
  <c r="D175" i="2" s="1"/>
  <c r="E175" i="2" s="1"/>
  <c r="F176" i="2" s="1"/>
  <c r="E19" i="2" s="1"/>
  <c r="C158" i="2"/>
  <c r="C159" i="2" s="1"/>
  <c r="D160" i="2" s="1"/>
  <c r="E160" i="2" s="1"/>
  <c r="C25" i="8"/>
  <c r="C34" i="8" s="1"/>
  <c r="F96" i="2"/>
  <c r="E129" i="2"/>
  <c r="F130" i="2" s="1"/>
  <c r="E116" i="2"/>
  <c r="F117" i="2" s="1"/>
  <c r="F132" i="2" s="1"/>
  <c r="D148" i="2"/>
  <c r="E148" i="2" s="1"/>
  <c r="D149" i="2" s="1"/>
  <c r="E149" i="2" s="1"/>
  <c r="F90" i="2"/>
  <c r="E12" i="2" s="1"/>
  <c r="F194" i="2"/>
  <c r="E20" i="2" s="1"/>
  <c r="D70" i="2"/>
  <c r="E13" i="2" l="1"/>
  <c r="C29" i="8"/>
  <c r="C32" i="8" s="1"/>
  <c r="C36" i="8"/>
  <c r="E150" i="2"/>
  <c r="D151" i="2" s="1"/>
  <c r="E151" i="2" s="1"/>
  <c r="C164" i="2"/>
  <c r="D165" i="2" s="1"/>
  <c r="E165" i="2" s="1"/>
  <c r="E166" i="2" s="1"/>
  <c r="D167" i="2" s="1"/>
  <c r="E167" i="2" s="1"/>
  <c r="F168" i="2" s="1"/>
  <c r="E14" i="2"/>
  <c r="E78" i="2"/>
  <c r="D79" i="2" s="1"/>
  <c r="F152" i="2" l="1"/>
  <c r="E17" i="2" s="1"/>
  <c r="C37" i="8"/>
  <c r="E18" i="2"/>
  <c r="E16" i="2" l="1"/>
  <c r="F211" i="2"/>
  <c r="E15" i="2" s="1"/>
  <c r="C70" i="2"/>
  <c r="E70" i="2" s="1"/>
  <c r="E71" i="2" s="1"/>
  <c r="D72" i="2" s="1"/>
  <c r="E72" i="2" s="1"/>
  <c r="F73" i="2" s="1"/>
  <c r="E10" i="2" s="1"/>
  <c r="C55" i="2"/>
  <c r="E55" i="2" s="1"/>
  <c r="E56" i="2" s="1"/>
  <c r="D57" i="2" s="1"/>
  <c r="E57" i="2" s="1"/>
  <c r="C79" i="2"/>
  <c r="E79" i="2" s="1"/>
  <c r="E80" i="2" s="1"/>
  <c r="D81" i="2" s="1"/>
  <c r="E81" i="2" s="1"/>
  <c r="F82" i="2" s="1"/>
  <c r="F58" i="2" l="1"/>
  <c r="E9" i="2" s="1"/>
  <c r="E11" i="2"/>
  <c r="F98" i="2"/>
  <c r="F236" i="2" s="1"/>
  <c r="E8" i="2" l="1"/>
  <c r="D241" i="2"/>
  <c r="E241" i="2" s="1"/>
  <c r="F242" i="2" s="1"/>
  <c r="F244" i="2" s="1"/>
  <c r="E25" i="2" s="1"/>
  <c r="F247" i="2" l="1"/>
  <c r="E26" i="2"/>
  <c r="F8" i="2" s="1"/>
  <c r="E20" i="10" l="1"/>
  <c r="F24" i="2"/>
  <c r="F14" i="2"/>
  <c r="F9" i="2"/>
  <c r="F13" i="2"/>
  <c r="F11" i="2"/>
  <c r="F15" i="2"/>
  <c r="F22" i="2"/>
  <c r="F21" i="2"/>
  <c r="F10" i="2"/>
  <c r="F16" i="2"/>
  <c r="F17" i="2"/>
  <c r="F18" i="2"/>
  <c r="F19" i="2"/>
  <c r="F12" i="2"/>
  <c r="F23" i="2"/>
  <c r="F20" i="2"/>
  <c r="F25" i="2"/>
  <c r="F20" i="10" l="1"/>
  <c r="F26" i="2"/>
  <c r="E31" i="10" l="1"/>
  <c r="B35" i="10" s="1"/>
  <c r="D35" i="10"/>
  <c r="F31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6" authorId="0" shapeId="0" xr:uid="{00000000-0006-0000-01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" authorId="0" shapeId="0" xr:uid="{00000000-0006-0000-01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0" authorId="0" shapeId="0" xr:uid="{00000000-0006-0000-01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00000000-0006-0000-01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52" authorId="0" shapeId="0" xr:uid="{00000000-0006-0000-01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5" authorId="0" shapeId="0" xr:uid="{00000000-0006-0000-01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7" authorId="0" shapeId="0" xr:uid="{00000000-0006-0000-01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62" authorId="0" shapeId="0" xr:uid="{00000000-0006-0000-0100-000009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63" authorId="0" shapeId="0" xr:uid="{00000000-0006-0000-0100-00000A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64" authorId="0" shapeId="0" xr:uid="{00000000-0006-0000-0100-00000B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65" authorId="0" shapeId="0" xr:uid="{00000000-0006-0000-0100-00000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6" authorId="0" shapeId="0" xr:uid="{00000000-0006-0000-0100-00000D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7" authorId="0" shapeId="0" xr:uid="{00000000-0006-0000-0100-00000E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68" authorId="0" shapeId="0" xr:uid="{00000000-0006-0000-0100-00000F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70" authorId="0" shapeId="0" xr:uid="{00000000-0006-0000-0100-000010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2" authorId="0" shapeId="0" xr:uid="{00000000-0006-0000-0100-000011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79" authorId="0" shapeId="0" xr:uid="{00000000-0006-0000-0100-000012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1" authorId="0" shapeId="0" xr:uid="{00000000-0006-0000-0100-000013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6" authorId="0" shapeId="0" xr:uid="{00000000-0006-0000-0100-000014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87" authorId="0" shapeId="0" xr:uid="{00000000-0006-0000-0100-000015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88" authorId="0" shapeId="0" xr:uid="{00000000-0006-0000-0100-000016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89" authorId="0" shapeId="0" xr:uid="{00000000-0006-0000-0100-000017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94" authorId="0" shapeId="0" xr:uid="{00000000-0006-0000-0100-000018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95" authorId="0" shapeId="0" xr:uid="{00000000-0006-0000-0100-000019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05" authorId="0" shapeId="0" xr:uid="{00000000-0006-0000-0100-00001A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5" authorId="0" shapeId="0" xr:uid="{00000000-0006-0000-0100-00001B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6" authorId="0" shapeId="0" xr:uid="{00000000-0006-0000-0100-00001C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6" authorId="0" shapeId="0" xr:uid="{00000000-0006-0000-0100-00001D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7" authorId="0" shapeId="0" xr:uid="{00000000-0006-0000-0100-00001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7" authorId="0" shapeId="0" xr:uid="{00000000-0006-0000-0100-00001F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8" authorId="0" shapeId="0" xr:uid="{00000000-0006-0000-0100-00002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8" authorId="0" shapeId="0" xr:uid="{00000000-0006-0000-0100-000021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9" authorId="0" shapeId="0" xr:uid="{00000000-0006-0000-0100-00002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9" authorId="0" shapeId="0" xr:uid="{00000000-0006-0000-0100-000023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0" authorId="0" shapeId="0" xr:uid="{00000000-0006-0000-0100-00002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0" authorId="0" shapeId="0" xr:uid="{00000000-0006-0000-0100-000025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1" authorId="0" shapeId="0" xr:uid="{00000000-0006-0000-0100-000026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1" authorId="0" shapeId="0" xr:uid="{00000000-0006-0000-0100-000027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4" authorId="0" shapeId="0" xr:uid="{00000000-0006-0000-0100-000028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4" authorId="0" shapeId="0" xr:uid="{00000000-0006-0000-0100-000029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5" authorId="0" shapeId="0" xr:uid="{00000000-0006-0000-0100-00002A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5" authorId="0" shapeId="0" xr:uid="{00000000-0006-0000-0100-00002B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2" authorId="0" shapeId="0" xr:uid="{00000000-0006-0000-0100-00002C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3" authorId="0" shapeId="0" xr:uid="{00000000-0006-0000-0100-00002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4" authorId="0" shapeId="0" xr:uid="{00000000-0006-0000-0100-00002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5" authorId="0" shapeId="0" xr:uid="{00000000-0006-0000-01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6" authorId="0" shapeId="0" xr:uid="{00000000-0006-0000-0100-00003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7" authorId="0" shapeId="0" xr:uid="{00000000-0006-0000-01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8" authorId="0" shapeId="0" xr:uid="{00000000-0006-0000-0100-000032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40" authorId="0" shapeId="0" xr:uid="{00000000-0006-0000-0100-000033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41" authorId="0" shapeId="0" xr:uid="{00000000-0006-0000-0100-000034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42" authorId="0" shapeId="0" xr:uid="{00000000-0006-0000-0100-000035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43" authorId="0" shapeId="0" xr:uid="{00000000-0006-0000-0100-000036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5" authorId="0" shapeId="0" xr:uid="{00000000-0006-0000-0100-000037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46" authorId="0" shapeId="0" xr:uid="{00000000-0006-0000-0100-000038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47" authorId="0" shapeId="0" xr:uid="{00000000-0006-0000-0100-000039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48" authorId="0" shapeId="0" xr:uid="{00000000-0006-0000-0100-00003A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1" authorId="0" shapeId="0" xr:uid="{00000000-0006-0000-0100-00003B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57" authorId="0" shapeId="0" xr:uid="{00000000-0006-0000-0100-00003C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3" authorId="0" shapeId="0" xr:uid="{00000000-0006-0000-0100-00003D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174" authorId="0" shapeId="0" xr:uid="{00000000-0006-0000-0100-00003E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180" authorId="0" shapeId="0" xr:uid="{00000000-0006-0000-0100-00003F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83" authorId="0" shapeId="0" xr:uid="{00000000-0006-0000-0100-000040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83" authorId="0" shapeId="0" xr:uid="{00000000-0006-0000-0100-000041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85" authorId="0" shapeId="0" xr:uid="{00000000-0006-0000-0100-000042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85" authorId="0" shapeId="0" xr:uid="{00000000-0006-0000-0100-000043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187" authorId="0" shapeId="0" xr:uid="{00000000-0006-0000-0100-000044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187" authorId="0" shapeId="0" xr:uid="{00000000-0006-0000-0100-000045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189" authorId="0" shapeId="0" xr:uid="{00000000-0006-0000-0100-000046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189" authorId="0" shapeId="0" xr:uid="{00000000-0006-0000-0100-000047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191" authorId="0" shapeId="0" xr:uid="{00000000-0006-0000-0100-000048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191" authorId="0" shapeId="0" xr:uid="{00000000-0006-0000-0100-000049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198" authorId="0" shapeId="0" xr:uid="{00000000-0006-0000-0100-00004A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03" authorId="0" shapeId="0" xr:uid="{00000000-0006-0000-0100-00004B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03" authorId="0" shapeId="0" xr:uid="{00000000-0006-0000-0100-00004C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04" authorId="0" shapeId="0" xr:uid="{00000000-0006-0000-0100-00004D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05" authorId="0" shapeId="0" xr:uid="{00000000-0006-0000-0100-00004E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06" authorId="0" shapeId="0" xr:uid="{00000000-0006-0000-0100-00004F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as recapagens, em km
</t>
        </r>
      </text>
    </comment>
    <comment ref="C216" authorId="0" shapeId="0" xr:uid="{00000000-0006-0000-0100-000050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6" authorId="0" shapeId="0" xr:uid="{00000000-0006-0000-0100-000051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7" authorId="0" shapeId="0" xr:uid="{00000000-0006-0000-0100-000052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7" authorId="0" shapeId="0" xr:uid="{00000000-0006-0000-0100-000053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8" authorId="0" shapeId="0" xr:uid="{00000000-0006-0000-0100-00005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8" authorId="0" shapeId="0" xr:uid="{00000000-0006-0000-0100-00005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9" authorId="0" shapeId="0" xr:uid="{00000000-0006-0000-0100-00005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9" authorId="0" shapeId="0" xr:uid="{00000000-0006-0000-0100-00005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20" authorId="0" shapeId="0" xr:uid="{00000000-0006-0000-0100-00005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20" authorId="0" shapeId="0" xr:uid="{00000000-0006-0000-0100-00005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25" authorId="0" shapeId="0" xr:uid="{00000000-0006-0000-0100-00005A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8" authorId="0" shapeId="0" xr:uid="{00000000-0006-0000-0100-00005B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30" authorId="0" shapeId="0" xr:uid="{00000000-0006-0000-0100-00005C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41" authorId="0" shapeId="0" xr:uid="{00000000-0006-0000-0100-00005D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50" authorId="0" shapeId="0" xr:uid="{00000000-0006-0000-0100-00005E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E16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2" authorId="0" shapeId="0" xr:uid="{00000000-0006-0000-07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 xr:uid="{00000000-0006-0000-07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 xr:uid="{00000000-0006-0000-07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Informe o número de dias de coleta por semana</t>
        </r>
      </text>
    </comment>
    <comment ref="C19" authorId="0" shapeId="0" xr:uid="{00000000-0006-0000-07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 xr:uid="{00000000-0006-0000-07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 xr:uid="{00000000-0006-0000-07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<sst xmlns="http://schemas.openxmlformats.org/spreadsheetml/2006/main" count="524" uniqueCount="319">
  <si>
    <t>hora</t>
  </si>
  <si>
    <t>Adicional de Insalubridade</t>
  </si>
  <si>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</si>
  <si>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</si>
  <si>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</si>
  <si>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</si>
  <si>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</si>
  <si>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</si>
  <si>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</si>
  <si>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</si>
  <si>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</si>
  <si>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</si>
  <si>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</si>
  <si>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</si>
  <si>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</si>
  <si>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</si>
  <si>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</si>
  <si>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</si>
  <si>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</si>
  <si>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</si>
  <si>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</si>
  <si>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</si>
  <si>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</si>
  <si>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</si>
  <si>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</si>
  <si>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</si>
  <si>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</si>
  <si>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</si>
  <si>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</si>
  <si>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</si>
  <si>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</si>
  <si>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</si>
  <si>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</si>
  <si>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</si>
  <si>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</si>
  <si>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</si>
  <si>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</si>
  <si>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</si>
  <si>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</si>
  <si>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</si>
  <si>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FGTS</t>
  </si>
  <si>
    <t>Planilha de Composição de Custos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</si>
  <si>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</si>
  <si>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</si>
  <si>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</si>
  <si>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</si>
  <si>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</si>
  <si>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</si>
  <si>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</si>
  <si>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</si>
  <si>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</si>
  <si>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</si>
  <si>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</si>
  <si>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</si>
  <si>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</si>
  <si>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</si>
  <si>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</si>
  <si>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</si>
  <si>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</si>
  <si>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</si>
  <si>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</si>
  <si>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</si>
  <si>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</si>
  <si>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t>Jaqueta com reflexivo (NBR 15.292)</t>
  </si>
  <si>
    <t>Capa de chuva amarela com reflexivo</t>
  </si>
  <si>
    <t>Botina de segurança c/ palmilha aço</t>
  </si>
  <si>
    <t>Custo de recapagem</t>
  </si>
  <si>
    <t>Recipiente térmico para água (5L)</t>
  </si>
  <si>
    <t>Total por Coletor</t>
  </si>
  <si>
    <t>Coletor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</si>
  <si>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</si>
  <si>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</si>
  <si>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</si>
  <si>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</si>
  <si>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</si>
  <si>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</si>
  <si>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</si>
  <si>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</si>
  <si>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</si>
  <si>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</t>
  </si>
  <si>
    <t>Fórmula para o cálculo do BDI:</t>
  </si>
  <si>
    <t>{[(1+AC+SRG) x (1+L) x (1+DF)] / (1-T)} -1</t>
  </si>
  <si>
    <t>Resultado do cálculo do BDI:</t>
  </si>
  <si>
    <t>6. Benefícios e Despesas Indiretas - BDI</t>
  </si>
  <si>
    <t>Vale Transporte</t>
  </si>
  <si>
    <t>Dias Trabalhados por mês</t>
  </si>
  <si>
    <t>dia</t>
  </si>
  <si>
    <t>Custo Mensal com Mão-de-obra (R$/mês)</t>
  </si>
  <si>
    <t>Meia de algodão com cano alto</t>
  </si>
  <si>
    <t>Quantitativos</t>
  </si>
  <si>
    <t>1.1. Coletor Turno Dia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</si>
  <si>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</si>
  <si>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</si>
  <si>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</si>
  <si>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</si>
  <si>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</si>
  <si>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</si>
  <si>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</si>
  <si>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</si>
  <si>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</si>
  <si>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</si>
  <si>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</si>
  <si>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</si>
  <si>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</si>
  <si>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</si>
  <si>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</si>
  <si>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</si>
  <si>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</si>
  <si>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</si>
  <si>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</si>
  <si>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R$/km rodado</t>
  </si>
  <si>
    <t>Número de recapagens por pneu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</si>
  <si>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</si>
  <si>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</si>
  <si>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</si>
  <si>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</si>
  <si>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</si>
  <si>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</si>
  <si>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</si>
  <si>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</si>
  <si>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</si>
  <si>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</si>
  <si>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</si>
  <si>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</si>
  <si>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</si>
  <si>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</si>
  <si>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</si>
  <si>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</si>
  <si>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</si>
  <si>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</si>
  <si>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</si>
  <si>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</si>
  <si>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</si>
  <si>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</si>
  <si>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</si>
  <si>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</si>
  <si>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</si>
  <si>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</si>
  <si>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</si>
  <si>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</si>
  <si>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</si>
  <si>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</si>
  <si>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</si>
  <si>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</si>
  <si>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</si>
  <si>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</si>
  <si>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</si>
  <si>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</si>
  <si>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</si>
  <si>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</si>
  <si>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</si>
  <si>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</si>
  <si>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</si>
  <si>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</si>
  <si>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</si>
  <si>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</si>
  <si>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</si>
  <si>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</si>
  <si>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</si>
  <si>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</si>
  <si>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</si>
  <si>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</si>
  <si>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</si>
  <si>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</si>
  <si>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</si>
  <si>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</si>
  <si>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</si>
  <si>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</si>
  <si>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</si>
  <si>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</si>
  <si>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</si>
  <si>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</si>
  <si>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</si>
  <si>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</si>
  <si>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</si>
  <si>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</si>
  <si>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</si>
  <si>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</si>
  <si>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Rio Grande do Sul  - Coleta de Resíduos Não-Perigosos - CNAE 38114</t>
  </si>
  <si>
    <t xml:space="preserve">1. Acesse o Portal do CAGED no link http://bi.mte.gov.br/cagedestabelecimento/pages/consulta.xhtml 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</si>
  <si>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</si>
  <si>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</si>
  <si>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</si>
  <si>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Para preencher esta planilha siga os passos 1 a 5: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</si>
  <si>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</si>
  <si>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</si>
  <si>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</si>
  <si>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</si>
  <si>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</si>
  <si>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</si>
  <si>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</si>
  <si>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</si>
  <si>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Descanso Semanal Remunerado (DSR) - hora extra</t>
  </si>
  <si>
    <t>C2</t>
  </si>
  <si>
    <t>B3</t>
  </si>
  <si>
    <t xml:space="preserve">Quantidade média de resíduos coletados por mês: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</si>
  <si>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</si>
  <si>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</si>
  <si>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</si>
  <si>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</si>
  <si>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</si>
  <si>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</si>
  <si>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</si>
  <si>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</si>
  <si>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</si>
  <si>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</si>
  <si>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</si>
  <si>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</si>
  <si>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</si>
  <si>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</si>
  <si>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</si>
  <si>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</si>
  <si>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</si>
  <si>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</si>
  <si>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</si>
  <si>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6. Preencha as células em amarelo</t>
  </si>
  <si>
    <t>1/3 de férias (dias)</t>
  </si>
  <si>
    <t>Férias (dias)</t>
  </si>
  <si>
    <t>13º Salário (dias)</t>
  </si>
  <si>
    <t>Referência estudo TCE</t>
  </si>
  <si>
    <t>Rotatividade temporal (meses)</t>
  </si>
  <si>
    <t>Fórmula de cálculo da remuneração de capital:</t>
  </si>
  <si>
    <t>Total por Motorista</t>
  </si>
  <si>
    <t>2. Na Especificação da Consulta, selecione "Demonstrativo por período" e informe as competências relativas ao período Inicial e Final (últimos 12 meses)</t>
  </si>
  <si>
    <t>Durabilidade (meses)</t>
  </si>
  <si>
    <t>Custo com consumos/km rodado</t>
  </si>
  <si>
    <t>Consumo</t>
  </si>
  <si>
    <t>Total por veículo</t>
  </si>
  <si>
    <t>Total da frota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</si>
  <si>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</si>
  <si>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</si>
  <si>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</si>
  <si>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</si>
  <si>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</si>
  <si>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</si>
  <si>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</si>
  <si>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</si>
  <si>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</si>
  <si>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</si>
  <si>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</si>
  <si>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</si>
  <si>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</si>
  <si>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</si>
  <si>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</si>
  <si>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</si>
  <si>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</si>
  <si>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</si>
  <si>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</si>
  <si>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</si>
  <si>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</si>
  <si>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</si>
  <si>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</si>
  <si>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Depreciação Média</t>
  </si>
  <si>
    <t>Reincidência de FGTS sobre aviso prévio indenizado</t>
  </si>
  <si>
    <t>Piso da categoria (2)</t>
  </si>
  <si>
    <t>Salário mínimo nacional (1)</t>
  </si>
  <si>
    <t>% Demitidos s/ Justa Causa em relação ao Estoque Médio</t>
  </si>
  <si>
    <t>Taxa de Rotatividade</t>
  </si>
  <si>
    <t>Acordo</t>
  </si>
  <si>
    <r>
      <t xml:space="preserve">Total </t>
    </r>
    <r>
      <rPr>
        <b/>
        <i/>
        <u/>
        <sz val="9"/>
        <rFont val="Calibri"/>
        <family val="2"/>
        <scheme val="minor"/>
      </rPr>
      <t>(R$)</t>
    </r>
  </si>
  <si>
    <r>
      <t xml:space="preserve">Custo jg. compl. + </t>
    </r>
    <r>
      <rPr>
        <i/>
        <sz val="9"/>
        <color indexed="10"/>
        <rFont val="Calibri"/>
        <family val="2"/>
        <scheme val="minor"/>
      </rPr>
      <t>X</t>
    </r>
    <r>
      <rPr>
        <i/>
        <sz val="9"/>
        <rFont val="Calibri"/>
        <family val="2"/>
        <scheme val="minor"/>
      </rPr>
      <t xml:space="preserve"> recap./ km rodado</t>
    </r>
  </si>
  <si>
    <r>
      <t>J</t>
    </r>
    <r>
      <rPr>
        <i/>
        <vertAlign val="subscript"/>
        <sz val="9"/>
        <color indexed="8"/>
        <rFont val="Calibri"/>
        <family val="2"/>
        <scheme val="minor"/>
      </rPr>
      <t>m</t>
    </r>
    <r>
      <rPr>
        <i/>
        <sz val="9"/>
        <color indexed="8"/>
        <rFont val="Calibri"/>
        <family val="2"/>
        <scheme val="minor"/>
      </rPr>
      <t xml:space="preserve"> = remuneração de capital mensal</t>
    </r>
  </si>
  <si>
    <r>
      <t>V</t>
    </r>
    <r>
      <rPr>
        <i/>
        <vertAlign val="subscript"/>
        <sz val="9"/>
        <color indexed="8"/>
        <rFont val="Calibri"/>
        <family val="2"/>
        <scheme val="minor"/>
      </rPr>
      <t>0</t>
    </r>
    <r>
      <rPr>
        <i/>
        <sz val="9"/>
        <color indexed="8"/>
        <rFont val="Calibri"/>
        <family val="2"/>
        <scheme val="minor"/>
      </rPr>
      <t xml:space="preserve"> = valor inicial do bem</t>
    </r>
  </si>
  <si>
    <r>
      <t>V</t>
    </r>
    <r>
      <rPr>
        <i/>
        <vertAlign val="subscript"/>
        <sz val="9"/>
        <color indexed="8"/>
        <rFont val="Calibri"/>
        <family val="2"/>
        <scheme val="minor"/>
      </rPr>
      <t>r</t>
    </r>
    <r>
      <rPr>
        <i/>
        <sz val="9"/>
        <color indexed="8"/>
        <rFont val="Calibri"/>
        <family val="2"/>
        <scheme val="minor"/>
      </rPr>
      <t xml:space="preserve"> = valor residual do bem</t>
    </r>
  </si>
  <si>
    <t>Óculos</t>
  </si>
  <si>
    <t>Respirador</t>
  </si>
  <si>
    <t>Tributos - ISS</t>
  </si>
  <si>
    <t>Tributos - PIS/COFINS/CPP/IR/CSLL</t>
  </si>
  <si>
    <r>
      <t>3.1. Veículo Coletor Compactador</t>
    </r>
    <r>
      <rPr>
        <i/>
        <sz val="9"/>
        <color indexed="10"/>
        <rFont val="Calibri"/>
        <family val="2"/>
        <scheme val="minor"/>
      </rPr>
      <t xml:space="preserve"> 15</t>
    </r>
    <r>
      <rPr>
        <i/>
        <sz val="9"/>
        <rFont val="Calibri"/>
        <family val="2"/>
        <scheme val="minor"/>
      </rPr>
      <t xml:space="preserve"> m³</t>
    </r>
  </si>
  <si>
    <t>Estoque recuperado início do Período 01-09-2018</t>
  </si>
  <si>
    <t>Estoque recuperado final do Período 30-09-2019</t>
  </si>
  <si>
    <t>Variação Emprego Absoluta de 01-09-2018 a 30-09-2019</t>
  </si>
  <si>
    <t>ESPECIFICAÇÃO DOS SERVIÇOS</t>
  </si>
  <si>
    <t>R$ MENSAL</t>
  </si>
  <si>
    <t>R$ ANUAL</t>
  </si>
  <si>
    <t>VALOR TOTAL</t>
  </si>
  <si>
    <t>PROPOSTA FINANCEIRA</t>
  </si>
  <si>
    <t>I - Esta Proposta Financeira tem validade de 60 (sessenta) dias;</t>
  </si>
  <si>
    <t>II - A Licitante informa que prestará os serviços de acordo com o que prevê o presente Edital;</t>
  </si>
  <si>
    <t>III - Esta empresa tem pleno conhecimento das condições e locais para cumprimento das obrigações do objeto da licitação,</t>
  </si>
  <si>
    <t>e que concorda plenamente com os mesmos.</t>
  </si>
  <si>
    <t>UNIDADE</t>
  </si>
  <si>
    <t>QTD</t>
  </si>
  <si>
    <t>VALOR MENSAL PROPOSTO:</t>
  </si>
  <si>
    <t>Custo do jogo de pneus 275/80 R22,5</t>
  </si>
  <si>
    <t>INSS</t>
  </si>
  <si>
    <t>A2</t>
  </si>
  <si>
    <t>A3</t>
  </si>
  <si>
    <t>A4</t>
  </si>
  <si>
    <t>A5</t>
  </si>
  <si>
    <t>A6</t>
  </si>
  <si>
    <t>A7</t>
  </si>
  <si>
    <t>A8</t>
  </si>
  <si>
    <t>SESI</t>
  </si>
  <si>
    <t>SENAI</t>
  </si>
  <si>
    <t>INCRA</t>
  </si>
  <si>
    <t>SEBRAE</t>
  </si>
  <si>
    <t>Salário Educação</t>
  </si>
  <si>
    <t>Seguro contra acidente de trabalho</t>
  </si>
  <si>
    <t>1.2. Motorista Turno do Dia</t>
  </si>
  <si>
    <t>1.3. Encarregado</t>
  </si>
  <si>
    <t>Salário</t>
  </si>
  <si>
    <t>1.4. Vale Transporte</t>
  </si>
  <si>
    <t>Motorista e Encarregado</t>
  </si>
  <si>
    <t>1.5. Auxílio Alimentação (mensal)</t>
  </si>
  <si>
    <t>Coletores</t>
  </si>
  <si>
    <t>Quilometragem de coleta e transporte mensal</t>
  </si>
  <si>
    <t>4. Ferramentas, Materiais de Consumo e Aterro Sanitário</t>
  </si>
  <si>
    <t>Aterro Sanitário</t>
  </si>
  <si>
    <t>Toneladas</t>
  </si>
  <si>
    <t>Coleta, Transporte,Triagem e Destinação Final em Aterro Sanitário de RSU</t>
  </si>
  <si>
    <t>RAZÃO SOCIAL:</t>
  </si>
  <si>
    <t xml:space="preserve">Endereço: </t>
  </si>
  <si>
    <t xml:space="preserve">Nº: </t>
  </si>
  <si>
    <t xml:space="preserve">Cidade: </t>
  </si>
  <si>
    <t xml:space="preserve">Bairro: </t>
  </si>
  <si>
    <t xml:space="preserve">Cep: </t>
  </si>
  <si>
    <t xml:space="preserve">CNPJ: </t>
  </si>
  <si>
    <t>Município de Campos Borges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</si>
</sst>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  <numFmt numFmtId="172" formatCode="_-* #,##0_-;\-* #,##0_-;_-* &quot;-&quot;?_-;_-@_-"/>
  </numFmts>
  <fonts count="3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i/>
      <sz val="9"/>
      <name val="Calibri"/>
      <family val="2"/>
      <scheme val="minor"/>
    </font>
    <font>
      <b/>
      <i/>
      <sz val="9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u/>
      <sz val="9"/>
      <name val="Calibri"/>
      <family val="2"/>
      <scheme val="minor"/>
    </font>
    <font>
      <i/>
      <u/>
      <sz val="9"/>
      <color indexed="12"/>
      <name val="Calibri"/>
      <family val="2"/>
      <scheme val="minor"/>
    </font>
    <font>
      <i/>
      <sz val="9"/>
      <color indexed="1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i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i/>
      <vertAlign val="subscript"/>
      <sz val="9"/>
      <color indexed="8"/>
      <name val="Calibri"/>
      <family val="2"/>
      <scheme val="minor"/>
    </font>
    <font>
      <i/>
      <sz val="9"/>
      <color indexed="8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34" fillId="0" borderId="0" applyFont="0" applyFill="0" applyBorder="0" applyAlignment="0" applyProtection="0"/>
  </cellStyleXfs>
  <cellXfs count="372">
    <xf numFmtId="0" fontId="0" fillId="0" borderId="0" xfId="0"/>
    <xf numFmtId="0" fontId="5" fillId="0" borderId="0" xfId="0" applyFont="1"/>
    <xf numFmtId="0" fontId="0" fillId="0" borderId="0" xfId="0" applyAlignment="1">
      <alignment vertical="center"/>
    </xf>
    <xf numFmtId="165" fontId="0" fillId="0" borderId="0" xfId="3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5" fontId="5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43" fontId="5" fillId="0" borderId="0" xfId="0" applyNumberFormat="1" applyFont="1" applyAlignment="1">
      <alignment vertical="center"/>
    </xf>
    <xf numFmtId="0" fontId="3" fillId="0" borderId="0" xfId="0" applyFont="1"/>
    <xf numFmtId="0" fontId="0" fillId="0" borderId="0" xfId="0" applyAlignment="1">
      <alignment horizontal="center"/>
    </xf>
    <xf numFmtId="4" fontId="0" fillId="0" borderId="0" xfId="0" applyNumberFormat="1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1" fillId="0" borderId="0" xfId="0" applyFont="1" applyFill="1" applyAlignment="1">
      <alignment vertical="center"/>
    </xf>
    <xf numFmtId="0" fontId="5" fillId="0" borderId="0" xfId="0" applyFont="1" applyBorder="1"/>
    <xf numFmtId="0" fontId="12" fillId="0" borderId="0" xfId="0" applyFont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10" fontId="5" fillId="0" borderId="0" xfId="0" applyNumberFormat="1" applyFont="1"/>
    <xf numFmtId="9" fontId="12" fillId="0" borderId="0" xfId="2" applyFont="1" applyBorder="1" applyAlignment="1">
      <alignment horizontal="right" vertical="center"/>
    </xf>
    <xf numFmtId="10" fontId="5" fillId="0" borderId="0" xfId="0" applyNumberFormat="1" applyFont="1" applyBorder="1"/>
    <xf numFmtId="0" fontId="13" fillId="0" borderId="0" xfId="0" applyFont="1" applyFill="1" applyBorder="1" applyAlignment="1">
      <alignment horizontal="left" vertical="center"/>
    </xf>
    <xf numFmtId="10" fontId="13" fillId="0" borderId="0" xfId="0" applyNumberFormat="1" applyFont="1" applyFill="1" applyBorder="1" applyAlignment="1">
      <alignment horizontal="right" vertical="center"/>
    </xf>
    <xf numFmtId="10" fontId="12" fillId="0" borderId="0" xfId="0" applyNumberFormat="1" applyFont="1" applyFill="1" applyBorder="1" applyAlignment="1">
      <alignment horizontal="right" vertical="center"/>
    </xf>
    <xf numFmtId="10" fontId="12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left" vertical="center"/>
    </xf>
    <xf numFmtId="10" fontId="13" fillId="0" borderId="0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justify" vertical="center"/>
    </xf>
    <xf numFmtId="0" fontId="15" fillId="0" borderId="0" xfId="0" applyFont="1" applyBorder="1"/>
    <xf numFmtId="0" fontId="12" fillId="0" borderId="0" xfId="0" applyFont="1" applyBorder="1" applyAlignment="1">
      <alignment horizontal="right" vertical="center"/>
    </xf>
    <xf numFmtId="0" fontId="6" fillId="0" borderId="0" xfId="1" applyFont="1" applyBorder="1" applyAlignment="1" applyProtection="1">
      <alignment vertical="center"/>
    </xf>
    <xf numFmtId="0" fontId="1" fillId="0" borderId="0" xfId="0" applyFont="1"/>
    <xf numFmtId="0" fontId="1" fillId="0" borderId="0" xfId="0" applyFont="1" applyFill="1"/>
    <xf numFmtId="165" fontId="18" fillId="0" borderId="1" xfId="3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65" fontId="18" fillId="0" borderId="0" xfId="3" applyFont="1" applyAlignment="1">
      <alignment vertical="center"/>
    </xf>
    <xf numFmtId="4" fontId="20" fillId="0" borderId="0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4" fontId="18" fillId="0" borderId="0" xfId="0" applyNumberFormat="1" applyFont="1" applyAlignment="1">
      <alignment vertical="center"/>
    </xf>
    <xf numFmtId="165" fontId="19" fillId="0" borderId="35" xfId="3" applyFont="1" applyBorder="1" applyAlignment="1">
      <alignment vertical="center"/>
    </xf>
    <xf numFmtId="165" fontId="19" fillId="0" borderId="12" xfId="3" applyFont="1" applyBorder="1" applyAlignment="1">
      <alignment horizontal="center" vertical="center"/>
    </xf>
    <xf numFmtId="168" fontId="19" fillId="0" borderId="1" xfId="0" applyNumberFormat="1" applyFont="1" applyBorder="1" applyAlignment="1">
      <alignment vertical="center"/>
    </xf>
    <xf numFmtId="10" fontId="19" fillId="0" borderId="15" xfId="2" applyNumberFormat="1" applyFont="1" applyBorder="1" applyAlignment="1">
      <alignment vertical="center"/>
    </xf>
    <xf numFmtId="168" fontId="18" fillId="0" borderId="1" xfId="0" applyNumberFormat="1" applyFont="1" applyBorder="1" applyAlignment="1">
      <alignment vertical="center"/>
    </xf>
    <xf numFmtId="10" fontId="18" fillId="0" borderId="15" xfId="2" applyNumberFormat="1" applyFont="1" applyBorder="1" applyAlignment="1">
      <alignment vertical="center"/>
    </xf>
    <xf numFmtId="168" fontId="19" fillId="0" borderId="36" xfId="0" applyNumberFormat="1" applyFont="1" applyBorder="1" applyAlignment="1">
      <alignment vertical="center"/>
    </xf>
    <xf numFmtId="165" fontId="19" fillId="0" borderId="6" xfId="3" applyFont="1" applyBorder="1" applyAlignment="1">
      <alignment vertical="center"/>
    </xf>
    <xf numFmtId="164" fontId="19" fillId="0" borderId="34" xfId="0" applyNumberFormat="1" applyFont="1" applyBorder="1" applyAlignment="1">
      <alignment vertical="center"/>
    </xf>
    <xf numFmtId="9" fontId="19" fillId="0" borderId="18" xfId="2" applyFont="1" applyBorder="1" applyAlignment="1">
      <alignment vertical="center"/>
    </xf>
    <xf numFmtId="165" fontId="19" fillId="0" borderId="13" xfId="3" applyFont="1" applyBorder="1" applyAlignment="1">
      <alignment horizontal="right" vertical="center"/>
    </xf>
    <xf numFmtId="1" fontId="18" fillId="0" borderId="12" xfId="3" applyNumberFormat="1" applyFont="1" applyBorder="1" applyAlignment="1">
      <alignment horizontal="center" vertical="center"/>
    </xf>
    <xf numFmtId="0" fontId="18" fillId="0" borderId="9" xfId="0" applyFont="1" applyBorder="1" applyAlignment="1">
      <alignment vertical="center"/>
    </xf>
    <xf numFmtId="1" fontId="18" fillId="0" borderId="20" xfId="3" applyNumberFormat="1" applyFont="1" applyBorder="1" applyAlignment="1">
      <alignment horizontal="center" vertical="center"/>
    </xf>
    <xf numFmtId="1" fontId="19" fillId="0" borderId="31" xfId="3" applyNumberFormat="1" applyFont="1" applyBorder="1" applyAlignment="1">
      <alignment horizontal="center" vertical="center"/>
    </xf>
    <xf numFmtId="165" fontId="18" fillId="0" borderId="0" xfId="3" applyFont="1" applyBorder="1" applyAlignment="1">
      <alignment vertical="center"/>
    </xf>
    <xf numFmtId="1" fontId="18" fillId="0" borderId="37" xfId="3" applyNumberFormat="1" applyFont="1" applyBorder="1" applyAlignment="1">
      <alignment horizontal="center" vertical="center"/>
    </xf>
    <xf numFmtId="1" fontId="18" fillId="0" borderId="0" xfId="3" applyNumberFormat="1" applyFont="1" applyBorder="1" applyAlignment="1">
      <alignment horizontal="center" vertical="center"/>
    </xf>
    <xf numFmtId="166" fontId="18" fillId="0" borderId="0" xfId="3" applyNumberFormat="1" applyFont="1" applyBorder="1" applyAlignment="1">
      <alignment horizontal="center" vertical="center"/>
    </xf>
    <xf numFmtId="165" fontId="19" fillId="0" borderId="5" xfId="3" applyFont="1" applyBorder="1" applyAlignment="1">
      <alignment vertical="center"/>
    </xf>
    <xf numFmtId="165" fontId="19" fillId="0" borderId="0" xfId="3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166" fontId="19" fillId="0" borderId="0" xfId="3" applyNumberFormat="1" applyFont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165" fontId="19" fillId="2" borderId="17" xfId="3" applyFont="1" applyFill="1" applyBorder="1" applyAlignment="1">
      <alignment horizontal="center" vertical="center"/>
    </xf>
    <xf numFmtId="165" fontId="19" fillId="2" borderId="18" xfId="3" applyFont="1" applyFill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165" fontId="18" fillId="3" borderId="2" xfId="3" applyFont="1" applyFill="1" applyBorder="1" applyAlignment="1">
      <alignment horizontal="center" vertical="center"/>
    </xf>
    <xf numFmtId="165" fontId="18" fillId="0" borderId="2" xfId="3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2" fontId="18" fillId="3" borderId="1" xfId="0" applyNumberFormat="1" applyFont="1" applyFill="1" applyBorder="1" applyAlignment="1">
      <alignment horizontal="center" vertical="center"/>
    </xf>
    <xf numFmtId="165" fontId="18" fillId="0" borderId="1" xfId="3" applyFont="1" applyFill="1" applyBorder="1" applyAlignment="1">
      <alignment horizontal="center" vertical="center"/>
    </xf>
    <xf numFmtId="0" fontId="19" fillId="0" borderId="3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165" fontId="19" fillId="0" borderId="0" xfId="3" applyFont="1" applyAlignment="1">
      <alignment horizontal="center" vertical="center"/>
    </xf>
    <xf numFmtId="165" fontId="19" fillId="0" borderId="3" xfId="3" applyFont="1" applyBorder="1" applyAlignment="1">
      <alignment horizontal="center" vertical="center"/>
    </xf>
    <xf numFmtId="165" fontId="18" fillId="5" borderId="1" xfId="3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165" fontId="18" fillId="0" borderId="0" xfId="3" applyFont="1" applyAlignment="1">
      <alignment horizontal="right" vertical="center"/>
    </xf>
    <xf numFmtId="165" fontId="18" fillId="0" borderId="1" xfId="3" applyFont="1" applyBorder="1" applyAlignment="1">
      <alignment vertical="center"/>
    </xf>
    <xf numFmtId="165" fontId="19" fillId="2" borderId="7" xfId="3" applyFont="1" applyFill="1" applyBorder="1" applyAlignment="1">
      <alignment horizontal="center" vertical="center"/>
    </xf>
    <xf numFmtId="1" fontId="18" fillId="3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165" fontId="19" fillId="0" borderId="1" xfId="3" applyFont="1" applyBorder="1" applyAlignment="1">
      <alignment horizontal="center" vertical="center"/>
    </xf>
    <xf numFmtId="165" fontId="19" fillId="0" borderId="0" xfId="3" applyFont="1" applyAlignment="1">
      <alignment vertical="center"/>
    </xf>
    <xf numFmtId="0" fontId="19" fillId="0" borderId="9" xfId="0" applyFont="1" applyBorder="1" applyAlignment="1">
      <alignment horizontal="center" vertical="center"/>
    </xf>
    <xf numFmtId="165" fontId="19" fillId="0" borderId="9" xfId="3" applyFont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166" fontId="18" fillId="0" borderId="1" xfId="3" applyNumberFormat="1" applyFont="1" applyBorder="1" applyAlignment="1">
      <alignment horizontal="center" vertical="center"/>
    </xf>
    <xf numFmtId="165" fontId="18" fillId="3" borderId="0" xfId="3" applyFont="1" applyFill="1" applyAlignment="1">
      <alignment vertical="center"/>
    </xf>
    <xf numFmtId="0" fontId="18" fillId="3" borderId="0" xfId="0" applyFont="1" applyFill="1" applyAlignment="1">
      <alignment vertical="center"/>
    </xf>
    <xf numFmtId="166" fontId="18" fillId="0" borderId="1" xfId="3" applyNumberFormat="1" applyFont="1" applyBorder="1" applyAlignment="1">
      <alignment vertical="center"/>
    </xf>
    <xf numFmtId="165" fontId="19" fillId="2" borderId="4" xfId="3" applyFont="1" applyFill="1" applyBorder="1" applyAlignment="1">
      <alignment vertical="center"/>
    </xf>
    <xf numFmtId="165" fontId="19" fillId="0" borderId="0" xfId="3" applyFont="1" applyFill="1" applyBorder="1" applyAlignment="1">
      <alignment vertical="center"/>
    </xf>
    <xf numFmtId="166" fontId="18" fillId="0" borderId="1" xfId="3" applyNumberFormat="1" applyFont="1" applyFill="1" applyBorder="1" applyAlignment="1">
      <alignment vertical="center"/>
    </xf>
    <xf numFmtId="165" fontId="18" fillId="3" borderId="1" xfId="3" applyNumberFormat="1" applyFont="1" applyFill="1" applyBorder="1" applyAlignment="1">
      <alignment horizontal="center" vertical="center"/>
    </xf>
    <xf numFmtId="0" fontId="19" fillId="0" borderId="5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165" fontId="19" fillId="0" borderId="7" xfId="3" applyFont="1" applyBorder="1" applyAlignment="1">
      <alignment vertical="center"/>
    </xf>
    <xf numFmtId="0" fontId="19" fillId="2" borderId="17" xfId="0" applyFont="1" applyFill="1" applyBorder="1" applyAlignment="1">
      <alignment horizontal="center" vertical="center" wrapText="1"/>
    </xf>
    <xf numFmtId="13" fontId="18" fillId="3" borderId="1" xfId="0" applyNumberFormat="1" applyFont="1" applyFill="1" applyBorder="1" applyAlignment="1">
      <alignment horizontal="center" vertical="center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1" fontId="18" fillId="0" borderId="1" xfId="0" applyNumberFormat="1" applyFont="1" applyFill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165" fontId="18" fillId="0" borderId="6" xfId="3" applyFont="1" applyBorder="1" applyAlignment="1">
      <alignment vertical="center"/>
    </xf>
    <xf numFmtId="165" fontId="18" fillId="0" borderId="7" xfId="3" applyFont="1" applyBorder="1" applyAlignment="1">
      <alignment vertical="center"/>
    </xf>
    <xf numFmtId="165" fontId="19" fillId="2" borderId="4" xfId="3" applyFont="1" applyFill="1" applyBorder="1" applyAlignment="1">
      <alignment horizontal="center" vertical="center"/>
    </xf>
    <xf numFmtId="0" fontId="22" fillId="0" borderId="0" xfId="1" applyFont="1" applyAlignment="1" applyProtection="1">
      <alignment vertical="center"/>
    </xf>
    <xf numFmtId="0" fontId="18" fillId="0" borderId="2" xfId="0" applyFont="1" applyFill="1" applyBorder="1" applyAlignment="1">
      <alignment horizontal="center" vertical="center"/>
    </xf>
    <xf numFmtId="165" fontId="18" fillId="0" borderId="0" xfId="3" applyFont="1" applyAlignment="1">
      <alignment horizontal="center" vertical="center"/>
    </xf>
    <xf numFmtId="0" fontId="19" fillId="0" borderId="54" xfId="0" applyFont="1" applyBorder="1" applyAlignment="1">
      <alignment vertical="center"/>
    </xf>
    <xf numFmtId="0" fontId="19" fillId="0" borderId="54" xfId="0" applyFont="1" applyBorder="1" applyAlignment="1">
      <alignment horizontal="center" vertical="center"/>
    </xf>
    <xf numFmtId="165" fontId="19" fillId="0" borderId="54" xfId="3" applyFont="1" applyBorder="1" applyAlignment="1">
      <alignment horizontal="center" vertical="center"/>
    </xf>
    <xf numFmtId="165" fontId="18" fillId="5" borderId="1" xfId="3" applyFont="1" applyFill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165" fontId="18" fillId="0" borderId="1" xfId="0" applyNumberFormat="1" applyFont="1" applyFill="1" applyBorder="1" applyAlignment="1">
      <alignment horizontal="center" vertical="center"/>
    </xf>
    <xf numFmtId="165" fontId="19" fillId="0" borderId="54" xfId="3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165" fontId="19" fillId="0" borderId="1" xfId="3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5" fontId="18" fillId="3" borderId="1" xfId="3" applyFont="1" applyFill="1" applyBorder="1" applyAlignment="1">
      <alignment horizontal="center" vertical="center"/>
    </xf>
    <xf numFmtId="165" fontId="19" fillId="0" borderId="0" xfId="3" applyFont="1" applyBorder="1" applyAlignment="1">
      <alignment horizontal="center" vertical="center"/>
    </xf>
    <xf numFmtId="3" fontId="18" fillId="0" borderId="0" xfId="0" applyNumberFormat="1" applyFont="1" applyAlignment="1">
      <alignment vertical="center"/>
    </xf>
    <xf numFmtId="3" fontId="18" fillId="3" borderId="1" xfId="0" applyNumberFormat="1" applyFont="1" applyFill="1" applyBorder="1" applyAlignment="1">
      <alignment vertical="center"/>
    </xf>
    <xf numFmtId="4" fontId="18" fillId="3" borderId="2" xfId="0" applyNumberFormat="1" applyFont="1" applyFill="1" applyBorder="1" applyAlignment="1">
      <alignment horizontal="center" vertical="center"/>
    </xf>
    <xf numFmtId="167" fontId="18" fillId="3" borderId="2" xfId="3" applyNumberFormat="1" applyFont="1" applyFill="1" applyBorder="1" applyAlignment="1">
      <alignment horizontal="center" vertical="center"/>
    </xf>
    <xf numFmtId="167" fontId="18" fillId="0" borderId="2" xfId="3" applyNumberFormat="1" applyFont="1" applyBorder="1" applyAlignment="1">
      <alignment horizontal="center" vertical="center"/>
    </xf>
    <xf numFmtId="4" fontId="18" fillId="3" borderId="1" xfId="0" applyNumberFormat="1" applyFont="1" applyFill="1" applyBorder="1" applyAlignment="1">
      <alignment horizontal="center" vertical="center"/>
    </xf>
    <xf numFmtId="167" fontId="18" fillId="0" borderId="1" xfId="3" applyNumberFormat="1" applyFont="1" applyBorder="1" applyAlignment="1">
      <alignment horizontal="center" vertical="center"/>
    </xf>
    <xf numFmtId="166" fontId="19" fillId="0" borderId="1" xfId="3" applyNumberFormat="1" applyFont="1" applyBorder="1" applyAlignment="1">
      <alignment horizontal="center" vertical="center"/>
    </xf>
    <xf numFmtId="167" fontId="19" fillId="0" borderId="1" xfId="3" applyNumberFormat="1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165" fontId="18" fillId="0" borderId="2" xfId="3" applyFont="1" applyFill="1" applyBorder="1" applyAlignment="1">
      <alignment horizontal="center" vertical="center"/>
    </xf>
    <xf numFmtId="3" fontId="18" fillId="3" borderId="1" xfId="0" applyNumberFormat="1" applyFont="1" applyFill="1" applyBorder="1" applyAlignment="1">
      <alignment horizontal="center" vertical="center"/>
    </xf>
    <xf numFmtId="165" fontId="19" fillId="0" borderId="0" xfId="3" applyFont="1" applyFill="1" applyBorder="1" applyAlignment="1">
      <alignment horizontal="center" vertical="center"/>
    </xf>
    <xf numFmtId="165" fontId="18" fillId="0" borderId="0" xfId="3" applyFont="1" applyFill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165" fontId="19" fillId="2" borderId="4" xfId="3" applyNumberFormat="1" applyFont="1" applyFill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165" fontId="18" fillId="3" borderId="9" xfId="3" applyNumberFormat="1" applyFont="1" applyFill="1" applyBorder="1" applyAlignment="1">
      <alignment vertical="center"/>
    </xf>
    <xf numFmtId="165" fontId="18" fillId="0" borderId="10" xfId="3" applyFont="1" applyBorder="1" applyAlignment="1">
      <alignment vertical="center"/>
    </xf>
    <xf numFmtId="0" fontId="18" fillId="0" borderId="0" xfId="0" applyFont="1"/>
    <xf numFmtId="0" fontId="24" fillId="0" borderId="23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/>
    </xf>
    <xf numFmtId="10" fontId="24" fillId="0" borderId="20" xfId="0" applyNumberFormat="1" applyFont="1" applyBorder="1" applyAlignment="1">
      <alignment horizontal="right" vertical="center"/>
    </xf>
    <xf numFmtId="0" fontId="25" fillId="0" borderId="1" xfId="0" applyFont="1" applyBorder="1" applyAlignment="1">
      <alignment horizontal="left" vertical="center"/>
    </xf>
    <xf numFmtId="10" fontId="25" fillId="0" borderId="20" xfId="0" applyNumberFormat="1" applyFont="1" applyBorder="1" applyAlignment="1">
      <alignment horizontal="right" vertical="center"/>
    </xf>
    <xf numFmtId="0" fontId="24" fillId="4" borderId="23" xfId="0" applyFont="1" applyFill="1" applyBorder="1" applyAlignment="1">
      <alignment horizontal="left" vertical="center"/>
    </xf>
    <xf numFmtId="0" fontId="25" fillId="4" borderId="1" xfId="0" applyFont="1" applyFill="1" applyBorder="1" applyAlignment="1">
      <alignment horizontal="left" vertical="center"/>
    </xf>
    <xf numFmtId="10" fontId="25" fillId="4" borderId="20" xfId="0" applyNumberFormat="1" applyFont="1" applyFill="1" applyBorder="1" applyAlignment="1">
      <alignment horizontal="right" vertical="center"/>
    </xf>
    <xf numFmtId="0" fontId="26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 wrapText="1"/>
    </xf>
    <xf numFmtId="0" fontId="24" fillId="8" borderId="24" xfId="0" applyFont="1" applyFill="1" applyBorder="1" applyAlignment="1">
      <alignment horizontal="left" vertical="center"/>
    </xf>
    <xf numFmtId="0" fontId="25" fillId="8" borderId="36" xfId="0" applyFont="1" applyFill="1" applyBorder="1" applyAlignment="1">
      <alignment horizontal="left" vertical="center"/>
    </xf>
    <xf numFmtId="0" fontId="19" fillId="0" borderId="0" xfId="0" applyFont="1"/>
    <xf numFmtId="0" fontId="20" fillId="0" borderId="0" xfId="0" applyFont="1"/>
    <xf numFmtId="0" fontId="18" fillId="0" borderId="0" xfId="0" applyFont="1" applyBorder="1"/>
    <xf numFmtId="0" fontId="27" fillId="0" borderId="14" xfId="0" applyFont="1" applyBorder="1"/>
    <xf numFmtId="0" fontId="18" fillId="0" borderId="15" xfId="0" applyFont="1" applyBorder="1"/>
    <xf numFmtId="0" fontId="27" fillId="0" borderId="47" xfId="0" applyFont="1" applyBorder="1"/>
    <xf numFmtId="0" fontId="27" fillId="3" borderId="20" xfId="0" applyFont="1" applyFill="1" applyBorder="1"/>
    <xf numFmtId="0" fontId="27" fillId="0" borderId="23" xfId="0" applyFont="1" applyBorder="1"/>
    <xf numFmtId="0" fontId="18" fillId="0" borderId="23" xfId="0" applyFont="1" applyBorder="1"/>
    <xf numFmtId="0" fontId="18" fillId="3" borderId="20" xfId="0" applyFont="1" applyFill="1" applyBorder="1"/>
    <xf numFmtId="0" fontId="18" fillId="0" borderId="47" xfId="0" applyFont="1" applyBorder="1"/>
    <xf numFmtId="0" fontId="18" fillId="3" borderId="48" xfId="0" applyFont="1" applyFill="1" applyBorder="1"/>
    <xf numFmtId="0" fontId="18" fillId="0" borderId="55" xfId="0" applyFont="1" applyBorder="1"/>
    <xf numFmtId="0" fontId="18" fillId="0" borderId="49" xfId="0" applyFont="1" applyBorder="1"/>
    <xf numFmtId="0" fontId="18" fillId="3" borderId="50" xfId="0" applyFont="1" applyFill="1" applyBorder="1"/>
    <xf numFmtId="0" fontId="18" fillId="0" borderId="20" xfId="0" applyFont="1" applyFill="1" applyBorder="1"/>
    <xf numFmtId="0" fontId="18" fillId="0" borderId="38" xfId="0" applyFont="1" applyBorder="1"/>
    <xf numFmtId="0" fontId="18" fillId="0" borderId="39" xfId="0" applyFont="1" applyBorder="1"/>
    <xf numFmtId="0" fontId="19" fillId="0" borderId="48" xfId="0" applyFont="1" applyBorder="1"/>
    <xf numFmtId="10" fontId="27" fillId="0" borderId="20" xfId="2" applyNumberFormat="1" applyFont="1" applyBorder="1"/>
    <xf numFmtId="169" fontId="19" fillId="0" borderId="20" xfId="0" applyNumberFormat="1" applyFont="1" applyBorder="1"/>
    <xf numFmtId="0" fontId="27" fillId="0" borderId="20" xfId="0" applyFont="1" applyBorder="1"/>
    <xf numFmtId="0" fontId="27" fillId="0" borderId="48" xfId="0" applyFont="1" applyBorder="1"/>
    <xf numFmtId="9" fontId="27" fillId="0" borderId="20" xfId="2" applyFont="1" applyBorder="1"/>
    <xf numFmtId="0" fontId="27" fillId="0" borderId="28" xfId="0" applyFont="1" applyBorder="1"/>
    <xf numFmtId="9" fontId="19" fillId="0" borderId="31" xfId="2" applyFont="1" applyBorder="1"/>
    <xf numFmtId="0" fontId="18" fillId="0" borderId="0" xfId="0" applyFont="1" applyFill="1" applyAlignment="1">
      <alignment vertical="center"/>
    </xf>
    <xf numFmtId="0" fontId="18" fillId="0" borderId="0" xfId="0" applyFont="1" applyAlignment="1">
      <alignment horizontal="center"/>
    </xf>
    <xf numFmtId="0" fontId="19" fillId="0" borderId="38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vertical="center"/>
    </xf>
    <xf numFmtId="9" fontId="18" fillId="0" borderId="23" xfId="2" applyFont="1" applyBorder="1"/>
    <xf numFmtId="9" fontId="18" fillId="0" borderId="1" xfId="2" applyFont="1" applyBorder="1" applyAlignment="1">
      <alignment horizontal="center"/>
    </xf>
    <xf numFmtId="9" fontId="18" fillId="0" borderId="20" xfId="2" applyFont="1" applyBorder="1"/>
    <xf numFmtId="0" fontId="18" fillId="0" borderId="21" xfId="0" applyFont="1" applyFill="1" applyBorder="1" applyAlignment="1">
      <alignment horizontal="left" vertical="center"/>
    </xf>
    <xf numFmtId="0" fontId="18" fillId="0" borderId="22" xfId="0" applyFont="1" applyFill="1" applyBorder="1" applyAlignment="1">
      <alignment horizontal="center" vertical="center"/>
    </xf>
    <xf numFmtId="10" fontId="18" fillId="3" borderId="12" xfId="0" applyNumberFormat="1" applyFont="1" applyFill="1" applyBorder="1" applyAlignment="1">
      <alignment horizontal="center" vertical="center"/>
    </xf>
    <xf numFmtId="10" fontId="18" fillId="0" borderId="23" xfId="2" applyNumberFormat="1" applyFont="1" applyBorder="1" applyAlignment="1">
      <alignment horizontal="right"/>
    </xf>
    <xf numFmtId="10" fontId="18" fillId="0" borderId="1" xfId="2" applyNumberFormat="1" applyFont="1" applyBorder="1" applyAlignment="1">
      <alignment horizontal="right"/>
    </xf>
    <xf numFmtId="10" fontId="18" fillId="0" borderId="20" xfId="2" applyNumberFormat="1" applyFont="1" applyBorder="1" applyAlignment="1">
      <alignment horizontal="right"/>
    </xf>
    <xf numFmtId="0" fontId="18" fillId="0" borderId="23" xfId="0" applyFont="1" applyFill="1" applyBorder="1" applyAlignment="1">
      <alignment horizontal="left" vertical="center"/>
    </xf>
    <xf numFmtId="10" fontId="18" fillId="3" borderId="20" xfId="0" applyNumberFormat="1" applyFont="1" applyFill="1" applyBorder="1" applyAlignment="1">
      <alignment horizontal="center" vertical="center"/>
    </xf>
    <xf numFmtId="10" fontId="18" fillId="0" borderId="20" xfId="0" applyNumberFormat="1" applyFont="1" applyFill="1" applyBorder="1" applyAlignment="1">
      <alignment horizontal="center" vertical="center"/>
    </xf>
    <xf numFmtId="10" fontId="18" fillId="3" borderId="1" xfId="2" applyNumberFormat="1" applyFont="1" applyFill="1" applyBorder="1" applyAlignment="1">
      <alignment horizontal="center"/>
    </xf>
    <xf numFmtId="10" fontId="18" fillId="0" borderId="20" xfId="2" applyNumberFormat="1" applyFont="1" applyBorder="1"/>
    <xf numFmtId="0" fontId="18" fillId="0" borderId="23" xfId="0" applyFont="1" applyBorder="1" applyAlignment="1">
      <alignment horizontal="right"/>
    </xf>
    <xf numFmtId="0" fontId="18" fillId="3" borderId="1" xfId="0" applyFont="1" applyFill="1" applyBorder="1" applyAlignment="1">
      <alignment horizontal="center"/>
    </xf>
    <xf numFmtId="0" fontId="18" fillId="0" borderId="20" xfId="0" applyFont="1" applyBorder="1"/>
    <xf numFmtId="0" fontId="18" fillId="0" borderId="25" xfId="0" applyFont="1" applyFill="1" applyBorder="1" applyAlignment="1">
      <alignment vertical="center"/>
    </xf>
    <xf numFmtId="0" fontId="18" fillId="0" borderId="26" xfId="0" applyFont="1" applyFill="1" applyBorder="1" applyAlignment="1">
      <alignment vertical="center"/>
    </xf>
    <xf numFmtId="10" fontId="18" fillId="0" borderId="27" xfId="0" applyNumberFormat="1" applyFont="1" applyFill="1" applyBorder="1" applyAlignment="1">
      <alignment vertical="center"/>
    </xf>
    <xf numFmtId="0" fontId="18" fillId="0" borderId="28" xfId="0" applyFont="1" applyFill="1" applyBorder="1" applyAlignment="1">
      <alignment horizontal="left" vertical="center"/>
    </xf>
    <xf numFmtId="0" fontId="18" fillId="0" borderId="29" xfId="0" applyFont="1" applyFill="1" applyBorder="1" applyAlignment="1">
      <alignment horizontal="left" vertical="center"/>
    </xf>
    <xf numFmtId="0" fontId="18" fillId="0" borderId="30" xfId="0" applyFont="1" applyFill="1" applyBorder="1" applyAlignment="1">
      <alignment vertical="center"/>
    </xf>
    <xf numFmtId="0" fontId="19" fillId="4" borderId="5" xfId="0" applyFont="1" applyFill="1" applyBorder="1" applyAlignment="1">
      <alignment vertical="center" wrapText="1"/>
    </xf>
    <xf numFmtId="0" fontId="18" fillId="4" borderId="6" xfId="0" applyFont="1" applyFill="1" applyBorder="1" applyAlignment="1">
      <alignment vertical="center"/>
    </xf>
    <xf numFmtId="10" fontId="19" fillId="4" borderId="7" xfId="0" applyNumberFormat="1" applyFont="1" applyFill="1" applyBorder="1" applyAlignment="1">
      <alignment horizontal="center" vertical="center" wrapText="1"/>
    </xf>
    <xf numFmtId="10" fontId="18" fillId="0" borderId="24" xfId="2" applyNumberFormat="1" applyFont="1" applyBorder="1" applyAlignment="1">
      <alignment horizontal="right"/>
    </xf>
    <xf numFmtId="10" fontId="18" fillId="0" borderId="36" xfId="2" applyNumberFormat="1" applyFont="1" applyBorder="1" applyAlignment="1">
      <alignment horizontal="right"/>
    </xf>
    <xf numFmtId="10" fontId="18" fillId="0" borderId="37" xfId="2" applyNumberFormat="1" applyFont="1" applyBorder="1" applyAlignment="1">
      <alignment horizontal="right"/>
    </xf>
    <xf numFmtId="0" fontId="29" fillId="0" borderId="23" xfId="0" applyFont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2" fontId="30" fillId="6" borderId="1" xfId="0" applyNumberFormat="1" applyFont="1" applyFill="1" applyBorder="1" applyAlignment="1">
      <alignment horizontal="right" vertical="center"/>
    </xf>
    <xf numFmtId="0" fontId="30" fillId="0" borderId="24" xfId="0" applyFont="1" applyBorder="1" applyAlignment="1">
      <alignment horizontal="center" vertical="center"/>
    </xf>
    <xf numFmtId="2" fontId="30" fillId="6" borderId="36" xfId="0" applyNumberFormat="1" applyFont="1" applyFill="1" applyBorder="1" applyAlignment="1">
      <alignment horizontal="right" vertical="center"/>
    </xf>
    <xf numFmtId="0" fontId="19" fillId="9" borderId="51" xfId="0" applyFont="1" applyFill="1" applyBorder="1" applyAlignment="1">
      <alignment horizontal="center"/>
    </xf>
    <xf numFmtId="0" fontId="18" fillId="0" borderId="52" xfId="0" applyFont="1" applyBorder="1"/>
    <xf numFmtId="0" fontId="26" fillId="0" borderId="52" xfId="0" applyFont="1" applyBorder="1" applyAlignment="1">
      <alignment horizontal="justify"/>
    </xf>
    <xf numFmtId="0" fontId="26" fillId="0" borderId="53" xfId="0" applyFont="1" applyBorder="1" applyAlignment="1">
      <alignment horizontal="justify"/>
    </xf>
    <xf numFmtId="0" fontId="19" fillId="0" borderId="23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9" fillId="0" borderId="20" xfId="0" applyFont="1" applyFill="1" applyBorder="1" applyAlignment="1">
      <alignment horizontal="center"/>
    </xf>
    <xf numFmtId="0" fontId="19" fillId="0" borderId="23" xfId="0" applyFont="1" applyBorder="1"/>
    <xf numFmtId="0" fontId="19" fillId="0" borderId="1" xfId="0" applyFont="1" applyBorder="1"/>
    <xf numFmtId="0" fontId="19" fillId="0" borderId="20" xfId="0" applyFont="1" applyBorder="1"/>
    <xf numFmtId="0" fontId="18" fillId="0" borderId="23" xfId="0" applyFont="1" applyFill="1" applyBorder="1"/>
    <xf numFmtId="0" fontId="18" fillId="0" borderId="1" xfId="0" applyFont="1" applyFill="1" applyBorder="1"/>
    <xf numFmtId="170" fontId="26" fillId="0" borderId="20" xfId="3" applyNumberFormat="1" applyFont="1" applyBorder="1" applyAlignment="1">
      <alignment horizontal="center" vertical="center" wrapText="1"/>
    </xf>
    <xf numFmtId="171" fontId="18" fillId="0" borderId="20" xfId="0" applyNumberFormat="1" applyFont="1" applyBorder="1"/>
    <xf numFmtId="2" fontId="18" fillId="0" borderId="20" xfId="0" applyNumberFormat="1" applyFont="1" applyBorder="1"/>
    <xf numFmtId="171" fontId="18" fillId="3" borderId="20" xfId="0" applyNumberFormat="1" applyFont="1" applyFill="1" applyBorder="1"/>
    <xf numFmtId="172" fontId="18" fillId="3" borderId="20" xfId="0" applyNumberFormat="1" applyFont="1" applyFill="1" applyBorder="1"/>
    <xf numFmtId="0" fontId="18" fillId="0" borderId="24" xfId="0" applyFont="1" applyFill="1" applyBorder="1"/>
    <xf numFmtId="0" fontId="18" fillId="0" borderId="36" xfId="0" applyFont="1" applyBorder="1"/>
    <xf numFmtId="171" fontId="18" fillId="0" borderId="37" xfId="0" applyNumberFormat="1" applyFont="1" applyBorder="1"/>
    <xf numFmtId="0" fontId="18" fillId="0" borderId="1" xfId="0" applyFont="1" applyFill="1" applyBorder="1" applyAlignment="1">
      <alignment horizontal="center"/>
    </xf>
    <xf numFmtId="10" fontId="18" fillId="3" borderId="37" xfId="0" applyNumberFormat="1" applyFont="1" applyFill="1" applyBorder="1" applyAlignment="1">
      <alignment horizontal="center" vertical="center"/>
    </xf>
    <xf numFmtId="10" fontId="19" fillId="3" borderId="7" xfId="2" applyNumberFormat="1" applyFont="1" applyFill="1" applyBorder="1" applyAlignment="1">
      <alignment vertical="center"/>
    </xf>
    <xf numFmtId="10" fontId="18" fillId="0" borderId="1" xfId="2" applyNumberFormat="1" applyFont="1" applyBorder="1" applyAlignment="1">
      <alignment vertical="center"/>
    </xf>
    <xf numFmtId="0" fontId="18" fillId="0" borderId="0" xfId="0" applyFont="1" applyAlignment="1">
      <alignment vertical="center" wrapText="1"/>
    </xf>
    <xf numFmtId="10" fontId="19" fillId="0" borderId="0" xfId="2" applyNumberFormat="1" applyFont="1" applyFill="1" applyBorder="1" applyAlignment="1">
      <alignment vertical="center"/>
    </xf>
    <xf numFmtId="0" fontId="33" fillId="0" borderId="0" xfId="0" applyFont="1" applyAlignment="1">
      <alignment vertical="center"/>
    </xf>
    <xf numFmtId="0" fontId="35" fillId="0" borderId="0" xfId="0" applyFont="1" applyBorder="1"/>
    <xf numFmtId="10" fontId="25" fillId="8" borderId="58" xfId="0" applyNumberFormat="1" applyFont="1" applyFill="1" applyBorder="1" applyAlignment="1">
      <alignment horizontal="right" vertical="center"/>
    </xf>
    <xf numFmtId="0" fontId="36" fillId="0" borderId="0" xfId="0" applyFont="1" applyBorder="1"/>
    <xf numFmtId="0" fontId="36" fillId="0" borderId="21" xfId="0" applyFont="1" applyBorder="1" applyAlignment="1">
      <alignment horizontal="center"/>
    </xf>
    <xf numFmtId="0" fontId="36" fillId="0" borderId="22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" xfId="0" applyFont="1" applyBorder="1"/>
    <xf numFmtId="44" fontId="36" fillId="0" borderId="1" xfId="4" applyFont="1" applyBorder="1"/>
    <xf numFmtId="44" fontId="36" fillId="0" borderId="20" xfId="4" applyFont="1" applyBorder="1"/>
    <xf numFmtId="44" fontId="36" fillId="0" borderId="36" xfId="4" applyFont="1" applyBorder="1"/>
    <xf numFmtId="44" fontId="36" fillId="0" borderId="37" xfId="4" applyFont="1" applyBorder="1"/>
    <xf numFmtId="0" fontId="36" fillId="0" borderId="59" xfId="0" applyFont="1" applyBorder="1" applyAlignment="1">
      <alignment horizontal="center"/>
    </xf>
    <xf numFmtId="0" fontId="36" fillId="0" borderId="10" xfId="0" applyFont="1" applyBorder="1"/>
    <xf numFmtId="0" fontId="36" fillId="0" borderId="60" xfId="0" applyFont="1" applyBorder="1"/>
    <xf numFmtId="0" fontId="36" fillId="0" borderId="0" xfId="0" applyFont="1" applyBorder="1" applyAlignment="1">
      <alignment horizontal="left"/>
    </xf>
    <xf numFmtId="0" fontId="36" fillId="0" borderId="36" xfId="0" applyFont="1" applyBorder="1" applyAlignment="1">
      <alignment horizontal="center"/>
    </xf>
    <xf numFmtId="0" fontId="36" fillId="0" borderId="23" xfId="0" applyFont="1" applyBorder="1" applyAlignment="1">
      <alignment horizontal="center"/>
    </xf>
    <xf numFmtId="0" fontId="36" fillId="0" borderId="24" xfId="0" applyFont="1" applyBorder="1" applyAlignment="1">
      <alignment horizontal="center"/>
    </xf>
    <xf numFmtId="0" fontId="0" fillId="0" borderId="25" xfId="0" applyBorder="1"/>
    <xf numFmtId="0" fontId="36" fillId="0" borderId="26" xfId="0" applyFont="1" applyBorder="1"/>
    <xf numFmtId="0" fontId="36" fillId="0" borderId="27" xfId="0" applyFont="1" applyBorder="1"/>
    <xf numFmtId="0" fontId="0" fillId="0" borderId="38" xfId="0" applyBorder="1"/>
    <xf numFmtId="0" fontId="36" fillId="0" borderId="39" xfId="0" applyFont="1" applyBorder="1"/>
    <xf numFmtId="0" fontId="35" fillId="0" borderId="39" xfId="0" applyFont="1" applyBorder="1"/>
    <xf numFmtId="0" fontId="0" fillId="0" borderId="28" xfId="0" applyBorder="1"/>
    <xf numFmtId="0" fontId="35" fillId="0" borderId="29" xfId="0" applyFont="1" applyBorder="1"/>
    <xf numFmtId="0" fontId="35" fillId="0" borderId="30" xfId="0" applyFont="1" applyBorder="1"/>
    <xf numFmtId="0" fontId="19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0" fontId="25" fillId="0" borderId="0" xfId="0" applyFont="1" applyFill="1" applyBorder="1" applyAlignment="1">
      <alignment horizontal="left" vertical="center"/>
    </xf>
    <xf numFmtId="10" fontId="25" fillId="0" borderId="0" xfId="0" applyNumberFormat="1" applyFont="1" applyFill="1" applyBorder="1" applyAlignment="1">
      <alignment horizontal="right" vertical="center"/>
    </xf>
    <xf numFmtId="0" fontId="25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right" vertical="center"/>
    </xf>
    <xf numFmtId="0" fontId="19" fillId="0" borderId="38" xfId="0" applyFont="1" applyBorder="1"/>
    <xf numFmtId="0" fontId="19" fillId="0" borderId="0" xfId="0" applyFont="1" applyBorder="1"/>
    <xf numFmtId="0" fontId="19" fillId="0" borderId="39" xfId="0" applyFont="1" applyBorder="1"/>
    <xf numFmtId="0" fontId="19" fillId="0" borderId="38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/>
    </xf>
    <xf numFmtId="0" fontId="36" fillId="0" borderId="0" xfId="0" applyFont="1" applyBorder="1" applyAlignment="1">
      <alignment horizontal="left"/>
    </xf>
    <xf numFmtId="44" fontId="36" fillId="0" borderId="5" xfId="0" applyNumberFormat="1" applyFont="1" applyBorder="1" applyAlignment="1">
      <alignment horizontal="center"/>
    </xf>
    <xf numFmtId="44" fontId="36" fillId="0" borderId="6" xfId="0" applyNumberFormat="1" applyFont="1" applyBorder="1" applyAlignment="1">
      <alignment horizontal="center"/>
    </xf>
    <xf numFmtId="0" fontId="36" fillId="0" borderId="6" xfId="0" applyFont="1" applyBorder="1" applyAlignment="1">
      <alignment horizontal="left"/>
    </xf>
    <xf numFmtId="0" fontId="36" fillId="0" borderId="7" xfId="0" applyFont="1" applyBorder="1" applyAlignment="1">
      <alignment horizontal="left"/>
    </xf>
    <xf numFmtId="0" fontId="36" fillId="0" borderId="29" xfId="0" applyFont="1" applyBorder="1" applyAlignment="1">
      <alignment horizontal="left"/>
    </xf>
    <xf numFmtId="165" fontId="18" fillId="0" borderId="14" xfId="3" applyFont="1" applyBorder="1" applyAlignment="1">
      <alignment horizontal="left" vertical="center"/>
    </xf>
    <xf numFmtId="165" fontId="18" fillId="0" borderId="9" xfId="3" applyFont="1" applyBorder="1" applyAlignment="1">
      <alignment horizontal="left" vertical="center"/>
    </xf>
    <xf numFmtId="165" fontId="18" fillId="0" borderId="10" xfId="3" applyFont="1" applyBorder="1" applyAlignment="1">
      <alignment horizontal="left" vertical="center"/>
    </xf>
    <xf numFmtId="165" fontId="19" fillId="0" borderId="40" xfId="3" applyFont="1" applyBorder="1" applyAlignment="1">
      <alignment horizontal="left" vertical="center"/>
    </xf>
    <xf numFmtId="165" fontId="19" fillId="0" borderId="41" xfId="3" applyFont="1" applyBorder="1" applyAlignment="1">
      <alignment horizontal="left" vertical="center"/>
    </xf>
    <xf numFmtId="165" fontId="19" fillId="0" borderId="60" xfId="3" applyFont="1" applyBorder="1" applyAlignment="1">
      <alignment horizontal="left" vertical="center"/>
    </xf>
    <xf numFmtId="165" fontId="19" fillId="0" borderId="5" xfId="3" applyFont="1" applyBorder="1" applyAlignment="1">
      <alignment horizontal="center" vertical="center"/>
    </xf>
    <xf numFmtId="165" fontId="19" fillId="0" borderId="6" xfId="3" applyFont="1" applyBorder="1" applyAlignment="1">
      <alignment horizontal="center" vertical="center"/>
    </xf>
    <xf numFmtId="165" fontId="19" fillId="0" borderId="7" xfId="3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165" fontId="18" fillId="0" borderId="40" xfId="3" applyFont="1" applyBorder="1" applyAlignment="1">
      <alignment horizontal="left" vertical="center"/>
    </xf>
    <xf numFmtId="165" fontId="18" fillId="0" borderId="41" xfId="3" applyFont="1" applyBorder="1" applyAlignment="1">
      <alignment horizontal="left" vertical="center"/>
    </xf>
    <xf numFmtId="165" fontId="18" fillId="0" borderId="60" xfId="3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3" fillId="7" borderId="25" xfId="0" applyFont="1" applyFill="1" applyBorder="1" applyAlignment="1">
      <alignment horizontal="center" vertical="center"/>
    </xf>
    <xf numFmtId="0" fontId="33" fillId="7" borderId="26" xfId="0" applyFont="1" applyFill="1" applyBorder="1" applyAlignment="1">
      <alignment horizontal="center" vertical="center"/>
    </xf>
    <xf numFmtId="0" fontId="33" fillId="7" borderId="27" xfId="0" applyFont="1" applyFill="1" applyBorder="1" applyAlignment="1">
      <alignment horizontal="center" vertical="center"/>
    </xf>
    <xf numFmtId="0" fontId="33" fillId="7" borderId="44" xfId="0" applyFont="1" applyFill="1" applyBorder="1" applyAlignment="1">
      <alignment horizontal="center" vertical="center"/>
    </xf>
    <xf numFmtId="0" fontId="33" fillId="7" borderId="42" xfId="0" applyFont="1" applyFill="1" applyBorder="1" applyAlignment="1">
      <alignment horizontal="center" vertical="center"/>
    </xf>
    <xf numFmtId="0" fontId="33" fillId="7" borderId="45" xfId="0" applyFont="1" applyFill="1" applyBorder="1" applyAlignment="1">
      <alignment horizontal="center" vertical="center"/>
    </xf>
    <xf numFmtId="165" fontId="19" fillId="0" borderId="43" xfId="3" applyFont="1" applyBorder="1" applyAlignment="1">
      <alignment horizontal="center" vertical="center"/>
    </xf>
    <xf numFmtId="165" fontId="19" fillId="7" borderId="5" xfId="3" applyFont="1" applyFill="1" applyBorder="1" applyAlignment="1">
      <alignment horizontal="center" vertical="center"/>
    </xf>
    <xf numFmtId="165" fontId="19" fillId="7" borderId="6" xfId="3" applyFont="1" applyFill="1" applyBorder="1" applyAlignment="1">
      <alignment horizontal="center" vertical="center"/>
    </xf>
    <xf numFmtId="165" fontId="19" fillId="7" borderId="7" xfId="3" applyFont="1" applyFill="1" applyBorder="1" applyAlignment="1">
      <alignment horizontal="center" vertical="center"/>
    </xf>
    <xf numFmtId="0" fontId="33" fillId="7" borderId="38" xfId="0" applyFont="1" applyFill="1" applyBorder="1" applyAlignment="1">
      <alignment horizontal="center" vertical="center"/>
    </xf>
    <xf numFmtId="0" fontId="33" fillId="7" borderId="0" xfId="0" applyFont="1" applyFill="1" applyBorder="1" applyAlignment="1">
      <alignment horizontal="center" vertical="center"/>
    </xf>
    <xf numFmtId="0" fontId="33" fillId="7" borderId="39" xfId="0" applyFont="1" applyFill="1" applyBorder="1" applyAlignment="1">
      <alignment horizontal="center" vertical="center"/>
    </xf>
    <xf numFmtId="165" fontId="19" fillId="0" borderId="19" xfId="3" applyFont="1" applyBorder="1" applyAlignment="1">
      <alignment horizontal="center" vertical="center"/>
    </xf>
    <xf numFmtId="165" fontId="19" fillId="0" borderId="11" xfId="3" applyFont="1" applyBorder="1" applyAlignment="1">
      <alignment horizontal="center" vertical="center"/>
    </xf>
    <xf numFmtId="165" fontId="19" fillId="0" borderId="59" xfId="3" applyFont="1" applyBorder="1" applyAlignment="1">
      <alignment horizontal="center" vertical="center"/>
    </xf>
    <xf numFmtId="165" fontId="19" fillId="0" borderId="14" xfId="3" applyFont="1" applyBorder="1" applyAlignment="1">
      <alignment horizontal="left" vertical="center"/>
    </xf>
    <xf numFmtId="165" fontId="19" fillId="0" borderId="9" xfId="3" applyFont="1" applyBorder="1" applyAlignment="1">
      <alignment horizontal="left" vertical="center"/>
    </xf>
    <xf numFmtId="165" fontId="19" fillId="0" borderId="10" xfId="3" applyFont="1" applyBorder="1" applyAlignment="1">
      <alignment horizontal="left" vertical="center"/>
    </xf>
    <xf numFmtId="0" fontId="18" fillId="0" borderId="40" xfId="0" applyFont="1" applyFill="1" applyBorder="1" applyAlignment="1">
      <alignment horizontal="center" vertical="center"/>
    </xf>
    <xf numFmtId="0" fontId="18" fillId="0" borderId="41" xfId="0" applyFont="1" applyFill="1" applyBorder="1" applyAlignment="1">
      <alignment horizontal="center" vertical="center"/>
    </xf>
    <xf numFmtId="0" fontId="18" fillId="0" borderId="61" xfId="0" applyFont="1" applyFill="1" applyBorder="1" applyAlignment="1">
      <alignment horizontal="center" vertical="center"/>
    </xf>
    <xf numFmtId="165" fontId="18" fillId="0" borderId="19" xfId="3" applyFont="1" applyBorder="1" applyAlignment="1">
      <alignment horizontal="left" vertical="center"/>
    </xf>
    <xf numFmtId="165" fontId="18" fillId="0" borderId="11" xfId="3" applyFont="1" applyBorder="1" applyAlignment="1">
      <alignment horizontal="left" vertical="center"/>
    </xf>
    <xf numFmtId="165" fontId="18" fillId="0" borderId="59" xfId="3" applyFont="1" applyBorder="1" applyAlignment="1">
      <alignment horizontal="left" vertical="center"/>
    </xf>
    <xf numFmtId="165" fontId="19" fillId="0" borderId="5" xfId="3" applyFont="1" applyBorder="1" applyAlignment="1">
      <alignment horizontal="left" vertical="center"/>
    </xf>
    <xf numFmtId="165" fontId="19" fillId="0" borderId="6" xfId="3" applyFont="1" applyBorder="1" applyAlignment="1">
      <alignment horizontal="left" vertical="center"/>
    </xf>
    <xf numFmtId="165" fontId="19" fillId="0" borderId="43" xfId="3" applyFont="1" applyBorder="1" applyAlignment="1">
      <alignment horizontal="left" vertical="center"/>
    </xf>
    <xf numFmtId="0" fontId="19" fillId="7" borderId="21" xfId="0" applyFont="1" applyFill="1" applyBorder="1" applyAlignment="1">
      <alignment horizontal="center" vertical="center"/>
    </xf>
    <xf numFmtId="0" fontId="19" fillId="7" borderId="22" xfId="0" applyFont="1" applyFill="1" applyBorder="1" applyAlignment="1">
      <alignment horizontal="center" vertical="center"/>
    </xf>
    <xf numFmtId="0" fontId="19" fillId="7" borderId="12" xfId="0" applyFont="1" applyFill="1" applyBorder="1" applyAlignment="1">
      <alignment horizontal="center" vertical="center"/>
    </xf>
    <xf numFmtId="0" fontId="18" fillId="0" borderId="0" xfId="0" applyFont="1" applyAlignment="1">
      <alignment horizontal="left" wrapText="1"/>
    </xf>
    <xf numFmtId="0" fontId="19" fillId="9" borderId="19" xfId="0" applyFont="1" applyFill="1" applyBorder="1" applyAlignment="1">
      <alignment horizontal="center"/>
    </xf>
    <xf numFmtId="0" fontId="19" fillId="9" borderId="46" xfId="0" applyFont="1" applyFill="1" applyBorder="1" applyAlignment="1">
      <alignment horizontal="center"/>
    </xf>
    <xf numFmtId="9" fontId="19" fillId="0" borderId="21" xfId="2" applyFont="1" applyBorder="1" applyAlignment="1">
      <alignment horizontal="center"/>
    </xf>
    <xf numFmtId="9" fontId="19" fillId="0" borderId="22" xfId="2" applyFont="1" applyBorder="1" applyAlignment="1">
      <alignment horizontal="center"/>
    </xf>
    <xf numFmtId="9" fontId="19" fillId="0" borderId="12" xfId="2" applyFont="1" applyBorder="1" applyAlignment="1">
      <alignment horizontal="center"/>
    </xf>
    <xf numFmtId="0" fontId="19" fillId="9" borderId="25" xfId="0" applyFont="1" applyFill="1" applyBorder="1" applyAlignment="1">
      <alignment horizontal="center" vertical="center"/>
    </xf>
    <xf numFmtId="0" fontId="19" fillId="9" borderId="26" xfId="0" applyFont="1" applyFill="1" applyBorder="1" applyAlignment="1">
      <alignment horizontal="center" vertical="center"/>
    </xf>
    <xf numFmtId="0" fontId="19" fillId="9" borderId="27" xfId="0" applyFont="1" applyFill="1" applyBorder="1" applyAlignment="1">
      <alignment horizontal="center" vertical="center"/>
    </xf>
    <xf numFmtId="0" fontId="18" fillId="0" borderId="56" xfId="0" applyFont="1" applyFill="1" applyBorder="1" applyAlignment="1">
      <alignment horizontal="center" vertical="center"/>
    </xf>
    <xf numFmtId="0" fontId="18" fillId="0" borderId="57" xfId="0" applyFont="1" applyFill="1" applyBorder="1" applyAlignment="1">
      <alignment horizontal="center" vertical="center"/>
    </xf>
    <xf numFmtId="0" fontId="28" fillId="9" borderId="5" xfId="0" applyFont="1" applyFill="1" applyBorder="1" applyAlignment="1">
      <alignment horizontal="center" vertical="center"/>
    </xf>
    <xf numFmtId="0" fontId="28" fillId="9" borderId="6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/>
    </xf>
    <xf numFmtId="0" fontId="19" fillId="9" borderId="22" xfId="0" applyFont="1" applyFill="1" applyBorder="1" applyAlignment="1">
      <alignment horizontal="center"/>
    </xf>
    <xf numFmtId="0" fontId="19" fillId="9" borderId="12" xfId="0" applyFont="1" applyFill="1" applyBorder="1" applyAlignment="1">
      <alignment horizontal="center"/>
    </xf>
  </cellXfs>
  <cellStyles count="5">
    <cellStyle name="Hiperlink" xfId="1" builtinId="8"/>
    <cellStyle name="Moeda" xfId="4" builtinId="4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6</xdr:row>
      <xdr:rowOff>28575</xdr:rowOff>
    </xdr:from>
    <xdr:to>
      <xdr:col>0</xdr:col>
      <xdr:colOff>1419225</xdr:colOff>
      <xdr:row>8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9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9</xdr:row>
      <xdr:rowOff>9525</xdr:rowOff>
    </xdr:from>
    <xdr:to>
      <xdr:col>0</xdr:col>
      <xdr:colOff>2124075</xdr:colOff>
      <xdr:row>11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9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/>
  <dimension ref="A1:G58"/>
  <sheetViews>
    <sheetView showGridLines="0" view="pageLayout" zoomScaleNormal="100" workbookViewId="0">
      <selection activeCell="F64" sqref="F64"/>
    </sheetView>
  </sheetViews>
  <sheetFormatPr defaultRowHeight="12.75" x14ac:dyDescent="0.2"/>
  <cols>
    <col min="1" max="1" width="1.5703125" customWidth="1"/>
    <col min="2" max="2" width="7.42578125" customWidth="1"/>
    <col min="3" max="3" width="10.140625" customWidth="1"/>
    <col min="4" max="4" width="61.140625" customWidth="1"/>
    <col min="5" max="5" width="16.5703125" customWidth="1"/>
    <col min="6" max="6" width="18.28515625" customWidth="1"/>
    <col min="7" max="7" width="1.7109375" customWidth="1"/>
  </cols>
  <sheetData>
    <row r="1" spans="1:7" ht="14.65" customHeight="1" x14ac:dyDescent="0.2">
      <c r="A1" s="278"/>
      <c r="B1" s="279"/>
      <c r="C1" s="279"/>
      <c r="D1" s="279"/>
      <c r="E1" s="279"/>
      <c r="F1" s="279"/>
      <c r="G1" s="280"/>
    </row>
    <row r="2" spans="1:7" ht="18" customHeight="1" x14ac:dyDescent="0.2">
      <c r="A2" s="281"/>
      <c r="B2" s="299" t="s">
        <v>276</v>
      </c>
      <c r="C2" s="299"/>
      <c r="D2" s="299"/>
      <c r="E2" s="299"/>
      <c r="F2" s="299"/>
      <c r="G2" s="282"/>
    </row>
    <row r="3" spans="1:7" ht="14.65" customHeight="1" x14ac:dyDescent="0.2">
      <c r="A3" s="281"/>
      <c r="B3" s="262"/>
      <c r="C3" s="262"/>
      <c r="D3" s="262"/>
      <c r="E3" s="262"/>
      <c r="F3" s="262"/>
      <c r="G3" s="282"/>
    </row>
    <row r="4" spans="1:7" ht="14.65" customHeight="1" x14ac:dyDescent="0.2">
      <c r="A4" s="281"/>
      <c r="B4" s="262"/>
      <c r="C4" s="262"/>
      <c r="D4" s="262"/>
      <c r="E4" s="262"/>
      <c r="F4" s="262"/>
      <c r="G4" s="282"/>
    </row>
    <row r="5" spans="1:7" ht="18" customHeight="1" x14ac:dyDescent="0.2">
      <c r="A5" s="281"/>
      <c r="B5" s="300" t="str">
        <f>'Coleta Orgânica'!A3</f>
        <v>Município de Campos Borges</v>
      </c>
      <c r="C5" s="300"/>
      <c r="D5" s="300"/>
      <c r="E5" s="300"/>
      <c r="F5" s="300"/>
      <c r="G5" s="282"/>
    </row>
    <row r="6" spans="1:7" ht="14.65" customHeight="1" x14ac:dyDescent="0.2">
      <c r="A6" s="281"/>
      <c r="B6" s="262"/>
      <c r="C6" s="262"/>
      <c r="D6" s="262"/>
      <c r="E6" s="262"/>
      <c r="F6" s="262"/>
      <c r="G6" s="282"/>
    </row>
    <row r="7" spans="1:7" ht="15" customHeight="1" x14ac:dyDescent="0.2">
      <c r="A7" s="281"/>
      <c r="B7" s="301" t="s">
        <v>311</v>
      </c>
      <c r="C7" s="301"/>
      <c r="D7" s="301"/>
      <c r="E7" s="301"/>
      <c r="F7" s="301"/>
      <c r="G7" s="282"/>
    </row>
    <row r="8" spans="1:7" ht="15" customHeight="1" x14ac:dyDescent="0.2">
      <c r="A8" s="281"/>
      <c r="B8" s="301" t="s">
        <v>312</v>
      </c>
      <c r="C8" s="301"/>
      <c r="D8" s="301"/>
      <c r="E8" s="301"/>
      <c r="F8" s="301"/>
      <c r="G8" s="282"/>
    </row>
    <row r="9" spans="1:7" ht="15" customHeight="1" x14ac:dyDescent="0.2">
      <c r="A9" s="281"/>
      <c r="B9" s="301" t="s">
        <v>313</v>
      </c>
      <c r="C9" s="301"/>
      <c r="D9" s="301"/>
      <c r="E9" s="301"/>
      <c r="F9" s="301"/>
      <c r="G9" s="282"/>
    </row>
    <row r="10" spans="1:7" ht="15" customHeight="1" x14ac:dyDescent="0.2">
      <c r="A10" s="281"/>
      <c r="B10" s="301" t="s">
        <v>314</v>
      </c>
      <c r="C10" s="301"/>
      <c r="D10" s="301"/>
      <c r="E10" s="301"/>
      <c r="F10" s="301"/>
      <c r="G10" s="282"/>
    </row>
    <row r="11" spans="1:7" ht="15" customHeight="1" x14ac:dyDescent="0.2">
      <c r="A11" s="281"/>
      <c r="B11" s="301" t="s">
        <v>315</v>
      </c>
      <c r="C11" s="301"/>
      <c r="D11" s="301"/>
      <c r="E11" s="301"/>
      <c r="F11" s="301"/>
      <c r="G11" s="282"/>
    </row>
    <row r="12" spans="1:7" ht="15" customHeight="1" x14ac:dyDescent="0.2">
      <c r="A12" s="281"/>
      <c r="B12" s="301" t="s">
        <v>316</v>
      </c>
      <c r="C12" s="301"/>
      <c r="D12" s="301"/>
      <c r="E12" s="301"/>
      <c r="F12" s="301"/>
      <c r="G12" s="282"/>
    </row>
    <row r="13" spans="1:7" ht="15" customHeight="1" x14ac:dyDescent="0.2">
      <c r="A13" s="281"/>
      <c r="B13" s="301" t="s">
        <v>317</v>
      </c>
      <c r="C13" s="301"/>
      <c r="D13" s="301"/>
      <c r="E13" s="301"/>
      <c r="F13" s="301"/>
      <c r="G13" s="282"/>
    </row>
    <row r="14" spans="1:7" ht="15" customHeight="1" x14ac:dyDescent="0.2">
      <c r="A14" s="281"/>
      <c r="B14" s="274"/>
      <c r="C14" s="274"/>
      <c r="D14" s="274"/>
      <c r="E14" s="274"/>
      <c r="F14" s="274"/>
      <c r="G14" s="282"/>
    </row>
    <row r="15" spans="1:7" ht="15" customHeight="1" x14ac:dyDescent="0.2">
      <c r="A15" s="281"/>
      <c r="B15" s="274"/>
      <c r="C15" s="274"/>
      <c r="D15" s="274"/>
      <c r="E15" s="274"/>
      <c r="F15" s="274"/>
      <c r="G15" s="282"/>
    </row>
    <row r="16" spans="1:7" ht="15" customHeight="1" x14ac:dyDescent="0.2">
      <c r="A16" s="281"/>
      <c r="B16" s="274"/>
      <c r="C16" s="274"/>
      <c r="D16" s="274"/>
      <c r="E16" s="274"/>
      <c r="F16" s="274"/>
      <c r="G16" s="282"/>
    </row>
    <row r="17" spans="1:7" ht="15" customHeight="1" x14ac:dyDescent="0.2">
      <c r="A17" s="281"/>
      <c r="B17" s="301"/>
      <c r="C17" s="301"/>
      <c r="D17" s="301"/>
      <c r="E17" s="301"/>
      <c r="F17" s="301"/>
      <c r="G17" s="282"/>
    </row>
    <row r="18" spans="1:7" ht="15" customHeight="1" thickBot="1" x14ac:dyDescent="0.25">
      <c r="A18" s="281"/>
      <c r="B18" s="262"/>
      <c r="C18" s="262"/>
      <c r="D18" s="262"/>
      <c r="E18" s="262"/>
      <c r="F18" s="262"/>
      <c r="G18" s="282"/>
    </row>
    <row r="19" spans="1:7" ht="15" customHeight="1" x14ac:dyDescent="0.2">
      <c r="A19" s="281"/>
      <c r="B19" s="263" t="s">
        <v>282</v>
      </c>
      <c r="C19" s="271" t="s">
        <v>281</v>
      </c>
      <c r="D19" s="264" t="s">
        <v>272</v>
      </c>
      <c r="E19" s="264" t="s">
        <v>273</v>
      </c>
      <c r="F19" s="265" t="s">
        <v>274</v>
      </c>
      <c r="G19" s="282"/>
    </row>
    <row r="20" spans="1:7" ht="15" customHeight="1" x14ac:dyDescent="0.2">
      <c r="A20" s="281"/>
      <c r="B20" s="276"/>
      <c r="C20" s="272">
        <v>12</v>
      </c>
      <c r="D20" s="266" t="str">
        <f>'Coleta Orgânica'!A2</f>
        <v>Coleta, Transporte,Triagem e Destinação Final em Aterro Sanitário de RSU</v>
      </c>
      <c r="E20" s="267">
        <f>'Coleta Orgânica'!F247</f>
        <v>29917.57</v>
      </c>
      <c r="F20" s="268">
        <f>TRUNC(E20*12,2)</f>
        <v>359010.84</v>
      </c>
      <c r="G20" s="282"/>
    </row>
    <row r="21" spans="1:7" ht="15" customHeight="1" x14ac:dyDescent="0.2">
      <c r="A21" s="281"/>
      <c r="B21" s="276"/>
      <c r="C21" s="272"/>
      <c r="D21" s="266"/>
      <c r="E21" s="267"/>
      <c r="F21" s="268"/>
      <c r="G21" s="282"/>
    </row>
    <row r="22" spans="1:7" ht="15" customHeight="1" x14ac:dyDescent="0.2">
      <c r="A22" s="281"/>
      <c r="B22" s="276"/>
      <c r="C22" s="272"/>
      <c r="D22" s="266"/>
      <c r="E22" s="267"/>
      <c r="F22" s="268"/>
      <c r="G22" s="282"/>
    </row>
    <row r="23" spans="1:7" ht="15" customHeight="1" x14ac:dyDescent="0.2">
      <c r="A23" s="281"/>
      <c r="B23" s="276"/>
      <c r="C23" s="272"/>
      <c r="D23" s="266"/>
      <c r="E23" s="267"/>
      <c r="F23" s="268"/>
      <c r="G23" s="282"/>
    </row>
    <row r="24" spans="1:7" ht="15" customHeight="1" x14ac:dyDescent="0.2">
      <c r="A24" s="281"/>
      <c r="B24" s="276"/>
      <c r="C24" s="272"/>
      <c r="D24" s="266"/>
      <c r="E24" s="267"/>
      <c r="F24" s="268"/>
      <c r="G24" s="282"/>
    </row>
    <row r="25" spans="1:7" ht="15" customHeight="1" x14ac:dyDescent="0.2">
      <c r="A25" s="281"/>
      <c r="B25" s="276"/>
      <c r="C25" s="272"/>
      <c r="D25" s="266"/>
      <c r="E25" s="267"/>
      <c r="F25" s="268"/>
      <c r="G25" s="282"/>
    </row>
    <row r="26" spans="1:7" ht="15" customHeight="1" x14ac:dyDescent="0.2">
      <c r="A26" s="281"/>
      <c r="B26" s="276"/>
      <c r="C26" s="272"/>
      <c r="D26" s="266"/>
      <c r="E26" s="267"/>
      <c r="F26" s="268"/>
      <c r="G26" s="282"/>
    </row>
    <row r="27" spans="1:7" ht="15" customHeight="1" x14ac:dyDescent="0.2">
      <c r="A27" s="281"/>
      <c r="B27" s="276"/>
      <c r="C27" s="272"/>
      <c r="D27" s="266"/>
      <c r="E27" s="267"/>
      <c r="F27" s="268"/>
      <c r="G27" s="282"/>
    </row>
    <row r="28" spans="1:7" ht="15" customHeight="1" x14ac:dyDescent="0.2">
      <c r="A28" s="281"/>
      <c r="B28" s="276"/>
      <c r="C28" s="272"/>
      <c r="D28" s="266"/>
      <c r="E28" s="267"/>
      <c r="F28" s="268"/>
      <c r="G28" s="282"/>
    </row>
    <row r="29" spans="1:7" ht="15" customHeight="1" x14ac:dyDescent="0.2">
      <c r="A29" s="281"/>
      <c r="B29" s="276"/>
      <c r="C29" s="272"/>
      <c r="D29" s="266"/>
      <c r="E29" s="267"/>
      <c r="F29" s="268"/>
      <c r="G29" s="282"/>
    </row>
    <row r="30" spans="1:7" ht="15" customHeight="1" x14ac:dyDescent="0.2">
      <c r="A30" s="281"/>
      <c r="B30" s="276"/>
      <c r="C30" s="272"/>
      <c r="D30" s="266"/>
      <c r="E30" s="267"/>
      <c r="F30" s="268"/>
      <c r="G30" s="282"/>
    </row>
    <row r="31" spans="1:7" ht="15" customHeight="1" thickBot="1" x14ac:dyDescent="0.25">
      <c r="A31" s="281"/>
      <c r="B31" s="277"/>
      <c r="C31" s="273"/>
      <c r="D31" s="275" t="s">
        <v>275</v>
      </c>
      <c r="E31" s="269">
        <f>E20+E21+E22+E23</f>
        <v>29917.57</v>
      </c>
      <c r="F31" s="270">
        <f>SUM(F20:F30)</f>
        <v>359010.84</v>
      </c>
      <c r="G31" s="282"/>
    </row>
    <row r="32" spans="1:7" ht="15" customHeight="1" x14ac:dyDescent="0.2">
      <c r="A32" s="281"/>
      <c r="B32" s="262"/>
      <c r="C32" s="262"/>
      <c r="D32" s="262"/>
      <c r="E32" s="262"/>
      <c r="F32" s="262"/>
      <c r="G32" s="282"/>
    </row>
    <row r="33" spans="1:7" ht="15" customHeight="1" x14ac:dyDescent="0.2">
      <c r="A33" s="281"/>
      <c r="B33" s="262"/>
      <c r="C33" s="262"/>
      <c r="D33" s="262"/>
      <c r="E33" s="262"/>
      <c r="F33" s="262"/>
      <c r="G33" s="282"/>
    </row>
    <row r="34" spans="1:7" ht="15" customHeight="1" thickBot="1" x14ac:dyDescent="0.25">
      <c r="A34" s="281"/>
      <c r="B34" s="306" t="s">
        <v>283</v>
      </c>
      <c r="C34" s="306"/>
      <c r="D34" s="306"/>
      <c r="E34" s="306"/>
      <c r="F34" s="306"/>
      <c r="G34" s="282"/>
    </row>
    <row r="35" spans="1:7" ht="15" customHeight="1" thickBot="1" x14ac:dyDescent="0.25">
      <c r="A35" s="281"/>
      <c r="B35" s="302">
        <f>E31</f>
        <v>29917.57</v>
      </c>
      <c r="C35" s="303"/>
      <c r="D35" s="304" t="str">
        <f>Extenso_Valor(B35)</f>
        <v>vinte e nove mil, novecentos e dezessete reais e cinquenta e sete centavos</v>
      </c>
      <c r="E35" s="304"/>
      <c r="F35" s="305"/>
      <c r="G35" s="282"/>
    </row>
    <row r="36" spans="1:7" ht="15" customHeight="1" x14ac:dyDescent="0.2">
      <c r="A36" s="281"/>
      <c r="B36" s="262"/>
      <c r="C36" s="262"/>
      <c r="D36" s="262"/>
      <c r="E36" s="262"/>
      <c r="F36" s="262"/>
      <c r="G36" s="282"/>
    </row>
    <row r="37" spans="1:7" ht="15" customHeight="1" x14ac:dyDescent="0.2">
      <c r="A37" s="281"/>
      <c r="B37" s="301" t="s">
        <v>277</v>
      </c>
      <c r="C37" s="301"/>
      <c r="D37" s="301"/>
      <c r="E37" s="301"/>
      <c r="F37" s="301"/>
      <c r="G37" s="282"/>
    </row>
    <row r="38" spans="1:7" ht="15" customHeight="1" x14ac:dyDescent="0.2">
      <c r="A38" s="281"/>
      <c r="B38" s="301" t="s">
        <v>278</v>
      </c>
      <c r="C38" s="301"/>
      <c r="D38" s="301"/>
      <c r="E38" s="301"/>
      <c r="F38" s="301"/>
      <c r="G38" s="282"/>
    </row>
    <row r="39" spans="1:7" ht="15" customHeight="1" x14ac:dyDescent="0.2">
      <c r="A39" s="281"/>
      <c r="B39" s="301" t="s">
        <v>279</v>
      </c>
      <c r="C39" s="301"/>
      <c r="D39" s="301"/>
      <c r="E39" s="301"/>
      <c r="F39" s="301"/>
      <c r="G39" s="282"/>
    </row>
    <row r="40" spans="1:7" ht="15" customHeight="1" x14ac:dyDescent="0.2">
      <c r="A40" s="281"/>
      <c r="B40" s="301" t="s">
        <v>280</v>
      </c>
      <c r="C40" s="301"/>
      <c r="D40" s="301"/>
      <c r="E40" s="301"/>
      <c r="F40" s="301"/>
      <c r="G40" s="282"/>
    </row>
    <row r="41" spans="1:7" ht="15" customHeight="1" x14ac:dyDescent="0.2">
      <c r="A41" s="281"/>
      <c r="B41" s="262"/>
      <c r="C41" s="262"/>
      <c r="D41" s="262"/>
      <c r="E41" s="262"/>
      <c r="F41" s="262"/>
      <c r="G41" s="282"/>
    </row>
    <row r="42" spans="1:7" ht="15" customHeight="1" x14ac:dyDescent="0.2">
      <c r="A42" s="281"/>
      <c r="B42" s="262"/>
      <c r="C42" s="262"/>
      <c r="D42" s="262"/>
      <c r="E42" s="262"/>
      <c r="F42" s="262"/>
      <c r="G42" s="282"/>
    </row>
    <row r="43" spans="1:7" ht="15" customHeight="1" x14ac:dyDescent="0.2">
      <c r="A43" s="281"/>
      <c r="B43" s="262"/>
      <c r="C43" s="262"/>
      <c r="D43" s="262"/>
      <c r="E43" s="262"/>
      <c r="F43" s="262"/>
      <c r="G43" s="282"/>
    </row>
    <row r="44" spans="1:7" ht="15" customHeight="1" x14ac:dyDescent="0.2">
      <c r="A44" s="281"/>
      <c r="B44" s="262"/>
      <c r="C44" s="262"/>
      <c r="D44" s="262"/>
      <c r="E44" s="262"/>
      <c r="F44" s="262"/>
      <c r="G44" s="282"/>
    </row>
    <row r="45" spans="1:7" ht="15" customHeight="1" x14ac:dyDescent="0.2">
      <c r="A45" s="281"/>
      <c r="B45" s="262"/>
      <c r="C45" s="262"/>
      <c r="D45" s="262"/>
      <c r="E45" s="262"/>
      <c r="F45" s="262"/>
      <c r="G45" s="282"/>
    </row>
    <row r="46" spans="1:7" ht="15" customHeight="1" x14ac:dyDescent="0.2">
      <c r="A46" s="293"/>
      <c r="B46" s="294"/>
      <c r="C46" s="294"/>
      <c r="D46" s="294"/>
      <c r="E46" s="294"/>
      <c r="F46" s="294"/>
      <c r="G46" s="295"/>
    </row>
    <row r="47" spans="1:7" ht="15" customHeight="1" x14ac:dyDescent="0.2">
      <c r="A47" s="293"/>
      <c r="B47" s="294"/>
      <c r="C47" s="294"/>
      <c r="D47" s="294"/>
      <c r="E47" s="294"/>
      <c r="F47" s="294"/>
      <c r="G47" s="295"/>
    </row>
    <row r="48" spans="1:7" ht="15" customHeight="1" x14ac:dyDescent="0.2">
      <c r="A48" s="293"/>
      <c r="B48" s="294"/>
      <c r="C48" s="294"/>
      <c r="D48" s="294"/>
      <c r="E48" s="294"/>
      <c r="F48" s="294"/>
      <c r="G48" s="295"/>
    </row>
    <row r="49" spans="1:7" ht="15" customHeight="1" x14ac:dyDescent="0.2">
      <c r="A49" s="293"/>
      <c r="B49" s="294"/>
      <c r="C49" s="294"/>
      <c r="D49" s="294"/>
      <c r="E49" s="294"/>
      <c r="F49" s="294"/>
      <c r="G49" s="295"/>
    </row>
    <row r="50" spans="1:7" ht="15" customHeight="1" x14ac:dyDescent="0.2">
      <c r="A50" s="293"/>
      <c r="B50" s="294"/>
      <c r="C50" s="294"/>
      <c r="D50" s="294"/>
      <c r="E50" s="294"/>
      <c r="F50" s="294"/>
      <c r="G50" s="295"/>
    </row>
    <row r="51" spans="1:7" ht="15" customHeight="1" x14ac:dyDescent="0.2">
      <c r="A51" s="293"/>
      <c r="B51" s="294"/>
      <c r="C51" s="294"/>
      <c r="D51" s="294"/>
      <c r="E51" s="294"/>
      <c r="F51" s="294"/>
      <c r="G51" s="295"/>
    </row>
    <row r="52" spans="1:7" ht="15" customHeight="1" x14ac:dyDescent="0.2">
      <c r="A52" s="293"/>
      <c r="B52" s="294"/>
      <c r="C52" s="294"/>
      <c r="D52" s="294"/>
      <c r="E52" s="294"/>
      <c r="F52" s="294"/>
      <c r="G52" s="295"/>
    </row>
    <row r="53" spans="1:7" ht="15" customHeight="1" x14ac:dyDescent="0.2">
      <c r="A53" s="293"/>
      <c r="B53" s="294"/>
      <c r="C53" s="294"/>
      <c r="D53" s="294"/>
      <c r="E53" s="294"/>
      <c r="F53" s="294"/>
      <c r="G53" s="295"/>
    </row>
    <row r="54" spans="1:7" ht="15" customHeight="1" x14ac:dyDescent="0.2">
      <c r="A54" s="296"/>
      <c r="B54" s="297"/>
      <c r="C54" s="297"/>
      <c r="D54" s="297"/>
      <c r="E54" s="297"/>
      <c r="F54" s="297"/>
      <c r="G54" s="298"/>
    </row>
    <row r="55" spans="1:7" ht="15" customHeight="1" x14ac:dyDescent="0.2">
      <c r="A55" s="296"/>
      <c r="B55" s="297"/>
      <c r="C55" s="297"/>
      <c r="D55" s="297"/>
      <c r="E55" s="297"/>
      <c r="F55" s="297"/>
      <c r="G55" s="298"/>
    </row>
    <row r="56" spans="1:7" ht="15" customHeight="1" x14ac:dyDescent="0.2">
      <c r="A56" s="296">
        <f>'Coleta Orgânica'!A263:F263</f>
        <v>0</v>
      </c>
      <c r="B56" s="297"/>
      <c r="C56" s="297"/>
      <c r="D56" s="297"/>
      <c r="E56" s="297"/>
      <c r="F56" s="297"/>
      <c r="G56" s="298"/>
    </row>
    <row r="57" spans="1:7" ht="14.65" customHeight="1" x14ac:dyDescent="0.2">
      <c r="A57" s="281"/>
      <c r="B57" s="260"/>
      <c r="C57" s="260"/>
      <c r="D57" s="260"/>
      <c r="E57" s="260"/>
      <c r="F57" s="260"/>
      <c r="G57" s="283"/>
    </row>
    <row r="58" spans="1:7" ht="14.65" customHeight="1" thickBot="1" x14ac:dyDescent="0.25">
      <c r="A58" s="284"/>
      <c r="B58" s="285"/>
      <c r="C58" s="285"/>
      <c r="D58" s="285"/>
      <c r="E58" s="285"/>
      <c r="F58" s="285"/>
      <c r="G58" s="286"/>
    </row>
  </sheetData>
  <mergeCells count="20">
    <mergeCell ref="B17:F17"/>
    <mergeCell ref="B35:C35"/>
    <mergeCell ref="D35:F35"/>
    <mergeCell ref="B34:F34"/>
    <mergeCell ref="A55:G55"/>
    <mergeCell ref="A56:G56"/>
    <mergeCell ref="A54:G54"/>
    <mergeCell ref="B2:F2"/>
    <mergeCell ref="B5:F5"/>
    <mergeCell ref="B7:F7"/>
    <mergeCell ref="B8:F8"/>
    <mergeCell ref="B9:F9"/>
    <mergeCell ref="B10:F10"/>
    <mergeCell ref="B11:F11"/>
    <mergeCell ref="B12:F12"/>
    <mergeCell ref="B13:F13"/>
    <mergeCell ref="B40:F40"/>
    <mergeCell ref="B39:F39"/>
    <mergeCell ref="B38:F38"/>
    <mergeCell ref="B37:F37"/>
  </mergeCells>
  <pageMargins left="0.70866141732283472" right="0.31496062992125984" top="0.98425196850393704" bottom="0.59055118110236227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/>
  <dimension ref="A1:I297"/>
  <sheetViews>
    <sheetView tabSelected="1" view="pageLayout" zoomScaleNormal="100" zoomScaleSheetLayoutView="100" workbookViewId="0">
      <selection activeCell="A2" sqref="A2:F2"/>
    </sheetView>
  </sheetViews>
  <sheetFormatPr defaultColWidth="9.140625" defaultRowHeight="12.75" x14ac:dyDescent="0.2"/>
  <cols>
    <col min="1" max="1" width="45.5703125" style="5" customWidth="1"/>
    <col min="2" max="2" width="16" style="5" bestFit="1" customWidth="1"/>
    <col min="3" max="3" width="11.85546875" style="5" customWidth="1"/>
    <col min="4" max="4" width="13.7109375" style="6" customWidth="1"/>
    <col min="5" max="6" width="15.42578125" style="6" customWidth="1"/>
    <col min="7" max="7" width="9.140625" style="5"/>
    <col min="8" max="8" width="14.5703125" style="5" customWidth="1"/>
    <col min="9" max="9" width="13.42578125" style="5" customWidth="1"/>
    <col min="10" max="16384" width="9.140625" style="5"/>
  </cols>
  <sheetData>
    <row r="1" spans="1:6" s="2" customFormat="1" ht="16.5" customHeight="1" thickBot="1" x14ac:dyDescent="0.25">
      <c r="A1" s="38"/>
      <c r="B1" s="43"/>
      <c r="C1" s="43"/>
      <c r="D1" s="39"/>
      <c r="E1" s="39"/>
      <c r="F1" s="39"/>
    </row>
    <row r="2" spans="1:6" s="4" customFormat="1" ht="19.899999999999999" customHeight="1" x14ac:dyDescent="0.2">
      <c r="A2" s="325" t="s">
        <v>310</v>
      </c>
      <c r="B2" s="326"/>
      <c r="C2" s="326"/>
      <c r="D2" s="326"/>
      <c r="E2" s="326"/>
      <c r="F2" s="327"/>
    </row>
    <row r="3" spans="1:6" s="4" customFormat="1" ht="19.899999999999999" customHeight="1" x14ac:dyDescent="0.2">
      <c r="A3" s="335" t="s">
        <v>318</v>
      </c>
      <c r="B3" s="336"/>
      <c r="C3" s="336"/>
      <c r="D3" s="336"/>
      <c r="E3" s="336"/>
      <c r="F3" s="337"/>
    </row>
    <row r="4" spans="1:6" s="4" customFormat="1" ht="19.899999999999999" customHeight="1" x14ac:dyDescent="0.2">
      <c r="A4" s="328" t="s">
        <v>41</v>
      </c>
      <c r="B4" s="329"/>
      <c r="C4" s="329"/>
      <c r="D4" s="329"/>
      <c r="E4" s="329"/>
      <c r="F4" s="330"/>
    </row>
    <row r="5" spans="1:6" s="2" customFormat="1" ht="10.9" customHeight="1" thickBot="1" x14ac:dyDescent="0.25">
      <c r="A5" s="344"/>
      <c r="B5" s="345"/>
      <c r="C5" s="345"/>
      <c r="D5" s="345"/>
      <c r="E5" s="345"/>
      <c r="F5" s="346"/>
    </row>
    <row r="6" spans="1:6" s="2" customFormat="1" ht="16.149999999999999" customHeight="1" thickBot="1" x14ac:dyDescent="0.25">
      <c r="A6" s="332" t="s">
        <v>177</v>
      </c>
      <c r="B6" s="333"/>
      <c r="C6" s="333"/>
      <c r="D6" s="333"/>
      <c r="E6" s="333"/>
      <c r="F6" s="334"/>
    </row>
    <row r="7" spans="1:6" s="2" customFormat="1" ht="16.149999999999999" customHeight="1" x14ac:dyDescent="0.2">
      <c r="A7" s="338" t="s">
        <v>176</v>
      </c>
      <c r="B7" s="339"/>
      <c r="C7" s="339"/>
      <c r="D7" s="340"/>
      <c r="E7" s="44" t="s">
        <v>37</v>
      </c>
      <c r="F7" s="45" t="s">
        <v>2</v>
      </c>
    </row>
    <row r="8" spans="1:6" s="7" customFormat="1" ht="16.149999999999999" customHeight="1" x14ac:dyDescent="0.2">
      <c r="A8" s="341" t="str">
        <f>A45</f>
        <v>1. Mão-de-obra</v>
      </c>
      <c r="B8" s="342"/>
      <c r="C8" s="342"/>
      <c r="D8" s="343"/>
      <c r="E8" s="46">
        <f>+F98</f>
        <v>7988.5052995654405</v>
      </c>
      <c r="F8" s="47">
        <f t="shared" ref="F8:F25" si="0">IFERROR(E8/$E$26,0)</f>
        <v>0.26701711518642768</v>
      </c>
    </row>
    <row r="9" spans="1:6" s="2" customFormat="1" ht="16.149999999999999" customHeight="1" x14ac:dyDescent="0.2">
      <c r="A9" s="307" t="str">
        <f>A47</f>
        <v>1.1. Coletor Turno Dia</v>
      </c>
      <c r="B9" s="308"/>
      <c r="C9" s="308"/>
      <c r="D9" s="309"/>
      <c r="E9" s="48">
        <f>F58</f>
        <v>3504.1537059894399</v>
      </c>
      <c r="F9" s="49">
        <f t="shared" si="0"/>
        <v>0.11712691907383831</v>
      </c>
    </row>
    <row r="10" spans="1:6" s="2" customFormat="1" ht="16.149999999999999" customHeight="1" x14ac:dyDescent="0.2">
      <c r="A10" s="307" t="str">
        <f>A60</f>
        <v>1.2. Motorista Turno do Dia</v>
      </c>
      <c r="B10" s="308"/>
      <c r="C10" s="308"/>
      <c r="D10" s="309"/>
      <c r="E10" s="48">
        <f>F73</f>
        <v>2008.4622799240003</v>
      </c>
      <c r="F10" s="49">
        <f t="shared" si="0"/>
        <v>6.7133184974570312E-2</v>
      </c>
    </row>
    <row r="11" spans="1:6" s="2" customFormat="1" ht="16.149999999999999" customHeight="1" x14ac:dyDescent="0.2">
      <c r="A11" s="307" t="str">
        <f>A75</f>
        <v>1.3. Encarregado</v>
      </c>
      <c r="B11" s="308"/>
      <c r="C11" s="308"/>
      <c r="D11" s="309"/>
      <c r="E11" s="48">
        <f>F82</f>
        <v>1619.3565136520003</v>
      </c>
      <c r="F11" s="49">
        <f t="shared" si="0"/>
        <v>5.4127260171840864E-2</v>
      </c>
    </row>
    <row r="12" spans="1:6" s="2" customFormat="1" ht="16.149999999999999" customHeight="1" x14ac:dyDescent="0.2">
      <c r="A12" s="307" t="str">
        <f>A84</f>
        <v>1.4. Vale Transporte</v>
      </c>
      <c r="B12" s="308"/>
      <c r="C12" s="308"/>
      <c r="D12" s="309"/>
      <c r="E12" s="48">
        <f>F90</f>
        <v>113.97279999999999</v>
      </c>
      <c r="F12" s="49">
        <f t="shared" si="0"/>
        <v>3.8095597517316744E-3</v>
      </c>
    </row>
    <row r="13" spans="1:6" s="2" customFormat="1" ht="16.149999999999999" customHeight="1" x14ac:dyDescent="0.2">
      <c r="A13" s="307" t="str">
        <f>A92</f>
        <v>1.5. Auxílio Alimentação (mensal)</v>
      </c>
      <c r="B13" s="308"/>
      <c r="C13" s="308"/>
      <c r="D13" s="309"/>
      <c r="E13" s="48">
        <f>F96</f>
        <v>742.56000000000006</v>
      </c>
      <c r="F13" s="49">
        <f t="shared" si="0"/>
        <v>2.4820191214446539E-2</v>
      </c>
    </row>
    <row r="14" spans="1:6" s="7" customFormat="1" ht="16.149999999999999" customHeight="1" x14ac:dyDescent="0.2">
      <c r="A14" s="341" t="str">
        <f>A100</f>
        <v>2. Uniformes e Equipamentos de Proteção Individual</v>
      </c>
      <c r="B14" s="342"/>
      <c r="C14" s="342"/>
      <c r="D14" s="343"/>
      <c r="E14" s="46">
        <f>+F132</f>
        <v>260.59466666666663</v>
      </c>
      <c r="F14" s="47">
        <f t="shared" si="0"/>
        <v>8.7104199743207582E-3</v>
      </c>
    </row>
    <row r="15" spans="1:6" s="7" customFormat="1" ht="16.149999999999999" customHeight="1" x14ac:dyDescent="0.2">
      <c r="A15" s="341" t="str">
        <f>A134</f>
        <v>3. Veículos e Equipamentos</v>
      </c>
      <c r="B15" s="342"/>
      <c r="C15" s="342"/>
      <c r="D15" s="343"/>
      <c r="E15" s="46">
        <f>+F211</f>
        <v>9302.7031666666662</v>
      </c>
      <c r="F15" s="47">
        <f t="shared" si="0"/>
        <v>0.31094439696173232</v>
      </c>
    </row>
    <row r="16" spans="1:6" s="2" customFormat="1" ht="16.149999999999999" customHeight="1" x14ac:dyDescent="0.2">
      <c r="A16" s="307" t="str">
        <f>A136</f>
        <v>3.1. Veículo Coletor Compactador 15 m³</v>
      </c>
      <c r="B16" s="308"/>
      <c r="C16" s="308"/>
      <c r="D16" s="309"/>
      <c r="E16" s="48">
        <f>SUM(E17:E22)</f>
        <v>9302.7031666666662</v>
      </c>
      <c r="F16" s="49">
        <f t="shared" si="0"/>
        <v>0.31094439696173232</v>
      </c>
    </row>
    <row r="17" spans="1:6" s="2" customFormat="1" ht="16.149999999999999" customHeight="1" x14ac:dyDescent="0.2">
      <c r="A17" s="307" t="str">
        <f>A138</f>
        <v>3.1.1. Depreciação</v>
      </c>
      <c r="B17" s="308"/>
      <c r="C17" s="308"/>
      <c r="D17" s="309"/>
      <c r="E17" s="48">
        <f>F152</f>
        <v>1365.4266666666667</v>
      </c>
      <c r="F17" s="49">
        <f t="shared" si="0"/>
        <v>4.5639612901275349E-2</v>
      </c>
    </row>
    <row r="18" spans="1:6" s="2" customFormat="1" ht="16.149999999999999" customHeight="1" x14ac:dyDescent="0.2">
      <c r="A18" s="307" t="str">
        <f>A154</f>
        <v>3.1.2. Remuneração do Capital</v>
      </c>
      <c r="B18" s="308"/>
      <c r="C18" s="308"/>
      <c r="D18" s="309"/>
      <c r="E18" s="48">
        <f>F168</f>
        <v>1209.5473333333334</v>
      </c>
      <c r="F18" s="49">
        <f t="shared" si="0"/>
        <v>4.0429320319243213E-2</v>
      </c>
    </row>
    <row r="19" spans="1:6" s="2" customFormat="1" ht="16.149999999999999" customHeight="1" x14ac:dyDescent="0.2">
      <c r="A19" s="307" t="str">
        <f>A170</f>
        <v>3.1.3. Impostos e Seguros</v>
      </c>
      <c r="B19" s="308"/>
      <c r="C19" s="308"/>
      <c r="D19" s="309"/>
      <c r="E19" s="48">
        <f>F176</f>
        <v>298.66666666666669</v>
      </c>
      <c r="F19" s="49">
        <f t="shared" si="0"/>
        <v>9.9829828916828713E-3</v>
      </c>
    </row>
    <row r="20" spans="1:6" s="2" customFormat="1" ht="16.149999999999999" customHeight="1" x14ac:dyDescent="0.2">
      <c r="A20" s="307" t="str">
        <f>A178</f>
        <v>3.1.4. Consumos</v>
      </c>
      <c r="B20" s="308"/>
      <c r="C20" s="308"/>
      <c r="D20" s="309"/>
      <c r="E20" s="48">
        <f>F194</f>
        <v>4639.0625</v>
      </c>
      <c r="F20" s="49">
        <f t="shared" si="0"/>
        <v>0.15506143383129767</v>
      </c>
    </row>
    <row r="21" spans="1:6" s="2" customFormat="1" ht="16.149999999999999" customHeight="1" x14ac:dyDescent="0.2">
      <c r="A21" s="307" t="str">
        <f>A196</f>
        <v>3.1.5. Manutenção</v>
      </c>
      <c r="B21" s="308"/>
      <c r="C21" s="308"/>
      <c r="D21" s="309"/>
      <c r="E21" s="48">
        <f>F199</f>
        <v>1250</v>
      </c>
      <c r="F21" s="49">
        <f t="shared" si="0"/>
        <v>4.1781457414967374E-2</v>
      </c>
    </row>
    <row r="22" spans="1:6" s="2" customFormat="1" ht="16.149999999999999" customHeight="1" x14ac:dyDescent="0.2">
      <c r="A22" s="307" t="str">
        <f>A201</f>
        <v>3.1.6. Pneus</v>
      </c>
      <c r="B22" s="308"/>
      <c r="C22" s="308"/>
      <c r="D22" s="309"/>
      <c r="E22" s="48">
        <f>F208</f>
        <v>540</v>
      </c>
      <c r="F22" s="49">
        <f t="shared" si="0"/>
        <v>1.8049589603265904E-2</v>
      </c>
    </row>
    <row r="23" spans="1:6" s="7" customFormat="1" ht="16.149999999999999" customHeight="1" x14ac:dyDescent="0.2">
      <c r="A23" s="341" t="str">
        <f>A213</f>
        <v>4. Ferramentas, Materiais de Consumo e Aterro Sanitário</v>
      </c>
      <c r="B23" s="342"/>
      <c r="C23" s="342"/>
      <c r="D23" s="343"/>
      <c r="E23" s="46">
        <f>+F223</f>
        <v>6184.4733333333334</v>
      </c>
      <c r="F23" s="47">
        <f t="shared" si="0"/>
        <v>0.20671704736853438</v>
      </c>
    </row>
    <row r="24" spans="1:6" s="7" customFormat="1" ht="16.149999999999999" customHeight="1" x14ac:dyDescent="0.2">
      <c r="A24" s="341" t="str">
        <f>A225</f>
        <v>5. Monitoramento da Frota</v>
      </c>
      <c r="B24" s="342"/>
      <c r="C24" s="342"/>
      <c r="D24" s="343"/>
      <c r="E24" s="46">
        <f>+F234</f>
        <v>36.133333333333333</v>
      </c>
      <c r="F24" s="47">
        <f t="shared" si="0"/>
        <v>1.2077626623419901E-3</v>
      </c>
    </row>
    <row r="25" spans="1:6" s="7" customFormat="1" ht="16.149999999999999" customHeight="1" thickBot="1" x14ac:dyDescent="0.25">
      <c r="A25" s="310" t="str">
        <f>A238</f>
        <v>6. Benefícios e Despesas Indiretas - BDI</v>
      </c>
      <c r="B25" s="311"/>
      <c r="C25" s="311"/>
      <c r="D25" s="312"/>
      <c r="E25" s="50">
        <f>+F244</f>
        <v>6145.1679331876667</v>
      </c>
      <c r="F25" s="47">
        <f t="shared" si="0"/>
        <v>0.20540325784664284</v>
      </c>
    </row>
    <row r="26" spans="1:6" s="2" customFormat="1" ht="16.149999999999999" customHeight="1" thickBot="1" x14ac:dyDescent="0.25">
      <c r="A26" s="350" t="s">
        <v>212</v>
      </c>
      <c r="B26" s="351"/>
      <c r="C26" s="351"/>
      <c r="D26" s="352"/>
      <c r="E26" s="52">
        <f>E8+E14+E15+E23+E24+E25</f>
        <v>29917.577732753107</v>
      </c>
      <c r="F26" s="53">
        <f>F8+F14+F15+F23+F24+F25</f>
        <v>0.99999999999999989</v>
      </c>
    </row>
    <row r="27" spans="1:6" ht="16.149999999999999" customHeight="1" x14ac:dyDescent="0.2">
      <c r="A27" s="38"/>
      <c r="B27" s="38"/>
      <c r="C27" s="38"/>
      <c r="D27" s="39"/>
      <c r="E27" s="39"/>
      <c r="F27" s="39"/>
    </row>
    <row r="28" spans="1:6" ht="16.149999999999999" customHeight="1" thickBot="1" x14ac:dyDescent="0.25">
      <c r="A28" s="38"/>
      <c r="B28" s="38"/>
      <c r="C28" s="38"/>
      <c r="D28" s="39"/>
      <c r="E28" s="39"/>
      <c r="F28" s="39"/>
    </row>
    <row r="29" spans="1:6" s="2" customFormat="1" ht="16.149999999999999" customHeight="1" thickBot="1" x14ac:dyDescent="0.25">
      <c r="A29" s="332" t="s">
        <v>89</v>
      </c>
      <c r="B29" s="333"/>
      <c r="C29" s="333"/>
      <c r="D29" s="333"/>
      <c r="E29" s="334"/>
      <c r="F29" s="39"/>
    </row>
    <row r="30" spans="1:6" s="2" customFormat="1" ht="16.149999999999999" customHeight="1" thickBot="1" x14ac:dyDescent="0.25">
      <c r="A30" s="313" t="s">
        <v>38</v>
      </c>
      <c r="B30" s="314"/>
      <c r="C30" s="314"/>
      <c r="D30" s="331"/>
      <c r="E30" s="54" t="s">
        <v>39</v>
      </c>
      <c r="F30" s="39"/>
    </row>
    <row r="31" spans="1:6" s="2" customFormat="1" ht="16.149999999999999" customHeight="1" x14ac:dyDescent="0.2">
      <c r="A31" s="347" t="str">
        <f>+A47</f>
        <v>1.1. Coletor Turno Dia</v>
      </c>
      <c r="B31" s="348"/>
      <c r="C31" s="348"/>
      <c r="D31" s="349"/>
      <c r="E31" s="55">
        <f>C57</f>
        <v>2</v>
      </c>
      <c r="F31" s="39"/>
    </row>
    <row r="32" spans="1:6" s="2" customFormat="1" ht="16.149999999999999" customHeight="1" x14ac:dyDescent="0.2">
      <c r="A32" s="307" t="str">
        <f>+A60</f>
        <v>1.2. Motorista Turno do Dia</v>
      </c>
      <c r="B32" s="308"/>
      <c r="C32" s="308"/>
      <c r="D32" s="309"/>
      <c r="E32" s="57">
        <f>C72</f>
        <v>1</v>
      </c>
      <c r="F32" s="39"/>
    </row>
    <row r="33" spans="1:6" s="2" customFormat="1" ht="16.149999999999999" customHeight="1" x14ac:dyDescent="0.2">
      <c r="A33" s="307" t="str">
        <f>+A75</f>
        <v>1.3. Encarregado</v>
      </c>
      <c r="B33" s="308"/>
      <c r="C33" s="308"/>
      <c r="D33" s="309"/>
      <c r="E33" s="57">
        <f>C81</f>
        <v>1</v>
      </c>
      <c r="F33" s="39"/>
    </row>
    <row r="34" spans="1:6" s="2" customFormat="1" ht="16.149999999999999" customHeight="1" thickBot="1" x14ac:dyDescent="0.25">
      <c r="A34" s="310" t="s">
        <v>56</v>
      </c>
      <c r="B34" s="311"/>
      <c r="C34" s="311"/>
      <c r="D34" s="312"/>
      <c r="E34" s="58">
        <f>SUM(E31:E33)</f>
        <v>4</v>
      </c>
      <c r="F34" s="39"/>
    </row>
    <row r="35" spans="1:6" s="2" customFormat="1" ht="16.149999999999999" customHeight="1" thickBot="1" x14ac:dyDescent="0.25">
      <c r="A35" s="313"/>
      <c r="B35" s="314"/>
      <c r="C35" s="314"/>
      <c r="D35" s="314"/>
      <c r="E35" s="315"/>
      <c r="F35" s="39"/>
    </row>
    <row r="36" spans="1:6" s="2" customFormat="1" ht="16.149999999999999" customHeight="1" x14ac:dyDescent="0.2">
      <c r="A36" s="317" t="s">
        <v>53</v>
      </c>
      <c r="B36" s="318"/>
      <c r="C36" s="318"/>
      <c r="D36" s="318"/>
      <c r="E36" s="54" t="s">
        <v>39</v>
      </c>
      <c r="F36" s="38"/>
    </row>
    <row r="37" spans="1:6" s="2" customFormat="1" ht="16.149999999999999" customHeight="1" thickBot="1" x14ac:dyDescent="0.25">
      <c r="A37" s="321" t="str">
        <f>+A136</f>
        <v>3.1. Veículo Coletor Compactador 15 m³</v>
      </c>
      <c r="B37" s="322"/>
      <c r="C37" s="322"/>
      <c r="D37" s="323"/>
      <c r="E37" s="60">
        <f>C151</f>
        <v>1</v>
      </c>
      <c r="F37" s="38"/>
    </row>
    <row r="38" spans="1:6" s="2" customFormat="1" ht="16.149999999999999" customHeight="1" x14ac:dyDescent="0.2">
      <c r="A38" s="59"/>
      <c r="B38" s="59"/>
      <c r="C38" s="59"/>
      <c r="D38" s="42"/>
      <c r="E38" s="61"/>
      <c r="F38" s="38"/>
    </row>
    <row r="39" spans="1:6" s="2" customFormat="1" ht="16.149999999999999" customHeight="1" thickBot="1" x14ac:dyDescent="0.25">
      <c r="A39" s="59"/>
      <c r="B39" s="59"/>
      <c r="C39" s="59"/>
      <c r="D39" s="42"/>
      <c r="E39" s="62"/>
      <c r="F39" s="38"/>
    </row>
    <row r="40" spans="1:6" s="7" customFormat="1" ht="16.149999999999999" customHeight="1" thickBot="1" x14ac:dyDescent="0.25">
      <c r="A40" s="63" t="s">
        <v>171</v>
      </c>
      <c r="B40" s="255">
        <v>0.4</v>
      </c>
      <c r="C40" s="64"/>
      <c r="D40" s="65"/>
      <c r="E40" s="66"/>
      <c r="F40" s="37"/>
    </row>
    <row r="41" spans="1:6" s="7" customFormat="1" ht="15.75" customHeight="1" x14ac:dyDescent="0.2">
      <c r="A41" s="64"/>
      <c r="B41" s="258"/>
      <c r="C41" s="64"/>
      <c r="D41" s="65"/>
      <c r="E41" s="66"/>
      <c r="F41" s="37"/>
    </row>
    <row r="42" spans="1:6" s="7" customFormat="1" ht="15.75" customHeight="1" x14ac:dyDescent="0.2">
      <c r="A42" s="64"/>
      <c r="B42" s="258"/>
      <c r="C42" s="64"/>
      <c r="D42" s="65"/>
      <c r="E42" s="66"/>
      <c r="F42" s="37"/>
    </row>
    <row r="43" spans="1:6" s="7" customFormat="1" ht="15.75" customHeight="1" x14ac:dyDescent="0.2">
      <c r="A43" s="64"/>
      <c r="B43" s="258"/>
      <c r="C43" s="64"/>
      <c r="D43" s="65"/>
      <c r="E43" s="66"/>
      <c r="F43" s="37"/>
    </row>
    <row r="44" spans="1:6" s="2" customFormat="1" ht="15.75" customHeight="1" x14ac:dyDescent="0.2">
      <c r="A44" s="59"/>
      <c r="B44" s="59"/>
      <c r="C44" s="59"/>
      <c r="D44" s="42"/>
      <c r="E44" s="62"/>
      <c r="F44" s="38"/>
    </row>
    <row r="45" spans="1:6" ht="13.15" customHeight="1" x14ac:dyDescent="0.2">
      <c r="A45" s="37" t="s">
        <v>44</v>
      </c>
      <c r="B45" s="38"/>
      <c r="C45" s="38"/>
      <c r="D45" s="39"/>
      <c r="E45" s="39"/>
      <c r="F45" s="39"/>
    </row>
    <row r="46" spans="1:6" ht="11.25" customHeight="1" x14ac:dyDescent="0.2">
      <c r="A46" s="38"/>
      <c r="B46" s="38"/>
      <c r="C46" s="38"/>
      <c r="D46" s="39"/>
      <c r="E46" s="39"/>
      <c r="F46" s="39"/>
    </row>
    <row r="47" spans="1:6" ht="13.9" customHeight="1" thickBot="1" x14ac:dyDescent="0.25">
      <c r="A47" s="38" t="s">
        <v>90</v>
      </c>
      <c r="B47" s="38"/>
      <c r="C47" s="38"/>
      <c r="D47" s="39"/>
      <c r="E47" s="39"/>
      <c r="F47" s="39"/>
    </row>
    <row r="48" spans="1:6" ht="13.9" customHeight="1" thickBot="1" x14ac:dyDescent="0.25">
      <c r="A48" s="67" t="s">
        <v>60</v>
      </c>
      <c r="B48" s="68" t="s">
        <v>61</v>
      </c>
      <c r="C48" s="68" t="s">
        <v>39</v>
      </c>
      <c r="D48" s="69" t="s">
        <v>208</v>
      </c>
      <c r="E48" s="69" t="s">
        <v>62</v>
      </c>
      <c r="F48" s="70" t="s">
        <v>259</v>
      </c>
    </row>
    <row r="49" spans="1:8" ht="13.15" customHeight="1" x14ac:dyDescent="0.2">
      <c r="A49" s="71" t="s">
        <v>190</v>
      </c>
      <c r="B49" s="72" t="s">
        <v>7</v>
      </c>
      <c r="C49" s="72">
        <v>1</v>
      </c>
      <c r="D49" s="73">
        <v>1816.57</v>
      </c>
      <c r="E49" s="74">
        <f>C49*D49</f>
        <v>1816.57</v>
      </c>
      <c r="F49" s="39"/>
    </row>
    <row r="50" spans="1:8" x14ac:dyDescent="0.2">
      <c r="A50" s="75" t="s">
        <v>33</v>
      </c>
      <c r="B50" s="76" t="s">
        <v>0</v>
      </c>
      <c r="C50" s="77"/>
      <c r="D50" s="36">
        <f>D49/220*2</f>
        <v>16.514272727272726</v>
      </c>
      <c r="E50" s="36">
        <f>C50*D50</f>
        <v>0</v>
      </c>
      <c r="F50" s="39"/>
    </row>
    <row r="51" spans="1:8" ht="13.15" customHeight="1" x14ac:dyDescent="0.2">
      <c r="A51" s="75" t="s">
        <v>34</v>
      </c>
      <c r="B51" s="76" t="s">
        <v>0</v>
      </c>
      <c r="C51" s="77"/>
      <c r="D51" s="36">
        <f>D49/220*1.5</f>
        <v>12.385704545454544</v>
      </c>
      <c r="E51" s="36">
        <f>C51*D51</f>
        <v>0</v>
      </c>
      <c r="F51" s="39"/>
    </row>
    <row r="52" spans="1:8" ht="13.15" customHeight="1" x14ac:dyDescent="0.2">
      <c r="A52" s="75" t="s">
        <v>192</v>
      </c>
      <c r="B52" s="76" t="s">
        <v>32</v>
      </c>
      <c r="C52" s="38"/>
      <c r="D52" s="36">
        <f>63/302*(SUM(E50:E51))</f>
        <v>0</v>
      </c>
      <c r="E52" s="36">
        <f>D52</f>
        <v>0</v>
      </c>
      <c r="F52" s="39"/>
    </row>
    <row r="53" spans="1:8" x14ac:dyDescent="0.2">
      <c r="A53" s="75" t="s">
        <v>1</v>
      </c>
      <c r="B53" s="76" t="s">
        <v>2</v>
      </c>
      <c r="C53" s="76">
        <v>40</v>
      </c>
      <c r="D53" s="78">
        <f>SUM(E49:E52)</f>
        <v>1816.57</v>
      </c>
      <c r="E53" s="36">
        <f>C53*D53/100</f>
        <v>726.62800000000004</v>
      </c>
      <c r="F53" s="39"/>
    </row>
    <row r="54" spans="1:8" x14ac:dyDescent="0.2">
      <c r="A54" s="79" t="s">
        <v>3</v>
      </c>
      <c r="B54" s="80"/>
      <c r="C54" s="80"/>
      <c r="D54" s="81"/>
      <c r="E54" s="82">
        <f>SUM(E49:E53)</f>
        <v>2543.1979999999999</v>
      </c>
      <c r="F54" s="39"/>
    </row>
    <row r="55" spans="1:8" x14ac:dyDescent="0.2">
      <c r="A55" s="75" t="s">
        <v>4</v>
      </c>
      <c r="B55" s="76" t="s">
        <v>2</v>
      </c>
      <c r="C55" s="83">
        <f>'2.Encargos Sociais'!$C$37*100</f>
        <v>72.231660000000005</v>
      </c>
      <c r="D55" s="36">
        <f>E54</f>
        <v>2543.1979999999999</v>
      </c>
      <c r="E55" s="36">
        <f>D55*C55/100</f>
        <v>1836.9941324868</v>
      </c>
      <c r="F55" s="39"/>
    </row>
    <row r="56" spans="1:8" x14ac:dyDescent="0.2">
      <c r="A56" s="79" t="s">
        <v>68</v>
      </c>
      <c r="B56" s="80"/>
      <c r="C56" s="80"/>
      <c r="D56" s="81"/>
      <c r="E56" s="82">
        <f>E54+E55</f>
        <v>4380.1921324867999</v>
      </c>
      <c r="F56" s="39"/>
    </row>
    <row r="57" spans="1:8" ht="13.5" thickBot="1" x14ac:dyDescent="0.25">
      <c r="A57" s="75" t="s">
        <v>5</v>
      </c>
      <c r="B57" s="76" t="s">
        <v>6</v>
      </c>
      <c r="C57" s="84">
        <v>2</v>
      </c>
      <c r="D57" s="36">
        <f>E56</f>
        <v>4380.1921324867999</v>
      </c>
      <c r="E57" s="36">
        <f>C57*D57</f>
        <v>8760.3842649735998</v>
      </c>
      <c r="F57" s="39"/>
      <c r="H57" s="11"/>
    </row>
    <row r="58" spans="1:8" ht="13.9" customHeight="1" thickBot="1" x14ac:dyDescent="0.25">
      <c r="A58" s="38"/>
      <c r="B58" s="38"/>
      <c r="C58" s="38"/>
      <c r="D58" s="85" t="s">
        <v>170</v>
      </c>
      <c r="E58" s="256">
        <f>$B$40</f>
        <v>0.4</v>
      </c>
      <c r="F58" s="87">
        <f>E57*E58</f>
        <v>3504.1537059894399</v>
      </c>
    </row>
    <row r="59" spans="1:8" ht="11.25" customHeight="1" x14ac:dyDescent="0.2">
      <c r="A59" s="38"/>
      <c r="B59" s="38"/>
      <c r="C59" s="38"/>
      <c r="D59" s="39"/>
      <c r="E59" s="39"/>
      <c r="F59" s="39"/>
    </row>
    <row r="60" spans="1:8" ht="13.5" thickBot="1" x14ac:dyDescent="0.25">
      <c r="A60" s="38" t="s">
        <v>299</v>
      </c>
      <c r="B60" s="38"/>
      <c r="C60" s="38"/>
      <c r="D60" s="39"/>
      <c r="E60" s="39"/>
      <c r="F60" s="39"/>
    </row>
    <row r="61" spans="1:8" s="8" customFormat="1" ht="13.15" customHeight="1" thickBot="1" x14ac:dyDescent="0.25">
      <c r="A61" s="67" t="s">
        <v>60</v>
      </c>
      <c r="B61" s="68" t="s">
        <v>61</v>
      </c>
      <c r="C61" s="68" t="s">
        <v>39</v>
      </c>
      <c r="D61" s="69" t="s">
        <v>208</v>
      </c>
      <c r="E61" s="69" t="s">
        <v>62</v>
      </c>
      <c r="F61" s="70" t="s">
        <v>259</v>
      </c>
    </row>
    <row r="62" spans="1:8" x14ac:dyDescent="0.2">
      <c r="A62" s="71" t="s">
        <v>254</v>
      </c>
      <c r="B62" s="72" t="s">
        <v>7</v>
      </c>
      <c r="C62" s="72">
        <v>1</v>
      </c>
      <c r="D62" s="73">
        <v>2350.5500000000002</v>
      </c>
      <c r="E62" s="74">
        <f>C62*D62</f>
        <v>2350.5500000000002</v>
      </c>
      <c r="F62" s="39"/>
    </row>
    <row r="63" spans="1:8" x14ac:dyDescent="0.2">
      <c r="A63" s="71" t="s">
        <v>255</v>
      </c>
      <c r="B63" s="72" t="s">
        <v>7</v>
      </c>
      <c r="C63" s="72">
        <v>1</v>
      </c>
      <c r="D63" s="73">
        <v>1412</v>
      </c>
      <c r="E63" s="74"/>
      <c r="F63" s="39"/>
    </row>
    <row r="64" spans="1:8" x14ac:dyDescent="0.2">
      <c r="A64" s="75" t="s">
        <v>33</v>
      </c>
      <c r="B64" s="76" t="s">
        <v>0</v>
      </c>
      <c r="C64" s="77"/>
      <c r="D64" s="36">
        <f>D62/220*2</f>
        <v>21.368636363636366</v>
      </c>
      <c r="E64" s="36">
        <f>C64*D64</f>
        <v>0</v>
      </c>
      <c r="F64" s="39"/>
    </row>
    <row r="65" spans="1:6" x14ac:dyDescent="0.2">
      <c r="A65" s="75" t="s">
        <v>34</v>
      </c>
      <c r="B65" s="76" t="s">
        <v>0</v>
      </c>
      <c r="C65" s="77"/>
      <c r="D65" s="36">
        <f>D62/220*1.5</f>
        <v>16.026477272727274</v>
      </c>
      <c r="E65" s="36">
        <f>C65*D65</f>
        <v>0</v>
      </c>
      <c r="F65" s="39"/>
    </row>
    <row r="66" spans="1:6" ht="13.15" customHeight="1" x14ac:dyDescent="0.2">
      <c r="A66" s="75" t="s">
        <v>192</v>
      </c>
      <c r="B66" s="76" t="s">
        <v>32</v>
      </c>
      <c r="C66" s="38"/>
      <c r="D66" s="36">
        <f>63/302*(SUM(E64:E65))</f>
        <v>0</v>
      </c>
      <c r="E66" s="36">
        <f>D66</f>
        <v>0</v>
      </c>
      <c r="F66" s="39"/>
    </row>
    <row r="67" spans="1:6" x14ac:dyDescent="0.2">
      <c r="A67" s="75" t="s">
        <v>191</v>
      </c>
      <c r="B67" s="76"/>
      <c r="C67" s="88">
        <v>1</v>
      </c>
      <c r="D67" s="36"/>
      <c r="E67" s="36"/>
      <c r="F67" s="39"/>
    </row>
    <row r="68" spans="1:6" x14ac:dyDescent="0.2">
      <c r="A68" s="75" t="s">
        <v>1</v>
      </c>
      <c r="B68" s="76" t="s">
        <v>2</v>
      </c>
      <c r="C68" s="84">
        <v>40</v>
      </c>
      <c r="D68" s="78">
        <f>IF(C67=2,SUM(E62:E66),IF(C67=1,(SUM(E62:E66))*D63/D62,0))</f>
        <v>1412</v>
      </c>
      <c r="E68" s="36">
        <f>C68*D68/100</f>
        <v>564.79999999999995</v>
      </c>
      <c r="F68" s="39"/>
    </row>
    <row r="69" spans="1:6" s="7" customFormat="1" x14ac:dyDescent="0.2">
      <c r="A69" s="89" t="s">
        <v>3</v>
      </c>
      <c r="B69" s="80"/>
      <c r="C69" s="80"/>
      <c r="D69" s="81"/>
      <c r="E69" s="90">
        <f>SUM(E62:E68)</f>
        <v>2915.3500000000004</v>
      </c>
      <c r="F69" s="91"/>
    </row>
    <row r="70" spans="1:6" x14ac:dyDescent="0.2">
      <c r="A70" s="75" t="s">
        <v>4</v>
      </c>
      <c r="B70" s="76" t="s">
        <v>2</v>
      </c>
      <c r="C70" s="83">
        <f>'2.Encargos Sociais'!$C$37*100</f>
        <v>72.231660000000005</v>
      </c>
      <c r="D70" s="36">
        <f>E69</f>
        <v>2915.3500000000004</v>
      </c>
      <c r="E70" s="36">
        <f>D70*C70/100</f>
        <v>2105.8056998100005</v>
      </c>
      <c r="F70" s="39"/>
    </row>
    <row r="71" spans="1:6" s="7" customFormat="1" x14ac:dyDescent="0.2">
      <c r="A71" s="89" t="s">
        <v>222</v>
      </c>
      <c r="B71" s="92"/>
      <c r="C71" s="92"/>
      <c r="D71" s="93"/>
      <c r="E71" s="90">
        <f>E69+E70</f>
        <v>5021.1556998100004</v>
      </c>
      <c r="F71" s="91"/>
    </row>
    <row r="72" spans="1:6" ht="13.5" thickBot="1" x14ac:dyDescent="0.25">
      <c r="A72" s="75" t="s">
        <v>5</v>
      </c>
      <c r="B72" s="76" t="s">
        <v>6</v>
      </c>
      <c r="C72" s="84">
        <v>1</v>
      </c>
      <c r="D72" s="36">
        <f>E71</f>
        <v>5021.1556998100004</v>
      </c>
      <c r="E72" s="36">
        <f>C72*D72</f>
        <v>5021.1556998100004</v>
      </c>
      <c r="F72" s="39"/>
    </row>
    <row r="73" spans="1:6" ht="13.5" thickBot="1" x14ac:dyDescent="0.25">
      <c r="A73" s="38"/>
      <c r="B73" s="38"/>
      <c r="C73" s="38"/>
      <c r="D73" s="85" t="s">
        <v>170</v>
      </c>
      <c r="E73" s="256">
        <f>$B$40</f>
        <v>0.4</v>
      </c>
      <c r="F73" s="87">
        <f>E72*E73</f>
        <v>2008.4622799240003</v>
      </c>
    </row>
    <row r="74" spans="1:6" ht="11.25" customHeight="1" x14ac:dyDescent="0.2">
      <c r="A74" s="38"/>
      <c r="B74" s="38"/>
      <c r="C74" s="38"/>
      <c r="D74" s="39"/>
      <c r="E74" s="39"/>
      <c r="F74" s="39"/>
    </row>
    <row r="75" spans="1:6" ht="13.5" thickBot="1" x14ac:dyDescent="0.25">
      <c r="A75" s="38" t="s">
        <v>300</v>
      </c>
      <c r="B75" s="38"/>
      <c r="C75" s="38"/>
      <c r="D75" s="39"/>
      <c r="E75" s="39"/>
      <c r="F75" s="39"/>
    </row>
    <row r="76" spans="1:6" ht="13.5" thickBot="1" x14ac:dyDescent="0.25">
      <c r="A76" s="67" t="s">
        <v>60</v>
      </c>
      <c r="B76" s="68" t="s">
        <v>61</v>
      </c>
      <c r="C76" s="68" t="s">
        <v>39</v>
      </c>
      <c r="D76" s="69" t="s">
        <v>208</v>
      </c>
      <c r="E76" s="69" t="s">
        <v>62</v>
      </c>
      <c r="F76" s="70" t="s">
        <v>259</v>
      </c>
    </row>
    <row r="77" spans="1:6" x14ac:dyDescent="0.2">
      <c r="A77" s="71" t="s">
        <v>301</v>
      </c>
      <c r="B77" s="72" t="s">
        <v>7</v>
      </c>
      <c r="C77" s="72">
        <v>1</v>
      </c>
      <c r="D77" s="73">
        <f>D62</f>
        <v>2350.5500000000002</v>
      </c>
      <c r="E77" s="74">
        <f>C77*D77</f>
        <v>2350.5500000000002</v>
      </c>
      <c r="F77" s="39"/>
    </row>
    <row r="78" spans="1:6" s="7" customFormat="1" x14ac:dyDescent="0.2">
      <c r="A78" s="79" t="s">
        <v>3</v>
      </c>
      <c r="B78" s="80"/>
      <c r="C78" s="80"/>
      <c r="D78" s="81"/>
      <c r="E78" s="82">
        <f>SUM(E77:E77)</f>
        <v>2350.5500000000002</v>
      </c>
      <c r="F78" s="91"/>
    </row>
    <row r="79" spans="1:6" x14ac:dyDescent="0.2">
      <c r="A79" s="75" t="s">
        <v>4</v>
      </c>
      <c r="B79" s="76" t="s">
        <v>2</v>
      </c>
      <c r="C79" s="83">
        <f>'2.Encargos Sociais'!$C$37*100</f>
        <v>72.231660000000005</v>
      </c>
      <c r="D79" s="36">
        <f>E78</f>
        <v>2350.5500000000002</v>
      </c>
      <c r="E79" s="36">
        <f>D79*C79/100</f>
        <v>1697.8412841300003</v>
      </c>
      <c r="F79" s="39"/>
    </row>
    <row r="80" spans="1:6" s="7" customFormat="1" x14ac:dyDescent="0.2">
      <c r="A80" s="79" t="s">
        <v>222</v>
      </c>
      <c r="B80" s="80"/>
      <c r="C80" s="80"/>
      <c r="D80" s="81"/>
      <c r="E80" s="82">
        <f>E78+E79</f>
        <v>4048.3912841300007</v>
      </c>
      <c r="F80" s="91"/>
    </row>
    <row r="81" spans="1:6" ht="13.5" thickBot="1" x14ac:dyDescent="0.25">
      <c r="A81" s="75" t="s">
        <v>5</v>
      </c>
      <c r="B81" s="76" t="s">
        <v>6</v>
      </c>
      <c r="C81" s="84">
        <v>1</v>
      </c>
      <c r="D81" s="36">
        <f>E80</f>
        <v>4048.3912841300007</v>
      </c>
      <c r="E81" s="36">
        <f>C81*D81</f>
        <v>4048.3912841300007</v>
      </c>
      <c r="F81" s="39"/>
    </row>
    <row r="82" spans="1:6" ht="13.5" thickBot="1" x14ac:dyDescent="0.25">
      <c r="A82" s="38"/>
      <c r="B82" s="38"/>
      <c r="C82" s="38"/>
      <c r="D82" s="85" t="s">
        <v>170</v>
      </c>
      <c r="E82" s="256">
        <f>$B$40</f>
        <v>0.4</v>
      </c>
      <c r="F82" s="87">
        <f>E81*E82</f>
        <v>1619.3565136520003</v>
      </c>
    </row>
    <row r="83" spans="1:6" ht="11.25" customHeight="1" x14ac:dyDescent="0.2">
      <c r="A83" s="38"/>
      <c r="B83" s="38"/>
      <c r="C83" s="38"/>
      <c r="D83" s="39"/>
      <c r="E83" s="39"/>
      <c r="F83" s="39"/>
    </row>
    <row r="84" spans="1:6" ht="13.5" thickBot="1" x14ac:dyDescent="0.25">
      <c r="A84" s="38" t="s">
        <v>302</v>
      </c>
      <c r="B84" s="94"/>
      <c r="C84" s="38"/>
      <c r="D84" s="38"/>
      <c r="E84" s="38"/>
      <c r="F84" s="39"/>
    </row>
    <row r="85" spans="1:6" ht="13.5" thickBot="1" x14ac:dyDescent="0.25">
      <c r="A85" s="67" t="s">
        <v>60</v>
      </c>
      <c r="B85" s="68" t="s">
        <v>61</v>
      </c>
      <c r="C85" s="68" t="s">
        <v>39</v>
      </c>
      <c r="D85" s="69" t="s">
        <v>208</v>
      </c>
      <c r="E85" s="69" t="s">
        <v>62</v>
      </c>
      <c r="F85" s="70" t="s">
        <v>259</v>
      </c>
    </row>
    <row r="86" spans="1:6" x14ac:dyDescent="0.2">
      <c r="A86" s="75" t="s">
        <v>84</v>
      </c>
      <c r="B86" s="76" t="s">
        <v>32</v>
      </c>
      <c r="C86" s="95">
        <v>1</v>
      </c>
      <c r="D86" s="96">
        <v>3.5</v>
      </c>
      <c r="E86" s="36"/>
      <c r="F86" s="39"/>
    </row>
    <row r="87" spans="1:6" x14ac:dyDescent="0.2">
      <c r="A87" s="75" t="s">
        <v>85</v>
      </c>
      <c r="B87" s="76" t="s">
        <v>86</v>
      </c>
      <c r="C87" s="97">
        <v>13</v>
      </c>
      <c r="D87" s="36"/>
      <c r="E87" s="36"/>
      <c r="F87" s="39"/>
    </row>
    <row r="88" spans="1:6" x14ac:dyDescent="0.2">
      <c r="A88" s="75" t="s">
        <v>69</v>
      </c>
      <c r="B88" s="76" t="s">
        <v>8</v>
      </c>
      <c r="C88" s="98">
        <f>$C$87*2*(C57)</f>
        <v>52</v>
      </c>
      <c r="D88" s="74">
        <f>IFERROR((($C$87*2*$D$86)-(E49*0.06*C87/26))/($C$87*2),"-")</f>
        <v>1.4039576923076924</v>
      </c>
      <c r="E88" s="36">
        <f>IFERROR(C88*D88,"-")</f>
        <v>73.005800000000008</v>
      </c>
      <c r="F88" s="39"/>
    </row>
    <row r="89" spans="1:6" ht="13.5" thickBot="1" x14ac:dyDescent="0.25">
      <c r="A89" s="71" t="s">
        <v>303</v>
      </c>
      <c r="B89" s="72" t="s">
        <v>8</v>
      </c>
      <c r="C89" s="98">
        <f>$C$87*2*(C72+C81)</f>
        <v>52</v>
      </c>
      <c r="D89" s="74">
        <f>IFERROR((($C$87*2*$D$86)-(E62*0.06*C87/26))/($C$87*2),"-")</f>
        <v>0.78782692307692281</v>
      </c>
      <c r="E89" s="74">
        <f>IFERROR(C89*D89,"-")</f>
        <v>40.966999999999985</v>
      </c>
      <c r="F89" s="39"/>
    </row>
    <row r="90" spans="1:6" ht="13.5" thickBot="1" x14ac:dyDescent="0.25">
      <c r="A90" s="38"/>
      <c r="B90" s="38"/>
      <c r="C90" s="38"/>
      <c r="D90" s="39"/>
      <c r="E90" s="39"/>
      <c r="F90" s="99">
        <f>SUM(E88:E89)</f>
        <v>113.97279999999999</v>
      </c>
    </row>
    <row r="91" spans="1:6" ht="11.25" customHeight="1" x14ac:dyDescent="0.2">
      <c r="A91" s="38"/>
      <c r="B91" s="38"/>
      <c r="C91" s="38"/>
      <c r="D91" s="39"/>
      <c r="E91" s="39"/>
      <c r="F91" s="39"/>
    </row>
    <row r="92" spans="1:6" ht="13.5" thickBot="1" x14ac:dyDescent="0.25">
      <c r="A92" s="38" t="s">
        <v>304</v>
      </c>
      <c r="B92" s="38"/>
      <c r="C92" s="38"/>
      <c r="D92" s="39"/>
      <c r="E92" s="39"/>
      <c r="F92" s="100"/>
    </row>
    <row r="93" spans="1:6" ht="13.5" thickBot="1" x14ac:dyDescent="0.25">
      <c r="A93" s="67" t="s">
        <v>60</v>
      </c>
      <c r="B93" s="68" t="s">
        <v>61</v>
      </c>
      <c r="C93" s="68" t="s">
        <v>39</v>
      </c>
      <c r="D93" s="69" t="s">
        <v>208</v>
      </c>
      <c r="E93" s="69" t="s">
        <v>62</v>
      </c>
      <c r="F93" s="70" t="s">
        <v>259</v>
      </c>
    </row>
    <row r="94" spans="1:6" x14ac:dyDescent="0.2">
      <c r="A94" s="75" t="s">
        <v>305</v>
      </c>
      <c r="B94" s="76" t="s">
        <v>9</v>
      </c>
      <c r="C94" s="101">
        <f>E31</f>
        <v>2</v>
      </c>
      <c r="D94" s="102">
        <v>19.18</v>
      </c>
      <c r="E94" s="86">
        <f>D94*26*C94</f>
        <v>997.36</v>
      </c>
      <c r="F94" s="100"/>
    </row>
    <row r="95" spans="1:6" ht="13.5" thickBot="1" x14ac:dyDescent="0.25">
      <c r="A95" s="75" t="s">
        <v>303</v>
      </c>
      <c r="B95" s="76" t="s">
        <v>9</v>
      </c>
      <c r="C95" s="101">
        <f>E32+E33</f>
        <v>2</v>
      </c>
      <c r="D95" s="102">
        <v>16.52</v>
      </c>
      <c r="E95" s="86">
        <f>D95*26*C95</f>
        <v>859.04</v>
      </c>
      <c r="F95" s="100"/>
    </row>
    <row r="96" spans="1:6" ht="13.5" thickBot="1" x14ac:dyDescent="0.25">
      <c r="A96" s="38"/>
      <c r="B96" s="38"/>
      <c r="C96" s="38"/>
      <c r="D96" s="85" t="s">
        <v>170</v>
      </c>
      <c r="E96" s="256">
        <f>$B$40</f>
        <v>0.4</v>
      </c>
      <c r="F96" s="99">
        <f>SUM(E94:E95)*E96</f>
        <v>742.56000000000006</v>
      </c>
    </row>
    <row r="97" spans="1:8" ht="13.5" thickBot="1" x14ac:dyDescent="0.25">
      <c r="A97" s="38"/>
      <c r="B97" s="38"/>
      <c r="C97" s="38"/>
      <c r="D97" s="39"/>
      <c r="E97" s="39"/>
      <c r="F97" s="39"/>
    </row>
    <row r="98" spans="1:8" ht="13.5" thickBot="1" x14ac:dyDescent="0.25">
      <c r="A98" s="103" t="s">
        <v>87</v>
      </c>
      <c r="B98" s="104"/>
      <c r="C98" s="104"/>
      <c r="D98" s="51"/>
      <c r="E98" s="105"/>
      <c r="F98" s="99">
        <f>F96+F90+F82+F73+F58</f>
        <v>7988.5052995654405</v>
      </c>
      <c r="H98" s="11"/>
    </row>
    <row r="99" spans="1:8" x14ac:dyDescent="0.2">
      <c r="A99" s="38"/>
      <c r="B99" s="38"/>
      <c r="C99" s="38"/>
      <c r="D99" s="39"/>
      <c r="E99" s="39"/>
      <c r="F99" s="39"/>
    </row>
    <row r="100" spans="1:8" x14ac:dyDescent="0.2">
      <c r="A100" s="37" t="s">
        <v>42</v>
      </c>
      <c r="B100" s="38"/>
      <c r="C100" s="38"/>
      <c r="D100" s="39"/>
      <c r="E100" s="39"/>
      <c r="F100" s="39"/>
    </row>
    <row r="101" spans="1:8" ht="11.25" customHeight="1" x14ac:dyDescent="0.2">
      <c r="A101" s="38"/>
      <c r="B101" s="38"/>
      <c r="C101" s="38"/>
      <c r="D101" s="39"/>
      <c r="E101" s="39"/>
      <c r="F101" s="39"/>
    </row>
    <row r="102" spans="1:8" ht="13.9" customHeight="1" x14ac:dyDescent="0.2">
      <c r="A102" s="38" t="s">
        <v>172</v>
      </c>
      <c r="B102" s="38"/>
      <c r="C102" s="38"/>
      <c r="D102" s="39"/>
      <c r="E102" s="39"/>
      <c r="F102" s="39"/>
    </row>
    <row r="103" spans="1:8" ht="11.25" customHeight="1" thickBot="1" x14ac:dyDescent="0.25">
      <c r="A103" s="38"/>
      <c r="B103" s="38"/>
      <c r="C103" s="38"/>
      <c r="D103" s="39"/>
      <c r="E103" s="39"/>
      <c r="F103" s="39"/>
    </row>
    <row r="104" spans="1:8" ht="27.75" customHeight="1" thickBot="1" x14ac:dyDescent="0.25">
      <c r="A104" s="67" t="s">
        <v>60</v>
      </c>
      <c r="B104" s="68" t="s">
        <v>61</v>
      </c>
      <c r="C104" s="106" t="s">
        <v>224</v>
      </c>
      <c r="D104" s="69" t="s">
        <v>208</v>
      </c>
      <c r="E104" s="69" t="s">
        <v>62</v>
      </c>
      <c r="F104" s="70" t="s">
        <v>259</v>
      </c>
    </row>
    <row r="105" spans="1:8" x14ac:dyDescent="0.2">
      <c r="A105" s="71" t="s">
        <v>63</v>
      </c>
      <c r="B105" s="72" t="s">
        <v>9</v>
      </c>
      <c r="C105" s="107">
        <v>4</v>
      </c>
      <c r="D105" s="73">
        <v>67</v>
      </c>
      <c r="E105" s="74">
        <f>IFERROR(D105/C105,0)</f>
        <v>16.75</v>
      </c>
      <c r="F105" s="39"/>
    </row>
    <row r="106" spans="1:8" ht="13.15" customHeight="1" x14ac:dyDescent="0.2">
      <c r="A106" s="75" t="s">
        <v>28</v>
      </c>
      <c r="B106" s="76" t="s">
        <v>9</v>
      </c>
      <c r="C106" s="107">
        <v>3</v>
      </c>
      <c r="D106" s="73">
        <v>39.9</v>
      </c>
      <c r="E106" s="74">
        <f t="shared" ref="E106:E115" si="1">IFERROR(D106/C106,0)</f>
        <v>13.299999999999999</v>
      </c>
      <c r="F106" s="39"/>
    </row>
    <row r="107" spans="1:8" x14ac:dyDescent="0.2">
      <c r="A107" s="75" t="s">
        <v>29</v>
      </c>
      <c r="B107" s="76" t="s">
        <v>9</v>
      </c>
      <c r="C107" s="107">
        <v>2</v>
      </c>
      <c r="D107" s="73">
        <v>35</v>
      </c>
      <c r="E107" s="74">
        <f t="shared" si="1"/>
        <v>17.5</v>
      </c>
      <c r="F107" s="39"/>
    </row>
    <row r="108" spans="1:8" ht="13.15" customHeight="1" x14ac:dyDescent="0.2">
      <c r="A108" s="75" t="s">
        <v>30</v>
      </c>
      <c r="B108" s="76" t="s">
        <v>9</v>
      </c>
      <c r="C108" s="107">
        <v>2</v>
      </c>
      <c r="D108" s="73">
        <v>17</v>
      </c>
      <c r="E108" s="74">
        <f t="shared" si="1"/>
        <v>8.5</v>
      </c>
      <c r="F108" s="39"/>
    </row>
    <row r="109" spans="1:8" ht="13.9" customHeight="1" x14ac:dyDescent="0.2">
      <c r="A109" s="75" t="s">
        <v>65</v>
      </c>
      <c r="B109" s="76" t="s">
        <v>45</v>
      </c>
      <c r="C109" s="107">
        <v>3</v>
      </c>
      <c r="D109" s="73">
        <v>86.9</v>
      </c>
      <c r="E109" s="74">
        <f t="shared" si="1"/>
        <v>28.966666666666669</v>
      </c>
      <c r="F109" s="39"/>
    </row>
    <row r="110" spans="1:8" ht="13.15" customHeight="1" x14ac:dyDescent="0.2">
      <c r="A110" s="75" t="s">
        <v>88</v>
      </c>
      <c r="B110" s="76" t="s">
        <v>45</v>
      </c>
      <c r="C110" s="107">
        <v>3</v>
      </c>
      <c r="D110" s="73">
        <v>12.5</v>
      </c>
      <c r="E110" s="74">
        <f t="shared" si="1"/>
        <v>4.166666666666667</v>
      </c>
      <c r="F110" s="39"/>
    </row>
    <row r="111" spans="1:8" x14ac:dyDescent="0.2">
      <c r="A111" s="75" t="s">
        <v>64</v>
      </c>
      <c r="B111" s="76" t="s">
        <v>9</v>
      </c>
      <c r="C111" s="107">
        <v>6</v>
      </c>
      <c r="D111" s="73">
        <v>130</v>
      </c>
      <c r="E111" s="74">
        <f t="shared" si="1"/>
        <v>21.666666666666668</v>
      </c>
      <c r="F111" s="39"/>
    </row>
    <row r="112" spans="1:8" x14ac:dyDescent="0.2">
      <c r="A112" s="75" t="s">
        <v>264</v>
      </c>
      <c r="B112" s="76" t="s">
        <v>9</v>
      </c>
      <c r="C112" s="107">
        <v>2</v>
      </c>
      <c r="D112" s="73">
        <v>3.98</v>
      </c>
      <c r="E112" s="74">
        <f t="shared" si="1"/>
        <v>1.99</v>
      </c>
      <c r="F112" s="39"/>
    </row>
    <row r="113" spans="1:6" x14ac:dyDescent="0.2">
      <c r="A113" s="75" t="s">
        <v>265</v>
      </c>
      <c r="B113" s="76" t="s">
        <v>9</v>
      </c>
      <c r="C113" s="107">
        <v>1</v>
      </c>
      <c r="D113" s="73">
        <v>1.62</v>
      </c>
      <c r="E113" s="74">
        <f t="shared" si="1"/>
        <v>1.62</v>
      </c>
      <c r="F113" s="39"/>
    </row>
    <row r="114" spans="1:6" x14ac:dyDescent="0.2">
      <c r="A114" s="75" t="s">
        <v>31</v>
      </c>
      <c r="B114" s="76" t="s">
        <v>45</v>
      </c>
      <c r="C114" s="107">
        <v>0.2</v>
      </c>
      <c r="D114" s="73">
        <v>16.2</v>
      </c>
      <c r="E114" s="74">
        <f t="shared" si="1"/>
        <v>80.999999999999986</v>
      </c>
      <c r="F114" s="39"/>
    </row>
    <row r="115" spans="1:6" ht="13.15" customHeight="1" x14ac:dyDescent="0.2">
      <c r="A115" s="75" t="s">
        <v>59</v>
      </c>
      <c r="B115" s="76" t="s">
        <v>46</v>
      </c>
      <c r="C115" s="107">
        <v>1</v>
      </c>
      <c r="D115" s="73">
        <v>15.25</v>
      </c>
      <c r="E115" s="74">
        <f t="shared" si="1"/>
        <v>15.25</v>
      </c>
      <c r="F115" s="39"/>
    </row>
    <row r="116" spans="1:6" ht="13.5" thickBot="1" x14ac:dyDescent="0.25">
      <c r="A116" s="75" t="s">
        <v>5</v>
      </c>
      <c r="B116" s="76" t="s">
        <v>6</v>
      </c>
      <c r="C116" s="111">
        <f>E31</f>
        <v>2</v>
      </c>
      <c r="D116" s="36">
        <f>+SUM(E105:E115)</f>
        <v>210.70999999999998</v>
      </c>
      <c r="E116" s="36">
        <f t="shared" ref="E116" si="2">C116*D116</f>
        <v>421.41999999999996</v>
      </c>
      <c r="F116" s="39"/>
    </row>
    <row r="117" spans="1:6" ht="13.5" thickBot="1" x14ac:dyDescent="0.25">
      <c r="A117" s="38"/>
      <c r="B117" s="38"/>
      <c r="C117" s="38"/>
      <c r="D117" s="85" t="s">
        <v>170</v>
      </c>
      <c r="E117" s="256">
        <f>$B$40</f>
        <v>0.4</v>
      </c>
      <c r="F117" s="87">
        <f>E116*E117</f>
        <v>168.56799999999998</v>
      </c>
    </row>
    <row r="118" spans="1:6" ht="11.25" customHeight="1" x14ac:dyDescent="0.2">
      <c r="A118" s="38"/>
      <c r="B118" s="38"/>
      <c r="C118" s="38"/>
      <c r="D118" s="39"/>
      <c r="E118" s="39"/>
      <c r="F118" s="39"/>
    </row>
    <row r="119" spans="1:6" ht="13.9" customHeight="1" x14ac:dyDescent="0.2">
      <c r="A119" s="38" t="s">
        <v>174</v>
      </c>
      <c r="B119" s="38"/>
      <c r="C119" s="38"/>
      <c r="D119" s="39"/>
      <c r="E119" s="39"/>
      <c r="F119" s="39"/>
    </row>
    <row r="120" spans="1:6" ht="11.25" customHeight="1" thickBot="1" x14ac:dyDescent="0.25">
      <c r="A120" s="38"/>
      <c r="B120" s="38"/>
      <c r="C120" s="38"/>
      <c r="D120" s="39"/>
      <c r="E120" s="39"/>
      <c r="F120" s="39"/>
    </row>
    <row r="121" spans="1:6" ht="24.75" thickBot="1" x14ac:dyDescent="0.25">
      <c r="A121" s="67" t="s">
        <v>60</v>
      </c>
      <c r="B121" s="68" t="s">
        <v>61</v>
      </c>
      <c r="C121" s="106" t="s">
        <v>224</v>
      </c>
      <c r="D121" s="69" t="s">
        <v>208</v>
      </c>
      <c r="E121" s="69" t="s">
        <v>62</v>
      </c>
      <c r="F121" s="70" t="s">
        <v>259</v>
      </c>
    </row>
    <row r="122" spans="1:6" x14ac:dyDescent="0.2">
      <c r="A122" s="71" t="s">
        <v>63</v>
      </c>
      <c r="B122" s="72" t="s">
        <v>9</v>
      </c>
      <c r="C122" s="107">
        <v>4</v>
      </c>
      <c r="D122" s="74">
        <f>+D105</f>
        <v>67</v>
      </c>
      <c r="E122" s="74">
        <f>IFERROR(D122/C122,0)</f>
        <v>16.75</v>
      </c>
      <c r="F122" s="39"/>
    </row>
    <row r="123" spans="1:6" x14ac:dyDescent="0.2">
      <c r="A123" s="75" t="s">
        <v>28</v>
      </c>
      <c r="B123" s="76" t="s">
        <v>9</v>
      </c>
      <c r="C123" s="107">
        <v>4</v>
      </c>
      <c r="D123" s="36">
        <f>+D106</f>
        <v>39.9</v>
      </c>
      <c r="E123" s="74">
        <f t="shared" ref="E123:E127" si="3">IFERROR(D123/C123,0)</f>
        <v>9.9749999999999996</v>
      </c>
      <c r="F123" s="39"/>
    </row>
    <row r="124" spans="1:6" x14ac:dyDescent="0.2">
      <c r="A124" s="75" t="s">
        <v>29</v>
      </c>
      <c r="B124" s="76" t="s">
        <v>9</v>
      </c>
      <c r="C124" s="107">
        <v>3</v>
      </c>
      <c r="D124" s="36">
        <f>+D107</f>
        <v>35</v>
      </c>
      <c r="E124" s="74">
        <f t="shared" si="3"/>
        <v>11.666666666666666</v>
      </c>
      <c r="F124" s="39"/>
    </row>
    <row r="125" spans="1:6" x14ac:dyDescent="0.2">
      <c r="A125" s="75" t="s">
        <v>65</v>
      </c>
      <c r="B125" s="76" t="s">
        <v>45</v>
      </c>
      <c r="C125" s="107">
        <v>4</v>
      </c>
      <c r="D125" s="36">
        <f>+D109</f>
        <v>86.9</v>
      </c>
      <c r="E125" s="74">
        <f t="shared" si="3"/>
        <v>21.725000000000001</v>
      </c>
      <c r="F125" s="39"/>
    </row>
    <row r="126" spans="1:6" x14ac:dyDescent="0.2">
      <c r="A126" s="75" t="s">
        <v>64</v>
      </c>
      <c r="B126" s="76" t="s">
        <v>9</v>
      </c>
      <c r="C126" s="107">
        <v>6</v>
      </c>
      <c r="D126" s="36">
        <f>+D111</f>
        <v>130</v>
      </c>
      <c r="E126" s="74">
        <f t="shared" si="3"/>
        <v>21.666666666666668</v>
      </c>
      <c r="F126" s="39"/>
    </row>
    <row r="127" spans="1:6" x14ac:dyDescent="0.2">
      <c r="A127" s="75" t="s">
        <v>59</v>
      </c>
      <c r="B127" s="76" t="s">
        <v>46</v>
      </c>
      <c r="C127" s="107">
        <v>1</v>
      </c>
      <c r="D127" s="36">
        <f>+D115</f>
        <v>15.25</v>
      </c>
      <c r="E127" s="74">
        <f t="shared" si="3"/>
        <v>15.25</v>
      </c>
      <c r="F127" s="39"/>
    </row>
    <row r="128" spans="1:6" x14ac:dyDescent="0.2">
      <c r="A128" s="75" t="s">
        <v>173</v>
      </c>
      <c r="B128" s="76" t="s">
        <v>112</v>
      </c>
      <c r="C128" s="110">
        <v>1</v>
      </c>
      <c r="D128" s="73">
        <v>18</v>
      </c>
      <c r="E128" s="36">
        <f t="shared" ref="E128:E129" si="4">C128*D128</f>
        <v>18</v>
      </c>
      <c r="F128" s="39"/>
    </row>
    <row r="129" spans="1:9" ht="13.5" thickBot="1" x14ac:dyDescent="0.25">
      <c r="A129" s="75" t="s">
        <v>5</v>
      </c>
      <c r="B129" s="76" t="s">
        <v>6</v>
      </c>
      <c r="C129" s="111">
        <f>E32+E33</f>
        <v>2</v>
      </c>
      <c r="D129" s="36">
        <f>+SUM(E122:E128)</f>
        <v>115.03333333333333</v>
      </c>
      <c r="E129" s="36">
        <f t="shared" si="4"/>
        <v>230.06666666666666</v>
      </c>
      <c r="F129" s="39"/>
    </row>
    <row r="130" spans="1:9" ht="13.5" thickBot="1" x14ac:dyDescent="0.25">
      <c r="A130" s="38"/>
      <c r="B130" s="38"/>
      <c r="C130" s="38"/>
      <c r="D130" s="85" t="s">
        <v>170</v>
      </c>
      <c r="E130" s="256">
        <f>$B$40</f>
        <v>0.4</v>
      </c>
      <c r="F130" s="87">
        <f>E129*E130</f>
        <v>92.026666666666671</v>
      </c>
    </row>
    <row r="131" spans="1:9" ht="11.25" customHeight="1" thickBot="1" x14ac:dyDescent="0.25">
      <c r="A131" s="38"/>
      <c r="B131" s="38"/>
      <c r="C131" s="38"/>
      <c r="D131" s="39"/>
      <c r="E131" s="39"/>
      <c r="F131" s="39"/>
    </row>
    <row r="132" spans="1:9" ht="13.5" thickBot="1" x14ac:dyDescent="0.25">
      <c r="A132" s="103" t="s">
        <v>175</v>
      </c>
      <c r="B132" s="112"/>
      <c r="C132" s="112"/>
      <c r="D132" s="113"/>
      <c r="E132" s="114"/>
      <c r="F132" s="115">
        <f>+F117+F130</f>
        <v>260.59466666666663</v>
      </c>
    </row>
    <row r="133" spans="1:9" ht="11.25" customHeight="1" x14ac:dyDescent="0.2">
      <c r="A133" s="38"/>
      <c r="B133" s="38"/>
      <c r="C133" s="38"/>
      <c r="D133" s="39"/>
      <c r="E133" s="39"/>
      <c r="F133" s="39"/>
    </row>
    <row r="134" spans="1:9" x14ac:dyDescent="0.2">
      <c r="A134" s="37" t="s">
        <v>51</v>
      </c>
      <c r="B134" s="38"/>
      <c r="C134" s="38"/>
      <c r="D134" s="39"/>
      <c r="E134" s="39"/>
      <c r="F134" s="39"/>
    </row>
    <row r="135" spans="1:9" ht="11.25" customHeight="1" x14ac:dyDescent="0.2">
      <c r="A135" s="38"/>
      <c r="B135" s="116"/>
      <c r="C135" s="38"/>
      <c r="D135" s="39"/>
      <c r="E135" s="39"/>
      <c r="F135" s="39"/>
    </row>
    <row r="136" spans="1:9" x14ac:dyDescent="0.2">
      <c r="A136" s="38" t="s">
        <v>268</v>
      </c>
      <c r="B136" s="38"/>
      <c r="C136" s="38"/>
      <c r="D136" s="39"/>
      <c r="E136" s="39"/>
      <c r="F136" s="39"/>
    </row>
    <row r="137" spans="1:9" ht="11.25" customHeight="1" x14ac:dyDescent="0.2">
      <c r="A137" s="38"/>
      <c r="B137" s="38"/>
      <c r="C137" s="38"/>
      <c r="D137" s="39"/>
      <c r="E137" s="39"/>
      <c r="F137" s="39"/>
    </row>
    <row r="138" spans="1:9" ht="13.5" thickBot="1" x14ac:dyDescent="0.25">
      <c r="A138" s="116" t="s">
        <v>43</v>
      </c>
      <c r="B138" s="38"/>
      <c r="C138" s="38"/>
      <c r="D138" s="39"/>
      <c r="E138" s="39"/>
      <c r="F138" s="39"/>
    </row>
    <row r="139" spans="1:9" ht="13.5" thickBot="1" x14ac:dyDescent="0.25">
      <c r="A139" s="67" t="s">
        <v>60</v>
      </c>
      <c r="B139" s="68" t="s">
        <v>61</v>
      </c>
      <c r="C139" s="68" t="s">
        <v>39</v>
      </c>
      <c r="D139" s="69" t="s">
        <v>208</v>
      </c>
      <c r="E139" s="69" t="s">
        <v>62</v>
      </c>
      <c r="F139" s="70" t="s">
        <v>259</v>
      </c>
    </row>
    <row r="140" spans="1:9" x14ac:dyDescent="0.2">
      <c r="A140" s="71" t="s">
        <v>97</v>
      </c>
      <c r="B140" s="72" t="s">
        <v>9</v>
      </c>
      <c r="C140" s="117">
        <v>1</v>
      </c>
      <c r="D140" s="73">
        <v>490000</v>
      </c>
      <c r="E140" s="74">
        <f>C140*D140</f>
        <v>490000</v>
      </c>
      <c r="F140" s="39"/>
    </row>
    <row r="141" spans="1:9" x14ac:dyDescent="0.2">
      <c r="A141" s="75" t="s">
        <v>91</v>
      </c>
      <c r="B141" s="76" t="s">
        <v>92</v>
      </c>
      <c r="C141" s="84">
        <v>10</v>
      </c>
      <c r="D141" s="78"/>
      <c r="E141" s="36"/>
      <c r="F141" s="39"/>
    </row>
    <row r="142" spans="1:9" x14ac:dyDescent="0.2">
      <c r="A142" s="75" t="s">
        <v>185</v>
      </c>
      <c r="B142" s="76" t="s">
        <v>92</v>
      </c>
      <c r="C142" s="84">
        <v>8</v>
      </c>
      <c r="D142" s="36"/>
      <c r="E142" s="36"/>
      <c r="F142" s="118"/>
      <c r="H142" s="11"/>
      <c r="I142" s="11"/>
    </row>
    <row r="143" spans="1:9" x14ac:dyDescent="0.2">
      <c r="A143" s="75" t="s">
        <v>95</v>
      </c>
      <c r="B143" s="76" t="s">
        <v>2</v>
      </c>
      <c r="C143" s="83">
        <f>IFERROR(VLOOKUP(C142,'5. Depreciação'!C5:D19,2,FALSE),0)</f>
        <v>62.12</v>
      </c>
      <c r="D143" s="36">
        <f>E140</f>
        <v>490000</v>
      </c>
      <c r="E143" s="36">
        <f>C143*D143/100</f>
        <v>304388</v>
      </c>
      <c r="F143" s="39"/>
    </row>
    <row r="144" spans="1:9" ht="13.5" thickBot="1" x14ac:dyDescent="0.25">
      <c r="A144" s="119" t="s">
        <v>47</v>
      </c>
      <c r="B144" s="120" t="s">
        <v>7</v>
      </c>
      <c r="C144" s="120">
        <f>C141*12</f>
        <v>120</v>
      </c>
      <c r="D144" s="121">
        <f>IF(C142&lt;=C141,E143,0)</f>
        <v>304388</v>
      </c>
      <c r="E144" s="121">
        <f>IFERROR(D144/C144,0)</f>
        <v>2536.5666666666666</v>
      </c>
      <c r="F144" s="39"/>
    </row>
    <row r="145" spans="1:9" ht="13.5" thickTop="1" x14ac:dyDescent="0.2">
      <c r="A145" s="71" t="s">
        <v>96</v>
      </c>
      <c r="B145" s="72" t="s">
        <v>9</v>
      </c>
      <c r="C145" s="72">
        <f>C140</f>
        <v>1</v>
      </c>
      <c r="D145" s="73">
        <v>200000</v>
      </c>
      <c r="E145" s="74">
        <f>C145*D145</f>
        <v>200000</v>
      </c>
      <c r="F145" s="39"/>
    </row>
    <row r="146" spans="1:9" x14ac:dyDescent="0.2">
      <c r="A146" s="75" t="s">
        <v>93</v>
      </c>
      <c r="B146" s="76" t="s">
        <v>92</v>
      </c>
      <c r="C146" s="84">
        <v>10</v>
      </c>
      <c r="D146" s="36"/>
      <c r="E146" s="36"/>
      <c r="F146" s="39"/>
    </row>
    <row r="147" spans="1:9" x14ac:dyDescent="0.2">
      <c r="A147" s="75" t="s">
        <v>186</v>
      </c>
      <c r="B147" s="76" t="s">
        <v>92</v>
      </c>
      <c r="C147" s="84">
        <v>4</v>
      </c>
      <c r="D147" s="36"/>
      <c r="E147" s="36"/>
      <c r="F147" s="118"/>
      <c r="H147" s="11"/>
      <c r="I147" s="11"/>
    </row>
    <row r="148" spans="1:9" x14ac:dyDescent="0.2">
      <c r="A148" s="75" t="s">
        <v>94</v>
      </c>
      <c r="B148" s="76" t="s">
        <v>2</v>
      </c>
      <c r="C148" s="122">
        <f>IFERROR(VLOOKUP(C147,'5. Depreciação'!C5:D19,2,FALSE),0)</f>
        <v>52.62</v>
      </c>
      <c r="D148" s="36">
        <f>E145</f>
        <v>200000</v>
      </c>
      <c r="E148" s="36">
        <f>C148*D148/100</f>
        <v>105240</v>
      </c>
      <c r="F148" s="39"/>
    </row>
    <row r="149" spans="1:9" x14ac:dyDescent="0.2">
      <c r="A149" s="89" t="s">
        <v>98</v>
      </c>
      <c r="B149" s="123" t="s">
        <v>7</v>
      </c>
      <c r="C149" s="123">
        <f>C146*12</f>
        <v>120</v>
      </c>
      <c r="D149" s="90">
        <f>IF(C147&lt;=C146,E148,0)</f>
        <v>105240</v>
      </c>
      <c r="E149" s="90">
        <f>IFERROR(D149/C149,0)</f>
        <v>877</v>
      </c>
      <c r="F149" s="39"/>
    </row>
    <row r="150" spans="1:9" x14ac:dyDescent="0.2">
      <c r="A150" s="79" t="s">
        <v>227</v>
      </c>
      <c r="B150" s="80"/>
      <c r="C150" s="80"/>
      <c r="D150" s="81"/>
      <c r="E150" s="82">
        <f>E144+E149</f>
        <v>3413.5666666666666</v>
      </c>
      <c r="F150" s="39"/>
    </row>
    <row r="151" spans="1:9" ht="13.5" thickBot="1" x14ac:dyDescent="0.25">
      <c r="A151" s="89" t="s">
        <v>228</v>
      </c>
      <c r="B151" s="123" t="s">
        <v>9</v>
      </c>
      <c r="C151" s="84">
        <v>1</v>
      </c>
      <c r="D151" s="90">
        <f>E150</f>
        <v>3413.5666666666666</v>
      </c>
      <c r="E151" s="82">
        <f>C151*D151</f>
        <v>3413.5666666666666</v>
      </c>
      <c r="F151" s="39"/>
    </row>
    <row r="152" spans="1:9" ht="13.5" thickBot="1" x14ac:dyDescent="0.25">
      <c r="A152" s="124"/>
      <c r="B152" s="124"/>
      <c r="C152" s="124"/>
      <c r="D152" s="85" t="s">
        <v>170</v>
      </c>
      <c r="E152" s="256">
        <f>$B$40</f>
        <v>0.4</v>
      </c>
      <c r="F152" s="115">
        <f>E151*E152</f>
        <v>1365.4266666666667</v>
      </c>
    </row>
    <row r="153" spans="1:9" ht="11.25" customHeight="1" x14ac:dyDescent="0.2">
      <c r="A153" s="38"/>
      <c r="B153" s="38"/>
      <c r="C153" s="38"/>
      <c r="D153" s="39"/>
      <c r="E153" s="39"/>
      <c r="F153" s="39"/>
    </row>
    <row r="154" spans="1:9" ht="13.5" thickBot="1" x14ac:dyDescent="0.25">
      <c r="A154" s="116" t="s">
        <v>103</v>
      </c>
      <c r="B154" s="38"/>
      <c r="C154" s="38"/>
      <c r="D154" s="39"/>
      <c r="E154" s="39"/>
      <c r="F154" s="39"/>
    </row>
    <row r="155" spans="1:9" ht="13.5" thickBot="1" x14ac:dyDescent="0.25">
      <c r="A155" s="67" t="s">
        <v>60</v>
      </c>
      <c r="B155" s="68" t="s">
        <v>61</v>
      </c>
      <c r="C155" s="68" t="s">
        <v>39</v>
      </c>
      <c r="D155" s="69" t="s">
        <v>208</v>
      </c>
      <c r="E155" s="69" t="s">
        <v>62</v>
      </c>
      <c r="F155" s="70" t="s">
        <v>259</v>
      </c>
      <c r="H155" s="11"/>
      <c r="I155" s="11"/>
    </row>
    <row r="156" spans="1:9" x14ac:dyDescent="0.2">
      <c r="A156" s="71" t="s">
        <v>101</v>
      </c>
      <c r="B156" s="72" t="s">
        <v>9</v>
      </c>
      <c r="C156" s="117">
        <v>1</v>
      </c>
      <c r="D156" s="74">
        <f>D140</f>
        <v>490000</v>
      </c>
      <c r="E156" s="74">
        <f>C156*D156</f>
        <v>490000</v>
      </c>
      <c r="F156" s="118"/>
      <c r="H156" s="11"/>
      <c r="I156" s="11"/>
    </row>
    <row r="157" spans="1:9" x14ac:dyDescent="0.2">
      <c r="A157" s="75" t="s">
        <v>189</v>
      </c>
      <c r="B157" s="76" t="s">
        <v>2</v>
      </c>
      <c r="C157" s="84">
        <v>10</v>
      </c>
      <c r="D157" s="36"/>
      <c r="E157" s="36"/>
      <c r="F157" s="118"/>
      <c r="H157" s="11"/>
      <c r="I157" s="11"/>
    </row>
    <row r="158" spans="1:9" x14ac:dyDescent="0.2">
      <c r="A158" s="75" t="s">
        <v>187</v>
      </c>
      <c r="B158" s="76" t="s">
        <v>32</v>
      </c>
      <c r="C158" s="125">
        <f>IFERROR(IF(C142&lt;=C141,E140-(C143/(100*C141)*C142)*E140,E140-E143),0)</f>
        <v>246489.60000000003</v>
      </c>
      <c r="D158" s="36"/>
      <c r="E158" s="36"/>
      <c r="F158" s="118"/>
      <c r="H158" s="11"/>
      <c r="I158" s="11"/>
    </row>
    <row r="159" spans="1:9" x14ac:dyDescent="0.2">
      <c r="A159" s="75" t="s">
        <v>106</v>
      </c>
      <c r="B159" s="76" t="s">
        <v>32</v>
      </c>
      <c r="C159" s="78">
        <f>IFERROR(IF(C142&gt;=C141,C158,((((C158)-(E140-E143))*(((C141-C142)+1)/(2*(C141-C142))))+(E140-E143))),0)</f>
        <v>231270.2</v>
      </c>
      <c r="D159" s="36"/>
      <c r="E159" s="36"/>
      <c r="F159" s="118"/>
      <c r="H159" s="11"/>
      <c r="I159" s="11"/>
    </row>
    <row r="160" spans="1:9" ht="13.5" thickBot="1" x14ac:dyDescent="0.25">
      <c r="A160" s="119" t="s">
        <v>107</v>
      </c>
      <c r="B160" s="120" t="s">
        <v>32</v>
      </c>
      <c r="C160" s="120"/>
      <c r="D160" s="126">
        <f>C157*C159/12/100</f>
        <v>1927.2516666666666</v>
      </c>
      <c r="E160" s="121">
        <f>D160</f>
        <v>1927.2516666666666</v>
      </c>
      <c r="F160" s="118"/>
      <c r="H160" s="11"/>
      <c r="I160" s="11"/>
    </row>
    <row r="161" spans="1:9" ht="13.5" thickTop="1" x14ac:dyDescent="0.2">
      <c r="A161" s="71" t="s">
        <v>102</v>
      </c>
      <c r="B161" s="72" t="s">
        <v>9</v>
      </c>
      <c r="C161" s="72">
        <f>C145</f>
        <v>1</v>
      </c>
      <c r="D161" s="74">
        <f>D145</f>
        <v>200000</v>
      </c>
      <c r="E161" s="74">
        <f>C161*D161</f>
        <v>200000</v>
      </c>
      <c r="F161" s="118"/>
      <c r="H161" s="11"/>
      <c r="I161" s="11"/>
    </row>
    <row r="162" spans="1:9" x14ac:dyDescent="0.2">
      <c r="A162" s="75" t="s">
        <v>189</v>
      </c>
      <c r="B162" s="76" t="s">
        <v>2</v>
      </c>
      <c r="C162" s="127">
        <f>C157</f>
        <v>10</v>
      </c>
      <c r="D162" s="36"/>
      <c r="E162" s="36"/>
      <c r="F162" s="118"/>
      <c r="H162" s="11"/>
      <c r="I162" s="11"/>
    </row>
    <row r="163" spans="1:9" x14ac:dyDescent="0.2">
      <c r="A163" s="75" t="s">
        <v>188</v>
      </c>
      <c r="B163" s="76" t="s">
        <v>32</v>
      </c>
      <c r="C163" s="125">
        <f>IFERROR(IF(C147&lt;=C146,E145-(C148/(100*C146)*C147)*E145,E145-E148),0)</f>
        <v>157904</v>
      </c>
      <c r="D163" s="36"/>
      <c r="E163" s="36"/>
      <c r="F163" s="118"/>
      <c r="H163" s="11"/>
      <c r="I163" s="11"/>
    </row>
    <row r="164" spans="1:9" x14ac:dyDescent="0.2">
      <c r="A164" s="75" t="s">
        <v>108</v>
      </c>
      <c r="B164" s="76" t="s">
        <v>32</v>
      </c>
      <c r="C164" s="78">
        <f>IFERROR(IF(C147&gt;=C146,C163,((((C163)-(E145-E148))*(((C146-C147)+1)/(2*(C146-C147))))+(E145-E148))),0)</f>
        <v>131594</v>
      </c>
      <c r="D164" s="36"/>
      <c r="E164" s="36"/>
      <c r="F164" s="118"/>
      <c r="H164" s="11"/>
      <c r="I164" s="11"/>
    </row>
    <row r="165" spans="1:9" x14ac:dyDescent="0.2">
      <c r="A165" s="89" t="s">
        <v>105</v>
      </c>
      <c r="B165" s="123" t="s">
        <v>32</v>
      </c>
      <c r="C165" s="123"/>
      <c r="D165" s="128">
        <f>C162*C164/12/100</f>
        <v>1096.6166666666668</v>
      </c>
      <c r="E165" s="90">
        <f>D165</f>
        <v>1096.6166666666668</v>
      </c>
      <c r="F165" s="118"/>
      <c r="H165" s="11"/>
      <c r="I165" s="11"/>
    </row>
    <row r="166" spans="1:9" x14ac:dyDescent="0.2">
      <c r="A166" s="79" t="s">
        <v>227</v>
      </c>
      <c r="B166" s="80"/>
      <c r="C166" s="80"/>
      <c r="D166" s="81"/>
      <c r="E166" s="82">
        <f>E160+E165</f>
        <v>3023.8683333333333</v>
      </c>
      <c r="F166" s="118"/>
      <c r="H166" s="11"/>
      <c r="I166" s="11"/>
    </row>
    <row r="167" spans="1:9" ht="13.5" thickBot="1" x14ac:dyDescent="0.25">
      <c r="A167" s="89" t="s">
        <v>228</v>
      </c>
      <c r="B167" s="123" t="s">
        <v>9</v>
      </c>
      <c r="C167" s="127">
        <f>C151</f>
        <v>1</v>
      </c>
      <c r="D167" s="90">
        <f>E166</f>
        <v>3023.8683333333333</v>
      </c>
      <c r="E167" s="82">
        <f>C167*D167</f>
        <v>3023.8683333333333</v>
      </c>
      <c r="F167" s="118"/>
      <c r="H167" s="11"/>
      <c r="I167" s="11"/>
    </row>
    <row r="168" spans="1:9" ht="13.5" thickBot="1" x14ac:dyDescent="0.25">
      <c r="A168" s="38"/>
      <c r="B168" s="38"/>
      <c r="C168" s="129"/>
      <c r="D168" s="85" t="s">
        <v>170</v>
      </c>
      <c r="E168" s="256">
        <f>$B$40</f>
        <v>0.4</v>
      </c>
      <c r="F168" s="115">
        <f>E167*E168</f>
        <v>1209.5473333333334</v>
      </c>
      <c r="H168" s="11"/>
      <c r="I168" s="11"/>
    </row>
    <row r="169" spans="1:9" ht="11.25" customHeight="1" x14ac:dyDescent="0.2">
      <c r="A169" s="38"/>
      <c r="B169" s="38"/>
      <c r="C169" s="38"/>
      <c r="D169" s="39"/>
      <c r="E169" s="39"/>
      <c r="F169" s="39"/>
      <c r="H169" s="11"/>
      <c r="I169" s="11"/>
    </row>
    <row r="170" spans="1:9" ht="13.5" thickBot="1" x14ac:dyDescent="0.25">
      <c r="A170" s="38" t="s">
        <v>48</v>
      </c>
      <c r="B170" s="38"/>
      <c r="C170" s="38"/>
      <c r="D170" s="39"/>
      <c r="E170" s="39"/>
      <c r="F170" s="39"/>
      <c r="H170" s="11"/>
      <c r="I170" s="11"/>
    </row>
    <row r="171" spans="1:9" ht="13.5" thickBot="1" x14ac:dyDescent="0.25">
      <c r="A171" s="67" t="s">
        <v>60</v>
      </c>
      <c r="B171" s="68" t="s">
        <v>61</v>
      </c>
      <c r="C171" s="68" t="s">
        <v>39</v>
      </c>
      <c r="D171" s="69" t="s">
        <v>208</v>
      </c>
      <c r="E171" s="69" t="s">
        <v>62</v>
      </c>
      <c r="F171" s="70" t="s">
        <v>259</v>
      </c>
      <c r="H171" s="11"/>
      <c r="I171" s="11"/>
    </row>
    <row r="172" spans="1:9" x14ac:dyDescent="0.2">
      <c r="A172" s="71" t="s">
        <v>10</v>
      </c>
      <c r="B172" s="72" t="s">
        <v>9</v>
      </c>
      <c r="C172" s="74">
        <f>C151</f>
        <v>1</v>
      </c>
      <c r="D172" s="74">
        <f>0.01*($E$140)</f>
        <v>4900</v>
      </c>
      <c r="E172" s="74">
        <f>C172*D172</f>
        <v>4900</v>
      </c>
      <c r="F172" s="39"/>
      <c r="H172" s="11"/>
      <c r="I172" s="11"/>
    </row>
    <row r="173" spans="1:9" x14ac:dyDescent="0.2">
      <c r="A173" s="75" t="s">
        <v>169</v>
      </c>
      <c r="B173" s="76" t="s">
        <v>9</v>
      </c>
      <c r="C173" s="74">
        <f>C151</f>
        <v>1</v>
      </c>
      <c r="D173" s="130">
        <v>210</v>
      </c>
      <c r="E173" s="36">
        <f>C173*D173</f>
        <v>210</v>
      </c>
      <c r="F173" s="39"/>
      <c r="H173" s="11"/>
      <c r="I173" s="11"/>
    </row>
    <row r="174" spans="1:9" x14ac:dyDescent="0.2">
      <c r="A174" s="75" t="s">
        <v>11</v>
      </c>
      <c r="B174" s="76" t="s">
        <v>9</v>
      </c>
      <c r="C174" s="74">
        <f>C151</f>
        <v>1</v>
      </c>
      <c r="D174" s="130">
        <v>3850</v>
      </c>
      <c r="E174" s="36">
        <f>C174*D174</f>
        <v>3850</v>
      </c>
      <c r="F174" s="131"/>
      <c r="H174" s="11"/>
      <c r="I174" s="11"/>
    </row>
    <row r="175" spans="1:9" ht="13.5" thickBot="1" x14ac:dyDescent="0.25">
      <c r="A175" s="89" t="s">
        <v>12</v>
      </c>
      <c r="B175" s="123" t="s">
        <v>7</v>
      </c>
      <c r="C175" s="123">
        <v>12</v>
      </c>
      <c r="D175" s="90">
        <f>SUM(E172:E174)</f>
        <v>8960</v>
      </c>
      <c r="E175" s="90">
        <f>D175/C175</f>
        <v>746.66666666666663</v>
      </c>
      <c r="F175" s="39"/>
      <c r="H175" s="11"/>
      <c r="I175" s="11"/>
    </row>
    <row r="176" spans="1:9" ht="13.5" thickBot="1" x14ac:dyDescent="0.25">
      <c r="A176" s="38"/>
      <c r="B176" s="38"/>
      <c r="C176" s="38"/>
      <c r="D176" s="85" t="s">
        <v>170</v>
      </c>
      <c r="E176" s="256">
        <f>$B$40</f>
        <v>0.4</v>
      </c>
      <c r="F176" s="87">
        <f>E175*E176</f>
        <v>298.66666666666669</v>
      </c>
      <c r="H176" s="11"/>
      <c r="I176" s="11"/>
    </row>
    <row r="177" spans="1:9" ht="11.25" customHeight="1" x14ac:dyDescent="0.2">
      <c r="A177" s="38"/>
      <c r="B177" s="38"/>
      <c r="C177" s="38"/>
      <c r="D177" s="39"/>
      <c r="E177" s="39"/>
      <c r="F177" s="39"/>
      <c r="H177" s="11"/>
      <c r="I177" s="11"/>
    </row>
    <row r="178" spans="1:9" x14ac:dyDescent="0.2">
      <c r="A178" s="38" t="s">
        <v>49</v>
      </c>
      <c r="B178" s="132"/>
      <c r="C178" s="38"/>
      <c r="D178" s="39"/>
      <c r="E178" s="39"/>
      <c r="F178" s="39"/>
      <c r="H178" s="11"/>
      <c r="I178" s="11"/>
    </row>
    <row r="179" spans="1:9" x14ac:dyDescent="0.2">
      <c r="A179" s="38"/>
      <c r="B179" s="132"/>
      <c r="C179" s="38"/>
      <c r="D179" s="39"/>
      <c r="E179" s="39"/>
      <c r="F179" s="39"/>
      <c r="H179" s="11"/>
      <c r="I179" s="11"/>
    </row>
    <row r="180" spans="1:9" x14ac:dyDescent="0.2">
      <c r="A180" s="89" t="s">
        <v>306</v>
      </c>
      <c r="B180" s="133">
        <v>1250</v>
      </c>
      <c r="C180" s="38"/>
      <c r="D180" s="39"/>
      <c r="E180" s="39"/>
      <c r="F180" s="39"/>
      <c r="H180" s="11"/>
      <c r="I180" s="11"/>
    </row>
    <row r="181" spans="1:9" ht="13.5" thickBot="1" x14ac:dyDescent="0.25">
      <c r="A181" s="38"/>
      <c r="B181" s="132"/>
      <c r="C181" s="38"/>
      <c r="D181" s="39"/>
      <c r="E181" s="39"/>
      <c r="F181" s="39"/>
      <c r="H181" s="11"/>
      <c r="I181" s="11"/>
    </row>
    <row r="182" spans="1:9" ht="13.5" thickBot="1" x14ac:dyDescent="0.25">
      <c r="A182" s="67" t="s">
        <v>60</v>
      </c>
      <c r="B182" s="68" t="s">
        <v>61</v>
      </c>
      <c r="C182" s="68" t="s">
        <v>226</v>
      </c>
      <c r="D182" s="69" t="s">
        <v>208</v>
      </c>
      <c r="E182" s="69" t="s">
        <v>62</v>
      </c>
      <c r="F182" s="70" t="s">
        <v>259</v>
      </c>
      <c r="H182" s="11"/>
      <c r="I182" s="11"/>
    </row>
    <row r="183" spans="1:9" x14ac:dyDescent="0.2">
      <c r="A183" s="71" t="s">
        <v>13</v>
      </c>
      <c r="B183" s="72" t="s">
        <v>14</v>
      </c>
      <c r="C183" s="134">
        <v>1.8</v>
      </c>
      <c r="D183" s="135">
        <v>6.48</v>
      </c>
      <c r="E183" s="74"/>
      <c r="F183" s="39"/>
      <c r="H183" s="11"/>
      <c r="I183" s="11"/>
    </row>
    <row r="184" spans="1:9" x14ac:dyDescent="0.2">
      <c r="A184" s="75" t="s">
        <v>15</v>
      </c>
      <c r="B184" s="76" t="s">
        <v>16</v>
      </c>
      <c r="C184" s="95">
        <f>B180</f>
        <v>1250</v>
      </c>
      <c r="D184" s="136">
        <f>IFERROR(+D183/C183,"-")</f>
        <v>3.6</v>
      </c>
      <c r="E184" s="36">
        <f>IFERROR(C184*D184,"-")</f>
        <v>4500</v>
      </c>
      <c r="F184" s="39"/>
      <c r="H184" s="11"/>
      <c r="I184" s="11"/>
    </row>
    <row r="185" spans="1:9" x14ac:dyDescent="0.2">
      <c r="A185" s="75" t="s">
        <v>209</v>
      </c>
      <c r="B185" s="76" t="s">
        <v>17</v>
      </c>
      <c r="C185" s="137">
        <v>4</v>
      </c>
      <c r="D185" s="130">
        <v>11.5</v>
      </c>
      <c r="E185" s="36"/>
      <c r="F185" s="39"/>
      <c r="G185" s="10"/>
      <c r="H185" s="11"/>
      <c r="I185" s="11"/>
    </row>
    <row r="186" spans="1:9" x14ac:dyDescent="0.2">
      <c r="A186" s="75" t="s">
        <v>18</v>
      </c>
      <c r="B186" s="76" t="s">
        <v>16</v>
      </c>
      <c r="C186" s="95">
        <f>C184</f>
        <v>1250</v>
      </c>
      <c r="D186" s="138">
        <f>+C185*D185/1000</f>
        <v>4.5999999999999999E-2</v>
      </c>
      <c r="E186" s="36">
        <f>C186*D186</f>
        <v>57.5</v>
      </c>
      <c r="F186" s="39"/>
      <c r="G186" s="10"/>
      <c r="H186" s="11"/>
      <c r="I186" s="11"/>
    </row>
    <row r="187" spans="1:9" x14ac:dyDescent="0.2">
      <c r="A187" s="75" t="s">
        <v>210</v>
      </c>
      <c r="B187" s="76" t="s">
        <v>17</v>
      </c>
      <c r="C187" s="137">
        <v>0.5</v>
      </c>
      <c r="D187" s="130">
        <v>23.5</v>
      </c>
      <c r="E187" s="36"/>
      <c r="F187" s="39"/>
      <c r="G187" s="10"/>
      <c r="H187" s="11"/>
      <c r="I187" s="11"/>
    </row>
    <row r="188" spans="1:9" x14ac:dyDescent="0.2">
      <c r="A188" s="75" t="s">
        <v>19</v>
      </c>
      <c r="B188" s="76" t="s">
        <v>16</v>
      </c>
      <c r="C188" s="95">
        <f>C184</f>
        <v>1250</v>
      </c>
      <c r="D188" s="138">
        <f>+C187*D187/1000</f>
        <v>1.175E-2</v>
      </c>
      <c r="E188" s="36">
        <f>C188*D188</f>
        <v>14.6875</v>
      </c>
      <c r="F188" s="39"/>
      <c r="G188" s="10"/>
      <c r="H188" s="11"/>
      <c r="I188" s="11"/>
    </row>
    <row r="189" spans="1:9" x14ac:dyDescent="0.2">
      <c r="A189" s="75" t="s">
        <v>211</v>
      </c>
      <c r="B189" s="76" t="s">
        <v>17</v>
      </c>
      <c r="C189" s="137">
        <v>0.8</v>
      </c>
      <c r="D189" s="130">
        <v>7.5</v>
      </c>
      <c r="E189" s="36"/>
      <c r="F189" s="39"/>
      <c r="G189" s="10"/>
      <c r="H189" s="11"/>
      <c r="I189" s="11"/>
    </row>
    <row r="190" spans="1:9" x14ac:dyDescent="0.2">
      <c r="A190" s="75" t="s">
        <v>20</v>
      </c>
      <c r="B190" s="76" t="s">
        <v>16</v>
      </c>
      <c r="C190" s="95">
        <f>C184</f>
        <v>1250</v>
      </c>
      <c r="D190" s="138">
        <f>+C189*D189/1000</f>
        <v>6.0000000000000001E-3</v>
      </c>
      <c r="E190" s="36">
        <f>C190*D190</f>
        <v>7.5</v>
      </c>
      <c r="F190" s="39"/>
      <c r="G190" s="10"/>
      <c r="H190" s="11"/>
      <c r="I190" s="11"/>
    </row>
    <row r="191" spans="1:9" x14ac:dyDescent="0.2">
      <c r="A191" s="75" t="s">
        <v>21</v>
      </c>
      <c r="B191" s="76" t="s">
        <v>22</v>
      </c>
      <c r="C191" s="137">
        <v>2.5</v>
      </c>
      <c r="D191" s="130">
        <v>19</v>
      </c>
      <c r="E191" s="36"/>
      <c r="F191" s="39"/>
      <c r="G191" s="10"/>
      <c r="H191" s="11"/>
      <c r="I191" s="11"/>
    </row>
    <row r="192" spans="1:9" x14ac:dyDescent="0.2">
      <c r="A192" s="75" t="s">
        <v>23</v>
      </c>
      <c r="B192" s="76" t="s">
        <v>16</v>
      </c>
      <c r="C192" s="95">
        <f>C184</f>
        <v>1250</v>
      </c>
      <c r="D192" s="138">
        <f>+C191*D191/1000</f>
        <v>4.7500000000000001E-2</v>
      </c>
      <c r="E192" s="36">
        <f>C192*D192</f>
        <v>59.375</v>
      </c>
      <c r="F192" s="39"/>
      <c r="G192" s="10"/>
      <c r="H192" s="11"/>
      <c r="I192" s="11"/>
    </row>
    <row r="193" spans="1:9" ht="13.5" thickBot="1" x14ac:dyDescent="0.25">
      <c r="A193" s="89" t="s">
        <v>225</v>
      </c>
      <c r="B193" s="123" t="s">
        <v>110</v>
      </c>
      <c r="C193" s="139"/>
      <c r="D193" s="140">
        <f>IFERROR(D184+D186+D188+D190+D192,0)</f>
        <v>3.7112499999999997</v>
      </c>
      <c r="E193" s="36"/>
      <c r="F193" s="39"/>
      <c r="G193" s="10"/>
      <c r="H193" s="11"/>
      <c r="I193" s="11"/>
    </row>
    <row r="194" spans="1:9" ht="13.5" thickBot="1" x14ac:dyDescent="0.25">
      <c r="A194" s="38"/>
      <c r="B194" s="38"/>
      <c r="C194" s="38"/>
      <c r="D194" s="39"/>
      <c r="E194" s="39"/>
      <c r="F194" s="115">
        <f>SUM(E183:E192)</f>
        <v>4639.0625</v>
      </c>
      <c r="H194" s="11"/>
      <c r="I194" s="11"/>
    </row>
    <row r="195" spans="1:9" ht="11.25" customHeight="1" x14ac:dyDescent="0.2">
      <c r="A195" s="38"/>
      <c r="B195" s="38"/>
      <c r="C195" s="38"/>
      <c r="D195" s="39"/>
      <c r="E195" s="39"/>
      <c r="F195" s="39"/>
      <c r="H195" s="11"/>
      <c r="I195" s="11"/>
    </row>
    <row r="196" spans="1:9" ht="13.5" thickBot="1" x14ac:dyDescent="0.25">
      <c r="A196" s="38" t="s">
        <v>50</v>
      </c>
      <c r="B196" s="38"/>
      <c r="C196" s="38"/>
      <c r="D196" s="39"/>
      <c r="E196" s="39"/>
      <c r="F196" s="39"/>
      <c r="H196" s="11"/>
      <c r="I196" s="11"/>
    </row>
    <row r="197" spans="1:9" ht="13.5" thickBot="1" x14ac:dyDescent="0.25">
      <c r="A197" s="67" t="s">
        <v>60</v>
      </c>
      <c r="B197" s="68" t="s">
        <v>61</v>
      </c>
      <c r="C197" s="68" t="s">
        <v>39</v>
      </c>
      <c r="D197" s="69" t="s">
        <v>208</v>
      </c>
      <c r="E197" s="69" t="s">
        <v>62</v>
      </c>
      <c r="F197" s="70" t="s">
        <v>259</v>
      </c>
      <c r="H197" s="11"/>
      <c r="I197" s="11"/>
    </row>
    <row r="198" spans="1:9" ht="13.5" thickBot="1" x14ac:dyDescent="0.25">
      <c r="A198" s="71" t="s">
        <v>109</v>
      </c>
      <c r="B198" s="72" t="s">
        <v>110</v>
      </c>
      <c r="C198" s="95">
        <f>C184</f>
        <v>1250</v>
      </c>
      <c r="D198" s="73">
        <v>1</v>
      </c>
      <c r="E198" s="74">
        <f>C198*D198</f>
        <v>1250</v>
      </c>
      <c r="F198" s="39"/>
      <c r="H198" s="11"/>
      <c r="I198" s="11"/>
    </row>
    <row r="199" spans="1:9" ht="13.5" thickBot="1" x14ac:dyDescent="0.25">
      <c r="A199" s="257"/>
      <c r="B199" s="38"/>
      <c r="C199" s="38"/>
      <c r="D199" s="39"/>
      <c r="E199" s="39"/>
      <c r="F199" s="115">
        <f>E198</f>
        <v>1250</v>
      </c>
      <c r="H199" s="11"/>
      <c r="I199" s="11"/>
    </row>
    <row r="200" spans="1:9" ht="11.25" customHeight="1" x14ac:dyDescent="0.2">
      <c r="A200" s="38"/>
      <c r="B200" s="38"/>
      <c r="C200" s="38"/>
      <c r="D200" s="39"/>
      <c r="E200" s="39"/>
      <c r="F200" s="39"/>
      <c r="H200" s="11"/>
      <c r="I200" s="11"/>
    </row>
    <row r="201" spans="1:9" ht="13.5" thickBot="1" x14ac:dyDescent="0.25">
      <c r="A201" s="38" t="s">
        <v>58</v>
      </c>
      <c r="B201" s="38"/>
      <c r="C201" s="38"/>
      <c r="D201" s="39"/>
      <c r="E201" s="39"/>
      <c r="F201" s="39"/>
      <c r="H201" s="11"/>
      <c r="I201" s="11"/>
    </row>
    <row r="202" spans="1:9" ht="13.5" thickBot="1" x14ac:dyDescent="0.25">
      <c r="A202" s="67" t="s">
        <v>60</v>
      </c>
      <c r="B202" s="68" t="s">
        <v>61</v>
      </c>
      <c r="C202" s="68" t="s">
        <v>39</v>
      </c>
      <c r="D202" s="69" t="s">
        <v>208</v>
      </c>
      <c r="E202" s="69" t="s">
        <v>62</v>
      </c>
      <c r="F202" s="70" t="s">
        <v>259</v>
      </c>
      <c r="H202" s="11"/>
      <c r="I202" s="11"/>
    </row>
    <row r="203" spans="1:9" x14ac:dyDescent="0.2">
      <c r="A203" s="71" t="s">
        <v>284</v>
      </c>
      <c r="B203" s="72" t="s">
        <v>9</v>
      </c>
      <c r="C203" s="141">
        <v>6</v>
      </c>
      <c r="D203" s="73">
        <v>2850</v>
      </c>
      <c r="E203" s="74">
        <f>C203*D203</f>
        <v>17100</v>
      </c>
      <c r="F203" s="39"/>
      <c r="H203" s="11"/>
      <c r="I203" s="11"/>
    </row>
    <row r="204" spans="1:9" x14ac:dyDescent="0.2">
      <c r="A204" s="71" t="s">
        <v>111</v>
      </c>
      <c r="B204" s="72" t="s">
        <v>9</v>
      </c>
      <c r="C204" s="141">
        <v>1</v>
      </c>
      <c r="D204" s="142"/>
      <c r="E204" s="74"/>
      <c r="F204" s="39"/>
      <c r="H204" s="11"/>
      <c r="I204" s="11"/>
    </row>
    <row r="205" spans="1:9" x14ac:dyDescent="0.2">
      <c r="A205" s="71" t="s">
        <v>66</v>
      </c>
      <c r="B205" s="72" t="s">
        <v>9</v>
      </c>
      <c r="C205" s="74">
        <f>C203*C204</f>
        <v>6</v>
      </c>
      <c r="D205" s="73">
        <v>750</v>
      </c>
      <c r="E205" s="74">
        <f>C205*D205</f>
        <v>4500</v>
      </c>
      <c r="F205" s="39"/>
      <c r="H205" s="11"/>
      <c r="I205" s="11"/>
    </row>
    <row r="206" spans="1:9" x14ac:dyDescent="0.2">
      <c r="A206" s="75" t="s">
        <v>260</v>
      </c>
      <c r="B206" s="76" t="s">
        <v>24</v>
      </c>
      <c r="C206" s="143">
        <v>50000</v>
      </c>
      <c r="D206" s="36">
        <f>E203+E205</f>
        <v>21600</v>
      </c>
      <c r="E206" s="36">
        <f>IFERROR(D206/C206,"-")</f>
        <v>0.432</v>
      </c>
      <c r="F206" s="39"/>
      <c r="H206" s="11"/>
      <c r="I206" s="11"/>
    </row>
    <row r="207" spans="1:9" ht="13.5" thickBot="1" x14ac:dyDescent="0.25">
      <c r="A207" s="75" t="s">
        <v>52</v>
      </c>
      <c r="B207" s="76" t="s">
        <v>16</v>
      </c>
      <c r="C207" s="95">
        <f>B180</f>
        <v>1250</v>
      </c>
      <c r="D207" s="36">
        <f>E206</f>
        <v>0.432</v>
      </c>
      <c r="E207" s="36">
        <f>IFERROR(C207*D207,0)</f>
        <v>540</v>
      </c>
      <c r="F207" s="39"/>
      <c r="H207" s="11"/>
      <c r="I207" s="11"/>
    </row>
    <row r="208" spans="1:9" ht="13.5" thickBot="1" x14ac:dyDescent="0.25">
      <c r="A208" s="38"/>
      <c r="B208" s="38"/>
      <c r="C208" s="38"/>
      <c r="D208" s="39"/>
      <c r="E208" s="39"/>
      <c r="F208" s="115">
        <f>E207</f>
        <v>540</v>
      </c>
      <c r="H208" s="11"/>
      <c r="I208" s="11"/>
    </row>
    <row r="209" spans="1:9" ht="11.25" customHeight="1" x14ac:dyDescent="0.2">
      <c r="A209" s="38"/>
      <c r="B209" s="38"/>
      <c r="C209" s="38"/>
      <c r="D209" s="39"/>
      <c r="E209" s="39"/>
      <c r="F209" s="39"/>
      <c r="H209" s="11"/>
      <c r="I209" s="11"/>
    </row>
    <row r="210" spans="1:9" ht="11.25" customHeight="1" thickBot="1" x14ac:dyDescent="0.25">
      <c r="A210" s="38"/>
      <c r="B210" s="38"/>
      <c r="C210" s="38"/>
      <c r="D210" s="39"/>
      <c r="E210" s="39"/>
      <c r="F210" s="39"/>
    </row>
    <row r="211" spans="1:9" ht="13.5" thickBot="1" x14ac:dyDescent="0.25">
      <c r="A211" s="103" t="s">
        <v>199</v>
      </c>
      <c r="B211" s="104"/>
      <c r="C211" s="104"/>
      <c r="D211" s="51"/>
      <c r="E211" s="105"/>
      <c r="F211" s="115">
        <f>+SUM(F140:F210)</f>
        <v>9302.7031666666662</v>
      </c>
    </row>
    <row r="212" spans="1:9" ht="11.25" customHeight="1" x14ac:dyDescent="0.2">
      <c r="A212" s="38"/>
      <c r="B212" s="38"/>
      <c r="C212" s="38"/>
      <c r="D212" s="39"/>
      <c r="E212" s="39"/>
      <c r="F212" s="39"/>
    </row>
    <row r="213" spans="1:9" x14ac:dyDescent="0.2">
      <c r="A213" s="65" t="s">
        <v>307</v>
      </c>
      <c r="B213" s="65"/>
      <c r="C213" s="65"/>
      <c r="D213" s="64"/>
      <c r="E213" s="64"/>
      <c r="F213" s="144"/>
    </row>
    <row r="214" spans="1:9" ht="11.25" customHeight="1" thickBot="1" x14ac:dyDescent="0.25">
      <c r="A214" s="38"/>
      <c r="B214" s="38"/>
      <c r="C214" s="38"/>
      <c r="D214" s="39"/>
      <c r="E214" s="39"/>
      <c r="F214" s="39"/>
    </row>
    <row r="215" spans="1:9" ht="13.5" thickBot="1" x14ac:dyDescent="0.25">
      <c r="A215" s="67" t="s">
        <v>60</v>
      </c>
      <c r="B215" s="68" t="s">
        <v>61</v>
      </c>
      <c r="C215" s="68" t="s">
        <v>39</v>
      </c>
      <c r="D215" s="69" t="s">
        <v>208</v>
      </c>
      <c r="E215" s="69" t="s">
        <v>62</v>
      </c>
      <c r="F215" s="70" t="s">
        <v>259</v>
      </c>
    </row>
    <row r="216" spans="1:9" x14ac:dyDescent="0.2">
      <c r="A216" s="75" t="s">
        <v>67</v>
      </c>
      <c r="B216" s="76" t="s">
        <v>9</v>
      </c>
      <c r="C216" s="107">
        <v>0.16666666666666666</v>
      </c>
      <c r="D216" s="73">
        <v>32.1</v>
      </c>
      <c r="E216" s="36">
        <f>C216*D216</f>
        <v>5.35</v>
      </c>
      <c r="F216" s="145"/>
    </row>
    <row r="217" spans="1:9" x14ac:dyDescent="0.2">
      <c r="A217" s="75" t="s">
        <v>26</v>
      </c>
      <c r="B217" s="76" t="s">
        <v>9</v>
      </c>
      <c r="C217" s="107">
        <v>0.16666666666666666</v>
      </c>
      <c r="D217" s="73">
        <v>32.64</v>
      </c>
      <c r="E217" s="36">
        <f>C217*D217</f>
        <v>5.4399999999999995</v>
      </c>
      <c r="F217" s="145"/>
    </row>
    <row r="218" spans="1:9" x14ac:dyDescent="0.2">
      <c r="A218" s="75" t="s">
        <v>27</v>
      </c>
      <c r="B218" s="76" t="s">
        <v>9</v>
      </c>
      <c r="C218" s="107">
        <v>0.16666666666666666</v>
      </c>
      <c r="D218" s="73">
        <v>42.1</v>
      </c>
      <c r="E218" s="36">
        <f>C218*D218</f>
        <v>7.0166666666666666</v>
      </c>
      <c r="F218" s="145"/>
    </row>
    <row r="219" spans="1:9" x14ac:dyDescent="0.2">
      <c r="A219" s="75" t="s">
        <v>54</v>
      </c>
      <c r="B219" s="76" t="s">
        <v>55</v>
      </c>
      <c r="C219" s="107">
        <v>8.3333333333333329E-2</v>
      </c>
      <c r="D219" s="73">
        <v>500</v>
      </c>
      <c r="E219" s="36">
        <f>C219*D219</f>
        <v>41.666666666666664</v>
      </c>
      <c r="F219" s="145"/>
    </row>
    <row r="220" spans="1:9" ht="13.5" thickBot="1" x14ac:dyDescent="0.25">
      <c r="A220" s="75" t="s">
        <v>308</v>
      </c>
      <c r="B220" s="76" t="s">
        <v>309</v>
      </c>
      <c r="C220" s="107">
        <v>35</v>
      </c>
      <c r="D220" s="73">
        <v>175</v>
      </c>
      <c r="E220" s="36">
        <f>C220*D220</f>
        <v>6125</v>
      </c>
      <c r="F220" s="145"/>
    </row>
    <row r="221" spans="1:9" ht="13.5" thickBot="1" x14ac:dyDescent="0.25">
      <c r="A221" s="65"/>
      <c r="B221" s="65"/>
      <c r="C221" s="65"/>
      <c r="D221" s="65"/>
      <c r="E221" s="64"/>
      <c r="F221" s="115">
        <f>SUM(E216:E220)</f>
        <v>6184.4733333333334</v>
      </c>
    </row>
    <row r="222" spans="1:9" ht="11.25" customHeight="1" thickBot="1" x14ac:dyDescent="0.25">
      <c r="A222" s="38"/>
      <c r="B222" s="38"/>
      <c r="C222" s="38"/>
      <c r="D222" s="39"/>
      <c r="E222" s="39"/>
      <c r="F222" s="39"/>
    </row>
    <row r="223" spans="1:9" ht="13.5" thickBot="1" x14ac:dyDescent="0.25">
      <c r="A223" s="103" t="s">
        <v>200</v>
      </c>
      <c r="B223" s="104"/>
      <c r="C223" s="104"/>
      <c r="D223" s="51"/>
      <c r="E223" s="105"/>
      <c r="F223" s="115">
        <f>+F221</f>
        <v>6184.4733333333334</v>
      </c>
    </row>
    <row r="224" spans="1:9" ht="11.25" customHeight="1" x14ac:dyDescent="0.2">
      <c r="A224" s="38"/>
      <c r="B224" s="38"/>
      <c r="C224" s="38"/>
      <c r="D224" s="39"/>
      <c r="E224" s="39"/>
      <c r="F224" s="39"/>
    </row>
    <row r="225" spans="1:6" x14ac:dyDescent="0.2">
      <c r="A225" s="65" t="s">
        <v>70</v>
      </c>
      <c r="B225" s="65"/>
      <c r="C225" s="65"/>
      <c r="D225" s="64"/>
      <c r="E225" s="64"/>
      <c r="F225" s="144"/>
    </row>
    <row r="226" spans="1:6" ht="11.25" customHeight="1" thickBot="1" x14ac:dyDescent="0.25">
      <c r="A226" s="38"/>
      <c r="B226" s="38"/>
      <c r="C226" s="38"/>
      <c r="D226" s="39"/>
      <c r="E226" s="39"/>
      <c r="F226" s="39"/>
    </row>
    <row r="227" spans="1:6" ht="13.5" thickBot="1" x14ac:dyDescent="0.25">
      <c r="A227" s="67" t="s">
        <v>60</v>
      </c>
      <c r="B227" s="68" t="s">
        <v>61</v>
      </c>
      <c r="C227" s="68" t="s">
        <v>39</v>
      </c>
      <c r="D227" s="69" t="s">
        <v>208</v>
      </c>
      <c r="E227" s="69" t="s">
        <v>62</v>
      </c>
      <c r="F227" s="70" t="s">
        <v>259</v>
      </c>
    </row>
    <row r="228" spans="1:6" x14ac:dyDescent="0.2">
      <c r="A228" s="75" t="s">
        <v>197</v>
      </c>
      <c r="B228" s="76" t="s">
        <v>55</v>
      </c>
      <c r="C228" s="111">
        <f>C140</f>
        <v>1</v>
      </c>
      <c r="D228" s="130">
        <v>320</v>
      </c>
      <c r="E228" s="36">
        <f>+D228*C228</f>
        <v>320</v>
      </c>
      <c r="F228" s="145"/>
    </row>
    <row r="229" spans="1:6" x14ac:dyDescent="0.2">
      <c r="A229" s="75" t="s">
        <v>57</v>
      </c>
      <c r="B229" s="76" t="s">
        <v>7</v>
      </c>
      <c r="C229" s="146">
        <v>60</v>
      </c>
      <c r="D229" s="36">
        <f>SUM(E228:E228)</f>
        <v>320</v>
      </c>
      <c r="E229" s="36">
        <f>+D229/C229</f>
        <v>5.333333333333333</v>
      </c>
      <c r="F229" s="145"/>
    </row>
    <row r="230" spans="1:6" x14ac:dyDescent="0.2">
      <c r="A230" s="75" t="s">
        <v>198</v>
      </c>
      <c r="B230" s="76" t="s">
        <v>9</v>
      </c>
      <c r="C230" s="111">
        <f>+C228</f>
        <v>1</v>
      </c>
      <c r="D230" s="130">
        <v>85</v>
      </c>
      <c r="E230" s="36">
        <f>C230*D230</f>
        <v>85</v>
      </c>
      <c r="F230" s="145"/>
    </row>
    <row r="231" spans="1:6" ht="13.5" thickBot="1" x14ac:dyDescent="0.25">
      <c r="A231" s="75" t="s">
        <v>36</v>
      </c>
      <c r="B231" s="76" t="s">
        <v>7</v>
      </c>
      <c r="C231" s="146">
        <v>1</v>
      </c>
      <c r="D231" s="36">
        <f>+E230</f>
        <v>85</v>
      </c>
      <c r="E231" s="36">
        <f>+D231/C231</f>
        <v>85</v>
      </c>
      <c r="F231" s="145"/>
    </row>
    <row r="232" spans="1:6" ht="13.5" thickBot="1" x14ac:dyDescent="0.25">
      <c r="A232" s="42"/>
      <c r="B232" s="42"/>
      <c r="C232" s="42"/>
      <c r="D232" s="85" t="s">
        <v>170</v>
      </c>
      <c r="E232" s="256">
        <f>$B$40</f>
        <v>0.4</v>
      </c>
      <c r="F232" s="147">
        <f>(E229+E231)*E232</f>
        <v>36.133333333333333</v>
      </c>
    </row>
    <row r="233" spans="1:6" s="9" customFormat="1" ht="11.25" customHeight="1" thickBot="1" x14ac:dyDescent="0.25">
      <c r="A233" s="38"/>
      <c r="B233" s="38"/>
      <c r="C233" s="38"/>
      <c r="D233" s="39"/>
      <c r="E233" s="39"/>
      <c r="F233" s="39"/>
    </row>
    <row r="234" spans="1:6" ht="13.5" thickBot="1" x14ac:dyDescent="0.25">
      <c r="A234" s="103" t="s">
        <v>196</v>
      </c>
      <c r="B234" s="104"/>
      <c r="C234" s="104"/>
      <c r="D234" s="51"/>
      <c r="E234" s="105"/>
      <c r="F234" s="115">
        <f>+F232</f>
        <v>36.133333333333333</v>
      </c>
    </row>
    <row r="235" spans="1:6" ht="11.25" customHeight="1" thickBot="1" x14ac:dyDescent="0.25">
      <c r="A235" s="38"/>
      <c r="B235" s="38"/>
      <c r="C235" s="38"/>
      <c r="D235" s="39"/>
      <c r="E235" s="39"/>
      <c r="F235" s="39"/>
    </row>
    <row r="236" spans="1:6" ht="17.25" customHeight="1" thickBot="1" x14ac:dyDescent="0.25">
      <c r="A236" s="103" t="s">
        <v>201</v>
      </c>
      <c r="B236" s="112"/>
      <c r="C236" s="112"/>
      <c r="D236" s="113"/>
      <c r="E236" s="114"/>
      <c r="F236" s="99">
        <f>+F98+F132+F211+F223+F234</f>
        <v>23772.409799565441</v>
      </c>
    </row>
    <row r="237" spans="1:6" ht="11.25" customHeight="1" x14ac:dyDescent="0.2">
      <c r="A237" s="38"/>
      <c r="B237" s="38"/>
      <c r="C237" s="38"/>
      <c r="D237" s="39"/>
      <c r="E237" s="39"/>
      <c r="F237" s="39"/>
    </row>
    <row r="238" spans="1:6" x14ac:dyDescent="0.2">
      <c r="A238" s="37" t="s">
        <v>83</v>
      </c>
      <c r="B238" s="38"/>
      <c r="C238" s="38"/>
      <c r="D238" s="39"/>
      <c r="E238" s="39"/>
      <c r="F238" s="39"/>
    </row>
    <row r="239" spans="1:6" ht="11.25" customHeight="1" thickBot="1" x14ac:dyDescent="0.25">
      <c r="A239" s="38"/>
      <c r="B239" s="38"/>
      <c r="C239" s="38"/>
      <c r="D239" s="39"/>
      <c r="E239" s="39"/>
      <c r="F239" s="39"/>
    </row>
    <row r="240" spans="1:6" ht="13.5" thickBot="1" x14ac:dyDescent="0.25">
      <c r="A240" s="67" t="s">
        <v>60</v>
      </c>
      <c r="B240" s="68" t="s">
        <v>61</v>
      </c>
      <c r="C240" s="68" t="s">
        <v>39</v>
      </c>
      <c r="D240" s="69" t="s">
        <v>208</v>
      </c>
      <c r="E240" s="69" t="s">
        <v>62</v>
      </c>
      <c r="F240" s="70" t="s">
        <v>259</v>
      </c>
    </row>
    <row r="241" spans="1:6" ht="13.5" thickBot="1" x14ac:dyDescent="0.25">
      <c r="A241" s="71" t="s">
        <v>35</v>
      </c>
      <c r="B241" s="72" t="s">
        <v>2</v>
      </c>
      <c r="C241" s="83">
        <f>'4.BDI'!C20*100</f>
        <v>25.85</v>
      </c>
      <c r="D241" s="74">
        <f>+F236</f>
        <v>23772.409799565441</v>
      </c>
      <c r="E241" s="74">
        <f>C241*D241/100</f>
        <v>6145.1679331876667</v>
      </c>
      <c r="F241" s="39"/>
    </row>
    <row r="242" spans="1:6" ht="13.5" thickBot="1" x14ac:dyDescent="0.25">
      <c r="A242" s="38"/>
      <c r="B242" s="38"/>
      <c r="C242" s="38"/>
      <c r="D242" s="39"/>
      <c r="E242" s="39"/>
      <c r="F242" s="115">
        <f>+E241</f>
        <v>6145.1679331876667</v>
      </c>
    </row>
    <row r="243" spans="1:6" ht="11.25" customHeight="1" thickBot="1" x14ac:dyDescent="0.25">
      <c r="A243" s="38"/>
      <c r="B243" s="38"/>
      <c r="C243" s="38"/>
      <c r="D243" s="39"/>
      <c r="E243" s="39"/>
      <c r="F243" s="39"/>
    </row>
    <row r="244" spans="1:6" ht="13.5" thickBot="1" x14ac:dyDescent="0.25">
      <c r="A244" s="103" t="s">
        <v>213</v>
      </c>
      <c r="B244" s="112"/>
      <c r="C244" s="112"/>
      <c r="D244" s="113"/>
      <c r="E244" s="114"/>
      <c r="F244" s="99">
        <f>F242</f>
        <v>6145.1679331876667</v>
      </c>
    </row>
    <row r="245" spans="1:6" x14ac:dyDescent="0.2">
      <c r="A245" s="65"/>
      <c r="B245" s="65"/>
      <c r="C245" s="65"/>
      <c r="D245" s="64"/>
      <c r="E245" s="64"/>
      <c r="F245" s="144"/>
    </row>
    <row r="246" spans="1:6" ht="11.25" customHeight="1" thickBot="1" x14ac:dyDescent="0.25">
      <c r="A246" s="38"/>
      <c r="B246" s="38"/>
      <c r="C246" s="38"/>
      <c r="D246" s="39"/>
      <c r="E246" s="39"/>
      <c r="F246" s="39"/>
    </row>
    <row r="247" spans="1:6" ht="24.75" customHeight="1" thickBot="1" x14ac:dyDescent="0.25">
      <c r="A247" s="103" t="s">
        <v>202</v>
      </c>
      <c r="B247" s="112"/>
      <c r="C247" s="112"/>
      <c r="D247" s="113"/>
      <c r="E247" s="114"/>
      <c r="F247" s="99">
        <f>TRUNC(F236+F244,2)</f>
        <v>29917.57</v>
      </c>
    </row>
    <row r="248" spans="1:6" ht="12.6" customHeight="1" x14ac:dyDescent="0.2">
      <c r="A248" s="65"/>
      <c r="B248" s="65"/>
      <c r="C248" s="65"/>
      <c r="D248" s="64"/>
      <c r="E248" s="64"/>
      <c r="F248" s="64"/>
    </row>
    <row r="249" spans="1:6" x14ac:dyDescent="0.2">
      <c r="A249" s="38"/>
      <c r="B249" s="38"/>
      <c r="C249" s="38"/>
      <c r="D249" s="39"/>
      <c r="E249" s="39"/>
      <c r="F249" s="39"/>
    </row>
    <row r="250" spans="1:6" ht="16.149999999999999" customHeight="1" x14ac:dyDescent="0.2">
      <c r="A250" s="148" t="s">
        <v>195</v>
      </c>
      <c r="B250" s="56"/>
      <c r="C250" s="56"/>
      <c r="D250" s="149">
        <v>35</v>
      </c>
      <c r="E250" s="150" t="s">
        <v>25</v>
      </c>
      <c r="F250" s="39"/>
    </row>
    <row r="251" spans="1:6" x14ac:dyDescent="0.2">
      <c r="A251" s="38"/>
      <c r="B251" s="38"/>
      <c r="C251" s="38"/>
      <c r="D251" s="39"/>
      <c r="E251" s="39"/>
      <c r="F251" s="39"/>
    </row>
    <row r="252" spans="1:6" ht="14.65" customHeight="1" x14ac:dyDescent="0.2">
      <c r="A252" s="65"/>
      <c r="B252" s="65"/>
      <c r="C252" s="65"/>
      <c r="D252" s="64"/>
      <c r="E252" s="64"/>
      <c r="F252" s="64"/>
    </row>
    <row r="253" spans="1:6" s="2" customFormat="1" ht="14.65" customHeight="1" x14ac:dyDescent="0.2">
      <c r="A253" s="91"/>
      <c r="B253" s="39"/>
      <c r="C253" s="39"/>
      <c r="D253" s="39"/>
      <c r="E253" s="39"/>
      <c r="F253" s="39"/>
    </row>
    <row r="254" spans="1:6" s="2" customFormat="1" ht="14.65" customHeight="1" x14ac:dyDescent="0.2">
      <c r="A254" s="91"/>
      <c r="B254" s="39"/>
      <c r="C254" s="39"/>
      <c r="D254" s="39"/>
      <c r="E254" s="39"/>
      <c r="F254" s="39"/>
    </row>
    <row r="255" spans="1:6" s="2" customFormat="1" ht="14.65" customHeight="1" x14ac:dyDescent="0.2">
      <c r="A255" s="91"/>
      <c r="B255" s="91"/>
      <c r="C255" s="91"/>
      <c r="D255" s="91"/>
      <c r="E255" s="91"/>
      <c r="F255" s="91"/>
    </row>
    <row r="256" spans="1:6" s="2" customFormat="1" ht="14.65" customHeight="1" x14ac:dyDescent="0.2">
      <c r="A256" s="91"/>
      <c r="B256" s="91"/>
      <c r="C256" s="91"/>
      <c r="D256" s="91"/>
      <c r="E256" s="91"/>
      <c r="F256" s="91"/>
    </row>
    <row r="257" spans="1:6" s="2" customFormat="1" ht="14.65" customHeight="1" x14ac:dyDescent="0.2">
      <c r="A257" s="91"/>
      <c r="B257" s="91"/>
      <c r="C257" s="91"/>
      <c r="D257" s="91"/>
      <c r="E257" s="91"/>
      <c r="F257" s="91"/>
    </row>
    <row r="258" spans="1:6" s="2" customFormat="1" ht="14.65" customHeight="1" x14ac:dyDescent="0.2">
      <c r="A258" s="91"/>
      <c r="B258" s="91"/>
      <c r="C258" s="91"/>
      <c r="D258" s="91"/>
      <c r="E258" s="91"/>
      <c r="F258" s="91"/>
    </row>
    <row r="259" spans="1:6" s="2" customFormat="1" ht="14.65" customHeight="1" x14ac:dyDescent="0.2">
      <c r="A259" s="91"/>
      <c r="B259" s="91"/>
      <c r="C259" s="91"/>
      <c r="D259" s="91"/>
      <c r="E259" s="91"/>
      <c r="F259" s="91"/>
    </row>
    <row r="260" spans="1:6" s="2" customFormat="1" ht="14.65" customHeight="1" x14ac:dyDescent="0.2">
      <c r="A260" s="91"/>
      <c r="B260" s="91"/>
      <c r="C260" s="91"/>
      <c r="D260" s="91"/>
      <c r="E260" s="91"/>
      <c r="F260" s="91"/>
    </row>
    <row r="261" spans="1:6" s="2" customFormat="1" ht="14.65" customHeight="1" x14ac:dyDescent="0.2">
      <c r="A261" s="319"/>
      <c r="B261" s="320"/>
      <c r="C261" s="320"/>
      <c r="D261" s="320"/>
      <c r="E261" s="320"/>
      <c r="F261" s="320"/>
    </row>
    <row r="262" spans="1:6" s="2" customFormat="1" ht="14.65" customHeight="1" x14ac:dyDescent="0.2">
      <c r="A262" s="319"/>
      <c r="B262" s="319"/>
      <c r="C262" s="319"/>
      <c r="D262" s="319"/>
      <c r="E262" s="319"/>
      <c r="F262" s="319"/>
    </row>
    <row r="263" spans="1:6" s="2" customFormat="1" ht="14.65" customHeight="1" x14ac:dyDescent="0.2">
      <c r="A263" s="319"/>
      <c r="B263" s="319"/>
      <c r="C263" s="319"/>
      <c r="D263" s="319"/>
      <c r="E263" s="319"/>
      <c r="F263" s="319"/>
    </row>
    <row r="264" spans="1:6" s="2" customFormat="1" ht="14.65" customHeight="1" x14ac:dyDescent="0.2">
      <c r="A264" s="91"/>
      <c r="B264" s="39"/>
      <c r="C264" s="39"/>
      <c r="D264" s="39"/>
      <c r="E264" s="39"/>
      <c r="F264" s="39"/>
    </row>
    <row r="265" spans="1:6" s="2" customFormat="1" ht="14.65" customHeight="1" x14ac:dyDescent="0.2">
      <c r="A265" s="91"/>
      <c r="B265" s="39"/>
      <c r="C265" s="39"/>
      <c r="D265" s="39"/>
      <c r="E265" s="39"/>
      <c r="F265" s="39"/>
    </row>
    <row r="266" spans="1:6" s="2" customFormat="1" ht="14.65" customHeight="1" x14ac:dyDescent="0.2">
      <c r="A266" s="91"/>
      <c r="B266" s="39"/>
      <c r="C266" s="39"/>
      <c r="D266" s="39"/>
      <c r="E266" s="39"/>
      <c r="F266" s="39"/>
    </row>
    <row r="267" spans="1:6" s="2" customFormat="1" ht="14.65" customHeight="1" x14ac:dyDescent="0.2">
      <c r="A267" s="91"/>
      <c r="B267" s="39"/>
      <c r="C267" s="39"/>
      <c r="D267" s="39"/>
      <c r="E267" s="39"/>
      <c r="F267" s="39"/>
    </row>
    <row r="271" spans="1:6" x14ac:dyDescent="0.2">
      <c r="A271" s="316"/>
      <c r="B271" s="324"/>
      <c r="C271" s="324"/>
      <c r="D271" s="324"/>
      <c r="E271" s="324"/>
      <c r="F271" s="324"/>
    </row>
    <row r="272" spans="1:6" x14ac:dyDescent="0.2">
      <c r="A272" s="316"/>
      <c r="B272" s="316"/>
      <c r="C272" s="316"/>
      <c r="D272" s="316"/>
      <c r="E272" s="316"/>
      <c r="F272" s="316"/>
    </row>
    <row r="273" spans="1:6" x14ac:dyDescent="0.2">
      <c r="A273" s="316"/>
      <c r="B273" s="316"/>
      <c r="C273" s="316"/>
      <c r="D273" s="316"/>
      <c r="E273" s="316"/>
      <c r="F273" s="316"/>
    </row>
    <row r="297" s="5" customFormat="1" ht="9" customHeight="1" x14ac:dyDescent="0.2"/>
  </sheetData>
  <mergeCells count="40">
    <mergeCell ref="A5:F5"/>
    <mergeCell ref="A20:D20"/>
    <mergeCell ref="A21:D21"/>
    <mergeCell ref="A31:D31"/>
    <mergeCell ref="A12:D12"/>
    <mergeCell ref="A10:D10"/>
    <mergeCell ref="A11:D11"/>
    <mergeCell ref="A22:D22"/>
    <mergeCell ref="A23:D23"/>
    <mergeCell ref="A24:D24"/>
    <mergeCell ref="A25:D25"/>
    <mergeCell ref="A26:D26"/>
    <mergeCell ref="A2:F2"/>
    <mergeCell ref="A4:F4"/>
    <mergeCell ref="A30:D30"/>
    <mergeCell ref="A6:F6"/>
    <mergeCell ref="A29:E29"/>
    <mergeCell ref="A3:F3"/>
    <mergeCell ref="A7:D7"/>
    <mergeCell ref="A13:D13"/>
    <mergeCell ref="A14:D14"/>
    <mergeCell ref="A15:D15"/>
    <mergeCell ref="A16:D16"/>
    <mergeCell ref="A17:D17"/>
    <mergeCell ref="A18:D18"/>
    <mergeCell ref="A19:D19"/>
    <mergeCell ref="A8:D8"/>
    <mergeCell ref="A9:D9"/>
    <mergeCell ref="A273:F273"/>
    <mergeCell ref="A36:D36"/>
    <mergeCell ref="A261:F261"/>
    <mergeCell ref="A262:F262"/>
    <mergeCell ref="A263:F263"/>
    <mergeCell ref="A37:D37"/>
    <mergeCell ref="A271:F271"/>
    <mergeCell ref="A33:D33"/>
    <mergeCell ref="A34:D34"/>
    <mergeCell ref="A35:E35"/>
    <mergeCell ref="A32:D32"/>
    <mergeCell ref="A272:F272"/>
  </mergeCells>
  <phoneticPr fontId="7" type="noConversion"/>
  <hyperlinks>
    <hyperlink ref="A154" location="AbaRemun" display="3.1.2. Remuneração do Capital" xr:uid="{00000000-0004-0000-0100-000000000000}"/>
    <hyperlink ref="A138" location="AbaDeprec" display="3.1.1. Depreciação" xr:uid="{00000000-0004-0000-0100-000001000000}"/>
  </hyperlinks>
  <pageMargins left="0.59055118110236227" right="0.23622047244094491" top="0.98425196850393704" bottom="0.98425196850393704" header="0.31496062992125984" footer="0.31496062992125984"/>
  <pageSetup paperSize="9" scale="80" fitToWidth="0" fitToHeight="0" orientation="portrait" r:id="rId1"/>
  <headerFooter alignWithMargins="0">
    <oddFooter>&amp;R&amp;P de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6"/>
  <dimension ref="A1:K84"/>
  <sheetViews>
    <sheetView view="pageLayout" topLeftCell="A46" zoomScaleNormal="100" workbookViewId="0">
      <selection activeCell="C3" sqref="C3"/>
    </sheetView>
  </sheetViews>
  <sheetFormatPr defaultColWidth="9.140625" defaultRowHeight="12.75" x14ac:dyDescent="0.2"/>
  <cols>
    <col min="1" max="1" width="13.5703125" style="1" customWidth="1"/>
    <col min="2" max="2" width="49.5703125" style="1" customWidth="1"/>
    <col min="3" max="3" width="22.7109375" style="1" customWidth="1"/>
    <col min="4" max="9" width="9.140625" style="1"/>
    <col min="10" max="10" width="11" style="1" bestFit="1" customWidth="1"/>
    <col min="11" max="16384" width="9.140625" style="1"/>
  </cols>
  <sheetData>
    <row r="1" spans="1:11" x14ac:dyDescent="0.2">
      <c r="A1" s="37"/>
      <c r="B1" s="151"/>
      <c r="C1" s="151"/>
    </row>
    <row r="2" spans="1:11" x14ac:dyDescent="0.2">
      <c r="A2" s="41"/>
      <c r="B2" s="151"/>
      <c r="C2" s="151"/>
    </row>
    <row r="3" spans="1:11" s="2" customFormat="1" ht="15.6" customHeight="1" x14ac:dyDescent="0.2">
      <c r="A3" s="38"/>
      <c r="B3" s="41"/>
      <c r="C3" s="41"/>
      <c r="D3" s="14"/>
      <c r="E3" s="14"/>
      <c r="F3" s="3"/>
    </row>
    <row r="4" spans="1:11" s="2" customFormat="1" ht="15.6" customHeight="1" x14ac:dyDescent="0.2">
      <c r="A4" s="40"/>
      <c r="B4" s="41"/>
      <c r="C4" s="41"/>
      <c r="D4" s="14"/>
      <c r="E4" s="14"/>
      <c r="F4" s="3"/>
    </row>
    <row r="5" spans="1:11" s="2" customFormat="1" ht="16.5" customHeight="1" x14ac:dyDescent="0.2">
      <c r="A5" s="40"/>
      <c r="B5" s="43"/>
      <c r="C5" s="43"/>
      <c r="D5" s="3"/>
      <c r="E5" s="3"/>
      <c r="F5" s="3"/>
    </row>
    <row r="6" spans="1:11" ht="13.5" thickBot="1" x14ac:dyDescent="0.25">
      <c r="A6" s="151"/>
      <c r="B6" s="151"/>
      <c r="C6" s="151"/>
    </row>
    <row r="7" spans="1:11" ht="18" x14ac:dyDescent="0.2">
      <c r="A7" s="353" t="s">
        <v>205</v>
      </c>
      <c r="B7" s="354"/>
      <c r="C7" s="355"/>
      <c r="D7" s="17"/>
      <c r="E7" s="17"/>
    </row>
    <row r="8" spans="1:11" x14ac:dyDescent="0.2">
      <c r="A8" s="152" t="s">
        <v>129</v>
      </c>
      <c r="B8" s="153" t="s">
        <v>130</v>
      </c>
      <c r="C8" s="154" t="s">
        <v>131</v>
      </c>
    </row>
    <row r="9" spans="1:11" x14ac:dyDescent="0.2">
      <c r="A9" s="152" t="s">
        <v>132</v>
      </c>
      <c r="B9" s="153" t="s">
        <v>285</v>
      </c>
      <c r="C9" s="155">
        <v>0.2</v>
      </c>
      <c r="E9" s="18"/>
      <c r="F9" s="18"/>
      <c r="G9" s="18"/>
      <c r="H9" s="18"/>
      <c r="I9" s="18"/>
      <c r="J9" s="18"/>
      <c r="K9" s="18"/>
    </row>
    <row r="10" spans="1:11" x14ac:dyDescent="0.2">
      <c r="A10" s="152" t="s">
        <v>286</v>
      </c>
      <c r="B10" s="153" t="s">
        <v>293</v>
      </c>
      <c r="C10" s="155">
        <v>1.4999999999999999E-2</v>
      </c>
      <c r="E10" s="18"/>
      <c r="F10" s="18"/>
      <c r="G10" s="18"/>
      <c r="H10" s="18"/>
      <c r="I10" s="18"/>
      <c r="J10" s="18"/>
      <c r="K10" s="18"/>
    </row>
    <row r="11" spans="1:11" x14ac:dyDescent="0.2">
      <c r="A11" s="152" t="s">
        <v>287</v>
      </c>
      <c r="B11" s="153" t="s">
        <v>294</v>
      </c>
      <c r="C11" s="155">
        <v>0.01</v>
      </c>
      <c r="E11" s="18"/>
      <c r="F11" s="18"/>
      <c r="G11" s="18"/>
      <c r="H11" s="18"/>
      <c r="I11" s="18"/>
      <c r="J11" s="18"/>
      <c r="K11" s="18"/>
    </row>
    <row r="12" spans="1:11" x14ac:dyDescent="0.2">
      <c r="A12" s="152" t="s">
        <v>288</v>
      </c>
      <c r="B12" s="153" t="s">
        <v>295</v>
      </c>
      <c r="C12" s="155">
        <v>2E-3</v>
      </c>
      <c r="E12" s="18"/>
      <c r="F12" s="18"/>
      <c r="G12" s="18"/>
      <c r="H12" s="18"/>
      <c r="I12" s="18"/>
      <c r="J12" s="18"/>
      <c r="K12" s="18"/>
    </row>
    <row r="13" spans="1:11" x14ac:dyDescent="0.2">
      <c r="A13" s="152" t="s">
        <v>289</v>
      </c>
      <c r="B13" s="153" t="s">
        <v>296</v>
      </c>
      <c r="C13" s="155">
        <v>6.0000000000000001E-3</v>
      </c>
      <c r="E13" s="18"/>
      <c r="F13" s="18"/>
      <c r="G13" s="18"/>
      <c r="H13" s="18"/>
      <c r="I13" s="18"/>
      <c r="J13" s="18"/>
      <c r="K13" s="18"/>
    </row>
    <row r="14" spans="1:11" x14ac:dyDescent="0.2">
      <c r="A14" s="152" t="s">
        <v>290</v>
      </c>
      <c r="B14" s="153" t="s">
        <v>297</v>
      </c>
      <c r="C14" s="155">
        <v>2.5000000000000001E-2</v>
      </c>
      <c r="E14" s="18"/>
      <c r="F14" s="18"/>
      <c r="G14" s="18"/>
      <c r="H14" s="18"/>
      <c r="I14" s="18"/>
      <c r="J14" s="18"/>
      <c r="K14" s="18"/>
    </row>
    <row r="15" spans="1:11" x14ac:dyDescent="0.2">
      <c r="A15" s="152" t="s">
        <v>291</v>
      </c>
      <c r="B15" s="153" t="s">
        <v>298</v>
      </c>
      <c r="C15" s="155">
        <v>0.03</v>
      </c>
      <c r="E15" s="18"/>
      <c r="F15" s="18"/>
      <c r="G15" s="18"/>
      <c r="H15" s="18"/>
      <c r="I15" s="18"/>
      <c r="J15" s="18"/>
      <c r="K15" s="18"/>
    </row>
    <row r="16" spans="1:11" x14ac:dyDescent="0.2">
      <c r="A16" s="152" t="s">
        <v>292</v>
      </c>
      <c r="B16" s="153" t="s">
        <v>40</v>
      </c>
      <c r="C16" s="155">
        <v>0.08</v>
      </c>
      <c r="E16" s="18"/>
      <c r="F16" s="18"/>
      <c r="G16" s="18"/>
      <c r="H16" s="18"/>
      <c r="I16" s="18"/>
      <c r="J16" s="18"/>
      <c r="K16" s="18"/>
    </row>
    <row r="17" spans="1:11" x14ac:dyDescent="0.2">
      <c r="A17" s="152" t="s">
        <v>133</v>
      </c>
      <c r="B17" s="156" t="s">
        <v>134</v>
      </c>
      <c r="C17" s="157">
        <f>SUM(C9:C16)</f>
        <v>0.36800000000000005</v>
      </c>
      <c r="E17" s="18"/>
      <c r="F17" s="18"/>
      <c r="G17" s="18"/>
      <c r="H17" s="18"/>
      <c r="I17" s="18"/>
      <c r="J17" s="18"/>
      <c r="K17" s="18"/>
    </row>
    <row r="18" spans="1:11" x14ac:dyDescent="0.2">
      <c r="A18" s="158"/>
      <c r="B18" s="159"/>
      <c r="C18" s="160"/>
      <c r="E18" s="18"/>
      <c r="F18" s="18"/>
      <c r="G18" s="18"/>
      <c r="H18" s="18"/>
      <c r="I18" s="18"/>
      <c r="J18" s="18"/>
      <c r="K18" s="18"/>
    </row>
    <row r="19" spans="1:11" x14ac:dyDescent="0.2">
      <c r="A19" s="152" t="s">
        <v>135</v>
      </c>
      <c r="B19" s="161" t="s">
        <v>136</v>
      </c>
      <c r="C19" s="155">
        <v>6.5699999999999995E-2</v>
      </c>
      <c r="E19" s="18"/>
      <c r="F19" s="18"/>
      <c r="G19" s="18"/>
      <c r="H19" s="18"/>
      <c r="I19" s="18"/>
      <c r="J19" s="18"/>
      <c r="K19" s="18"/>
    </row>
    <row r="20" spans="1:11" x14ac:dyDescent="0.2">
      <c r="A20" s="152" t="s">
        <v>137</v>
      </c>
      <c r="B20" s="161" t="s">
        <v>138</v>
      </c>
      <c r="C20" s="155">
        <f>ROUND('3.CAGED'!C36/'3.CAGED'!C33,4)</f>
        <v>8.3299999999999999E-2</v>
      </c>
      <c r="E20" s="18"/>
      <c r="F20" s="18"/>
      <c r="G20" s="18"/>
      <c r="H20" s="18"/>
      <c r="I20" s="18"/>
      <c r="J20" s="18"/>
      <c r="K20" s="18"/>
    </row>
    <row r="21" spans="1:11" x14ac:dyDescent="0.2">
      <c r="A21" s="152" t="s">
        <v>194</v>
      </c>
      <c r="B21" s="161" t="s">
        <v>140</v>
      </c>
      <c r="C21" s="155">
        <v>5.9999999999999995E-4</v>
      </c>
      <c r="E21" s="18"/>
      <c r="F21" s="18"/>
      <c r="G21" s="18"/>
      <c r="H21" s="18"/>
      <c r="I21" s="18"/>
      <c r="J21" s="18"/>
      <c r="K21" s="18"/>
    </row>
    <row r="22" spans="1:11" x14ac:dyDescent="0.2">
      <c r="A22" s="152" t="s">
        <v>139</v>
      </c>
      <c r="B22" s="161" t="s">
        <v>142</v>
      </c>
      <c r="C22" s="155">
        <v>8.2000000000000007E-3</v>
      </c>
      <c r="E22" s="18"/>
      <c r="F22" s="18"/>
      <c r="G22" s="18"/>
      <c r="H22" s="18"/>
      <c r="I22" s="18"/>
      <c r="J22" s="18"/>
      <c r="K22" s="18"/>
    </row>
    <row r="23" spans="1:11" x14ac:dyDescent="0.2">
      <c r="A23" s="152" t="s">
        <v>141</v>
      </c>
      <c r="B23" s="161" t="s">
        <v>144</v>
      </c>
      <c r="C23" s="155">
        <v>3.0999999999999999E-3</v>
      </c>
      <c r="E23" s="18"/>
      <c r="F23" s="18"/>
      <c r="G23" s="18"/>
      <c r="H23" s="18"/>
      <c r="I23" s="18"/>
      <c r="J23" s="18"/>
      <c r="K23" s="18"/>
    </row>
    <row r="24" spans="1:11" x14ac:dyDescent="0.2">
      <c r="A24" s="152" t="s">
        <v>143</v>
      </c>
      <c r="B24" s="161" t="s">
        <v>145</v>
      </c>
      <c r="C24" s="155">
        <v>1.66E-2</v>
      </c>
      <c r="E24" s="18"/>
      <c r="F24" s="18"/>
      <c r="G24" s="18"/>
      <c r="H24" s="18"/>
      <c r="I24" s="18"/>
      <c r="J24" s="18"/>
      <c r="K24" s="18"/>
    </row>
    <row r="25" spans="1:11" x14ac:dyDescent="0.2">
      <c r="A25" s="152" t="s">
        <v>146</v>
      </c>
      <c r="B25" s="156" t="s">
        <v>147</v>
      </c>
      <c r="C25" s="157">
        <f>SUM(C19:C24)</f>
        <v>0.17749999999999999</v>
      </c>
      <c r="E25" s="18"/>
      <c r="F25" s="18"/>
      <c r="G25" s="18"/>
      <c r="H25" s="18"/>
      <c r="I25" s="18"/>
      <c r="J25" s="18"/>
      <c r="K25" s="18"/>
    </row>
    <row r="26" spans="1:11" x14ac:dyDescent="0.2">
      <c r="A26" s="158"/>
      <c r="B26" s="159"/>
      <c r="C26" s="160"/>
      <c r="E26" s="18"/>
      <c r="F26" s="18"/>
      <c r="G26" s="18"/>
      <c r="H26" s="18"/>
      <c r="I26" s="18"/>
      <c r="J26" s="18"/>
      <c r="K26" s="18"/>
    </row>
    <row r="27" spans="1:11" x14ac:dyDescent="0.2">
      <c r="A27" s="152" t="s">
        <v>148</v>
      </c>
      <c r="B27" s="153" t="s">
        <v>149</v>
      </c>
      <c r="C27" s="155">
        <f>ROUND(('3.CAGED'!C37) *'3.CAGED'!C30/'3.CAGED'!C33,4)</f>
        <v>2.9000000000000001E-2</v>
      </c>
      <c r="D27" s="21"/>
      <c r="E27" s="18"/>
      <c r="F27" s="18"/>
      <c r="G27" s="18"/>
      <c r="H27" s="18"/>
      <c r="I27" s="18"/>
      <c r="J27" s="18"/>
      <c r="K27" s="18"/>
    </row>
    <row r="28" spans="1:11" ht="14.25" x14ac:dyDescent="0.2">
      <c r="A28" s="152" t="s">
        <v>193</v>
      </c>
      <c r="B28" s="153" t="s">
        <v>151</v>
      </c>
      <c r="C28" s="155">
        <v>4.5400000000000003E-2</v>
      </c>
      <c r="E28" s="18"/>
      <c r="F28" s="18"/>
      <c r="G28" s="22"/>
      <c r="H28" s="18"/>
      <c r="I28" s="18"/>
      <c r="J28" s="18"/>
      <c r="K28" s="18"/>
    </row>
    <row r="29" spans="1:11" x14ac:dyDescent="0.2">
      <c r="A29" s="152" t="s">
        <v>150</v>
      </c>
      <c r="B29" s="153" t="s">
        <v>153</v>
      </c>
      <c r="C29" s="155">
        <f>C27*C28</f>
        <v>1.3166000000000002E-3</v>
      </c>
      <c r="D29" s="21"/>
      <c r="E29" s="18"/>
      <c r="F29" s="18"/>
      <c r="G29" s="18"/>
      <c r="H29" s="18"/>
      <c r="I29" s="18"/>
      <c r="J29" s="18"/>
      <c r="K29" s="18"/>
    </row>
    <row r="30" spans="1:11" x14ac:dyDescent="0.2">
      <c r="A30" s="152" t="s">
        <v>152</v>
      </c>
      <c r="B30" s="153" t="s">
        <v>155</v>
      </c>
      <c r="C30" s="155">
        <v>3.15E-2</v>
      </c>
      <c r="E30" s="18"/>
      <c r="F30" s="23"/>
      <c r="G30" s="18"/>
      <c r="H30" s="18"/>
      <c r="I30" s="18"/>
      <c r="J30" s="18"/>
      <c r="K30" s="18"/>
    </row>
    <row r="31" spans="1:11" x14ac:dyDescent="0.2">
      <c r="A31" s="152" t="s">
        <v>154</v>
      </c>
      <c r="B31" s="153" t="s">
        <v>156</v>
      </c>
      <c r="C31" s="155">
        <f>ROUND(('3.CAGED'!C35/'3.CAGED'!C33)*'3.CAGED'!C30/12,4)</f>
        <v>2E-3</v>
      </c>
      <c r="E31" s="18"/>
      <c r="F31" s="18"/>
      <c r="G31" s="18"/>
      <c r="H31" s="18"/>
      <c r="I31" s="18"/>
      <c r="J31" s="18"/>
      <c r="K31" s="18"/>
    </row>
    <row r="32" spans="1:11" x14ac:dyDescent="0.2">
      <c r="A32" s="152" t="s">
        <v>157</v>
      </c>
      <c r="B32" s="156" t="s">
        <v>158</v>
      </c>
      <c r="C32" s="157">
        <f>SUM(C27:C31)</f>
        <v>0.10921660000000001</v>
      </c>
      <c r="E32" s="18"/>
      <c r="F32" s="18"/>
      <c r="G32" s="18"/>
      <c r="H32" s="18"/>
      <c r="I32" s="18"/>
      <c r="J32" s="18"/>
      <c r="K32" s="18"/>
    </row>
    <row r="33" spans="1:11" x14ac:dyDescent="0.2">
      <c r="A33" s="158"/>
      <c r="B33" s="159"/>
      <c r="C33" s="160"/>
      <c r="E33" s="18"/>
      <c r="F33" s="18"/>
      <c r="G33" s="18"/>
      <c r="H33" s="18"/>
      <c r="I33" s="18"/>
      <c r="J33" s="18"/>
      <c r="K33" s="18"/>
    </row>
    <row r="34" spans="1:11" x14ac:dyDescent="0.2">
      <c r="A34" s="152" t="s">
        <v>159</v>
      </c>
      <c r="B34" s="153" t="s">
        <v>160</v>
      </c>
      <c r="C34" s="155">
        <f>ROUND(C17*C25,4)</f>
        <v>6.5299999999999997E-2</v>
      </c>
      <c r="E34" s="18"/>
      <c r="F34" s="18"/>
      <c r="G34" s="18"/>
      <c r="H34" s="18"/>
      <c r="I34" s="18"/>
      <c r="J34" s="18"/>
      <c r="K34" s="18"/>
    </row>
    <row r="35" spans="1:11" x14ac:dyDescent="0.2">
      <c r="A35" s="152" t="s">
        <v>161</v>
      </c>
      <c r="B35" s="162" t="s">
        <v>253</v>
      </c>
      <c r="C35" s="155">
        <f>ROUND((C27*C16),4)</f>
        <v>2.3E-3</v>
      </c>
      <c r="E35" s="18"/>
      <c r="F35" s="18"/>
      <c r="G35" s="18"/>
      <c r="H35" s="18"/>
      <c r="I35" s="18"/>
      <c r="J35" s="18"/>
      <c r="K35" s="18"/>
    </row>
    <row r="36" spans="1:11" x14ac:dyDescent="0.2">
      <c r="A36" s="152" t="s">
        <v>162</v>
      </c>
      <c r="B36" s="156" t="s">
        <v>163</v>
      </c>
      <c r="C36" s="157">
        <f>SUM(C34:C35)</f>
        <v>6.7599999999999993E-2</v>
      </c>
      <c r="E36" s="18"/>
      <c r="F36" s="18"/>
      <c r="G36" s="18"/>
      <c r="H36" s="18"/>
      <c r="I36" s="18"/>
      <c r="J36" s="18"/>
      <c r="K36" s="18"/>
    </row>
    <row r="37" spans="1:11" ht="13.5" thickBot="1" x14ac:dyDescent="0.25">
      <c r="A37" s="163"/>
      <c r="B37" s="164" t="s">
        <v>164</v>
      </c>
      <c r="C37" s="261">
        <f>C36+C32+C25+C17</f>
        <v>0.72231660000000009</v>
      </c>
      <c r="E37" s="18"/>
      <c r="F37" s="18"/>
      <c r="G37" s="18"/>
      <c r="H37" s="18"/>
      <c r="I37" s="18"/>
      <c r="J37" s="18"/>
      <c r="K37" s="18"/>
    </row>
    <row r="38" spans="1:11" ht="15" x14ac:dyDescent="0.2">
      <c r="A38" s="20"/>
      <c r="B38" s="24"/>
      <c r="C38" s="25"/>
      <c r="E38" s="18"/>
      <c r="F38" s="18"/>
      <c r="G38" s="18"/>
      <c r="H38" s="18"/>
      <c r="I38" s="18"/>
      <c r="J38" s="18"/>
      <c r="K38" s="18"/>
    </row>
    <row r="39" spans="1:11" x14ac:dyDescent="0.2">
      <c r="A39" s="289"/>
      <c r="B39" s="289"/>
      <c r="C39" s="290"/>
      <c r="E39" s="18"/>
      <c r="F39" s="18"/>
      <c r="G39" s="18"/>
      <c r="H39" s="18"/>
      <c r="I39" s="18"/>
      <c r="J39" s="18"/>
      <c r="K39" s="18"/>
    </row>
    <row r="40" spans="1:11" x14ac:dyDescent="0.2">
      <c r="A40" s="289"/>
      <c r="B40" s="289"/>
      <c r="C40" s="290"/>
      <c r="E40" s="18"/>
      <c r="F40" s="18"/>
      <c r="G40" s="18"/>
      <c r="H40" s="18"/>
      <c r="I40" s="18"/>
      <c r="J40" s="18"/>
      <c r="K40" s="18"/>
    </row>
    <row r="41" spans="1:11" x14ac:dyDescent="0.2">
      <c r="A41" s="289"/>
      <c r="B41" s="289"/>
      <c r="C41" s="290"/>
      <c r="E41" s="18"/>
      <c r="F41" s="18"/>
      <c r="G41" s="18"/>
      <c r="H41" s="18"/>
      <c r="I41" s="18"/>
      <c r="J41" s="18"/>
      <c r="K41" s="18"/>
    </row>
    <row r="42" spans="1:11" x14ac:dyDescent="0.2">
      <c r="A42" s="289"/>
      <c r="B42" s="289"/>
      <c r="C42" s="290"/>
      <c r="E42" s="18"/>
      <c r="F42" s="18"/>
      <c r="G42" s="18"/>
      <c r="H42" s="18"/>
      <c r="I42" s="18"/>
      <c r="J42" s="18"/>
      <c r="K42" s="18"/>
    </row>
    <row r="43" spans="1:11" x14ac:dyDescent="0.2">
      <c r="A43" s="289"/>
      <c r="B43" s="289"/>
      <c r="C43" s="290"/>
      <c r="E43" s="18"/>
      <c r="F43" s="18"/>
      <c r="G43" s="18"/>
      <c r="H43" s="18"/>
      <c r="I43" s="18"/>
      <c r="J43" s="18"/>
      <c r="K43" s="18"/>
    </row>
    <row r="44" spans="1:11" x14ac:dyDescent="0.2">
      <c r="A44" s="289"/>
      <c r="B44" s="292">
        <f>'Coleta Orgânica'!D255</f>
        <v>0</v>
      </c>
      <c r="C44" s="290"/>
      <c r="E44" s="18"/>
      <c r="F44" s="18"/>
      <c r="G44" s="18"/>
      <c r="H44" s="18"/>
      <c r="I44" s="18"/>
      <c r="J44" s="18"/>
      <c r="K44" s="18"/>
    </row>
    <row r="45" spans="1:11" x14ac:dyDescent="0.2">
      <c r="A45" s="289"/>
      <c r="B45" s="291"/>
      <c r="C45" s="291"/>
      <c r="E45" s="18"/>
      <c r="F45" s="18"/>
      <c r="G45" s="18"/>
      <c r="H45" s="18"/>
      <c r="I45" s="18"/>
      <c r="J45" s="18"/>
      <c r="K45" s="18"/>
    </row>
    <row r="46" spans="1:11" x14ac:dyDescent="0.2">
      <c r="A46" s="289"/>
      <c r="B46" s="289"/>
      <c r="C46" s="290"/>
      <c r="E46" s="18"/>
      <c r="F46" s="18"/>
      <c r="G46" s="18"/>
      <c r="H46" s="18"/>
      <c r="I46" s="18"/>
      <c r="J46" s="18"/>
      <c r="K46" s="18"/>
    </row>
    <row r="47" spans="1:11" x14ac:dyDescent="0.2">
      <c r="A47" s="289"/>
      <c r="B47" s="289"/>
      <c r="C47" s="290"/>
      <c r="E47" s="18"/>
      <c r="F47" s="18"/>
      <c r="G47" s="18"/>
      <c r="H47" s="18"/>
      <c r="I47" s="18"/>
      <c r="J47" s="18"/>
      <c r="K47" s="18"/>
    </row>
    <row r="48" spans="1:11" ht="13.15" customHeight="1" x14ac:dyDescent="0.2">
      <c r="A48" s="289"/>
      <c r="B48" s="289"/>
      <c r="C48" s="290"/>
      <c r="E48" s="18"/>
      <c r="F48" s="18"/>
      <c r="G48" s="18"/>
      <c r="H48" s="18"/>
      <c r="I48" s="18"/>
      <c r="J48" s="18"/>
      <c r="K48" s="18"/>
    </row>
    <row r="49" spans="1:11" x14ac:dyDescent="0.2">
      <c r="A49" s="289"/>
      <c r="B49" s="289"/>
      <c r="C49" s="290"/>
      <c r="E49" s="18"/>
      <c r="F49" s="18"/>
      <c r="G49" s="18"/>
      <c r="H49" s="18"/>
      <c r="I49" s="18"/>
      <c r="J49" s="18"/>
      <c r="K49" s="18"/>
    </row>
    <row r="50" spans="1:11" x14ac:dyDescent="0.2">
      <c r="A50" s="289"/>
      <c r="B50" s="289"/>
      <c r="C50" s="290"/>
      <c r="E50" s="18"/>
      <c r="F50" s="18"/>
      <c r="G50" s="18"/>
      <c r="H50" s="18"/>
      <c r="I50" s="18"/>
      <c r="J50" s="18"/>
      <c r="K50" s="18"/>
    </row>
    <row r="51" spans="1:11" x14ac:dyDescent="0.2">
      <c r="A51" s="319">
        <f>'Coleta Orgânica'!A261:F261</f>
        <v>0</v>
      </c>
      <c r="B51" s="319"/>
      <c r="C51" s="319"/>
      <c r="E51" s="18"/>
      <c r="F51" s="18"/>
      <c r="G51" s="18"/>
      <c r="H51" s="18"/>
      <c r="I51" s="18"/>
      <c r="J51" s="18"/>
      <c r="K51" s="18"/>
    </row>
    <row r="52" spans="1:11" x14ac:dyDescent="0.2">
      <c r="A52" s="319">
        <f>'Coleta Orgânica'!A262:F262</f>
        <v>0</v>
      </c>
      <c r="B52" s="319"/>
      <c r="C52" s="319"/>
      <c r="E52" s="18"/>
      <c r="F52" s="18"/>
      <c r="G52" s="18"/>
      <c r="H52" s="18"/>
      <c r="I52" s="18"/>
      <c r="J52" s="18"/>
      <c r="K52" s="18"/>
    </row>
    <row r="53" spans="1:11" x14ac:dyDescent="0.2">
      <c r="A53" s="319">
        <f>'Coleta Orgânica'!A263:F263</f>
        <v>0</v>
      </c>
      <c r="B53" s="319"/>
      <c r="C53" s="319"/>
      <c r="E53" s="18"/>
      <c r="F53" s="18"/>
      <c r="G53" s="18"/>
      <c r="H53" s="18"/>
      <c r="I53" s="18"/>
      <c r="J53" s="18"/>
      <c r="K53" s="18"/>
    </row>
    <row r="54" spans="1:11" ht="15" x14ac:dyDescent="0.2">
      <c r="A54" s="20"/>
      <c r="B54" s="24"/>
      <c r="C54" s="25"/>
      <c r="E54" s="18"/>
      <c r="F54" s="18"/>
      <c r="G54" s="18"/>
      <c r="H54" s="18"/>
      <c r="I54" s="18"/>
      <c r="J54" s="18"/>
      <c r="K54" s="18"/>
    </row>
    <row r="55" spans="1:11" ht="14.25" x14ac:dyDescent="0.2">
      <c r="A55" s="20"/>
      <c r="B55" s="20"/>
      <c r="C55" s="26"/>
      <c r="E55" s="18"/>
      <c r="F55" s="18"/>
      <c r="G55" s="18"/>
      <c r="H55" s="18"/>
      <c r="I55" s="18"/>
      <c r="J55" s="18"/>
      <c r="K55" s="18"/>
    </row>
    <row r="56" spans="1:11" ht="14.25" x14ac:dyDescent="0.2">
      <c r="A56" s="19"/>
      <c r="B56" s="19"/>
      <c r="C56" s="27"/>
      <c r="E56" s="18"/>
      <c r="F56" s="18"/>
      <c r="G56" s="18"/>
      <c r="H56" s="18"/>
      <c r="I56" s="18"/>
      <c r="J56" s="18"/>
      <c r="K56" s="18"/>
    </row>
    <row r="57" spans="1:11" ht="14.25" x14ac:dyDescent="0.2">
      <c r="A57" s="19"/>
      <c r="B57" s="19"/>
      <c r="C57" s="27"/>
      <c r="E57" s="18"/>
      <c r="F57" s="18"/>
      <c r="G57" s="18"/>
      <c r="H57" s="18"/>
      <c r="I57" s="18"/>
      <c r="J57" s="18"/>
      <c r="K57" s="18"/>
    </row>
    <row r="58" spans="1:11" ht="14.25" x14ac:dyDescent="0.2">
      <c r="A58" s="19"/>
      <c r="B58" s="19"/>
      <c r="C58" s="27"/>
      <c r="E58" s="18"/>
      <c r="F58" s="18"/>
      <c r="G58" s="18"/>
      <c r="H58" s="18"/>
      <c r="I58" s="18"/>
      <c r="J58" s="18"/>
      <c r="K58" s="18"/>
    </row>
    <row r="59" spans="1:11" ht="15" x14ac:dyDescent="0.2">
      <c r="A59" s="19"/>
      <c r="B59" s="28"/>
      <c r="C59" s="29"/>
      <c r="E59" s="18"/>
      <c r="F59" s="18"/>
      <c r="G59" s="18"/>
      <c r="H59" s="18"/>
      <c r="I59" s="18"/>
      <c r="J59" s="18"/>
      <c r="K59" s="18"/>
    </row>
    <row r="60" spans="1:11" x14ac:dyDescent="0.2">
      <c r="A60" s="316"/>
      <c r="B60" s="316"/>
      <c r="C60" s="316"/>
      <c r="D60" s="5"/>
      <c r="E60" s="5"/>
      <c r="F60" s="18"/>
      <c r="G60" s="18"/>
      <c r="H60" s="18"/>
      <c r="I60" s="18"/>
      <c r="J60" s="18"/>
      <c r="K60" s="18"/>
    </row>
    <row r="61" spans="1:11" x14ac:dyDescent="0.2">
      <c r="A61" s="316"/>
      <c r="B61" s="316"/>
      <c r="C61" s="316"/>
      <c r="D61" s="259"/>
      <c r="E61" s="259"/>
      <c r="F61" s="18"/>
      <c r="G61" s="18"/>
      <c r="H61" s="18"/>
      <c r="I61" s="18"/>
      <c r="J61" s="18"/>
      <c r="K61" s="18"/>
    </row>
    <row r="62" spans="1:11" x14ac:dyDescent="0.2">
      <c r="A62" s="316"/>
      <c r="B62" s="316"/>
      <c r="C62" s="316"/>
      <c r="D62" s="259"/>
      <c r="E62" s="259"/>
      <c r="F62" s="18"/>
      <c r="G62" s="18"/>
      <c r="H62" s="18"/>
      <c r="I62" s="18"/>
      <c r="J62" s="18"/>
      <c r="K62" s="18"/>
    </row>
    <row r="63" spans="1:11" ht="14.25" x14ac:dyDescent="0.2">
      <c r="A63" s="19"/>
      <c r="B63" s="32"/>
      <c r="C63" s="31"/>
      <c r="D63" s="18"/>
      <c r="E63" s="18"/>
      <c r="F63" s="18"/>
      <c r="G63" s="18"/>
      <c r="H63" s="18"/>
      <c r="I63" s="18"/>
      <c r="J63" s="18"/>
      <c r="K63" s="18"/>
    </row>
    <row r="64" spans="1:11" ht="14.25" x14ac:dyDescent="0.2">
      <c r="A64" s="19"/>
      <c r="B64" s="32"/>
      <c r="C64" s="19"/>
      <c r="D64" s="18"/>
      <c r="E64" s="18"/>
      <c r="F64" s="18"/>
      <c r="G64" s="18"/>
      <c r="H64" s="18"/>
      <c r="I64" s="18"/>
      <c r="J64" s="18"/>
      <c r="K64" s="18"/>
    </row>
    <row r="65" spans="1:11" ht="14.25" x14ac:dyDescent="0.2">
      <c r="A65" s="19"/>
      <c r="B65" s="27"/>
      <c r="C65" s="31"/>
      <c r="D65" s="18"/>
      <c r="E65" s="18"/>
      <c r="F65" s="18"/>
      <c r="G65" s="18"/>
      <c r="H65" s="18"/>
      <c r="I65" s="18"/>
      <c r="J65" s="18"/>
      <c r="K65" s="18"/>
    </row>
    <row r="66" spans="1:11" ht="14.25" x14ac:dyDescent="0.2">
      <c r="A66" s="19"/>
      <c r="B66" s="32"/>
      <c r="C66" s="19"/>
      <c r="D66" s="18"/>
      <c r="E66" s="18"/>
      <c r="F66" s="18"/>
      <c r="G66" s="18"/>
      <c r="H66" s="18"/>
      <c r="I66" s="18"/>
      <c r="J66" s="18"/>
      <c r="K66" s="18"/>
    </row>
    <row r="67" spans="1:11" ht="14.25" x14ac:dyDescent="0.2">
      <c r="A67" s="19"/>
      <c r="B67" s="27"/>
      <c r="C67" s="31"/>
      <c r="D67" s="18"/>
      <c r="E67" s="18"/>
      <c r="F67" s="18"/>
      <c r="G67" s="18"/>
      <c r="H67" s="18"/>
      <c r="I67" s="18"/>
      <c r="J67" s="18"/>
      <c r="K67" s="18"/>
    </row>
    <row r="68" spans="1:11" ht="14.25" x14ac:dyDescent="0.2">
      <c r="A68" s="19"/>
      <c r="B68" s="32"/>
      <c r="C68" s="19"/>
      <c r="D68" s="18"/>
      <c r="E68" s="18"/>
      <c r="F68" s="18"/>
      <c r="G68" s="18"/>
      <c r="H68" s="18"/>
      <c r="I68" s="18"/>
      <c r="J68" s="18"/>
      <c r="K68" s="18"/>
    </row>
    <row r="69" spans="1:11" ht="14.25" x14ac:dyDescent="0.2">
      <c r="A69" s="19"/>
      <c r="B69" s="27"/>
      <c r="C69" s="31"/>
      <c r="D69" s="18"/>
      <c r="E69" s="18"/>
      <c r="F69" s="18"/>
      <c r="G69" s="18"/>
      <c r="H69" s="18"/>
      <c r="I69" s="18"/>
      <c r="J69" s="18"/>
      <c r="K69" s="18"/>
    </row>
    <row r="70" spans="1:11" ht="14.25" x14ac:dyDescent="0.2">
      <c r="A70" s="19"/>
      <c r="B70" s="32"/>
      <c r="C70" s="19"/>
      <c r="D70" s="18"/>
      <c r="E70" s="18"/>
      <c r="F70" s="18"/>
      <c r="G70" s="18"/>
      <c r="H70" s="18"/>
      <c r="I70" s="18"/>
      <c r="J70" s="18"/>
      <c r="K70" s="18"/>
    </row>
    <row r="71" spans="1:11" ht="14.25" x14ac:dyDescent="0.2">
      <c r="A71" s="19"/>
      <c r="B71" s="27"/>
      <c r="C71" s="31"/>
      <c r="D71" s="18"/>
      <c r="E71" s="18"/>
      <c r="F71" s="18"/>
      <c r="G71" s="18"/>
      <c r="H71" s="18"/>
      <c r="I71" s="18"/>
      <c r="J71" s="18"/>
      <c r="K71" s="18"/>
    </row>
    <row r="72" spans="1:11" ht="16.5" x14ac:dyDescent="0.2">
      <c r="A72" s="30"/>
      <c r="B72" s="18"/>
      <c r="C72" s="18"/>
      <c r="D72" s="18"/>
      <c r="E72" s="18"/>
      <c r="F72" s="18"/>
      <c r="G72" s="18"/>
      <c r="H72" s="18"/>
      <c r="I72" s="18"/>
      <c r="J72" s="18"/>
      <c r="K72" s="18"/>
    </row>
    <row r="73" spans="1:11" x14ac:dyDescent="0.2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</row>
    <row r="74" spans="1:11" x14ac:dyDescent="0.2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</row>
    <row r="75" spans="1:11" x14ac:dyDescent="0.2">
      <c r="A75" s="33"/>
      <c r="B75" s="18"/>
      <c r="C75" s="18"/>
      <c r="D75" s="18"/>
      <c r="E75" s="18"/>
      <c r="F75" s="18"/>
      <c r="G75" s="18"/>
      <c r="H75" s="18"/>
      <c r="I75" s="18"/>
      <c r="J75" s="18"/>
      <c r="K75" s="18"/>
    </row>
    <row r="76" spans="1:11" x14ac:dyDescent="0.2">
      <c r="A76" s="18"/>
      <c r="B76" s="18"/>
      <c r="C76" s="18"/>
      <c r="D76" s="18"/>
    </row>
    <row r="77" spans="1:11" x14ac:dyDescent="0.2">
      <c r="A77" s="18"/>
      <c r="B77" s="18"/>
      <c r="C77" s="18"/>
      <c r="D77" s="18"/>
    </row>
    <row r="78" spans="1:11" x14ac:dyDescent="0.2">
      <c r="A78" s="18"/>
      <c r="B78" s="18"/>
      <c r="C78" s="18"/>
      <c r="D78" s="18"/>
    </row>
    <row r="79" spans="1:11" x14ac:dyDescent="0.2">
      <c r="A79" s="18"/>
      <c r="B79" s="18"/>
      <c r="C79" s="18"/>
      <c r="D79" s="18"/>
    </row>
    <row r="80" spans="1:11" x14ac:dyDescent="0.2">
      <c r="A80" s="18"/>
      <c r="B80" s="18"/>
      <c r="C80" s="18"/>
      <c r="D80" s="18"/>
    </row>
    <row r="81" spans="1:4" x14ac:dyDescent="0.2">
      <c r="A81" s="18"/>
      <c r="B81" s="18"/>
      <c r="C81" s="18"/>
      <c r="D81" s="18"/>
    </row>
    <row r="82" spans="1:4" x14ac:dyDescent="0.2">
      <c r="A82" s="18"/>
      <c r="B82" s="18"/>
      <c r="C82" s="18"/>
      <c r="D82" s="18"/>
    </row>
    <row r="83" spans="1:4" x14ac:dyDescent="0.2">
      <c r="A83" s="18"/>
      <c r="B83" s="18"/>
      <c r="C83" s="18"/>
      <c r="D83" s="18"/>
    </row>
    <row r="84" spans="1:4" x14ac:dyDescent="0.2">
      <c r="A84" s="18"/>
      <c r="B84" s="18"/>
      <c r="C84" s="18"/>
      <c r="D84" s="18"/>
    </row>
  </sheetData>
  <mergeCells count="7">
    <mergeCell ref="A7:C7"/>
    <mergeCell ref="A62:C62"/>
    <mergeCell ref="A61:C61"/>
    <mergeCell ref="A60:C60"/>
    <mergeCell ref="A51:C51"/>
    <mergeCell ref="A52:C52"/>
    <mergeCell ref="A53:C53"/>
  </mergeCells>
  <pageMargins left="1.1023622047244095" right="0.51181102362204722" top="0.98425196850393704" bottom="0.74803149606299213" header="0.31496062992125984" footer="0.31496062992125984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7"/>
  <dimension ref="A1:F53"/>
  <sheetViews>
    <sheetView view="pageLayout" topLeftCell="A50" zoomScaleNormal="100" workbookViewId="0">
      <selection activeCell="B57" sqref="B57"/>
    </sheetView>
  </sheetViews>
  <sheetFormatPr defaultColWidth="9.140625"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165" t="s">
        <v>214</v>
      </c>
      <c r="B1" s="151"/>
      <c r="C1" s="151"/>
    </row>
    <row r="2" spans="1:3" x14ac:dyDescent="0.2">
      <c r="A2" s="151"/>
      <c r="B2" s="151"/>
      <c r="C2" s="151"/>
    </row>
    <row r="3" spans="1:3" x14ac:dyDescent="0.2">
      <c r="A3" s="151" t="s">
        <v>183</v>
      </c>
      <c r="B3" s="151"/>
      <c r="C3" s="151"/>
    </row>
    <row r="4" spans="1:3" x14ac:dyDescent="0.2">
      <c r="A4" s="151" t="s">
        <v>179</v>
      </c>
      <c r="B4" s="151"/>
      <c r="C4" s="151"/>
    </row>
    <row r="5" spans="1:3" ht="25.5" customHeight="1" x14ac:dyDescent="0.2">
      <c r="A5" s="356" t="s">
        <v>223</v>
      </c>
      <c r="B5" s="356"/>
      <c r="C5" s="356"/>
    </row>
    <row r="6" spans="1:3" x14ac:dyDescent="0.2">
      <c r="A6" s="151" t="s">
        <v>180</v>
      </c>
      <c r="B6" s="151"/>
      <c r="C6" s="151"/>
    </row>
    <row r="7" spans="1:3" ht="26.25" customHeight="1" x14ac:dyDescent="0.2">
      <c r="A7" s="356" t="s">
        <v>181</v>
      </c>
      <c r="B7" s="356"/>
      <c r="C7" s="356"/>
    </row>
    <row r="8" spans="1:3" x14ac:dyDescent="0.2">
      <c r="A8" s="151" t="s">
        <v>182</v>
      </c>
      <c r="B8" s="151"/>
      <c r="C8" s="151"/>
    </row>
    <row r="9" spans="1:3" x14ac:dyDescent="0.2">
      <c r="A9" s="166" t="s">
        <v>215</v>
      </c>
      <c r="B9" s="151"/>
      <c r="C9" s="151"/>
    </row>
    <row r="10" spans="1:3" ht="13.5" thickBot="1" x14ac:dyDescent="0.25">
      <c r="A10" s="151"/>
      <c r="B10" s="151"/>
      <c r="C10" s="151"/>
    </row>
    <row r="11" spans="1:3" x14ac:dyDescent="0.2">
      <c r="A11" s="151"/>
      <c r="B11" s="357" t="s">
        <v>203</v>
      </c>
      <c r="C11" s="358"/>
    </row>
    <row r="12" spans="1:3" x14ac:dyDescent="0.2">
      <c r="A12" s="167"/>
      <c r="B12" s="168" t="s">
        <v>178</v>
      </c>
      <c r="C12" s="169"/>
    </row>
    <row r="13" spans="1:3" x14ac:dyDescent="0.2">
      <c r="A13" s="167"/>
      <c r="B13" s="170" t="s">
        <v>113</v>
      </c>
      <c r="C13" s="171">
        <v>2321</v>
      </c>
    </row>
    <row r="14" spans="1:3" x14ac:dyDescent="0.2">
      <c r="A14" s="167"/>
      <c r="B14" s="172" t="s">
        <v>114</v>
      </c>
      <c r="C14" s="171">
        <v>2360</v>
      </c>
    </row>
    <row r="15" spans="1:3" x14ac:dyDescent="0.2">
      <c r="A15" s="167"/>
      <c r="B15" s="173" t="s">
        <v>115</v>
      </c>
      <c r="C15" s="174">
        <v>40</v>
      </c>
    </row>
    <row r="16" spans="1:3" x14ac:dyDescent="0.2">
      <c r="A16" s="167"/>
      <c r="B16" s="173" t="s">
        <v>116</v>
      </c>
      <c r="C16" s="174">
        <v>1463</v>
      </c>
    </row>
    <row r="17" spans="1:5" x14ac:dyDescent="0.2">
      <c r="A17" s="167"/>
      <c r="B17" s="173" t="s">
        <v>117</v>
      </c>
      <c r="C17" s="174">
        <v>388</v>
      </c>
    </row>
    <row r="18" spans="1:5" x14ac:dyDescent="0.2">
      <c r="A18" s="167"/>
      <c r="B18" s="173" t="s">
        <v>118</v>
      </c>
      <c r="C18" s="174">
        <v>25</v>
      </c>
    </row>
    <row r="19" spans="1:5" x14ac:dyDescent="0.2">
      <c r="A19" s="167"/>
      <c r="B19" s="173" t="s">
        <v>119</v>
      </c>
      <c r="C19" s="174">
        <v>401</v>
      </c>
    </row>
    <row r="20" spans="1:5" x14ac:dyDescent="0.2">
      <c r="A20" s="167"/>
      <c r="B20" s="173" t="s">
        <v>120</v>
      </c>
      <c r="C20" s="174">
        <v>0</v>
      </c>
    </row>
    <row r="21" spans="1:5" x14ac:dyDescent="0.2">
      <c r="A21" s="167"/>
      <c r="B21" s="173" t="s">
        <v>121</v>
      </c>
      <c r="C21" s="174">
        <v>23</v>
      </c>
    </row>
    <row r="22" spans="1:5" x14ac:dyDescent="0.2">
      <c r="A22" s="167"/>
      <c r="B22" s="175" t="s">
        <v>122</v>
      </c>
      <c r="C22" s="176">
        <v>0</v>
      </c>
    </row>
    <row r="23" spans="1:5" x14ac:dyDescent="0.2">
      <c r="A23" s="167"/>
      <c r="B23" s="177" t="s">
        <v>258</v>
      </c>
      <c r="C23" s="176">
        <v>0</v>
      </c>
    </row>
    <row r="24" spans="1:5" x14ac:dyDescent="0.2">
      <c r="A24" s="167" t="s">
        <v>123</v>
      </c>
      <c r="B24" s="168" t="s">
        <v>124</v>
      </c>
      <c r="C24" s="169"/>
    </row>
    <row r="25" spans="1:5" x14ac:dyDescent="0.2">
      <c r="A25" s="167"/>
      <c r="B25" s="178" t="s">
        <v>269</v>
      </c>
      <c r="C25" s="179">
        <v>5183</v>
      </c>
    </row>
    <row r="26" spans="1:5" x14ac:dyDescent="0.2">
      <c r="A26" s="167"/>
      <c r="B26" s="173" t="s">
        <v>270</v>
      </c>
      <c r="C26" s="174">
        <v>4918</v>
      </c>
    </row>
    <row r="27" spans="1:5" x14ac:dyDescent="0.2">
      <c r="A27" s="151"/>
      <c r="B27" s="173" t="s">
        <v>271</v>
      </c>
      <c r="C27" s="180">
        <f>C13-C14</f>
        <v>-39</v>
      </c>
    </row>
    <row r="28" spans="1:5" x14ac:dyDescent="0.2">
      <c r="A28" s="151"/>
      <c r="B28" s="181"/>
      <c r="C28" s="182"/>
    </row>
    <row r="29" spans="1:5" s="12" customFormat="1" x14ac:dyDescent="0.2">
      <c r="A29" s="165"/>
      <c r="B29" s="170" t="s">
        <v>126</v>
      </c>
      <c r="C29" s="183">
        <f>MEDIAN(C25,C26)</f>
        <v>5050.5</v>
      </c>
    </row>
    <row r="30" spans="1:5" x14ac:dyDescent="0.2">
      <c r="A30" s="151"/>
      <c r="B30" s="172" t="s">
        <v>256</v>
      </c>
      <c r="C30" s="184">
        <f>C16/C29</f>
        <v>0.28967428967428965</v>
      </c>
    </row>
    <row r="31" spans="1:5" x14ac:dyDescent="0.2">
      <c r="A31" s="151"/>
      <c r="B31" s="172" t="s">
        <v>257</v>
      </c>
      <c r="C31" s="184">
        <f>MEDIAN(C13,C14)/C29</f>
        <v>0.46341946341946344</v>
      </c>
      <c r="E31" s="34"/>
    </row>
    <row r="32" spans="1:5" s="12" customFormat="1" x14ac:dyDescent="0.2">
      <c r="A32" s="165"/>
      <c r="B32" s="172" t="s">
        <v>220</v>
      </c>
      <c r="C32" s="185">
        <f>12/C31</f>
        <v>25.894466994232001</v>
      </c>
    </row>
    <row r="33" spans="1:3" x14ac:dyDescent="0.2">
      <c r="A33" s="151"/>
      <c r="B33" s="172" t="s">
        <v>125</v>
      </c>
      <c r="C33" s="186">
        <v>360</v>
      </c>
    </row>
    <row r="34" spans="1:3" x14ac:dyDescent="0.2">
      <c r="A34" s="151"/>
      <c r="B34" s="172" t="s">
        <v>216</v>
      </c>
      <c r="C34" s="186">
        <v>10</v>
      </c>
    </row>
    <row r="35" spans="1:3" x14ac:dyDescent="0.2">
      <c r="A35" s="151"/>
      <c r="B35" s="170" t="s">
        <v>217</v>
      </c>
      <c r="C35" s="187">
        <v>30</v>
      </c>
    </row>
    <row r="36" spans="1:3" x14ac:dyDescent="0.2">
      <c r="A36" s="151"/>
      <c r="B36" s="170" t="s">
        <v>218</v>
      </c>
      <c r="C36" s="187">
        <v>30</v>
      </c>
    </row>
    <row r="37" spans="1:3" s="12" customFormat="1" x14ac:dyDescent="0.2">
      <c r="A37" s="165"/>
      <c r="B37" s="170" t="s">
        <v>128</v>
      </c>
      <c r="C37" s="187">
        <f>30+(3*TRUNC(1/C31))</f>
        <v>36</v>
      </c>
    </row>
    <row r="38" spans="1:3" s="12" customFormat="1" x14ac:dyDescent="0.2">
      <c r="A38" s="165"/>
      <c r="B38" s="172" t="s">
        <v>40</v>
      </c>
      <c r="C38" s="188">
        <v>0.08</v>
      </c>
    </row>
    <row r="39" spans="1:3" s="12" customFormat="1" ht="13.5" thickBot="1" x14ac:dyDescent="0.25">
      <c r="A39" s="165"/>
      <c r="B39" s="189" t="s">
        <v>127</v>
      </c>
      <c r="C39" s="190">
        <v>0.5</v>
      </c>
    </row>
    <row r="43" spans="1:3" x14ac:dyDescent="0.2">
      <c r="A43" s="165"/>
      <c r="B43" s="287">
        <f>'Coleta Orgânica'!D255</f>
        <v>0</v>
      </c>
      <c r="C43" s="165"/>
    </row>
    <row r="44" spans="1:3" x14ac:dyDescent="0.2">
      <c r="A44" s="165"/>
      <c r="B44" s="165"/>
      <c r="C44" s="165"/>
    </row>
    <row r="45" spans="1:3" x14ac:dyDescent="0.2">
      <c r="A45" s="165"/>
      <c r="B45" s="165"/>
      <c r="C45" s="165"/>
    </row>
    <row r="46" spans="1:3" x14ac:dyDescent="0.2">
      <c r="A46" s="165"/>
      <c r="B46" s="165"/>
      <c r="C46" s="165"/>
    </row>
    <row r="47" spans="1:3" x14ac:dyDescent="0.2">
      <c r="A47" s="165"/>
      <c r="B47" s="165"/>
      <c r="C47" s="165"/>
    </row>
    <row r="48" spans="1:3" x14ac:dyDescent="0.2">
      <c r="A48" s="165"/>
      <c r="B48" s="165"/>
      <c r="C48" s="165"/>
    </row>
    <row r="49" spans="1:6" x14ac:dyDescent="0.2">
      <c r="A49" s="165"/>
      <c r="B49" s="165"/>
      <c r="C49" s="165"/>
    </row>
    <row r="50" spans="1:6" x14ac:dyDescent="0.2">
      <c r="A50" s="165"/>
      <c r="B50" s="165"/>
      <c r="C50" s="165"/>
    </row>
    <row r="51" spans="1:6" x14ac:dyDescent="0.2">
      <c r="A51" s="319">
        <f>'Coleta Orgânica'!A261:F261</f>
        <v>0</v>
      </c>
      <c r="B51" s="319"/>
      <c r="C51" s="319"/>
      <c r="D51" s="5"/>
      <c r="E51" s="5"/>
      <c r="F51" s="5"/>
    </row>
    <row r="52" spans="1:6" x14ac:dyDescent="0.2">
      <c r="A52" s="319">
        <f>'Coleta Orgânica'!A262:F262</f>
        <v>0</v>
      </c>
      <c r="B52" s="319"/>
      <c r="C52" s="319"/>
      <c r="D52" s="259"/>
      <c r="E52" s="259"/>
      <c r="F52" s="259"/>
    </row>
    <row r="53" spans="1:6" x14ac:dyDescent="0.2">
      <c r="A53" s="319">
        <f>'Coleta Orgânica'!A263:F263</f>
        <v>0</v>
      </c>
      <c r="B53" s="319"/>
      <c r="C53" s="319"/>
      <c r="D53" s="259"/>
      <c r="E53" s="259"/>
      <c r="F53" s="259"/>
    </row>
  </sheetData>
  <mergeCells count="6">
    <mergeCell ref="A5:C5"/>
    <mergeCell ref="A51:C51"/>
    <mergeCell ref="A52:C52"/>
    <mergeCell ref="A53:C53"/>
    <mergeCell ref="B11:C11"/>
    <mergeCell ref="A7:C7"/>
  </mergeCells>
  <pageMargins left="0.9055118110236221" right="0.51181102362204722" top="0.98425196850393704" bottom="0.74803149606299213" header="0.31496062992125984" footer="0.31496062992125984"/>
  <pageSetup paperSize="9" scale="98" orientation="portrait" verticalDpi="597" r:id="rId1"/>
  <headerFooter>
    <oddFooter xml:space="preserve">&amp;C&amp;"-,Negrito itálico"&amp;9______________________________________________________________________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8"/>
  <dimension ref="A1:H50"/>
  <sheetViews>
    <sheetView view="pageLayout" topLeftCell="A49" zoomScaleNormal="100" workbookViewId="0">
      <selection activeCell="D60" sqref="D60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3" bestFit="1" customWidth="1"/>
    <col min="6" max="6" width="9.7109375" bestFit="1" customWidth="1"/>
  </cols>
  <sheetData>
    <row r="1" spans="1:8" s="15" customFormat="1" ht="14.25" x14ac:dyDescent="0.2">
      <c r="A1" s="37"/>
      <c r="B1" s="191"/>
      <c r="C1" s="191"/>
      <c r="D1" s="151"/>
      <c r="E1" s="192"/>
      <c r="F1" s="151"/>
    </row>
    <row r="2" spans="1:8" s="15" customFormat="1" ht="14.25" x14ac:dyDescent="0.2">
      <c r="A2" s="41"/>
      <c r="B2" s="191"/>
      <c r="C2" s="191"/>
      <c r="D2" s="151"/>
      <c r="E2" s="192"/>
      <c r="F2" s="151"/>
    </row>
    <row r="3" spans="1:8" s="15" customFormat="1" ht="14.25" x14ac:dyDescent="0.2">
      <c r="A3" s="38"/>
      <c r="B3" s="191"/>
      <c r="C3" s="191"/>
      <c r="D3" s="151"/>
      <c r="E3" s="192"/>
      <c r="F3" s="151"/>
    </row>
    <row r="4" spans="1:8" s="15" customFormat="1" ht="14.25" x14ac:dyDescent="0.2">
      <c r="A4" s="38"/>
      <c r="B4" s="191"/>
      <c r="C4" s="191"/>
      <c r="D4" s="151"/>
      <c r="E4" s="192"/>
      <c r="F4" s="151"/>
    </row>
    <row r="5" spans="1:8" s="2" customFormat="1" ht="15.6" customHeight="1" x14ac:dyDescent="0.2">
      <c r="A5" s="40"/>
      <c r="B5" s="41"/>
      <c r="C5" s="41"/>
      <c r="D5" s="41"/>
      <c r="E5" s="41"/>
      <c r="F5" s="41"/>
      <c r="G5" s="3"/>
    </row>
    <row r="6" spans="1:8" s="2" customFormat="1" ht="16.5" customHeight="1" x14ac:dyDescent="0.2">
      <c r="A6" s="40"/>
      <c r="B6" s="43"/>
      <c r="C6" s="43"/>
      <c r="D6" s="39"/>
      <c r="E6" s="39"/>
      <c r="F6" s="39"/>
      <c r="G6" s="3"/>
    </row>
    <row r="7" spans="1:8" s="15" customFormat="1" ht="15" thickBot="1" x14ac:dyDescent="0.25">
      <c r="A7" s="151"/>
      <c r="B7" s="191"/>
      <c r="C7" s="191"/>
      <c r="D7" s="151"/>
      <c r="E7" s="192"/>
      <c r="F7" s="151"/>
    </row>
    <row r="8" spans="1:8" x14ac:dyDescent="0.2">
      <c r="A8" s="362" t="s">
        <v>204</v>
      </c>
      <c r="B8" s="363"/>
      <c r="C8" s="363"/>
      <c r="D8" s="363"/>
      <c r="E8" s="363"/>
      <c r="F8" s="364"/>
    </row>
    <row r="9" spans="1:8" ht="13.5" thickBot="1" x14ac:dyDescent="0.25">
      <c r="A9" s="193"/>
      <c r="B9" s="194"/>
      <c r="C9" s="194"/>
      <c r="D9" s="194"/>
      <c r="E9" s="194"/>
      <c r="F9" s="195"/>
    </row>
    <row r="10" spans="1:8" ht="14.25" x14ac:dyDescent="0.2">
      <c r="A10" s="196"/>
      <c r="B10" s="197"/>
      <c r="C10" s="197"/>
      <c r="D10" s="359" t="s">
        <v>219</v>
      </c>
      <c r="E10" s="360"/>
      <c r="F10" s="361"/>
      <c r="G10" s="15"/>
      <c r="H10" s="15"/>
    </row>
    <row r="11" spans="1:8" ht="15" thickBot="1" x14ac:dyDescent="0.25">
      <c r="A11" s="181"/>
      <c r="B11" s="167"/>
      <c r="C11" s="167"/>
      <c r="D11" s="198" t="s">
        <v>165</v>
      </c>
      <c r="E11" s="199" t="s">
        <v>166</v>
      </c>
      <c r="F11" s="200" t="s">
        <v>167</v>
      </c>
      <c r="G11" s="15"/>
      <c r="H11" s="15"/>
    </row>
    <row r="12" spans="1:8" ht="14.25" x14ac:dyDescent="0.2">
      <c r="A12" s="201" t="s">
        <v>71</v>
      </c>
      <c r="B12" s="202" t="s">
        <v>72</v>
      </c>
      <c r="C12" s="203">
        <v>3.5000000000000003E-2</v>
      </c>
      <c r="D12" s="204">
        <v>2.9700000000000001E-2</v>
      </c>
      <c r="E12" s="205">
        <v>5.0799999999999998E-2</v>
      </c>
      <c r="F12" s="206">
        <v>6.2700000000000006E-2</v>
      </c>
      <c r="G12" s="15"/>
      <c r="H12" s="15"/>
    </row>
    <row r="13" spans="1:8" ht="14.25" x14ac:dyDescent="0.2">
      <c r="A13" s="207" t="s">
        <v>73</v>
      </c>
      <c r="B13" s="127" t="s">
        <v>74</v>
      </c>
      <c r="C13" s="208">
        <v>0.01</v>
      </c>
      <c r="D13" s="204">
        <f>0.3%+0.56%</f>
        <v>8.6E-3</v>
      </c>
      <c r="E13" s="205">
        <f>0.48%+0.85%</f>
        <v>1.3299999999999999E-2</v>
      </c>
      <c r="F13" s="206">
        <f>0.82%+0.89%</f>
        <v>1.7099999999999997E-2</v>
      </c>
      <c r="G13" s="15"/>
      <c r="H13" s="15"/>
    </row>
    <row r="14" spans="1:8" ht="14.25" x14ac:dyDescent="0.2">
      <c r="A14" s="207" t="s">
        <v>75</v>
      </c>
      <c r="B14" s="127" t="s">
        <v>76</v>
      </c>
      <c r="C14" s="208">
        <v>0.12</v>
      </c>
      <c r="D14" s="204">
        <v>7.7799999999999994E-2</v>
      </c>
      <c r="E14" s="205">
        <v>0.1085</v>
      </c>
      <c r="F14" s="206">
        <v>0.13550000000000001</v>
      </c>
      <c r="G14" s="15"/>
      <c r="H14" s="15"/>
    </row>
    <row r="15" spans="1:8" ht="14.25" x14ac:dyDescent="0.2">
      <c r="A15" s="207" t="s">
        <v>77</v>
      </c>
      <c r="B15" s="127" t="s">
        <v>78</v>
      </c>
      <c r="C15" s="209">
        <f>(1+E15)^(E16/252)-1</f>
        <v>3.7893113471101358E-3</v>
      </c>
      <c r="D15" s="204" t="s">
        <v>251</v>
      </c>
      <c r="E15" s="210">
        <v>0.1</v>
      </c>
      <c r="F15" s="211"/>
      <c r="G15" s="15"/>
      <c r="H15" s="15"/>
    </row>
    <row r="16" spans="1:8" ht="14.25" x14ac:dyDescent="0.2">
      <c r="A16" s="207" t="s">
        <v>266</v>
      </c>
      <c r="B16" s="365" t="s">
        <v>79</v>
      </c>
      <c r="C16" s="208">
        <v>0.03</v>
      </c>
      <c r="D16" s="212" t="s">
        <v>168</v>
      </c>
      <c r="E16" s="213">
        <v>10</v>
      </c>
      <c r="F16" s="214"/>
      <c r="G16" s="15"/>
      <c r="H16" s="15"/>
    </row>
    <row r="17" spans="1:8" ht="15" thickBot="1" x14ac:dyDescent="0.25">
      <c r="A17" s="207" t="s">
        <v>267</v>
      </c>
      <c r="B17" s="366"/>
      <c r="C17" s="254">
        <v>3.6499999999999998E-2</v>
      </c>
      <c r="D17" s="212"/>
      <c r="E17" s="253"/>
      <c r="F17" s="214"/>
      <c r="G17" s="15"/>
      <c r="H17" s="15"/>
    </row>
    <row r="18" spans="1:8" ht="14.25" x14ac:dyDescent="0.2">
      <c r="A18" s="215" t="s">
        <v>80</v>
      </c>
      <c r="B18" s="216"/>
      <c r="C18" s="217"/>
      <c r="D18" s="173"/>
      <c r="E18" s="109"/>
      <c r="F18" s="214"/>
      <c r="G18" s="15"/>
      <c r="H18" s="15"/>
    </row>
    <row r="19" spans="1:8" ht="15" thickBot="1" x14ac:dyDescent="0.25">
      <c r="A19" s="218" t="s">
        <v>81</v>
      </c>
      <c r="B19" s="219"/>
      <c r="C19" s="220"/>
      <c r="D19" s="173"/>
      <c r="E19" s="109"/>
      <c r="F19" s="214"/>
      <c r="G19" s="15"/>
      <c r="H19" s="15"/>
    </row>
    <row r="20" spans="1:8" ht="15" thickBot="1" x14ac:dyDescent="0.25">
      <c r="A20" s="221" t="s">
        <v>82</v>
      </c>
      <c r="B20" s="222"/>
      <c r="C20" s="223">
        <f>ROUND((((1+C12+C13)*(1+C14)*(1+C15))/(1-(C16+C17))-1),4)</f>
        <v>0.25850000000000001</v>
      </c>
      <c r="D20" s="224">
        <v>0.21429999999999999</v>
      </c>
      <c r="E20" s="225">
        <v>0.2717</v>
      </c>
      <c r="F20" s="226">
        <v>0.3362</v>
      </c>
      <c r="G20" s="15"/>
      <c r="H20" s="15"/>
    </row>
    <row r="21" spans="1:8" ht="14.25" x14ac:dyDescent="0.2">
      <c r="A21" s="15"/>
      <c r="B21" s="15"/>
      <c r="C21" s="15"/>
      <c r="D21" s="15"/>
      <c r="E21" s="16"/>
      <c r="F21" s="15"/>
      <c r="G21" s="15"/>
      <c r="H21" s="15"/>
    </row>
    <row r="22" spans="1:8" ht="14.25" x14ac:dyDescent="0.2">
      <c r="A22" s="15"/>
      <c r="B22" s="15"/>
      <c r="C22" s="15"/>
      <c r="D22" s="15"/>
      <c r="E22" s="16"/>
      <c r="F22" s="15"/>
      <c r="G22" s="15"/>
      <c r="H22" s="15"/>
    </row>
    <row r="23" spans="1:8" ht="14.25" x14ac:dyDescent="0.2">
      <c r="A23" s="15"/>
      <c r="B23" s="15"/>
      <c r="C23" s="15"/>
      <c r="D23" s="15"/>
      <c r="E23" s="16"/>
      <c r="F23" s="15"/>
      <c r="G23" s="15"/>
      <c r="H23" s="15"/>
    </row>
    <row r="24" spans="1:8" ht="14.25" x14ac:dyDescent="0.2">
      <c r="A24" s="15"/>
      <c r="B24" s="15"/>
      <c r="C24" s="15"/>
      <c r="D24" s="15"/>
      <c r="E24" s="16"/>
      <c r="F24" s="15"/>
      <c r="G24" s="15"/>
      <c r="H24" s="15"/>
    </row>
    <row r="25" spans="1:8" ht="14.25" x14ac:dyDescent="0.2">
      <c r="A25" s="15"/>
      <c r="B25" s="15"/>
      <c r="C25" s="15"/>
      <c r="D25" s="15"/>
      <c r="E25" s="16"/>
      <c r="F25" s="15"/>
      <c r="G25" s="15"/>
      <c r="H25" s="15"/>
    </row>
    <row r="26" spans="1:8" ht="14.25" x14ac:dyDescent="0.2">
      <c r="A26" s="165"/>
      <c r="B26" s="165"/>
      <c r="C26" s="165"/>
      <c r="D26" s="165"/>
      <c r="E26" s="288"/>
      <c r="F26" s="165"/>
      <c r="G26" s="15"/>
      <c r="H26" s="15"/>
    </row>
    <row r="27" spans="1:8" ht="14.25" x14ac:dyDescent="0.2">
      <c r="A27" s="165"/>
      <c r="B27" s="165"/>
      <c r="C27" s="165">
        <f>'Coleta Orgânica'!D255</f>
        <v>0</v>
      </c>
      <c r="D27" s="165"/>
      <c r="E27" s="288"/>
      <c r="F27" s="165"/>
      <c r="G27" s="15"/>
      <c r="H27" s="15"/>
    </row>
    <row r="28" spans="1:8" ht="14.25" x14ac:dyDescent="0.2">
      <c r="A28" s="165"/>
      <c r="B28" s="165"/>
      <c r="C28" s="165"/>
      <c r="D28" s="165"/>
      <c r="E28" s="288"/>
      <c r="F28" s="165"/>
      <c r="G28" s="15"/>
      <c r="H28" s="15"/>
    </row>
    <row r="29" spans="1:8" ht="14.25" x14ac:dyDescent="0.2">
      <c r="A29" s="165"/>
      <c r="B29" s="165"/>
      <c r="C29" s="165"/>
      <c r="D29" s="165"/>
      <c r="E29" s="288"/>
      <c r="F29" s="165"/>
      <c r="G29" s="15"/>
      <c r="H29" s="15"/>
    </row>
    <row r="30" spans="1:8" ht="14.25" x14ac:dyDescent="0.2">
      <c r="A30" s="165"/>
      <c r="B30" s="165"/>
      <c r="C30" s="165"/>
      <c r="D30" s="165"/>
      <c r="E30" s="288"/>
      <c r="F30" s="165"/>
      <c r="G30" s="15"/>
      <c r="H30" s="15"/>
    </row>
    <row r="31" spans="1:8" ht="14.25" x14ac:dyDescent="0.2">
      <c r="A31" s="165"/>
      <c r="B31" s="165"/>
      <c r="C31" s="165"/>
      <c r="D31" s="165"/>
      <c r="E31" s="288"/>
      <c r="F31" s="165"/>
      <c r="G31" s="15"/>
      <c r="H31" s="15"/>
    </row>
    <row r="32" spans="1:8" ht="14.25" x14ac:dyDescent="0.2">
      <c r="A32" s="165"/>
      <c r="B32" s="165"/>
      <c r="C32" s="165"/>
      <c r="D32" s="165"/>
      <c r="E32" s="288"/>
      <c r="F32" s="165"/>
      <c r="G32" s="15"/>
      <c r="H32" s="15"/>
    </row>
    <row r="33" spans="1:8" ht="14.25" x14ac:dyDescent="0.2">
      <c r="A33" s="165"/>
      <c r="B33" s="165"/>
      <c r="C33" s="165"/>
      <c r="D33" s="165"/>
      <c r="E33" s="288"/>
      <c r="F33" s="165"/>
      <c r="G33" s="15"/>
      <c r="H33" s="15"/>
    </row>
    <row r="34" spans="1:8" ht="14.25" x14ac:dyDescent="0.2">
      <c r="A34" s="165"/>
      <c r="B34" s="165"/>
      <c r="C34" s="165"/>
      <c r="D34" s="165"/>
      <c r="E34" s="288"/>
      <c r="F34" s="165"/>
      <c r="G34" s="15"/>
      <c r="H34" s="15"/>
    </row>
    <row r="35" spans="1:8" ht="14.25" x14ac:dyDescent="0.2">
      <c r="A35" s="165"/>
      <c r="B35" s="165"/>
      <c r="C35" s="165"/>
      <c r="D35" s="165"/>
      <c r="E35" s="288"/>
      <c r="F35" s="165"/>
      <c r="G35" s="15"/>
      <c r="H35" s="15"/>
    </row>
    <row r="36" spans="1:8" ht="14.25" x14ac:dyDescent="0.2">
      <c r="A36" s="165"/>
      <c r="B36" s="165"/>
      <c r="C36" s="165"/>
      <c r="D36" s="165"/>
      <c r="E36" s="288"/>
      <c r="F36" s="165"/>
      <c r="G36" s="15"/>
      <c r="H36" s="15"/>
    </row>
    <row r="37" spans="1:8" ht="14.25" x14ac:dyDescent="0.2">
      <c r="A37" s="165"/>
      <c r="B37" s="165"/>
      <c r="C37" s="165"/>
      <c r="D37" s="165"/>
      <c r="E37" s="288"/>
      <c r="F37" s="165"/>
      <c r="G37" s="15"/>
      <c r="H37" s="15"/>
    </row>
    <row r="38" spans="1:8" ht="14.25" x14ac:dyDescent="0.2">
      <c r="A38" s="165"/>
      <c r="B38" s="165"/>
      <c r="C38" s="165"/>
      <c r="D38" s="165"/>
      <c r="E38" s="288"/>
      <c r="F38" s="165"/>
      <c r="G38" s="15"/>
      <c r="H38" s="15"/>
    </row>
    <row r="39" spans="1:8" ht="14.25" x14ac:dyDescent="0.2">
      <c r="A39" s="165"/>
      <c r="B39" s="165"/>
      <c r="C39" s="165"/>
      <c r="D39" s="165"/>
      <c r="E39" s="288"/>
      <c r="F39" s="165"/>
      <c r="G39" s="15"/>
      <c r="H39" s="15"/>
    </row>
    <row r="40" spans="1:8" ht="14.25" x14ac:dyDescent="0.2">
      <c r="A40" s="165"/>
      <c r="B40" s="165"/>
      <c r="C40" s="165"/>
      <c r="D40" s="165"/>
      <c r="E40" s="288"/>
      <c r="F40" s="165"/>
      <c r="G40" s="15"/>
      <c r="H40" s="15"/>
    </row>
    <row r="41" spans="1:8" ht="14.25" x14ac:dyDescent="0.2">
      <c r="A41" s="165"/>
      <c r="B41" s="165"/>
      <c r="C41" s="165"/>
      <c r="D41" s="165"/>
      <c r="E41" s="288"/>
      <c r="F41" s="165"/>
      <c r="G41" s="15"/>
      <c r="H41" s="15"/>
    </row>
    <row r="42" spans="1:8" ht="14.25" x14ac:dyDescent="0.2">
      <c r="A42" s="165"/>
      <c r="B42" s="165"/>
      <c r="C42" s="165"/>
      <c r="D42" s="165"/>
      <c r="E42" s="288"/>
      <c r="F42" s="165"/>
      <c r="G42" s="15"/>
      <c r="H42" s="15"/>
    </row>
    <row r="43" spans="1:8" ht="14.25" x14ac:dyDescent="0.2">
      <c r="A43" s="165"/>
      <c r="B43" s="165"/>
      <c r="C43" s="165"/>
      <c r="D43" s="165"/>
      <c r="E43" s="288"/>
      <c r="F43" s="165"/>
      <c r="G43" s="15"/>
      <c r="H43" s="15"/>
    </row>
    <row r="44" spans="1:8" ht="14.25" x14ac:dyDescent="0.2">
      <c r="A44" s="165"/>
      <c r="B44" s="165"/>
      <c r="C44" s="165"/>
      <c r="D44" s="165"/>
      <c r="E44" s="288"/>
      <c r="F44" s="165"/>
      <c r="G44" s="15"/>
      <c r="H44" s="15"/>
    </row>
    <row r="45" spans="1:8" ht="14.25" x14ac:dyDescent="0.2">
      <c r="A45" s="165"/>
      <c r="B45" s="165"/>
      <c r="C45" s="165"/>
      <c r="D45" s="165"/>
      <c r="E45" s="288"/>
      <c r="F45" s="165"/>
      <c r="G45" s="15"/>
      <c r="H45" s="15"/>
    </row>
    <row r="46" spans="1:8" x14ac:dyDescent="0.2">
      <c r="A46" s="165"/>
      <c r="B46" s="165"/>
      <c r="C46" s="165"/>
      <c r="D46" s="165"/>
      <c r="E46" s="288"/>
      <c r="F46" s="165"/>
    </row>
    <row r="47" spans="1:8" x14ac:dyDescent="0.2">
      <c r="A47" s="165"/>
      <c r="B47" s="165"/>
      <c r="C47" s="165"/>
      <c r="D47" s="165"/>
      <c r="E47" s="288"/>
      <c r="F47" s="165"/>
    </row>
    <row r="48" spans="1:8" x14ac:dyDescent="0.2">
      <c r="A48" s="319">
        <f>'Coleta Orgânica'!A261:F261</f>
        <v>0</v>
      </c>
      <c r="B48" s="319"/>
      <c r="C48" s="319"/>
      <c r="D48" s="319"/>
      <c r="E48" s="319"/>
      <c r="F48" s="319"/>
    </row>
    <row r="49" spans="1:6" x14ac:dyDescent="0.2">
      <c r="A49" s="319">
        <f>'Coleta Orgânica'!A262:F262</f>
        <v>0</v>
      </c>
      <c r="B49" s="319"/>
      <c r="C49" s="319"/>
      <c r="D49" s="319"/>
      <c r="E49" s="319"/>
      <c r="F49" s="319"/>
    </row>
    <row r="50" spans="1:6" x14ac:dyDescent="0.2">
      <c r="A50" s="319">
        <f>'Coleta Orgânica'!A263:F263</f>
        <v>0</v>
      </c>
      <c r="B50" s="319"/>
      <c r="C50" s="319"/>
      <c r="D50" s="319"/>
      <c r="E50" s="319"/>
      <c r="F50" s="319"/>
    </row>
  </sheetData>
  <mergeCells count="6">
    <mergeCell ref="A50:F50"/>
    <mergeCell ref="D10:F10"/>
    <mergeCell ref="A8:F8"/>
    <mergeCell ref="B16:B17"/>
    <mergeCell ref="A48:F48"/>
    <mergeCell ref="A49:F49"/>
  </mergeCells>
  <pageMargins left="1.1023622047244095" right="0.31496062992125984" top="0.98425196850393704" bottom="0.74803149606299213" header="0.31496062992125984" footer="0.31496062992125984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9"/>
  <dimension ref="A2:H36"/>
  <sheetViews>
    <sheetView view="pageLayout" topLeftCell="A22" zoomScaleNormal="100" workbookViewId="0">
      <selection activeCell="D42" sqref="D42"/>
    </sheetView>
  </sheetViews>
  <sheetFormatPr defaultColWidth="9.140625" defaultRowHeight="19.5" customHeight="1" x14ac:dyDescent="0.2"/>
  <cols>
    <col min="1" max="2" width="9.140625" style="1"/>
    <col min="3" max="3" width="24.5703125" style="1" customWidth="1"/>
    <col min="4" max="4" width="20.85546875" style="1" customWidth="1"/>
    <col min="5" max="16384" width="9.140625" style="1"/>
  </cols>
  <sheetData>
    <row r="2" spans="3:4" ht="19.5" customHeight="1" thickBot="1" x14ac:dyDescent="0.25"/>
    <row r="3" spans="3:4" ht="19.5" customHeight="1" thickBot="1" x14ac:dyDescent="0.25">
      <c r="C3" s="367" t="s">
        <v>206</v>
      </c>
      <c r="D3" s="368"/>
    </row>
    <row r="4" spans="3:4" s="12" customFormat="1" ht="19.5" customHeight="1" x14ac:dyDescent="0.2">
      <c r="C4" s="227" t="s">
        <v>184</v>
      </c>
      <c r="D4" s="228" t="s">
        <v>252</v>
      </c>
    </row>
    <row r="5" spans="3:4" ht="19.5" customHeight="1" x14ac:dyDescent="0.2">
      <c r="C5" s="229">
        <v>1</v>
      </c>
      <c r="D5" s="230">
        <v>33.629999999999995</v>
      </c>
    </row>
    <row r="6" spans="3:4" ht="19.5" customHeight="1" x14ac:dyDescent="0.2">
      <c r="C6" s="229">
        <v>2</v>
      </c>
      <c r="D6" s="230">
        <v>43.13</v>
      </c>
    </row>
    <row r="7" spans="3:4" ht="19.5" customHeight="1" x14ac:dyDescent="0.2">
      <c r="C7" s="229">
        <v>3</v>
      </c>
      <c r="D7" s="230">
        <v>48.68</v>
      </c>
    </row>
    <row r="8" spans="3:4" ht="19.5" customHeight="1" x14ac:dyDescent="0.2">
      <c r="C8" s="229">
        <v>4</v>
      </c>
      <c r="D8" s="230">
        <v>52.62</v>
      </c>
    </row>
    <row r="9" spans="3:4" ht="19.5" customHeight="1" x14ac:dyDescent="0.2">
      <c r="C9" s="229">
        <v>5</v>
      </c>
      <c r="D9" s="230">
        <v>55.679999999999993</v>
      </c>
    </row>
    <row r="10" spans="3:4" ht="19.5" customHeight="1" x14ac:dyDescent="0.2">
      <c r="C10" s="229">
        <v>6</v>
      </c>
      <c r="D10" s="230">
        <v>58.18</v>
      </c>
    </row>
    <row r="11" spans="3:4" ht="19.5" customHeight="1" x14ac:dyDescent="0.2">
      <c r="C11" s="229">
        <v>7</v>
      </c>
      <c r="D11" s="230">
        <v>60.29</v>
      </c>
    </row>
    <row r="12" spans="3:4" ht="19.5" customHeight="1" x14ac:dyDescent="0.2">
      <c r="C12" s="229">
        <v>8</v>
      </c>
      <c r="D12" s="230">
        <v>62.12</v>
      </c>
    </row>
    <row r="13" spans="3:4" ht="19.5" customHeight="1" x14ac:dyDescent="0.2">
      <c r="C13" s="229">
        <v>9</v>
      </c>
      <c r="D13" s="230">
        <v>63.73</v>
      </c>
    </row>
    <row r="14" spans="3:4" ht="19.5" customHeight="1" x14ac:dyDescent="0.2">
      <c r="C14" s="229">
        <v>10</v>
      </c>
      <c r="D14" s="230">
        <v>65.180000000000007</v>
      </c>
    </row>
    <row r="15" spans="3:4" ht="19.5" customHeight="1" x14ac:dyDescent="0.2">
      <c r="C15" s="229">
        <v>11</v>
      </c>
      <c r="D15" s="230">
        <v>66.47999999999999</v>
      </c>
    </row>
    <row r="16" spans="3:4" ht="19.5" customHeight="1" x14ac:dyDescent="0.2">
      <c r="C16" s="229">
        <v>12</v>
      </c>
      <c r="D16" s="230">
        <v>67.67</v>
      </c>
    </row>
    <row r="17" spans="1:6" ht="19.5" customHeight="1" x14ac:dyDescent="0.2">
      <c r="C17" s="229">
        <v>13</v>
      </c>
      <c r="D17" s="230">
        <v>68.77</v>
      </c>
    </row>
    <row r="18" spans="1:6" ht="19.5" customHeight="1" x14ac:dyDescent="0.2">
      <c r="C18" s="229">
        <v>14</v>
      </c>
      <c r="D18" s="230">
        <v>69.789999999999992</v>
      </c>
    </row>
    <row r="19" spans="1:6" ht="19.5" customHeight="1" thickBot="1" x14ac:dyDescent="0.25">
      <c r="C19" s="231">
        <v>15</v>
      </c>
      <c r="D19" s="232">
        <v>70.73</v>
      </c>
    </row>
    <row r="23" spans="1:6" ht="19.5" customHeight="1" x14ac:dyDescent="0.2">
      <c r="A23" s="165"/>
      <c r="B23" s="165"/>
      <c r="C23" s="165"/>
      <c r="D23" s="165">
        <f>'Coleta Orgânica'!D255</f>
        <v>0</v>
      </c>
      <c r="E23" s="165"/>
      <c r="F23" s="165"/>
    </row>
    <row r="24" spans="1:6" ht="19.5" customHeight="1" x14ac:dyDescent="0.2">
      <c r="A24" s="165"/>
      <c r="B24" s="165"/>
      <c r="C24" s="165"/>
      <c r="D24" s="165"/>
      <c r="E24" s="165"/>
      <c r="F24" s="165"/>
    </row>
    <row r="25" spans="1:6" ht="19.5" customHeight="1" x14ac:dyDescent="0.2">
      <c r="A25" s="165"/>
      <c r="B25" s="165"/>
      <c r="C25" s="165"/>
      <c r="D25" s="165"/>
      <c r="E25" s="165"/>
      <c r="F25" s="165"/>
    </row>
    <row r="26" spans="1:6" ht="19.5" customHeight="1" x14ac:dyDescent="0.2">
      <c r="A26" s="165"/>
      <c r="B26" s="165"/>
      <c r="C26" s="165"/>
      <c r="D26" s="165"/>
      <c r="E26" s="165"/>
      <c r="F26" s="165"/>
    </row>
    <row r="27" spans="1:6" ht="19.5" customHeight="1" x14ac:dyDescent="0.2">
      <c r="A27" s="165"/>
      <c r="B27" s="165"/>
      <c r="C27" s="165"/>
      <c r="D27" s="165"/>
      <c r="E27" s="165"/>
      <c r="F27" s="165"/>
    </row>
    <row r="28" spans="1:6" ht="19.5" customHeight="1" x14ac:dyDescent="0.2">
      <c r="A28" s="165"/>
      <c r="B28" s="165"/>
      <c r="C28" s="165"/>
      <c r="D28" s="165"/>
      <c r="E28" s="165"/>
      <c r="F28" s="165"/>
    </row>
    <row r="29" spans="1:6" ht="19.5" customHeight="1" x14ac:dyDescent="0.2">
      <c r="A29" s="165"/>
      <c r="B29" s="165"/>
      <c r="C29" s="165"/>
      <c r="D29" s="165"/>
      <c r="E29" s="165"/>
      <c r="F29" s="165"/>
    </row>
    <row r="30" spans="1:6" ht="19.5" customHeight="1" x14ac:dyDescent="0.2">
      <c r="A30" s="165"/>
      <c r="B30" s="165"/>
      <c r="C30" s="165"/>
      <c r="D30" s="165"/>
      <c r="E30" s="165"/>
      <c r="F30" s="165"/>
    </row>
    <row r="31" spans="1:6" ht="19.5" customHeight="1" x14ac:dyDescent="0.2">
      <c r="A31" s="165"/>
      <c r="B31" s="165"/>
      <c r="C31" s="165"/>
      <c r="D31" s="165"/>
      <c r="E31" s="165"/>
      <c r="F31" s="165"/>
    </row>
    <row r="32" spans="1:6" ht="19.5" customHeight="1" x14ac:dyDescent="0.2">
      <c r="A32" s="165"/>
      <c r="B32" s="165"/>
      <c r="C32" s="165"/>
      <c r="D32" s="165"/>
      <c r="E32" s="165"/>
      <c r="F32" s="165"/>
    </row>
    <row r="33" spans="1:8" ht="19.5" customHeight="1" x14ac:dyDescent="0.2">
      <c r="A33" s="165"/>
      <c r="B33" s="165"/>
      <c r="C33" s="165"/>
      <c r="D33" s="165"/>
      <c r="E33" s="165"/>
      <c r="F33" s="165"/>
    </row>
    <row r="34" spans="1:8" ht="19.5" customHeight="1" x14ac:dyDescent="0.2">
      <c r="A34" s="319">
        <f>'Coleta Orgânica'!A261:F261</f>
        <v>0</v>
      </c>
      <c r="B34" s="319"/>
      <c r="C34" s="319"/>
      <c r="D34" s="319"/>
      <c r="E34" s="319"/>
      <c r="F34" s="319"/>
      <c r="G34" s="5"/>
      <c r="H34" s="5"/>
    </row>
    <row r="35" spans="1:8" ht="19.5" customHeight="1" x14ac:dyDescent="0.2">
      <c r="A35" s="319">
        <f>'Coleta Orgânica'!A262:F262</f>
        <v>0</v>
      </c>
      <c r="B35" s="319"/>
      <c r="C35" s="319"/>
      <c r="D35" s="319"/>
      <c r="E35" s="319"/>
      <c r="F35" s="319"/>
      <c r="G35" s="259"/>
      <c r="H35" s="259"/>
    </row>
    <row r="36" spans="1:8" ht="19.5" customHeight="1" x14ac:dyDescent="0.2">
      <c r="A36" s="319">
        <f>'Coleta Orgânica'!A263:F263</f>
        <v>0</v>
      </c>
      <c r="B36" s="319"/>
      <c r="C36" s="319"/>
      <c r="D36" s="319"/>
      <c r="E36" s="319"/>
      <c r="F36" s="319"/>
      <c r="G36" s="259"/>
      <c r="H36" s="259"/>
    </row>
  </sheetData>
  <mergeCells count="4">
    <mergeCell ref="A35:F35"/>
    <mergeCell ref="A36:F36"/>
    <mergeCell ref="C3:D3"/>
    <mergeCell ref="A34:F34"/>
  </mergeCells>
  <pageMargins left="0.9055118110236221" right="0.51181102362204722" top="0.98425196850393704" bottom="0.74803149606299213" header="0.31496062992125984" footer="0.31496062992125984"/>
  <pageSetup paperSize="9" orientation="portrait" verticalDpi="597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10"/>
  <dimension ref="A2:F49"/>
  <sheetViews>
    <sheetView view="pageLayout" topLeftCell="A27" zoomScaleNormal="100" workbookViewId="0">
      <selection activeCell="A56" sqref="A56"/>
    </sheetView>
  </sheetViews>
  <sheetFormatPr defaultColWidth="9.140625" defaultRowHeight="12.75" x14ac:dyDescent="0.2"/>
  <cols>
    <col min="1" max="1" width="94.140625" style="1" customWidth="1"/>
    <col min="2" max="3" width="9.140625" style="1"/>
    <col min="4" max="4" width="12.85546875" style="1" bestFit="1" customWidth="1"/>
    <col min="5" max="16384" width="9.140625" style="1"/>
  </cols>
  <sheetData>
    <row r="2" spans="1:1" ht="13.5" thickBot="1" x14ac:dyDescent="0.25"/>
    <row r="3" spans="1:1" x14ac:dyDescent="0.2">
      <c r="A3" s="233" t="s">
        <v>207</v>
      </c>
    </row>
    <row r="4" spans="1:1" x14ac:dyDescent="0.2">
      <c r="A4" s="234"/>
    </row>
    <row r="5" spans="1:1" x14ac:dyDescent="0.2">
      <c r="A5" s="234" t="s">
        <v>221</v>
      </c>
    </row>
    <row r="6" spans="1:1" x14ac:dyDescent="0.2">
      <c r="A6" s="234"/>
    </row>
    <row r="7" spans="1:1" x14ac:dyDescent="0.2">
      <c r="A7" s="234"/>
    </row>
    <row r="8" spans="1:1" x14ac:dyDescent="0.2">
      <c r="A8" s="234"/>
    </row>
    <row r="9" spans="1:1" x14ac:dyDescent="0.2">
      <c r="A9" s="234"/>
    </row>
    <row r="10" spans="1:1" x14ac:dyDescent="0.2">
      <c r="A10" s="234"/>
    </row>
    <row r="11" spans="1:1" x14ac:dyDescent="0.2">
      <c r="A11" s="234"/>
    </row>
    <row r="12" spans="1:1" x14ac:dyDescent="0.2">
      <c r="A12" s="234"/>
    </row>
    <row r="13" spans="1:1" x14ac:dyDescent="0.2">
      <c r="A13" s="234"/>
    </row>
    <row r="14" spans="1:1" ht="13.5" x14ac:dyDescent="0.25">
      <c r="A14" s="235" t="s">
        <v>261</v>
      </c>
    </row>
    <row r="15" spans="1:1" x14ac:dyDescent="0.2">
      <c r="A15" s="235" t="s">
        <v>99</v>
      </c>
    </row>
    <row r="16" spans="1:1" x14ac:dyDescent="0.2">
      <c r="A16" s="235" t="s">
        <v>104</v>
      </c>
    </row>
    <row r="17" spans="1:1" ht="13.5" x14ac:dyDescent="0.25">
      <c r="A17" s="235" t="s">
        <v>262</v>
      </c>
    </row>
    <row r="18" spans="1:1" ht="13.5" x14ac:dyDescent="0.25">
      <c r="A18" s="235" t="s">
        <v>263</v>
      </c>
    </row>
    <row r="19" spans="1:1" ht="13.5" thickBot="1" x14ac:dyDescent="0.25">
      <c r="A19" s="236" t="s">
        <v>100</v>
      </c>
    </row>
    <row r="28" spans="1:1" x14ac:dyDescent="0.2">
      <c r="A28" s="165"/>
    </row>
    <row r="29" spans="1:1" x14ac:dyDescent="0.2">
      <c r="A29" s="287">
        <f>'Coleta Orgânica'!D255</f>
        <v>0</v>
      </c>
    </row>
    <row r="30" spans="1:1" x14ac:dyDescent="0.2">
      <c r="A30" s="165"/>
    </row>
    <row r="31" spans="1:1" x14ac:dyDescent="0.2">
      <c r="A31" s="165"/>
    </row>
    <row r="32" spans="1:1" x14ac:dyDescent="0.2">
      <c r="A32" s="165"/>
    </row>
    <row r="33" spans="1:6" x14ac:dyDescent="0.2">
      <c r="A33" s="165"/>
    </row>
    <row r="34" spans="1:6" x14ac:dyDescent="0.2">
      <c r="A34" s="165"/>
    </row>
    <row r="35" spans="1:6" x14ac:dyDescent="0.2">
      <c r="A35" s="165"/>
    </row>
    <row r="36" spans="1:6" x14ac:dyDescent="0.2">
      <c r="A36" s="165"/>
    </row>
    <row r="37" spans="1:6" x14ac:dyDescent="0.2">
      <c r="A37" s="165"/>
    </row>
    <row r="38" spans="1:6" x14ac:dyDescent="0.2">
      <c r="A38" s="165"/>
    </row>
    <row r="39" spans="1:6" x14ac:dyDescent="0.2">
      <c r="A39" s="165"/>
    </row>
    <row r="40" spans="1:6" x14ac:dyDescent="0.2">
      <c r="A40" s="165"/>
    </row>
    <row r="41" spans="1:6" x14ac:dyDescent="0.2">
      <c r="A41" s="165"/>
    </row>
    <row r="42" spans="1:6" x14ac:dyDescent="0.2">
      <c r="A42" s="165"/>
    </row>
    <row r="43" spans="1:6" x14ac:dyDescent="0.2">
      <c r="A43" s="165"/>
    </row>
    <row r="44" spans="1:6" x14ac:dyDescent="0.2">
      <c r="A44" s="165"/>
    </row>
    <row r="45" spans="1:6" x14ac:dyDescent="0.2">
      <c r="A45" s="165"/>
    </row>
    <row r="46" spans="1:6" x14ac:dyDescent="0.2">
      <c r="A46" s="80">
        <f>'Coleta Orgânica'!A261:F261</f>
        <v>0</v>
      </c>
      <c r="B46" s="5"/>
      <c r="C46" s="5"/>
      <c r="D46" s="5"/>
      <c r="E46" s="5"/>
      <c r="F46" s="5"/>
    </row>
    <row r="47" spans="1:6" x14ac:dyDescent="0.2">
      <c r="A47" s="80">
        <f>'Coleta Orgânica'!A262:F262</f>
        <v>0</v>
      </c>
      <c r="B47" s="259"/>
      <c r="C47" s="259"/>
      <c r="D47" s="259"/>
      <c r="E47" s="259"/>
      <c r="F47" s="259"/>
    </row>
    <row r="48" spans="1:6" x14ac:dyDescent="0.2">
      <c r="A48" s="80">
        <f>'Coleta Orgânica'!A263:F263</f>
        <v>0</v>
      </c>
      <c r="B48" s="259"/>
      <c r="C48" s="259"/>
      <c r="D48" s="259"/>
      <c r="E48" s="259"/>
      <c r="F48" s="259"/>
    </row>
    <row r="49" spans="1:1" x14ac:dyDescent="0.2">
      <c r="A49" s="165"/>
    </row>
  </sheetData>
  <pageMargins left="1.1000000000000001" right="0.51181102362204722" top="1.88" bottom="0.74803149606299213" header="0.31496062992125984" footer="0.31496062992125984"/>
  <pageSetup paperSize="9" orientation="portrait" verticalDpi="597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11"/>
  <dimension ref="A1:G53"/>
  <sheetViews>
    <sheetView view="pageLayout" topLeftCell="A2" zoomScaleNormal="100" workbookViewId="0">
      <selection activeCell="C61" sqref="C61"/>
    </sheetView>
  </sheetViews>
  <sheetFormatPr defaultColWidth="9.140625" defaultRowHeight="12.75" x14ac:dyDescent="0.2"/>
  <cols>
    <col min="1" max="1" width="50.7109375" style="34" customWidth="1"/>
    <col min="2" max="2" width="15" style="34" customWidth="1"/>
    <col min="3" max="3" width="14.28515625" style="34" customWidth="1"/>
    <col min="4" max="16384" width="9.140625" style="34"/>
  </cols>
  <sheetData>
    <row r="1" spans="1:7" x14ac:dyDescent="0.2">
      <c r="A1" s="37"/>
      <c r="B1" s="151"/>
      <c r="C1" s="151"/>
    </row>
    <row r="2" spans="1:7" x14ac:dyDescent="0.2">
      <c r="A2" s="41"/>
      <c r="B2" s="151"/>
      <c r="C2" s="151"/>
    </row>
    <row r="3" spans="1:7" x14ac:dyDescent="0.2">
      <c r="A3" s="41"/>
      <c r="B3" s="151"/>
      <c r="C3" s="151"/>
    </row>
    <row r="4" spans="1:7" x14ac:dyDescent="0.2">
      <c r="A4" s="38"/>
      <c r="B4" s="151"/>
      <c r="C4" s="151"/>
    </row>
    <row r="5" spans="1:7" x14ac:dyDescent="0.2">
      <c r="A5" s="38"/>
      <c r="B5" s="151"/>
      <c r="C5" s="151"/>
    </row>
    <row r="6" spans="1:7" s="2" customFormat="1" ht="15.6" customHeight="1" x14ac:dyDescent="0.2">
      <c r="A6" s="40"/>
      <c r="B6" s="41"/>
      <c r="C6" s="41"/>
      <c r="D6" s="14"/>
      <c r="E6" s="14"/>
      <c r="F6" s="14"/>
      <c r="G6" s="3"/>
    </row>
    <row r="7" spans="1:7" s="2" customFormat="1" ht="16.5" customHeight="1" x14ac:dyDescent="0.2">
      <c r="A7" s="40"/>
      <c r="B7" s="43"/>
      <c r="C7" s="43"/>
      <c r="D7" s="3"/>
      <c r="E7" s="3"/>
      <c r="F7" s="3"/>
      <c r="G7" s="3"/>
    </row>
    <row r="8" spans="1:7" ht="13.5" thickBot="1" x14ac:dyDescent="0.25">
      <c r="A8" s="151"/>
      <c r="B8" s="151"/>
      <c r="C8" s="151"/>
    </row>
    <row r="9" spans="1:7" x14ac:dyDescent="0.2">
      <c r="A9" s="369" t="s">
        <v>248</v>
      </c>
      <c r="B9" s="370"/>
      <c r="C9" s="371"/>
    </row>
    <row r="10" spans="1:7" s="35" customFormat="1" x14ac:dyDescent="0.2">
      <c r="A10" s="237"/>
      <c r="B10" s="238"/>
      <c r="C10" s="239"/>
    </row>
    <row r="11" spans="1:7" s="12" customFormat="1" x14ac:dyDescent="0.2">
      <c r="A11" s="240" t="s">
        <v>249</v>
      </c>
      <c r="B11" s="241" t="s">
        <v>229</v>
      </c>
      <c r="C11" s="242" t="s">
        <v>131</v>
      </c>
    </row>
    <row r="12" spans="1:7" x14ac:dyDescent="0.2">
      <c r="A12" s="243" t="s">
        <v>237</v>
      </c>
      <c r="B12" s="244" t="s">
        <v>230</v>
      </c>
      <c r="C12" s="174">
        <v>3550</v>
      </c>
    </row>
    <row r="13" spans="1:7" x14ac:dyDescent="0.2">
      <c r="A13" s="173" t="s">
        <v>238</v>
      </c>
      <c r="B13" s="108" t="s">
        <v>235</v>
      </c>
      <c r="C13" s="245">
        <v>0.33</v>
      </c>
    </row>
    <row r="14" spans="1:7" x14ac:dyDescent="0.2">
      <c r="A14" s="173" t="s">
        <v>239</v>
      </c>
      <c r="B14" s="108" t="s">
        <v>236</v>
      </c>
      <c r="C14" s="246">
        <f>C12*C13/1000</f>
        <v>1.1715</v>
      </c>
    </row>
    <row r="15" spans="1:7" x14ac:dyDescent="0.2">
      <c r="A15" s="173" t="s">
        <v>245</v>
      </c>
      <c r="B15" s="108" t="s">
        <v>231</v>
      </c>
      <c r="C15" s="247">
        <f>(C14*30)</f>
        <v>35.144999999999996</v>
      </c>
    </row>
    <row r="16" spans="1:7" x14ac:dyDescent="0.2">
      <c r="A16" s="173" t="s">
        <v>241</v>
      </c>
      <c r="B16" s="108" t="s">
        <v>86</v>
      </c>
      <c r="C16" s="248">
        <v>3</v>
      </c>
    </row>
    <row r="17" spans="1:3" x14ac:dyDescent="0.2">
      <c r="A17" s="173" t="s">
        <v>240</v>
      </c>
      <c r="B17" s="108" t="s">
        <v>236</v>
      </c>
      <c r="C17" s="246">
        <f>IFERROR(C14*7/C16,0)</f>
        <v>2.7334999999999998</v>
      </c>
    </row>
    <row r="18" spans="1:3" x14ac:dyDescent="0.2">
      <c r="A18" s="243" t="s">
        <v>232</v>
      </c>
      <c r="B18" s="108" t="s">
        <v>233</v>
      </c>
      <c r="C18" s="214">
        <v>500</v>
      </c>
    </row>
    <row r="19" spans="1:3" x14ac:dyDescent="0.2">
      <c r="A19" s="173" t="s">
        <v>246</v>
      </c>
      <c r="B19" s="108"/>
      <c r="C19" s="174">
        <v>1</v>
      </c>
    </row>
    <row r="20" spans="1:3" x14ac:dyDescent="0.2">
      <c r="A20" s="243" t="s">
        <v>247</v>
      </c>
      <c r="B20" s="108" t="s">
        <v>234</v>
      </c>
      <c r="C20" s="174">
        <v>15</v>
      </c>
    </row>
    <row r="21" spans="1:3" x14ac:dyDescent="0.2">
      <c r="A21" s="173" t="s">
        <v>242</v>
      </c>
      <c r="B21" s="108" t="s">
        <v>231</v>
      </c>
      <c r="C21" s="214">
        <f>IF(AND(C20&gt;=15,C19=1),5.8,C20/2)</f>
        <v>5.8</v>
      </c>
    </row>
    <row r="22" spans="1:3" x14ac:dyDescent="0.2">
      <c r="A22" s="243" t="s">
        <v>243</v>
      </c>
      <c r="B22" s="108"/>
      <c r="C22" s="246">
        <f>IFERROR(C17/C21,0)</f>
        <v>0.47129310344827585</v>
      </c>
    </row>
    <row r="23" spans="1:3" x14ac:dyDescent="0.2">
      <c r="A23" s="243" t="s">
        <v>250</v>
      </c>
      <c r="B23" s="108"/>
      <c r="C23" s="249">
        <v>1</v>
      </c>
    </row>
    <row r="24" spans="1:3" ht="13.5" thickBot="1" x14ac:dyDescent="0.25">
      <c r="A24" s="250" t="s">
        <v>244</v>
      </c>
      <c r="B24" s="251"/>
      <c r="C24" s="252">
        <f>IFERROR(C22/C23,0)</f>
        <v>0.47129310344827585</v>
      </c>
    </row>
    <row r="34" spans="1:4" x14ac:dyDescent="0.2">
      <c r="A34" s="165"/>
      <c r="B34" s="165"/>
      <c r="C34" s="165"/>
      <c r="D34" s="165"/>
    </row>
    <row r="35" spans="1:4" x14ac:dyDescent="0.2">
      <c r="A35" s="165"/>
      <c r="B35" s="165">
        <f>'Coleta Orgânica'!D255</f>
        <v>0</v>
      </c>
      <c r="C35" s="165"/>
      <c r="D35" s="165"/>
    </row>
    <row r="36" spans="1:4" x14ac:dyDescent="0.2">
      <c r="A36" s="165"/>
      <c r="B36" s="165"/>
      <c r="C36" s="165"/>
      <c r="D36" s="165"/>
    </row>
    <row r="37" spans="1:4" x14ac:dyDescent="0.2">
      <c r="A37" s="165"/>
      <c r="B37" s="165"/>
      <c r="C37" s="165"/>
      <c r="D37" s="165"/>
    </row>
    <row r="38" spans="1:4" x14ac:dyDescent="0.2">
      <c r="A38" s="165"/>
      <c r="B38" s="165"/>
      <c r="C38" s="165"/>
      <c r="D38" s="165"/>
    </row>
    <row r="39" spans="1:4" x14ac:dyDescent="0.2">
      <c r="A39" s="165"/>
      <c r="B39" s="165"/>
      <c r="C39" s="165"/>
      <c r="D39" s="165"/>
    </row>
    <row r="40" spans="1:4" x14ac:dyDescent="0.2">
      <c r="A40" s="165"/>
      <c r="B40" s="165"/>
      <c r="C40" s="165"/>
      <c r="D40" s="165"/>
    </row>
    <row r="41" spans="1:4" x14ac:dyDescent="0.2">
      <c r="A41" s="165"/>
      <c r="B41" s="165"/>
      <c r="C41" s="165"/>
      <c r="D41" s="165"/>
    </row>
    <row r="42" spans="1:4" x14ac:dyDescent="0.2">
      <c r="A42" s="165"/>
      <c r="B42" s="165"/>
      <c r="C42" s="165"/>
      <c r="D42" s="165"/>
    </row>
    <row r="43" spans="1:4" x14ac:dyDescent="0.2">
      <c r="A43" s="165"/>
      <c r="B43" s="165"/>
      <c r="C43" s="165"/>
      <c r="D43" s="165"/>
    </row>
    <row r="44" spans="1:4" x14ac:dyDescent="0.2">
      <c r="A44" s="165"/>
      <c r="B44" s="165"/>
      <c r="C44" s="165"/>
      <c r="D44" s="165"/>
    </row>
    <row r="45" spans="1:4" x14ac:dyDescent="0.2">
      <c r="A45" s="165"/>
      <c r="B45" s="165"/>
      <c r="C45" s="165"/>
      <c r="D45" s="165"/>
    </row>
    <row r="46" spans="1:4" x14ac:dyDescent="0.2">
      <c r="A46" s="165"/>
      <c r="B46" s="165"/>
      <c r="C46" s="165"/>
      <c r="D46" s="165"/>
    </row>
    <row r="47" spans="1:4" x14ac:dyDescent="0.2">
      <c r="A47" s="165"/>
      <c r="B47" s="165"/>
      <c r="C47" s="165"/>
      <c r="D47" s="165"/>
    </row>
    <row r="48" spans="1:4" x14ac:dyDescent="0.2">
      <c r="A48" s="165"/>
      <c r="B48" s="165"/>
      <c r="C48" s="165"/>
      <c r="D48" s="165"/>
    </row>
    <row r="49" spans="1:6" x14ac:dyDescent="0.2">
      <c r="A49" s="165"/>
      <c r="B49" s="165"/>
      <c r="C49" s="165"/>
      <c r="D49" s="165"/>
    </row>
    <row r="50" spans="1:6" x14ac:dyDescent="0.2">
      <c r="A50" s="165"/>
      <c r="B50" s="165"/>
      <c r="C50" s="165"/>
      <c r="D50" s="165"/>
    </row>
    <row r="51" spans="1:6" x14ac:dyDescent="0.2">
      <c r="A51" s="319">
        <f>'Coleta Orgânica'!A261:F261</f>
        <v>0</v>
      </c>
      <c r="B51" s="319"/>
      <c r="C51" s="319"/>
      <c r="D51" s="37"/>
      <c r="E51" s="5"/>
      <c r="F51" s="5"/>
    </row>
    <row r="52" spans="1:6" x14ac:dyDescent="0.2">
      <c r="A52" s="319">
        <f>'Coleta Orgânica'!A262:F262</f>
        <v>0</v>
      </c>
      <c r="B52" s="319"/>
      <c r="C52" s="319"/>
      <c r="D52" s="37"/>
      <c r="E52" s="259"/>
      <c r="F52" s="259"/>
    </row>
    <row r="53" spans="1:6" x14ac:dyDescent="0.2">
      <c r="A53" s="319">
        <f>'Coleta Orgânica'!A263:F263</f>
        <v>0</v>
      </c>
      <c r="B53" s="319"/>
      <c r="C53" s="319"/>
      <c r="D53" s="37"/>
      <c r="E53" s="259"/>
      <c r="F53" s="259"/>
    </row>
  </sheetData>
  <mergeCells count="4">
    <mergeCell ref="A9:C9"/>
    <mergeCell ref="A51:C51"/>
    <mergeCell ref="A52:C52"/>
    <mergeCell ref="A53:C53"/>
  </mergeCells>
  <conditionalFormatting sqref="C21">
    <cfRule type="expression" dxfId="0" priority="1">
      <formula>"SE(E(C20&gt;=15;C19=1))"</formula>
    </cfRule>
  </conditionalFormatting>
  <pageMargins left="0.9055118110236221" right="0.51181102362204722" top="0.98425196850393704" bottom="0.78740157480314965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5</vt:i4>
      </vt:variant>
    </vt:vector>
  </HeadingPairs>
  <TitlesOfParts>
    <vt:vector size="13" baseType="lpstr">
      <vt:lpstr>Proposta</vt:lpstr>
      <vt:lpstr>Coleta Orgânica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'2.Encargos Sociais'!Area_de_impressao</vt:lpstr>
      <vt:lpstr>'Coleta Orgânica'!Area_de_impressao</vt:lpstr>
      <vt:lpstr>Proposta!Area_de_impressao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Josimar</cp:lastModifiedBy>
  <cp:lastPrinted>2024-11-07T18:00:34Z</cp:lastPrinted>
  <dcterms:created xsi:type="dcterms:W3CDTF">2000-12-13T10:02:50Z</dcterms:created>
  <dcterms:modified xsi:type="dcterms:W3CDTF">2024-11-07T18:02:27Z</dcterms:modified>
</cp:coreProperties>
</file>