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EstaPasta_de_trabalho"/>
  <mc:AlternateContent xmlns:mc="http://schemas.openxmlformats.org/markup-compatibility/2006">
    <mc:Choice Requires="x15">
      <x15ac:absPath xmlns:x15ac="http://schemas.microsoft.com/office/spreadsheetml/2010/11/ac" url="C:\Users\Paulo\Desktop\"/>
    </mc:Choice>
  </mc:AlternateContent>
  <xr:revisionPtr revIDLastSave="0" documentId="13_ncr:1_{92B30E1D-C089-46BF-8EEE-5BA6568E7C2D}" xr6:coauthVersionLast="47" xr6:coauthVersionMax="47" xr10:uidLastSave="{00000000-0000-0000-0000-000000000000}"/>
  <workbookProtection workbookAlgorithmName="SHA-512" workbookHashValue="G7wPSpke6yzny1Z3dAH1bavs+2ApQFKPnP0DSal0c2Xdym9C0jVRtHFtRkIcWMHhvR3O2hSshmcLeKqCrVNheQ==" workbookSaltValue="zC4mXSkd1H214wfyS8Sxjw==" workbookSpinCount="100000" lockStructure="1"/>
  <bookViews>
    <workbookView xWindow="-120" yWindow="-120" windowWidth="24240" windowHeight="13140" tabRatio="801" activeTab="8"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BM!$C$15:$C$105</definedName>
    <definedName name="_xlnm._FilterDatabase" localSheetId="6" hidden="1">CÁLCULO!$C$15:$C$105</definedName>
    <definedName name="_xlnm._FilterDatabase" localSheetId="8" hidden="1">CRONO!$G$13:$G$55</definedName>
    <definedName name="_xlnm._FilterDatabase" localSheetId="7" hidden="1">CRONOPLE!$A$13:$A$37</definedName>
    <definedName name="_xlnm._FilterDatabase" localSheetId="5" hidden="1">EVENTOS!$A$13:$A$30</definedName>
    <definedName name="_xlnm._FilterDatabase" localSheetId="4" hidden="1">ORÇAMENTO!$L$15:$L$105</definedName>
    <definedName name="_xlnm._FilterDatabase" localSheetId="10" hidden="1">PLE!$A$13:$A$39</definedName>
    <definedName name="_xlnm._FilterDatabase" localSheetId="9" hidden="1">QCI!$C$13:$C$25</definedName>
    <definedName name="_xlnm._FilterDatabase" localSheetId="12" hidden="1">RRE!$D$13:$D$30</definedName>
    <definedName name="_xleta.AND" hidden="1" xlm="1">#NAME?</definedName>
    <definedName name="_xleta.N" hidden="1" xlm="1">#NAME?</definedName>
    <definedName name="_xleta.NOT" hidden="1" xlm="1">#NAME?</definedName>
    <definedName name="ACOMPANHAMENTO" hidden="1">MENU!$J$4</definedName>
    <definedName name="AdmLocal" hidden="1">CÁLCULO!$A$11</definedName>
    <definedName name="_xlnm.Print_Area" localSheetId="3">BDI!$J$1:$S$132</definedName>
    <definedName name="_xlnm.Print_Area" localSheetId="11">BM!$D$1:$O$120</definedName>
    <definedName name="_xlnm.Print_Area" localSheetId="6">CÁLCULO!$E$6:$AA$113</definedName>
    <definedName name="_xlnm.Print_Area" localSheetId="8">CRONO!$I$1:$AG$55</definedName>
    <definedName name="_xlnm.Print_Area" localSheetId="5">EVENTOS!$C$2:$Z$30</definedName>
    <definedName name="_xlnm.Print_Area" localSheetId="1">MENU!$A$1:$I$25</definedName>
    <definedName name="_xlnm.Print_Area" localSheetId="13">OFÍCIO!$A$1:$G$56</definedName>
    <definedName name="_xlnm.Print_Area" localSheetId="4">ORÇAMENTO!$O$1:$Y$122</definedName>
    <definedName name="_xlnm.Print_Area" localSheetId="10">PLE!$B$3:$AG$40</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BM!$C$15:$C$105</definedName>
    <definedName name="BM.firstrow" hidden="1">BM!$15:$15</definedName>
    <definedName name="BM.FormulaMed" hidden="1">BM!$AO$7</definedName>
    <definedName name="BM.lastrow" hidden="1">BM!$105:$105</definedName>
    <definedName name="BM.LinhaPadrão" hidden="1">BM!$14:$14</definedName>
    <definedName name="BM.MaxMed" hidden="1">IF(RegimeExecucao="Global",1,BM!$G1)</definedName>
    <definedName name="BM.MCAIXA.Filter" hidden="1">BM!$C$15:$Z$105</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CÁLCULO!$C$15:$C$105</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CÁLCULO!$105:$105</definedName>
    <definedName name="CÁLCULO.LinhaPadrão" hidden="1">CÁLCULO!$14:$14</definedName>
    <definedName name="CÁLCULO.margemrow" hidden="1">CÁLCULO!$113:$113</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CÁLCULO!$105:$105</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CÁLCULO!$105:$105</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CÁLCULO!$105:$105</definedName>
    <definedName name="CÁLCULO.nEvento" hidden="1">CÁLCULO!$M$12</definedName>
    <definedName name="CÁLCULO.NúmeroDeEventos" hidden="1">IF(AUTOEVENTO&lt;&gt;"manual",MAX(CÁLCULO!$M$15:$M$105),MAX(OFFSET(EVENTOS!$C$1:$C$23,1,0)))</definedName>
    <definedName name="CÁLCULO.NúmeroDeFrentes" hidden="1">COLUMN(CÁLCULO!$AA$15)-COLUMN(CÁLCULO!$Q$15)</definedName>
    <definedName name="CÁLCULO.Título" hidden="1">CÁLCULO!$F$6</definedName>
    <definedName name="CÁLCULO.TotalAdmLocal" hidden="1">IF(AUTOEVENTO="manual",SUMIF(CÁLCULO!$M$15:$M$105,1,ORÇAMENTO!$X$15:$X$105),0)</definedName>
    <definedName name="CRONO.ColAux" hidden="1">CRONO!$M:$R</definedName>
    <definedName name="CRONO.ColunaPadrão" hidden="1">CRONO!$E:$E</definedName>
    <definedName name="CRONO.Erro" hidden="1">CRONO!$K$10</definedName>
    <definedName name="CRONO.Filtro" hidden="1">CRONO!$G$13:$G$55</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CRONO!$38:$38</definedName>
    <definedName name="CRONO.lastrow2" hidden="1">CRONO!$50:$50</definedName>
    <definedName name="CRONO.LinhaPadrão" hidden="1">CRONO!$1:$3</definedName>
    <definedName name="CRONO.LinhasNecessarias" hidden="1">COUNTIF(QCI!$B$13:$B$24,"Manual")+COUNTIF(QCI!$B$13:$B$24,"SemiAuto")+COUNT(ORÇAMENTO.ListaCrono)</definedName>
    <definedName name="CRONO.margemrow" hidden="1">CRONO!$55:$55</definedName>
    <definedName name="CRONO.MaxParc" hidden="1">CRONO!$H1048576+CRONO!A1</definedName>
    <definedName name="CRONO.NivelExibicao" hidden="1">CRONO!$H$10</definedName>
    <definedName name="CRONO.Parcela1" hidden="1">CRONO!$U$12:$U$13</definedName>
    <definedName name="CRONO.ParcelaFinal" hidden="1">MATCH(100%,CRONO!$U$44:$AG$44,0)</definedName>
    <definedName name="CRONO.Título" hidden="1">CRONO!$S$4</definedName>
    <definedName name="CRONOPLE.ColunaPadrão" hidden="1">CRONOPLE!$E:$E</definedName>
    <definedName name="CRONOPLE.Erro" hidden="1">CRONOPLE!$B$6</definedName>
    <definedName name="CRONOPLE.Filtro" hidden="1">CRONOPLE!$A$13:$A$37</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CRONOPLE!$23:$23</definedName>
    <definedName name="CRONOPLE.lastrow2" hidden="1">CRONOPLE!$32:$32</definedName>
    <definedName name="CRONOPLE.LinhaPadrão" hidden="1">CRONOPLE!$1:$1</definedName>
    <definedName name="CRONOPLE.margemrow" hidden="1">CRONOPLE!$39:$39</definedName>
    <definedName name="CRONOPLE.Título" hidden="1">CRONOPLE!$G$2</definedName>
    <definedName name="CRONOPLE.ValorDoEvento" hidden="1">SUMIF(CÁLCULO!$M$15:$M$105,CRONOPLE!$B1,OFFSET(CÁLCULO!$AA$15:$AA$105,0,CRONOPLE!A$12))</definedName>
    <definedName name="DADOS.ColAux" hidden="1">DADOS!$G:$AR</definedName>
    <definedName name="DADOS.Erro" hidden="1">DADOS!$D$1</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EVENTOS!$A$13:$A$30</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EVENTOS!$23:$23</definedName>
    <definedName name="EVENTOS.LinhaPadrão" hidden="1">EVENTOS!$1:$1</definedName>
    <definedName name="EVENTOS.Lista" hidden="1">EVENTOS!$C$15:OFFSET(EVENTOS!$C$23,-1,0)</definedName>
    <definedName name="EVENTOS.ListaValidacao" hidden="1">EVENTOS!$B$15:OFFSET(EVENTOS!$B$23,-1,0)</definedName>
    <definedName name="EVENTOS.Manual.Preenchidos" hidden="1">EVENTOS!$C$10</definedName>
    <definedName name="EVENTOS.MargemRow" hidden="1">EVENTOS!$30:$30</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BM!$D$108</definedName>
    <definedName name="Import.BMAFAcumulado" hidden="1">OFFSET(BM!$R$15,1,0):OFFSET(BM!$R$105,-1,0)</definedName>
    <definedName name="Import.BMArred" hidden="1">BM!$A$9</definedName>
    <definedName name="Import.CNPJ" hidden="1">DADOS!$C$39</definedName>
    <definedName name="Import.Código" hidden="1">OFFSET(ORÇAMENTO!$Q$15,1,0):OFFSET(ORÇAMENTO!$Q$105,-1,0)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OFFSET(CRONOPLE!$F$15,1,1):OFFSET(CRONOPLE!$AF$23,-1,-1)</definedName>
    <definedName name="Import.CTEF" hidden="1">DADOS!$C$37</definedName>
    <definedName name="Import.CustoUnitário" hidden="1">OFFSET(ORÇAMENTO!$U$15,1,0):OFFSET(ORÇAMENTO!$U$105,-1,0)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OFFSET(ORÇAMENTO!$R$15,1,0):OFFSET(ORÇAMENTO!$R$105,-1,0)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OFFSET(EVENTOS!$D$15,1,0):OFFSET(EVENTOS!$D$23,-1,0)</definedName>
    <definedName name="Import.Fonte" hidden="1">OFFSET(ORÇAMENTO!$P$15,1,0):OFFSET(ORÇAMENTO!$P$105,-1,0)</definedName>
    <definedName name="Import.FrenteDeObra" hidden="1">CÁLCULO!$Q$12:OFFSET(CÁLCULO!$AA$12,0,-1)</definedName>
    <definedName name="Import.MacrosserviçoAdmLocal" hidden="1">CRONO!$H$49</definedName>
    <definedName name="Import.Município" hidden="1">DADOS!$C$6</definedName>
    <definedName name="Import.Nível" hidden="1">OFFSET(ORÇAMENTO!$M$15,1,0):OFFSET(ORÇAMENTO!$M$105,-1,0)</definedName>
    <definedName name="Import.Ofício.Dest" hidden="1">OFÍCIO!$B$11</definedName>
    <definedName name="Import.Ofício.GIGOV" hidden="1">OFÍCIO!$C$11</definedName>
    <definedName name="Import.Ofício.Num" hidden="1">OFÍCIO!$C$6</definedName>
    <definedName name="Import.OpcaoBDI" hidden="1">OFFSET(ORÇAMENTO!$V$15,1,0):OFFSET(ORÇAMENTO!$V$105,-1,0)</definedName>
    <definedName name="Import.ORÇAMENTO.DivRecurso" hidden="1">OFFSET(ORÇAMENTO!$Y$15,1,0):OFFSET(ORÇAMENTO!$Y$105,-1,0)</definedName>
    <definedName name="Import.ORÇAMENTO.Obs" hidden="1">ORÇAMENTO!$O$111</definedName>
    <definedName name="Import.PLE" hidden="1">OFFSET(PLE!$G$15,1,1):OFFSET(PLE!$AG$23,-1,-1)</definedName>
    <definedName name="Import.PLE.Datas" hidden="1">PLE!$I$26:$AF$26</definedName>
    <definedName name="Import.PLQ" hidden="1">OFFSET(CÁLCULO!$P$15,1,1):OFFSET(CÁLCULO!$AA$105,-1,-1)</definedName>
    <definedName name="Import.PLQ.MemCalc" hidden="1">OFFSET(CÁLCULO!$I$15,1,0):OFFSET(CÁLCULO!$I$105,-1,0)</definedName>
    <definedName name="Import.PLQ.nAgrupEvent" hidden="1">OFFSET(CÁLCULO!$K$15,1,0):OFFSET(CÁLCULO!$K$105,-1,0)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OFFSET(ORÇAMENTO!$AJ$15,1,0):OFFSET(ORÇAMENTO!$AJ$105,-1,0)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OFFSET(ORÇAMENTO!$S$15,1,0):OFFSET(ORÇAMENTO!$S$105,-1,0)</definedName>
    <definedName name="Import.UnitarioLicitado" hidden="1">OFFSET(ORÇAMENTO!$AL$15,1,0):OFFSET(ORÇAMENTO!$AL$105,-1,0)</definedName>
    <definedName name="ListaTgov.Unidades" hidden="1">DADOS!$AQ$3:$AQ$220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ORÇAMENTO!$L$15:$L$105</definedName>
    <definedName name="ORÇAMENTO.firstrow" hidden="1">ORÇAMENTO!$15:$15</definedName>
    <definedName name="ORÇAMENTO.Fonte" hidden="1">ORÇAMENTO!$P1</definedName>
    <definedName name="ORÇAMENTO.lastrow" hidden="1">ORÇAMENTO!$105:$105</definedName>
    <definedName name="ORÇAMENTO.LinhaPadrão" hidden="1">ORÇAMENTO!$14:$14</definedName>
    <definedName name="ORÇAMENTO.ListaCrono" hidden="1">OFFSET(ORÇAMENTO!$AD$15,1,0):OFFSET(ORÇAMENTO!$AD$105,-1,0)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OFFSET(ORÇAMENTO!$P$15,1,0):OFFSET(ORÇAMENTO!$S$105,-1,0)</definedName>
    <definedName name="ORÇAMENTO.PasteFormat2" hidden="1">OFFSET(ORÇAMENTO!$U$15,1,0):OFFSET(ORÇAMENTO!$V$105,-1,0)</definedName>
    <definedName name="ORÇAMENTO.PrecoUnitarioLicitado" hidden="1">ORÇAMENTO!$AL1</definedName>
    <definedName name="ORÇAMENTO.QuantBM" hidden="1">ORÇAMENTO!$AJ1</definedName>
    <definedName name="ORÇAMENTO.RangeQuant" hidden="1">OFFSET(ORÇAMENTO!$T$15,1,0):OFFSET(ORÇAMENTO!$T$105,-1,0)</definedName>
    <definedName name="ORÇAMENTO.SumCPMANUAL" hidden="1">SUMIF(ORÇAMENTO!$Z$15:$Z$105,"CP",ORÇAMENTO!$AA$15:$AA$105)</definedName>
    <definedName name="ORÇAMENTO.SumINVMANUAL" hidden="1">SUMIF(ORÇAMENTO!$Z$15:$Z$105,"RP",ORÇAMENTO!$X$15:$X$105)+SUMIF(ORÇAMENTO!$Z$15:$Z$105,"CP",ORÇAMENTO!$X$15:$X$105)+SUMIF(ORÇAMENTO!$Z$15:$Z$105,"OU",ORÇAMENTO!$X$15:$X$105)</definedName>
    <definedName name="ORÇAMENTO.SumOUTROSMANUAL" hidden="1">SUMIF(ORÇAMENTO!$Z$15:$Z$105,"OU",ORÇAMENTO!$AB$15:$AB$105)</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PLE!$A$13:$A$39</definedName>
    <definedName name="PLE.FirstCol" hidden="1">PLE!$G:$G</definedName>
    <definedName name="PLE.firstrow" hidden="1">PLE!$15:$15</definedName>
    <definedName name="PLE.FrenteRow" hidden="1">PLE!$11:$11</definedName>
    <definedName name="PLE.LastCol" hidden="1">PLE!$AG:$AG</definedName>
    <definedName name="PLE.lastrow" hidden="1">PLE!$23:$23</definedName>
    <definedName name="PLE.LinhaPadrão" hidden="1">PLE!$1:$1</definedName>
    <definedName name="PLE.margemrow" hidden="1">PLE!$40:$40</definedName>
    <definedName name="PLE.Medicao" hidden="1">PLE!$J$9</definedName>
    <definedName name="PLE.MEDIÇÕES.firstrow" hidden="1">PLE!$24:$24</definedName>
    <definedName name="PLE.MEDIÇÕES.lastrow" hidden="1">PLE!$34:$34</definedName>
    <definedName name="PLE.MEDIÇÕES.LinhaPadrão" hidden="1">PLE!$24:$31</definedName>
    <definedName name="PLE.Título" hidden="1">PLE!$H$3</definedName>
    <definedName name="PLE.ValorDoEvento" hidden="1">SUMIF(CÁLCULO!$M$15:$M$105,PLE!$B1,OFFSET(CÁLCULO!$AA$15:$AA$105,0,PLE!A$12))</definedName>
    <definedName name="PO.ValoresBDI" hidden="1">OFFSET(ORÇAMENTO!$AH$15,1,0):OFFSET(ORÇAMENTO!$AH$105,-1,0)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OFFSET(DADOS!$G$2,1,0,COUNTA(DADOS!$G:$G)-1,1)</definedName>
    <definedName name="QCI.lastrow" hidden="1">QCI!$24:$24</definedName>
    <definedName name="QCI.LinhaPadrão" hidden="1">QCI!$12:$12</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86" i="5" l="1"/>
  <c r="A85" i="5"/>
  <c r="A84" i="5"/>
  <c r="A83" i="5"/>
  <c r="A82" i="5"/>
  <c r="G36" i="8" a="1"/>
  <c r="G36" i="8" s="1"/>
  <c r="G33" i="8" a="1"/>
  <c r="G33" i="8" s="1"/>
  <c r="A22" i="7"/>
  <c r="A21" i="7"/>
  <c r="A104" i="5" l="1"/>
  <c r="A103" i="5"/>
  <c r="A102" i="5"/>
  <c r="A101" i="5"/>
  <c r="A100" i="5"/>
  <c r="A99" i="5"/>
  <c r="A98" i="5"/>
  <c r="A97" i="5"/>
  <c r="A96" i="5"/>
  <c r="A95" i="5"/>
  <c r="A94" i="5"/>
  <c r="A93" i="5"/>
  <c r="A92" i="5"/>
  <c r="A91" i="5"/>
  <c r="A90" i="5"/>
  <c r="A89" i="5"/>
  <c r="A88" i="5"/>
  <c r="A87" i="5"/>
  <c r="A81" i="5" l="1"/>
  <c r="A80" i="5"/>
  <c r="A79" i="5"/>
  <c r="A78" i="5"/>
  <c r="A77" i="5"/>
  <c r="A76" i="5"/>
  <c r="A75" i="5"/>
  <c r="A74" i="5"/>
  <c r="A73" i="5"/>
  <c r="A72" i="5"/>
  <c r="A71" i="5"/>
  <c r="A70" i="5"/>
  <c r="A66" i="5"/>
  <c r="A65" i="5"/>
  <c r="A69" i="5"/>
  <c r="A68" i="5" l="1"/>
  <c r="A67" i="5"/>
  <c r="A64" i="5"/>
  <c r="A63" i="5"/>
  <c r="A62" i="5"/>
  <c r="A61" i="5"/>
  <c r="A60" i="5"/>
  <c r="A59" i="5"/>
  <c r="A58" i="5"/>
  <c r="A57" i="5"/>
  <c r="A56" i="5"/>
  <c r="A55" i="5"/>
  <c r="A54" i="5"/>
  <c r="A53" i="5"/>
  <c r="A52" i="5"/>
  <c r="A51" i="5"/>
  <c r="A50" i="5"/>
  <c r="A20" i="7"/>
  <c r="A19" i="7"/>
  <c r="A40" i="5" l="1"/>
  <c r="A39" i="5"/>
  <c r="A49" i="5" l="1"/>
  <c r="A48" i="5"/>
  <c r="A21" i="5"/>
  <c r="A38" i="5" l="1"/>
  <c r="A37" i="5" l="1"/>
  <c r="A29" i="5"/>
  <c r="A28" i="5"/>
  <c r="A24" i="5"/>
  <c r="A27" i="5"/>
  <c r="A26" i="5"/>
  <c r="A25" i="5"/>
  <c r="A45" i="5" l="1"/>
  <c r="A44" i="5"/>
  <c r="A35" i="5" l="1"/>
  <c r="A23" i="5" l="1"/>
  <c r="A22" i="5"/>
  <c r="A47" i="5" l="1"/>
  <c r="A46" i="5"/>
  <c r="A43" i="5"/>
  <c r="A42" i="5"/>
  <c r="A41" i="5"/>
  <c r="A20" i="5"/>
  <c r="A36" i="5"/>
  <c r="A34" i="5"/>
  <c r="A33" i="5"/>
  <c r="A32" i="5" l="1"/>
  <c r="A31" i="5"/>
  <c r="A30" i="5"/>
  <c r="A19" i="5"/>
  <c r="H23" i="13" l="1"/>
  <c r="G23" i="13"/>
  <c r="H22" i="13"/>
  <c r="G22" i="13"/>
  <c r="H21" i="13"/>
  <c r="G21" i="13"/>
  <c r="H20" i="13"/>
  <c r="G20" i="13"/>
  <c r="H19" i="13"/>
  <c r="G19" i="13"/>
  <c r="H18" i="13"/>
  <c r="G18" i="13"/>
  <c r="H17" i="13"/>
  <c r="G17" i="13"/>
  <c r="H16" i="13"/>
  <c r="G16" i="13"/>
  <c r="H15" i="13"/>
  <c r="G15" i="13"/>
  <c r="H14" i="13"/>
  <c r="G14" i="13"/>
  <c r="S23" i="11"/>
  <c r="J23" i="11"/>
  <c r="I23" i="13" s="1"/>
  <c r="D23" i="11"/>
  <c r="E23" i="13" s="1"/>
  <c r="S22" i="11"/>
  <c r="J22" i="11"/>
  <c r="I22" i="13" s="1"/>
  <c r="D22" i="11"/>
  <c r="E22" i="13" s="1"/>
  <c r="S21" i="11"/>
  <c r="J21" i="11"/>
  <c r="I21" i="13" s="1"/>
  <c r="D21" i="11"/>
  <c r="E21" i="13" s="1"/>
  <c r="S20" i="11"/>
  <c r="J20" i="11"/>
  <c r="I20" i="13" s="1"/>
  <c r="D20" i="11"/>
  <c r="A20" i="11" s="1"/>
  <c r="S19" i="11"/>
  <c r="J19" i="11"/>
  <c r="I19" i="13" s="1"/>
  <c r="D19" i="11"/>
  <c r="E19" i="13" s="1"/>
  <c r="A19" i="11"/>
  <c r="S18" i="11"/>
  <c r="J18" i="11"/>
  <c r="I18" i="13" s="1"/>
  <c r="D18" i="11"/>
  <c r="E18" i="13" s="1"/>
  <c r="A18" i="11"/>
  <c r="S17" i="11"/>
  <c r="J17" i="11"/>
  <c r="I17" i="13" s="1"/>
  <c r="D17" i="11"/>
  <c r="S16" i="11"/>
  <c r="J16" i="11"/>
  <c r="I16" i="13" s="1"/>
  <c r="D16" i="11"/>
  <c r="E16" i="13" s="1"/>
  <c r="S15" i="11"/>
  <c r="J15" i="11"/>
  <c r="I15" i="13" s="1"/>
  <c r="D15" i="11"/>
  <c r="E15" i="13" s="1"/>
  <c r="S14" i="11"/>
  <c r="J14" i="11"/>
  <c r="I14" i="13" s="1"/>
  <c r="D14" i="11"/>
  <c r="E14" i="13" s="1"/>
  <c r="B14" i="8"/>
  <c r="B17" i="8" s="1"/>
  <c r="A18" i="7"/>
  <c r="A17" i="7"/>
  <c r="A16" i="7"/>
  <c r="A18" i="5"/>
  <c r="A17" i="5"/>
  <c r="C16" i="5"/>
  <c r="AE16" i="5" s="1"/>
  <c r="A16" i="5"/>
  <c r="C153" i="3"/>
  <c r="C151" i="3"/>
  <c r="A22" i="11" l="1"/>
  <c r="E20" i="13"/>
  <c r="A14" i="11"/>
  <c r="A15" i="11"/>
  <c r="A16" i="11"/>
  <c r="B16" i="5"/>
  <c r="F16" i="6"/>
  <c r="A23" i="11"/>
  <c r="N16" i="5"/>
  <c r="F16" i="5"/>
  <c r="G16" i="5"/>
  <c r="H16" i="5"/>
  <c r="W16" i="5"/>
  <c r="H16" i="12" s="1"/>
  <c r="I16" i="5"/>
  <c r="A16" i="12"/>
  <c r="B16" i="6"/>
  <c r="B20" i="8"/>
  <c r="E17" i="13"/>
  <c r="A17" i="11"/>
  <c r="A21" i="11"/>
  <c r="A12" i="6"/>
  <c r="X22" i="7" l="1" a="1"/>
  <c r="X22" i="7" s="1"/>
  <c r="P22" i="7" a="1"/>
  <c r="P22" i="7" s="1"/>
  <c r="H22" i="7" a="1"/>
  <c r="H22" i="7" s="1"/>
  <c r="V21" i="7" a="1"/>
  <c r="V21" i="7" s="1"/>
  <c r="N21" i="7" a="1"/>
  <c r="N21" i="7" s="1"/>
  <c r="E21" i="7" a="1"/>
  <c r="E21" i="7" s="1"/>
  <c r="W22" i="7" a="1"/>
  <c r="W22" i="7" s="1"/>
  <c r="O22" i="7" a="1"/>
  <c r="O22" i="7" s="1"/>
  <c r="F22" i="7"/>
  <c r="U21" i="7" a="1"/>
  <c r="U21" i="7" s="1"/>
  <c r="M21" i="7" a="1"/>
  <c r="M21" i="7" s="1"/>
  <c r="V22" i="7" a="1"/>
  <c r="V22" i="7" s="1"/>
  <c r="N22" i="7" a="1"/>
  <c r="N22" i="7" s="1"/>
  <c r="E22" i="7" a="1"/>
  <c r="E22" i="7" s="1"/>
  <c r="T21" i="7" a="1"/>
  <c r="T21" i="7" s="1"/>
  <c r="L21" i="7" a="1"/>
  <c r="L21" i="7" s="1"/>
  <c r="U22" i="7" a="1"/>
  <c r="U22" i="7" s="1"/>
  <c r="M22" i="7" a="1"/>
  <c r="M22" i="7" s="1"/>
  <c r="S21" i="7" a="1"/>
  <c r="S21" i="7" s="1"/>
  <c r="K21" i="7" a="1"/>
  <c r="K21" i="7" s="1"/>
  <c r="T22" i="7" a="1"/>
  <c r="T22" i="7" s="1"/>
  <c r="L22" i="7" a="1"/>
  <c r="L22" i="7" s="1"/>
  <c r="R21" i="7" a="1"/>
  <c r="R21" i="7" s="1"/>
  <c r="J21" i="7" a="1"/>
  <c r="J21" i="7" s="1"/>
  <c r="S22" i="7" a="1"/>
  <c r="S22" i="7" s="1"/>
  <c r="K22" i="7" a="1"/>
  <c r="K22" i="7" s="1"/>
  <c r="Y21" i="7" a="1"/>
  <c r="Y21" i="7" s="1"/>
  <c r="Q21" i="7" a="1"/>
  <c r="Q21" i="7" s="1"/>
  <c r="I21" i="7" a="1"/>
  <c r="I21" i="7" s="1"/>
  <c r="R22" i="7" a="1"/>
  <c r="R22" i="7" s="1"/>
  <c r="J22" i="7" a="1"/>
  <c r="J22" i="7" s="1"/>
  <c r="X21" i="7" a="1"/>
  <c r="X21" i="7" s="1"/>
  <c r="P21" i="7" a="1"/>
  <c r="P21" i="7" s="1"/>
  <c r="H21" i="7" a="1"/>
  <c r="H21" i="7" s="1"/>
  <c r="Y22" i="7" a="1"/>
  <c r="Y22" i="7" s="1"/>
  <c r="Q22" i="7" a="1"/>
  <c r="Q22" i="7" s="1"/>
  <c r="I22" i="7" a="1"/>
  <c r="I22" i="7" s="1"/>
  <c r="W21" i="7" a="1"/>
  <c r="W21" i="7" s="1"/>
  <c r="O21" i="7" a="1"/>
  <c r="O21" i="7" s="1"/>
  <c r="F21" i="7"/>
  <c r="M20" i="7" a="1"/>
  <c r="M20" i="7" s="1"/>
  <c r="X20" i="7" a="1"/>
  <c r="X20" i="7" s="1"/>
  <c r="T20" i="7" a="1"/>
  <c r="T20" i="7" s="1"/>
  <c r="P20" i="7" a="1"/>
  <c r="P20" i="7" s="1"/>
  <c r="L20" i="7" a="1"/>
  <c r="L20" i="7" s="1"/>
  <c r="H20" i="7" a="1"/>
  <c r="H20" i="7" s="1"/>
  <c r="V19" i="7" a="1"/>
  <c r="V19" i="7" s="1"/>
  <c r="R19" i="7" a="1"/>
  <c r="R19" i="7" s="1"/>
  <c r="N19" i="7" a="1"/>
  <c r="N19" i="7" s="1"/>
  <c r="J19" i="7" a="1"/>
  <c r="J19" i="7" s="1"/>
  <c r="E19" i="7" a="1"/>
  <c r="E19" i="7" s="1"/>
  <c r="Q20" i="7" a="1"/>
  <c r="Q20" i="7" s="1"/>
  <c r="W19" i="7" a="1"/>
  <c r="W19" i="7" s="1"/>
  <c r="O19" i="7" a="1"/>
  <c r="O19" i="7" s="1"/>
  <c r="F19" i="7"/>
  <c r="Y20" i="7" a="1"/>
  <c r="Y20" i="7" s="1"/>
  <c r="W20" i="7" a="1"/>
  <c r="W20" i="7" s="1"/>
  <c r="S20" i="7" a="1"/>
  <c r="S20" i="7" s="1"/>
  <c r="O20" i="7" a="1"/>
  <c r="O20" i="7" s="1"/>
  <c r="K20" i="7" a="1"/>
  <c r="K20" i="7" s="1"/>
  <c r="F20" i="7"/>
  <c r="Y19" i="7" a="1"/>
  <c r="Y19" i="7" s="1"/>
  <c r="U19" i="7" a="1"/>
  <c r="U19" i="7" s="1"/>
  <c r="Q19" i="7" a="1"/>
  <c r="Q19" i="7" s="1"/>
  <c r="M19" i="7" a="1"/>
  <c r="M19" i="7" s="1"/>
  <c r="I19" i="7" a="1"/>
  <c r="I19" i="7" s="1"/>
  <c r="I20" i="7" a="1"/>
  <c r="I20" i="7" s="1"/>
  <c r="S19" i="7" a="1"/>
  <c r="S19" i="7" s="1"/>
  <c r="K19" i="7" a="1"/>
  <c r="K19" i="7" s="1"/>
  <c r="U20" i="7" a="1"/>
  <c r="U20" i="7" s="1"/>
  <c r="V20" i="7" a="1"/>
  <c r="V20" i="7" s="1"/>
  <c r="R20" i="7" a="1"/>
  <c r="R20" i="7" s="1"/>
  <c r="N20" i="7" a="1"/>
  <c r="N20" i="7" s="1"/>
  <c r="J20" i="7" a="1"/>
  <c r="J20" i="7" s="1"/>
  <c r="E20" i="7" a="1"/>
  <c r="E20" i="7" s="1"/>
  <c r="X19" i="7" a="1"/>
  <c r="X19" i="7" s="1"/>
  <c r="T19" i="7" a="1"/>
  <c r="T19" i="7" s="1"/>
  <c r="P19" i="7" a="1"/>
  <c r="P19" i="7" s="1"/>
  <c r="L19" i="7" a="1"/>
  <c r="L19" i="7" s="1"/>
  <c r="H19" i="7" a="1"/>
  <c r="H19" i="7" s="1"/>
  <c r="E16" i="12"/>
  <c r="B23" i="8"/>
  <c r="B26" i="8" s="1"/>
  <c r="Y18" i="7" a="1"/>
  <c r="Y18" i="7" s="1"/>
  <c r="S18" i="7" a="1"/>
  <c r="S18" i="7" s="1"/>
  <c r="M18" i="7" a="1"/>
  <c r="M18" i="7" s="1"/>
  <c r="F18" i="7"/>
  <c r="W17" i="7" a="1"/>
  <c r="W17" i="7" s="1"/>
  <c r="Q17" i="7" a="1"/>
  <c r="Q17" i="7" s="1"/>
  <c r="K17" i="7" a="1"/>
  <c r="K17" i="7" s="1"/>
  <c r="U16" i="7" a="1"/>
  <c r="U16" i="7" s="1"/>
  <c r="O16" i="7" a="1"/>
  <c r="O16" i="7" s="1"/>
  <c r="I16" i="7" a="1"/>
  <c r="I16" i="7" s="1"/>
  <c r="X18" i="7" a="1"/>
  <c r="X18" i="7" s="1"/>
  <c r="R18" i="7" a="1"/>
  <c r="R18" i="7" s="1"/>
  <c r="L18" i="7" a="1"/>
  <c r="L18" i="7" s="1"/>
  <c r="E18" i="7" a="1"/>
  <c r="E18" i="7" s="1"/>
  <c r="V17" i="7" a="1"/>
  <c r="V17" i="7" s="1"/>
  <c r="P17" i="7" a="1"/>
  <c r="P17" i="7" s="1"/>
  <c r="J17" i="7" a="1"/>
  <c r="J17" i="7" s="1"/>
  <c r="T16" i="7" a="1"/>
  <c r="T16" i="7" s="1"/>
  <c r="N16" i="7" a="1"/>
  <c r="N16" i="7" s="1"/>
  <c r="H16" i="7" a="1"/>
  <c r="H16" i="7" s="1"/>
  <c r="W18" i="7" a="1"/>
  <c r="W18" i="7" s="1"/>
  <c r="Q18" i="7" a="1"/>
  <c r="Q18" i="7" s="1"/>
  <c r="K18" i="7" a="1"/>
  <c r="K18" i="7" s="1"/>
  <c r="U17" i="7" a="1"/>
  <c r="U17" i="7" s="1"/>
  <c r="O17" i="7" a="1"/>
  <c r="O17" i="7" s="1"/>
  <c r="I17" i="7" a="1"/>
  <c r="I17" i="7" s="1"/>
  <c r="Y16" i="7" a="1"/>
  <c r="Y16" i="7" s="1"/>
  <c r="S16" i="7" a="1"/>
  <c r="S16" i="7" s="1"/>
  <c r="M16" i="7" a="1"/>
  <c r="M16" i="7" s="1"/>
  <c r="F16" i="7"/>
  <c r="R16" i="7" a="1"/>
  <c r="R16" i="7" s="1"/>
  <c r="E16" i="7" a="1"/>
  <c r="E16" i="7" s="1"/>
  <c r="U18" i="7" a="1"/>
  <c r="U18" i="7" s="1"/>
  <c r="I18" i="7" a="1"/>
  <c r="I18" i="7" s="1"/>
  <c r="S17" i="7" a="1"/>
  <c r="S17" i="7" s="1"/>
  <c r="F17" i="7"/>
  <c r="Q16" i="7" a="1"/>
  <c r="Q16" i="7" s="1"/>
  <c r="T18" i="7" a="1"/>
  <c r="T18" i="7" s="1"/>
  <c r="H18" i="7" a="1"/>
  <c r="H18" i="7" s="1"/>
  <c r="R17" i="7" a="1"/>
  <c r="R17" i="7" s="1"/>
  <c r="E17" i="7" a="1"/>
  <c r="E17" i="7" s="1"/>
  <c r="P16" i="7" a="1"/>
  <c r="P16" i="7" s="1"/>
  <c r="V16" i="7" a="1"/>
  <c r="V16" i="7" s="1"/>
  <c r="J16" i="7" a="1"/>
  <c r="J16" i="7" s="1"/>
  <c r="X16" i="7" a="1"/>
  <c r="X16" i="7" s="1"/>
  <c r="Y17" i="7" a="1"/>
  <c r="Y17" i="7" s="1"/>
  <c r="W16" i="7" a="1"/>
  <c r="W16" i="7" s="1"/>
  <c r="X17" i="7" a="1"/>
  <c r="X17" i="7" s="1"/>
  <c r="V18" i="7" a="1"/>
  <c r="V18" i="7" s="1"/>
  <c r="T17" i="7" a="1"/>
  <c r="T17" i="7" s="1"/>
  <c r="J18" i="7" a="1"/>
  <c r="J18" i="7" s="1"/>
  <c r="H17" i="7" a="1"/>
  <c r="H17" i="7" s="1"/>
  <c r="O18" i="7" a="1"/>
  <c r="O18" i="7" s="1"/>
  <c r="K16" i="7" a="1"/>
  <c r="K16" i="7" s="1"/>
  <c r="N18" i="7" a="1"/>
  <c r="N18" i="7" s="1"/>
  <c r="N17" i="7" a="1"/>
  <c r="N17" i="7" s="1"/>
  <c r="P18" i="7" a="1"/>
  <c r="P18" i="7" s="1"/>
  <c r="M17" i="7" a="1"/>
  <c r="M17" i="7" s="1"/>
  <c r="L16" i="7" a="1"/>
  <c r="L16" i="7" s="1"/>
  <c r="L17" i="7" a="1"/>
  <c r="L17" i="7" s="1"/>
  <c r="A16" i="6"/>
  <c r="E16" i="5"/>
  <c r="AD16" i="5"/>
  <c r="D16" i="6"/>
  <c r="C147" i="3"/>
  <c r="C149" i="3"/>
  <c r="C145" i="3"/>
  <c r="C143" i="3"/>
  <c r="C141" i="3"/>
  <c r="AC105" i="5" a="1"/>
  <c r="AC105" i="5" s="1"/>
  <c r="U11" i="4"/>
  <c r="U10" i="4"/>
  <c r="U94" i="4"/>
  <c r="U54" i="4"/>
  <c r="Y26" i="4"/>
  <c r="Z26" i="4" s="1"/>
  <c r="Y106" i="4"/>
  <c r="Z106" i="4" s="1"/>
  <c r="Y66" i="4"/>
  <c r="Z66" i="4" s="1"/>
  <c r="R64" i="4"/>
  <c r="R63" i="4"/>
  <c r="R23" i="4"/>
  <c r="R24" i="4"/>
  <c r="C133" i="3"/>
  <c r="B29" i="8" l="1"/>
  <c r="B32" i="8" s="1"/>
  <c r="M16" i="6"/>
  <c r="H16" i="6"/>
  <c r="T16" i="5" s="1"/>
  <c r="G16" i="6"/>
  <c r="N16" i="6"/>
  <c r="B14" i="11"/>
  <c r="A14" i="13"/>
  <c r="X26" i="4"/>
  <c r="X106" i="4"/>
  <c r="X66" i="4"/>
  <c r="C137" i="3"/>
  <c r="C135" i="3"/>
  <c r="C132" i="3"/>
  <c r="B35" i="8" l="1"/>
  <c r="C17" i="5"/>
  <c r="G16" i="12"/>
  <c r="G14" i="11"/>
  <c r="F14" i="13" s="1"/>
  <c r="C14" i="13"/>
  <c r="K14" i="11"/>
  <c r="J14" i="13" s="1"/>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A17" i="12" l="1"/>
  <c r="B17" i="6"/>
  <c r="F17" i="5"/>
  <c r="N17" i="5"/>
  <c r="D17" i="6" s="1"/>
  <c r="E17" i="5"/>
  <c r="AD17" i="5"/>
  <c r="B17" i="5"/>
  <c r="AE17" i="5"/>
  <c r="H17" i="5"/>
  <c r="G17" i="5"/>
  <c r="J4" i="15"/>
  <c r="AB13" i="12" a="1"/>
  <c r="AB13" i="12" s="1"/>
  <c r="I27" i="10"/>
  <c r="G30" i="8" l="1" a="1"/>
  <c r="G30" i="8" s="1"/>
  <c r="G27" i="8" a="1"/>
  <c r="G27" i="8" s="1"/>
  <c r="A17" i="6"/>
  <c r="N17" i="6"/>
  <c r="G18" i="8" a="1"/>
  <c r="G18" i="8" s="1"/>
  <c r="G24" i="8" a="1"/>
  <c r="G24" i="8" s="1"/>
  <c r="G15" i="8" a="1"/>
  <c r="G15" i="8" s="1"/>
  <c r="G21" i="8" a="1"/>
  <c r="G21" i="8" s="1"/>
  <c r="P7" i="13"/>
  <c r="F8" i="7"/>
  <c r="M8" i="12" a="1"/>
  <c r="M8" i="12" s="1"/>
  <c r="H50" i="8" a="1"/>
  <c r="H50" i="8" s="1"/>
  <c r="H48" i="8" a="1"/>
  <c r="H48" i="8" s="1"/>
  <c r="F7" i="6" a="1"/>
  <c r="F7" i="6" s="1"/>
  <c r="F6" i="6" a="1"/>
  <c r="F6" i="6" s="1"/>
  <c r="Q1" i="6" a="1"/>
  <c r="Q1" i="6" s="1"/>
  <c r="O1" i="6" a="1"/>
  <c r="O1" i="6" s="1"/>
  <c r="C11" i="7" a="1"/>
  <c r="C11" i="7" s="1"/>
  <c r="G22" i="15" a="1"/>
  <c r="G22" i="15" s="1"/>
  <c r="C22" i="15" a="1"/>
  <c r="C22" i="15" s="1"/>
  <c r="C122" i="3"/>
  <c r="C120" i="3"/>
  <c r="F10" i="12" a="1"/>
  <c r="AJ21" i="13"/>
  <c r="AL22" i="13"/>
  <c r="AO22" i="13"/>
  <c r="AJ15" i="13"/>
  <c r="AL21" i="13"/>
  <c r="AM14" i="13"/>
  <c r="AN22" i="13"/>
  <c r="AL23" i="13"/>
  <c r="AJ17" i="13"/>
  <c r="AN17" i="13"/>
  <c r="AM23" i="13"/>
  <c r="AM22" i="13"/>
  <c r="AL16" i="13"/>
  <c r="AM17" i="13"/>
  <c r="AM20" i="13"/>
  <c r="AK18" i="13"/>
  <c r="AL14" i="13"/>
  <c r="AL15" i="13"/>
  <c r="AN14" i="13"/>
  <c r="AM16" i="13"/>
  <c r="AN23" i="13"/>
  <c r="AO21" i="13"/>
  <c r="AK20" i="13"/>
  <c r="AJ14" i="13"/>
  <c r="AN19" i="13"/>
  <c r="AO23" i="13"/>
  <c r="AK16" i="13"/>
  <c r="AK17" i="13"/>
  <c r="AO20" i="13"/>
  <c r="AJ20" i="13"/>
  <c r="AK21" i="13"/>
  <c r="AO14" i="13"/>
  <c r="AM15" i="13"/>
  <c r="AL19" i="13"/>
  <c r="AO17" i="13"/>
  <c r="AJ19" i="13"/>
  <c r="AJ23" i="13"/>
  <c r="AO19" i="13"/>
  <c r="AO18" i="13"/>
  <c r="AL18" i="13"/>
  <c r="AO15" i="13"/>
  <c r="AJ22" i="13"/>
  <c r="AJ18" i="13"/>
  <c r="AM19" i="13"/>
  <c r="AK15" i="13"/>
  <c r="AO16" i="13"/>
  <c r="AK23" i="13"/>
  <c r="AJ16" i="13"/>
  <c r="AM18" i="13"/>
  <c r="AK19" i="13"/>
  <c r="AK14" i="13"/>
  <c r="AN20" i="13"/>
  <c r="AN16" i="13"/>
  <c r="AN15" i="13"/>
  <c r="AM21" i="13"/>
  <c r="K14" i="13"/>
  <c r="AL20" i="13"/>
  <c r="AN18" i="13"/>
  <c r="AK22" i="13"/>
  <c r="AN21" i="13"/>
  <c r="AL17" i="13"/>
  <c r="F10" i="12" l="1"/>
  <c r="R1" i="6" a="1"/>
  <c r="R1" i="6" s="1"/>
  <c r="S67" i="4"/>
  <c r="U67" i="4" s="1"/>
  <c r="S107" i="4"/>
  <c r="U107" i="4" s="1"/>
  <c r="S27" i="4"/>
  <c r="U27" i="4" s="1"/>
  <c r="C124" i="3"/>
  <c r="C18" i="5" l="1"/>
  <c r="N18" i="5" s="1"/>
  <c r="D18" i="6" s="1"/>
  <c r="S1" i="6" a="1"/>
  <c r="S1" i="6" s="1"/>
  <c r="H25" i="9"/>
  <c r="G18" i="5" l="1"/>
  <c r="K18" i="5"/>
  <c r="AD18" i="5"/>
  <c r="B18" i="5"/>
  <c r="H18" i="5"/>
  <c r="E18" i="5"/>
  <c r="F18" i="5"/>
  <c r="AE18" i="5"/>
  <c r="A18" i="12"/>
  <c r="J18" i="5"/>
  <c r="B18" i="6"/>
  <c r="A18" i="6" s="1"/>
  <c r="C19" i="5"/>
  <c r="C20" i="5" s="1"/>
  <c r="D18" i="5"/>
  <c r="B18" i="12" s="1"/>
  <c r="T1" i="6" a="1"/>
  <c r="T1" i="6" s="1"/>
  <c r="C94" i="3"/>
  <c r="C92" i="3"/>
  <c r="C21" i="5" l="1"/>
  <c r="N20" i="5"/>
  <c r="AE20" i="5"/>
  <c r="K20" i="5"/>
  <c r="A20" i="12"/>
  <c r="AD20" i="5"/>
  <c r="J20" i="5"/>
  <c r="D20" i="5"/>
  <c r="B20" i="12" s="1"/>
  <c r="B20" i="6"/>
  <c r="AD19" i="5"/>
  <c r="B19" i="6"/>
  <c r="E19" i="5"/>
  <c r="E20" i="5" s="1"/>
  <c r="D19" i="5"/>
  <c r="B19" i="12" s="1"/>
  <c r="AE19" i="5"/>
  <c r="K19" i="5"/>
  <c r="A19" i="12"/>
  <c r="N19" i="5"/>
  <c r="D19" i="6" s="1"/>
  <c r="B19" i="5"/>
  <c r="B20" i="5" s="1"/>
  <c r="G19" i="5"/>
  <c r="G20" i="5" s="1"/>
  <c r="F19" i="5"/>
  <c r="F20" i="5" s="1"/>
  <c r="H19" i="5"/>
  <c r="H20" i="5" s="1"/>
  <c r="J19" i="5"/>
  <c r="U1" i="6" a="1"/>
  <c r="U1" i="6" s="1"/>
  <c r="C98" i="3"/>
  <c r="H21" i="5" l="1"/>
  <c r="G21" i="5"/>
  <c r="F21" i="5"/>
  <c r="AE21" i="5"/>
  <c r="N21" i="5"/>
  <c r="E21" i="5"/>
  <c r="D21" i="5"/>
  <c r="B21" i="12" s="1"/>
  <c r="K21" i="5"/>
  <c r="A21" i="12"/>
  <c r="B21" i="6"/>
  <c r="AD21" i="5"/>
  <c r="J21" i="5"/>
  <c r="B21" i="5"/>
  <c r="C22" i="5"/>
  <c r="D20" i="6"/>
  <c r="A19" i="6"/>
  <c r="V1" i="6" a="1"/>
  <c r="V1" i="6" s="1"/>
  <c r="C5" i="14"/>
  <c r="E2" i="12"/>
  <c r="B22" i="5" l="1"/>
  <c r="D21" i="6"/>
  <c r="H22" i="5"/>
  <c r="A22" i="12"/>
  <c r="AE22" i="5"/>
  <c r="C23" i="5"/>
  <c r="B22" i="6"/>
  <c r="N22" i="5"/>
  <c r="D22" i="6" s="1"/>
  <c r="D22" i="5"/>
  <c r="B22" i="12" s="1"/>
  <c r="K22" i="5"/>
  <c r="AD22" i="5"/>
  <c r="J22" i="5"/>
  <c r="G22" i="5"/>
  <c r="E22" i="5"/>
  <c r="F22" i="5"/>
  <c r="A20" i="6"/>
  <c r="W1" i="6" a="1"/>
  <c r="W1" i="6" s="1"/>
  <c r="S12" i="11"/>
  <c r="A21" i="6" l="1"/>
  <c r="A22" i="6" s="1"/>
  <c r="E23" i="5"/>
  <c r="K23" i="5"/>
  <c r="N23" i="5"/>
  <c r="D23" i="6" s="1"/>
  <c r="B23" i="5"/>
  <c r="B23" i="6"/>
  <c r="D23" i="5"/>
  <c r="B23" i="12" s="1"/>
  <c r="C24" i="5"/>
  <c r="AD23" i="5"/>
  <c r="A23" i="12"/>
  <c r="J23" i="5"/>
  <c r="F23" i="5"/>
  <c r="AE23" i="5"/>
  <c r="H23" i="5"/>
  <c r="G23" i="5"/>
  <c r="X1" i="6" a="1"/>
  <c r="X1" i="6" s="1"/>
  <c r="C1" i="7" a="1"/>
  <c r="C1" i="7" s="1"/>
  <c r="D40" i="2"/>
  <c r="D39" i="2"/>
  <c r="D41" i="2"/>
  <c r="D37" i="2"/>
  <c r="D38" i="2"/>
  <c r="D36" i="2"/>
  <c r="A23" i="6" l="1"/>
  <c r="K24" i="5"/>
  <c r="F24" i="5"/>
  <c r="E24" i="5"/>
  <c r="AD24" i="5"/>
  <c r="D24" i="5"/>
  <c r="B24" i="12" s="1"/>
  <c r="A24" i="12"/>
  <c r="J24" i="5"/>
  <c r="C25" i="5"/>
  <c r="B24" i="5"/>
  <c r="B24" i="6"/>
  <c r="N24" i="5"/>
  <c r="D24" i="6" s="1"/>
  <c r="H24" i="5"/>
  <c r="G24" i="5"/>
  <c r="AE24" i="5"/>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A24" i="6" l="1"/>
  <c r="K25" i="5"/>
  <c r="C26" i="5"/>
  <c r="A25" i="12"/>
  <c r="H25" i="5"/>
  <c r="F25" i="5"/>
  <c r="AD25" i="5"/>
  <c r="J25" i="5"/>
  <c r="B25" i="6"/>
  <c r="N25" i="5"/>
  <c r="D25" i="6" s="1"/>
  <c r="B25" i="5"/>
  <c r="D25" i="5"/>
  <c r="B25" i="12" s="1"/>
  <c r="G25" i="5"/>
  <c r="AE25" i="5"/>
  <c r="E25" i="5"/>
  <c r="Z1" i="6" a="1"/>
  <c r="Z1" i="6" s="1"/>
  <c r="H24" i="6" s="1"/>
  <c r="T24" i="5" s="1"/>
  <c r="G24" i="12" s="1"/>
  <c r="D27" i="2"/>
  <c r="D15" i="2"/>
  <c r="D35" i="2"/>
  <c r="D3" i="2"/>
  <c r="A25" i="6" l="1"/>
  <c r="J26" i="5"/>
  <c r="A26" i="12"/>
  <c r="B26" i="6"/>
  <c r="D26" i="5"/>
  <c r="B26" i="12" s="1"/>
  <c r="N26" i="5"/>
  <c r="D26" i="6" s="1"/>
  <c r="H26" i="6" s="1"/>
  <c r="T26" i="5" s="1"/>
  <c r="G26" i="12" s="1"/>
  <c r="F26" i="5"/>
  <c r="AD26" i="5"/>
  <c r="C27" i="5"/>
  <c r="B26" i="5"/>
  <c r="AE26" i="5"/>
  <c r="H26" i="5"/>
  <c r="K26" i="5"/>
  <c r="E26" i="5"/>
  <c r="G26" i="5"/>
  <c r="H21" i="6"/>
  <c r="T21" i="5" s="1"/>
  <c r="G21" i="12" s="1"/>
  <c r="H25" i="6"/>
  <c r="T25" i="5" s="1"/>
  <c r="G25" i="12" s="1"/>
  <c r="H20" i="6"/>
  <c r="T20" i="5" s="1"/>
  <c r="G20" i="12" s="1"/>
  <c r="H22" i="6"/>
  <c r="T22" i="5" s="1"/>
  <c r="G22" i="12" s="1"/>
  <c r="H23" i="6"/>
  <c r="T23" i="5" s="1"/>
  <c r="G23" i="12" s="1"/>
  <c r="H19" i="6"/>
  <c r="T19" i="5" s="1"/>
  <c r="G19" i="12" s="1"/>
  <c r="H18" i="6"/>
  <c r="T18" i="5" s="1"/>
  <c r="G18" i="12" s="1"/>
  <c r="H17" i="6"/>
  <c r="T17" i="5" s="1"/>
  <c r="G17" i="12" s="1"/>
  <c r="H10" i="7"/>
  <c r="A26" i="6" l="1"/>
  <c r="C28" i="5"/>
  <c r="D27" i="5"/>
  <c r="B27" i="12" s="1"/>
  <c r="G27" i="5"/>
  <c r="B27" i="5"/>
  <c r="H27" i="5"/>
  <c r="B27" i="6"/>
  <c r="F27" i="5"/>
  <c r="J27" i="5"/>
  <c r="E27" i="5"/>
  <c r="AE27" i="5"/>
  <c r="N27" i="5"/>
  <c r="D27" i="6" s="1"/>
  <c r="H27" i="6" s="1"/>
  <c r="T27" i="5" s="1"/>
  <c r="G27" i="12" s="1"/>
  <c r="K27" i="5"/>
  <c r="A27" i="12"/>
  <c r="AD27" i="5"/>
  <c r="AG50" i="8"/>
  <c r="F28" i="5" l="1"/>
  <c r="H28" i="5"/>
  <c r="B28" i="5"/>
  <c r="G28" i="5"/>
  <c r="E28" i="5"/>
  <c r="A27" i="6"/>
  <c r="B28" i="6"/>
  <c r="C29" i="5"/>
  <c r="N28" i="5"/>
  <c r="D28" i="6" s="1"/>
  <c r="H28" i="6" s="1"/>
  <c r="T28" i="5" s="1"/>
  <c r="G28" i="12" s="1"/>
  <c r="AE28" i="5"/>
  <c r="K28" i="5"/>
  <c r="AD28" i="5"/>
  <c r="J28" i="5"/>
  <c r="A28" i="12"/>
  <c r="D28" i="5"/>
  <c r="B28" i="12" s="1"/>
  <c r="C103" i="3"/>
  <c r="C100" i="3"/>
  <c r="C96" i="3"/>
  <c r="B29" i="5" l="1"/>
  <c r="C30" i="5" s="1"/>
  <c r="H29" i="5"/>
  <c r="N29" i="5"/>
  <c r="D29" i="6" s="1"/>
  <c r="H29" i="6" s="1"/>
  <c r="T29" i="5" s="1"/>
  <c r="G29" i="12" s="1"/>
  <c r="G29" i="5"/>
  <c r="A29" i="12"/>
  <c r="E29" i="5"/>
  <c r="B29" i="6"/>
  <c r="F29" i="5"/>
  <c r="AE29" i="5"/>
  <c r="D29" i="5"/>
  <c r="B29" i="12" s="1"/>
  <c r="K29" i="5"/>
  <c r="J29" i="5"/>
  <c r="AD29" i="5"/>
  <c r="A28" i="6"/>
  <c r="C93" i="3"/>
  <c r="A29" i="6" l="1"/>
  <c r="B30" i="6"/>
  <c r="A30" i="6" s="1"/>
  <c r="N30" i="5"/>
  <c r="D30" i="6" s="1"/>
  <c r="H30" i="6" s="1"/>
  <c r="T30" i="5" s="1"/>
  <c r="G30" i="12" s="1"/>
  <c r="C31" i="5"/>
  <c r="H30" i="5"/>
  <c r="A30" i="12"/>
  <c r="AD30" i="5"/>
  <c r="E30" i="5"/>
  <c r="F30" i="5"/>
  <c r="G30" i="5"/>
  <c r="AE30" i="5"/>
  <c r="B30" i="5"/>
  <c r="C112" i="3"/>
  <c r="C108" i="3"/>
  <c r="C70" i="3"/>
  <c r="L35" i="13"/>
  <c r="L34" i="13" s="1"/>
  <c r="C84" i="3"/>
  <c r="K31" i="5" l="1"/>
  <c r="B31" i="6"/>
  <c r="A31" i="12"/>
  <c r="AD31" i="5"/>
  <c r="E31" i="5"/>
  <c r="G31" i="5"/>
  <c r="J31" i="5"/>
  <c r="B31" i="5"/>
  <c r="H31" i="5"/>
  <c r="F31" i="5"/>
  <c r="AE31" i="5"/>
  <c r="N31" i="5"/>
  <c r="D31" i="6" s="1"/>
  <c r="H31" i="6" s="1"/>
  <c r="T31" i="5" s="1"/>
  <c r="G31" i="12" s="1"/>
  <c r="D31" i="5"/>
  <c r="B31" i="12" s="1"/>
  <c r="C32" i="5"/>
  <c r="C56" i="3"/>
  <c r="D32" i="5" l="1"/>
  <c r="B32" i="12" s="1"/>
  <c r="B32" i="6"/>
  <c r="E32" i="5"/>
  <c r="AE32" i="5"/>
  <c r="A32" i="12"/>
  <c r="F32" i="5"/>
  <c r="K32" i="5"/>
  <c r="G32" i="5"/>
  <c r="N32" i="5"/>
  <c r="D32" i="6" s="1"/>
  <c r="H32" i="6" s="1"/>
  <c r="T32" i="5" s="1"/>
  <c r="G32" i="12" s="1"/>
  <c r="H32" i="5"/>
  <c r="J32" i="5"/>
  <c r="B32" i="5"/>
  <c r="C33" i="5" s="1"/>
  <c r="AD32" i="5"/>
  <c r="A31" i="6"/>
  <c r="Q13" i="6"/>
  <c r="A1" i="7"/>
  <c r="V28" i="7" a="1"/>
  <c r="V28" i="7" s="1"/>
  <c r="Y5" i="7"/>
  <c r="X5" i="7"/>
  <c r="P5" i="7"/>
  <c r="C60" i="3"/>
  <c r="S4" i="8"/>
  <c r="F5" i="7"/>
  <c r="B33" i="6" l="1"/>
  <c r="A33" i="6" s="1"/>
  <c r="AE33" i="5"/>
  <c r="H33" i="5"/>
  <c r="N33" i="5"/>
  <c r="D33" i="6" s="1"/>
  <c r="H33" i="6" s="1"/>
  <c r="T33" i="5" s="1"/>
  <c r="G33" i="12" s="1"/>
  <c r="AD33" i="5"/>
  <c r="A33" i="12"/>
  <c r="B33" i="5"/>
  <c r="G33" i="5"/>
  <c r="C34" i="5"/>
  <c r="F33" i="5"/>
  <c r="E33" i="5"/>
  <c r="A32" i="6"/>
  <c r="R13" i="6"/>
  <c r="S13" i="6" s="1"/>
  <c r="V29" i="7"/>
  <c r="V30" i="7"/>
  <c r="N5" i="7"/>
  <c r="O5" i="7"/>
  <c r="C35" i="5" l="1"/>
  <c r="F34" i="5"/>
  <c r="N34" i="5"/>
  <c r="D34" i="6" s="1"/>
  <c r="H34" i="6" s="1"/>
  <c r="T34" i="5" s="1"/>
  <c r="G34" i="12" s="1"/>
  <c r="AE34" i="5"/>
  <c r="H34" i="5"/>
  <c r="B34" i="5"/>
  <c r="AD34" i="5"/>
  <c r="A34" i="12"/>
  <c r="B34" i="6"/>
  <c r="K34" i="5"/>
  <c r="E34" i="5"/>
  <c r="D34" i="5"/>
  <c r="B34" i="12" s="1"/>
  <c r="J34" i="5"/>
  <c r="G34" i="5"/>
  <c r="T13" i="6"/>
  <c r="E10" i="7"/>
  <c r="C57" i="3"/>
  <c r="C82" i="3"/>
  <c r="C77" i="3"/>
  <c r="B36" i="9"/>
  <c r="D29" i="7"/>
  <c r="V35" i="9" a="1"/>
  <c r="V37" i="9" s="1"/>
  <c r="B33" i="9"/>
  <c r="J25" i="9"/>
  <c r="L25" i="9" s="1"/>
  <c r="N25" i="9" s="1"/>
  <c r="P25" i="9" s="1"/>
  <c r="R25" i="9" s="1"/>
  <c r="T25" i="9" s="1"/>
  <c r="V25" i="9" s="1"/>
  <c r="X25" i="9" s="1"/>
  <c r="Z25" i="9" s="1"/>
  <c r="AB25" i="9" s="1"/>
  <c r="AD25" i="9" s="1"/>
  <c r="M5" i="9"/>
  <c r="J5" i="9"/>
  <c r="G5" i="9"/>
  <c r="B5" i="9"/>
  <c r="G35" i="5" l="1"/>
  <c r="B35" i="5"/>
  <c r="H35" i="5"/>
  <c r="A34" i="6"/>
  <c r="F35" i="5"/>
  <c r="AD35" i="5"/>
  <c r="K35" i="5"/>
  <c r="B35" i="6"/>
  <c r="N35" i="5"/>
  <c r="D35" i="6" s="1"/>
  <c r="H35" i="6" s="1"/>
  <c r="T35" i="5" s="1"/>
  <c r="G35" i="12" s="1"/>
  <c r="E35" i="5"/>
  <c r="A35" i="12"/>
  <c r="D35" i="5"/>
  <c r="B35" i="12" s="1"/>
  <c r="J35" i="5"/>
  <c r="AE35" i="5"/>
  <c r="C36" i="5"/>
  <c r="U13" i="6"/>
  <c r="V35" i="9"/>
  <c r="V36" i="9"/>
  <c r="L28" i="7" a="1"/>
  <c r="L30" i="7" s="1"/>
  <c r="D26" i="7"/>
  <c r="C5" i="7"/>
  <c r="A35" i="6" l="1"/>
  <c r="N36" i="5"/>
  <c r="D36" i="6" s="1"/>
  <c r="H36" i="6" s="1"/>
  <c r="T36" i="5" s="1"/>
  <c r="G36" i="12" s="1"/>
  <c r="E36" i="5"/>
  <c r="AE36" i="5"/>
  <c r="B36" i="6"/>
  <c r="J36" i="5"/>
  <c r="A36" i="12"/>
  <c r="D36" i="5"/>
  <c r="B36" i="12" s="1"/>
  <c r="F36" i="5"/>
  <c r="K30" i="5" s="1"/>
  <c r="K36" i="5"/>
  <c r="H36" i="5"/>
  <c r="C37" i="5"/>
  <c r="G36" i="5"/>
  <c r="AD36" i="5"/>
  <c r="B36" i="5"/>
  <c r="V13" i="6"/>
  <c r="L28" i="7"/>
  <c r="L29" i="7"/>
  <c r="C69" i="3"/>
  <c r="C86" i="3"/>
  <c r="C81" i="3"/>
  <c r="C80" i="3"/>
  <c r="C79" i="3"/>
  <c r="C76" i="3"/>
  <c r="C75" i="3"/>
  <c r="C74" i="3"/>
  <c r="C67" i="3"/>
  <c r="C65" i="3"/>
  <c r="C64" i="3"/>
  <c r="C61" i="3"/>
  <c r="C62" i="3"/>
  <c r="C59" i="3"/>
  <c r="C58" i="3"/>
  <c r="C72" i="3"/>
  <c r="S108" i="4" a="1"/>
  <c r="S108" i="4" s="1"/>
  <c r="S68" i="4" a="1"/>
  <c r="S68" i="4" s="1"/>
  <c r="S28" i="4" a="1"/>
  <c r="S28" i="4" s="1"/>
  <c r="A36" i="6" l="1"/>
  <c r="C38" i="5"/>
  <c r="C39" i="5" s="1"/>
  <c r="D37" i="5"/>
  <c r="B37" i="12" s="1"/>
  <c r="J37" i="5"/>
  <c r="AE37" i="5"/>
  <c r="AD37" i="5"/>
  <c r="B37" i="6"/>
  <c r="E37" i="5"/>
  <c r="K37" i="5"/>
  <c r="F37" i="5"/>
  <c r="B37" i="5"/>
  <c r="G37" i="5"/>
  <c r="H37" i="5"/>
  <c r="A37" i="12"/>
  <c r="N37" i="5"/>
  <c r="D37" i="6" s="1"/>
  <c r="H37" i="6" s="1"/>
  <c r="T37" i="5" s="1"/>
  <c r="G37" i="12" s="1"/>
  <c r="X108" i="4"/>
  <c r="Y28" i="4"/>
  <c r="X68" i="4"/>
  <c r="W13" i="6"/>
  <c r="X28" i="4"/>
  <c r="Z108" i="4"/>
  <c r="Y108" i="4"/>
  <c r="Z68" i="4"/>
  <c r="Y68" i="4"/>
  <c r="Z28" i="4"/>
  <c r="E28" i="14"/>
  <c r="C15" i="14"/>
  <c r="L4" i="13"/>
  <c r="I5" i="12"/>
  <c r="F4" i="11"/>
  <c r="D7" i="10"/>
  <c r="K8" i="8"/>
  <c r="L5" i="4"/>
  <c r="C14" i="15"/>
  <c r="C52" i="3"/>
  <c r="G10" i="6" a="1"/>
  <c r="G10" i="6" s="1"/>
  <c r="Q5" i="5" a="1"/>
  <c r="Q5" i="5" s="1"/>
  <c r="F9" i="5"/>
  <c r="F8" i="5"/>
  <c r="P85" i="4"/>
  <c r="C51" i="3"/>
  <c r="C47" i="3"/>
  <c r="C43" i="3"/>
  <c r="C41" i="3"/>
  <c r="C39" i="3"/>
  <c r="E2" i="15"/>
  <c r="C34" i="3"/>
  <c r="C32" i="3"/>
  <c r="AX13" i="6"/>
  <c r="AX12" i="6" s="1"/>
  <c r="AB13" i="6"/>
  <c r="AB12" i="6" s="1"/>
  <c r="AM13" i="6"/>
  <c r="AM12" i="6" s="1"/>
  <c r="H12" i="10"/>
  <c r="H11" i="10" s="1"/>
  <c r="BG15" i="6"/>
  <c r="BF15" i="6"/>
  <c r="BE15" i="6"/>
  <c r="BD15" i="6"/>
  <c r="BC15" i="6"/>
  <c r="BB15" i="6"/>
  <c r="BA15" i="6"/>
  <c r="AZ15" i="6"/>
  <c r="AY15" i="6"/>
  <c r="AX15" i="6"/>
  <c r="G12" i="9"/>
  <c r="C20" i="3"/>
  <c r="C22" i="3"/>
  <c r="C24" i="3"/>
  <c r="C26" i="3"/>
  <c r="C28" i="3"/>
  <c r="C19" i="3"/>
  <c r="C15" i="3"/>
  <c r="C14" i="3"/>
  <c r="C12" i="3"/>
  <c r="I36" i="11"/>
  <c r="I35" i="11"/>
  <c r="AA53" i="8" a="1"/>
  <c r="T111" i="6" a="1"/>
  <c r="T113" i="6" s="1"/>
  <c r="I111" i="6" a="1"/>
  <c r="I112" i="6" s="1"/>
  <c r="C2" i="4"/>
  <c r="Z7" i="11"/>
  <c r="V12" i="8"/>
  <c r="E12" i="8"/>
  <c r="A14" i="5"/>
  <c r="C14" i="5" s="1"/>
  <c r="AV15" i="6"/>
  <c r="AU15" i="6"/>
  <c r="AT15" i="6"/>
  <c r="AS15" i="6"/>
  <c r="AR15" i="6"/>
  <c r="AQ15" i="6"/>
  <c r="AP15" i="6"/>
  <c r="AO15" i="6"/>
  <c r="AN15" i="6"/>
  <c r="AM15" i="6"/>
  <c r="D12" i="11"/>
  <c r="A12" i="11" s="1"/>
  <c r="L39" i="13"/>
  <c r="C8" i="4"/>
  <c r="C9" i="4"/>
  <c r="C10" i="4"/>
  <c r="C11" i="4"/>
  <c r="C12" i="4"/>
  <c r="C13" i="4"/>
  <c r="L46" i="13"/>
  <c r="B1" i="8"/>
  <c r="C10" i="15"/>
  <c r="E24" i="15"/>
  <c r="E22" i="15"/>
  <c r="G18" i="15"/>
  <c r="E18" i="15"/>
  <c r="C18" i="15"/>
  <c r="C12" i="15"/>
  <c r="E12" i="15"/>
  <c r="G10" i="15"/>
  <c r="E10" i="15"/>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0" i="4"/>
  <c r="J45" i="4"/>
  <c r="K50" i="4" a="1"/>
  <c r="K52" i="4" s="1"/>
  <c r="J61" i="4"/>
  <c r="R61" i="4"/>
  <c r="J62" i="4"/>
  <c r="R62" i="4"/>
  <c r="J65" i="4"/>
  <c r="R65" i="4"/>
  <c r="N75" i="4"/>
  <c r="J78" i="4"/>
  <c r="J80" i="4"/>
  <c r="J85" i="4"/>
  <c r="K90" i="4" a="1"/>
  <c r="K92" i="4" s="1"/>
  <c r="J101" i="4"/>
  <c r="R101" i="4"/>
  <c r="J102" i="4"/>
  <c r="R102" i="4"/>
  <c r="R103" i="4"/>
  <c r="R104" i="4"/>
  <c r="J105" i="4"/>
  <c r="R105" i="4"/>
  <c r="N115" i="4"/>
  <c r="J118" i="4"/>
  <c r="J120" i="4"/>
  <c r="J125" i="4"/>
  <c r="K130" i="4" a="1"/>
  <c r="K131" i="4" s="1"/>
  <c r="E1" i="12"/>
  <c r="D5" i="12"/>
  <c r="F5" i="12"/>
  <c r="J5" i="12"/>
  <c r="O5" i="12"/>
  <c r="A7" i="12"/>
  <c r="I7" i="12"/>
  <c r="D8" i="12"/>
  <c r="E8" i="12"/>
  <c r="F8" i="12"/>
  <c r="I8" i="12"/>
  <c r="J12" i="12"/>
  <c r="Q12" i="12"/>
  <c r="V13" i="12"/>
  <c r="W13" i="12"/>
  <c r="X13" i="12"/>
  <c r="D15" i="12"/>
  <c r="AB15" i="12"/>
  <c r="D114" i="12"/>
  <c r="E115" i="12"/>
  <c r="K117" i="12" a="1"/>
  <c r="K119" i="12" s="1"/>
  <c r="E10" i="6"/>
  <c r="I10" i="6"/>
  <c r="K10" i="6"/>
  <c r="S10" i="6"/>
  <c r="U10" i="6"/>
  <c r="O13" i="6"/>
  <c r="O15" i="6" s="1"/>
  <c r="O11" i="6" s="1"/>
  <c r="B15" i="6"/>
  <c r="C15" i="6"/>
  <c r="D15" i="6"/>
  <c r="E15" i="6"/>
  <c r="B105" i="6"/>
  <c r="C105" i="6"/>
  <c r="F109" i="6"/>
  <c r="S5" i="8"/>
  <c r="Z7" i="8"/>
  <c r="AF7" i="8"/>
  <c r="I8" i="8"/>
  <c r="L8" i="8"/>
  <c r="U8" i="8"/>
  <c r="Z8" i="8"/>
  <c r="AF8" i="8"/>
  <c r="E13" i="8"/>
  <c r="V13" i="8"/>
  <c r="W13" i="8" s="1"/>
  <c r="X13" i="8" s="1"/>
  <c r="Y13" i="8" s="1"/>
  <c r="Z13" i="8" s="1"/>
  <c r="AA13" i="8" s="1"/>
  <c r="AB13" i="8" s="1"/>
  <c r="AC13" i="8" s="1"/>
  <c r="AD13" i="8" s="1"/>
  <c r="AE13" i="8" s="1"/>
  <c r="AF13" i="8" s="1"/>
  <c r="T40" i="8"/>
  <c r="T45" i="8"/>
  <c r="I51" i="8"/>
  <c r="B1" i="9"/>
  <c r="E12" i="9"/>
  <c r="I2" i="2"/>
  <c r="K2" i="2"/>
  <c r="M2" i="2"/>
  <c r="O2" i="2"/>
  <c r="Q2" i="2"/>
  <c r="S2" i="2"/>
  <c r="U2" i="2"/>
  <c r="W2" i="2"/>
  <c r="Y2" i="2"/>
  <c r="AA2" i="2"/>
  <c r="AC2" i="2"/>
  <c r="AE2" i="2"/>
  <c r="AG2" i="2"/>
  <c r="AI2" i="2"/>
  <c r="AK2" i="2"/>
  <c r="AM2" i="2"/>
  <c r="AO2" i="2"/>
  <c r="B9" i="2"/>
  <c r="C8" i="3"/>
  <c r="C9" i="3"/>
  <c r="C18" i="14"/>
  <c r="C19" i="14"/>
  <c r="B22" i="14"/>
  <c r="B24" i="14"/>
  <c r="B30" i="14"/>
  <c r="B54" i="14"/>
  <c r="B55" i="14"/>
  <c r="O5" i="5"/>
  <c r="R5" i="5"/>
  <c r="S5" i="5"/>
  <c r="O115" i="5"/>
  <c r="M15" i="5"/>
  <c r="N15" i="5"/>
  <c r="O15" i="5"/>
  <c r="O118" i="5"/>
  <c r="T120" i="5" a="1"/>
  <c r="T120" i="5" s="1"/>
  <c r="B1" i="10"/>
  <c r="H4" i="10"/>
  <c r="V6" i="10"/>
  <c r="AE6" i="10"/>
  <c r="B7" i="10"/>
  <c r="H7" i="10"/>
  <c r="O7" i="10"/>
  <c r="V7" i="10"/>
  <c r="AE7" i="10"/>
  <c r="F12" i="10"/>
  <c r="F11" i="10" s="1"/>
  <c r="B35" i="10"/>
  <c r="W37" i="10" a="1"/>
  <c r="W38"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D112" i="12"/>
  <c r="O8" i="5"/>
  <c r="F38" i="5" l="1"/>
  <c r="F39" i="5" s="1"/>
  <c r="B39" i="6"/>
  <c r="AD39" i="5"/>
  <c r="J39" i="5"/>
  <c r="A39" i="12"/>
  <c r="AE39" i="5"/>
  <c r="K39" i="5"/>
  <c r="N39" i="5"/>
  <c r="C40" i="5"/>
  <c r="D39" i="5"/>
  <c r="B39" i="12" s="1"/>
  <c r="E38" i="5"/>
  <c r="E39" i="5" s="1"/>
  <c r="G38" i="5"/>
  <c r="G39" i="5" s="1"/>
  <c r="A37" i="6"/>
  <c r="AE38" i="5"/>
  <c r="H38" i="5"/>
  <c r="H39" i="5" s="1"/>
  <c r="N38" i="5"/>
  <c r="D38" i="6" s="1"/>
  <c r="H38" i="6" s="1"/>
  <c r="T38" i="5" s="1"/>
  <c r="G38" i="12" s="1"/>
  <c r="B38" i="6"/>
  <c r="K38" i="5"/>
  <c r="D38" i="5"/>
  <c r="B38" i="12" s="1"/>
  <c r="AD38" i="5"/>
  <c r="B38" i="5"/>
  <c r="B39" i="5" s="1"/>
  <c r="A38" i="12"/>
  <c r="J38" i="5"/>
  <c r="K130" i="4"/>
  <c r="U108" i="4"/>
  <c r="U68" i="4"/>
  <c r="U28" i="4"/>
  <c r="A11" i="6"/>
  <c r="A15" i="6" s="1" a="1"/>
  <c r="A15" i="6" s="1"/>
  <c r="B14" i="6"/>
  <c r="S109" i="4"/>
  <c r="S69" i="4"/>
  <c r="S29" i="4"/>
  <c r="C34" i="4"/>
  <c r="C45" i="4"/>
  <c r="AY13" i="6"/>
  <c r="AY12" i="6" s="1"/>
  <c r="K50" i="4"/>
  <c r="N9" i="10"/>
  <c r="C33" i="4"/>
  <c r="C48" i="4"/>
  <c r="C27" i="4"/>
  <c r="A16" i="4"/>
  <c r="W12" i="8"/>
  <c r="X13" i="6"/>
  <c r="O7" i="11"/>
  <c r="AC13" i="12"/>
  <c r="K27" i="10"/>
  <c r="W40" i="10"/>
  <c r="E12" i="13"/>
  <c r="C47" i="4"/>
  <c r="C23" i="4"/>
  <c r="A30" i="4"/>
  <c r="A31" i="4" s="1"/>
  <c r="C31" i="4" s="1"/>
  <c r="C46" i="4"/>
  <c r="C28" i="4"/>
  <c r="K120" i="12"/>
  <c r="C21" i="4"/>
  <c r="C22" i="4"/>
  <c r="K132" i="4"/>
  <c r="B39" i="14"/>
  <c r="W39" i="10"/>
  <c r="K117" i="12"/>
  <c r="T122" i="5"/>
  <c r="B37" i="14"/>
  <c r="C14" i="14"/>
  <c r="O7" i="13"/>
  <c r="T112" i="6"/>
  <c r="P125" i="4"/>
  <c r="I54" i="8"/>
  <c r="I113" i="6"/>
  <c r="I111" i="6"/>
  <c r="AC13" i="6"/>
  <c r="AC12" i="6" s="1"/>
  <c r="AN13" i="6"/>
  <c r="AN12" i="6" s="1"/>
  <c r="B14" i="5"/>
  <c r="F14" i="5"/>
  <c r="G15" i="9"/>
  <c r="H15" i="10"/>
  <c r="S110" i="4"/>
  <c r="I12" i="10"/>
  <c r="H12" i="9"/>
  <c r="S30" i="4"/>
  <c r="A36" i="4"/>
  <c r="C35" i="4"/>
  <c r="C24" i="4"/>
  <c r="AA54" i="8"/>
  <c r="AA55" i="8"/>
  <c r="AA53" i="8"/>
  <c r="P45" i="4"/>
  <c r="K14" i="5"/>
  <c r="J14" i="5"/>
  <c r="H14" i="5"/>
  <c r="A14" i="12"/>
  <c r="D14" i="5"/>
  <c r="B14" i="12" s="1"/>
  <c r="AD14" i="5"/>
  <c r="E14" i="5"/>
  <c r="G14" i="5"/>
  <c r="AE14" i="5"/>
  <c r="N14" i="5"/>
  <c r="E118" i="12"/>
  <c r="B38" i="10"/>
  <c r="F112" i="6"/>
  <c r="O121" i="5"/>
  <c r="D36" i="11"/>
  <c r="W37" i="10"/>
  <c r="A4" i="4"/>
  <c r="K51" i="4"/>
  <c r="K118" i="12"/>
  <c r="S70" i="4"/>
  <c r="K91" i="4"/>
  <c r="T111" i="6"/>
  <c r="K90" i="4"/>
  <c r="T121" i="5"/>
  <c r="AD40" i="5" l="1"/>
  <c r="J40" i="5"/>
  <c r="B40" i="5"/>
  <c r="B40" i="6"/>
  <c r="AE40" i="5"/>
  <c r="H40" i="5"/>
  <c r="G40" i="5"/>
  <c r="F40" i="5"/>
  <c r="A40" i="12"/>
  <c r="N40" i="5"/>
  <c r="E40" i="5"/>
  <c r="D40" i="5"/>
  <c r="B40" i="12" s="1"/>
  <c r="K40" i="5"/>
  <c r="D39" i="6"/>
  <c r="C41" i="5"/>
  <c r="B41" i="6" s="1"/>
  <c r="A41" i="6" s="1"/>
  <c r="A38" i="6"/>
  <c r="AC16" i="6"/>
  <c r="BC16" i="6"/>
  <c r="AY16" i="6"/>
  <c r="BD16" i="6"/>
  <c r="AN16" i="6"/>
  <c r="AX16" i="6"/>
  <c r="AO16" i="6"/>
  <c r="BG16" i="6"/>
  <c r="BE16" i="6"/>
  <c r="BF16" i="6"/>
  <c r="AV16" i="6"/>
  <c r="BA16" i="6"/>
  <c r="AS16" i="6"/>
  <c r="BB16" i="6"/>
  <c r="AR16" i="6"/>
  <c r="AU16" i="6"/>
  <c r="AT16" i="6"/>
  <c r="AP16" i="6"/>
  <c r="AQ16" i="6"/>
  <c r="AM16" i="6"/>
  <c r="AZ16" i="6"/>
  <c r="AB16" i="6"/>
  <c r="U97" i="4"/>
  <c r="T101" i="4" s="1"/>
  <c r="U57" i="4"/>
  <c r="T61" i="4" s="1"/>
  <c r="C15" i="7" a="1"/>
  <c r="C15" i="7" s="1"/>
  <c r="B10" i="9"/>
  <c r="M27" i="10"/>
  <c r="M32" i="10" s="1" a="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AZ12" i="6" s="1"/>
  <c r="C30" i="4"/>
  <c r="C16" i="4"/>
  <c r="A17" i="4"/>
  <c r="X12" i="8"/>
  <c r="AD13" i="12"/>
  <c r="Y13" i="6"/>
  <c r="B42" i="14"/>
  <c r="AD13" i="6"/>
  <c r="AD12" i="6" s="1"/>
  <c r="AO13" i="6"/>
  <c r="AO12" i="6" s="1"/>
  <c r="B8" i="14"/>
  <c r="I10" i="13"/>
  <c r="I11" i="10"/>
  <c r="J12" i="10"/>
  <c r="D14" i="6"/>
  <c r="C4" i="4"/>
  <c r="A5" i="4"/>
  <c r="C36" i="4"/>
  <c r="A37" i="4"/>
  <c r="C37" i="4" s="1"/>
  <c r="AH85" i="5" l="1"/>
  <c r="AN85" i="5" s="1"/>
  <c r="AH86" i="5"/>
  <c r="AN86" i="5" s="1"/>
  <c r="AH83" i="5"/>
  <c r="AN83" i="5" s="1"/>
  <c r="AH84" i="5"/>
  <c r="AN84" i="5" s="1"/>
  <c r="AH82" i="5"/>
  <c r="AH104" i="5"/>
  <c r="AH103" i="5"/>
  <c r="AH102" i="5"/>
  <c r="AH101" i="5"/>
  <c r="AH100" i="5"/>
  <c r="AH99" i="5"/>
  <c r="AH98" i="5"/>
  <c r="AH97" i="5"/>
  <c r="AH96" i="5"/>
  <c r="AH95" i="5"/>
  <c r="AH94" i="5"/>
  <c r="AH93" i="5"/>
  <c r="AH92" i="5"/>
  <c r="AH91" i="5"/>
  <c r="AH90" i="5"/>
  <c r="AH89" i="5"/>
  <c r="AH88" i="5"/>
  <c r="AH87" i="5"/>
  <c r="AH81" i="5"/>
  <c r="AH80" i="5"/>
  <c r="AH77" i="5"/>
  <c r="AH79" i="5"/>
  <c r="AH78" i="5"/>
  <c r="AH73" i="5"/>
  <c r="AH76" i="5"/>
  <c r="AH75" i="5"/>
  <c r="AH74" i="5"/>
  <c r="AH66" i="5"/>
  <c r="AH72" i="5"/>
  <c r="AH71" i="5"/>
  <c r="AH70" i="5"/>
  <c r="AH69" i="5"/>
  <c r="AH65" i="5"/>
  <c r="AH68" i="5"/>
  <c r="AH67" i="5"/>
  <c r="AH63" i="5"/>
  <c r="AH64" i="5"/>
  <c r="AH62" i="5"/>
  <c r="AH61" i="5"/>
  <c r="AH60" i="5"/>
  <c r="AH59" i="5"/>
  <c r="AH58" i="5"/>
  <c r="AH57" i="5"/>
  <c r="AH54" i="5"/>
  <c r="AH52" i="5"/>
  <c r="AH56" i="5"/>
  <c r="AH55" i="5"/>
  <c r="AH53" i="5"/>
  <c r="AH51" i="5"/>
  <c r="AH50" i="5"/>
  <c r="A39" i="6"/>
  <c r="A41" i="12"/>
  <c r="H41" i="5"/>
  <c r="E41" i="5"/>
  <c r="F41" i="5"/>
  <c r="K33" i="5" s="1"/>
  <c r="AD41" i="5"/>
  <c r="AE41" i="5"/>
  <c r="G41" i="5"/>
  <c r="C42" i="5"/>
  <c r="J42" i="5" s="1"/>
  <c r="AH40" i="5"/>
  <c r="AH39" i="5"/>
  <c r="N41" i="5"/>
  <c r="D41" i="6" s="1"/>
  <c r="H41" i="6" s="1"/>
  <c r="T41" i="5" s="1"/>
  <c r="G41" i="12" s="1"/>
  <c r="D40" i="6"/>
  <c r="B41" i="5"/>
  <c r="H39" i="6"/>
  <c r="T39" i="5" s="1"/>
  <c r="AH21" i="5"/>
  <c r="AH49" i="5"/>
  <c r="AH48" i="5"/>
  <c r="AH37" i="5"/>
  <c r="AH38" i="5"/>
  <c r="AH24" i="5"/>
  <c r="AH29" i="5"/>
  <c r="AH28" i="5"/>
  <c r="AH25" i="5"/>
  <c r="AH27" i="5"/>
  <c r="AH26" i="5"/>
  <c r="AH44" i="5"/>
  <c r="AH45" i="5"/>
  <c r="AH35" i="5"/>
  <c r="AH22" i="5"/>
  <c r="AH23" i="5"/>
  <c r="AH47" i="5"/>
  <c r="AH46" i="5"/>
  <c r="AH43" i="5"/>
  <c r="AH42" i="5"/>
  <c r="AH20" i="5"/>
  <c r="AH41" i="5"/>
  <c r="AH36" i="5"/>
  <c r="AH34" i="5"/>
  <c r="AH33" i="5"/>
  <c r="E33" i="12"/>
  <c r="F33" i="6"/>
  <c r="N38" i="6" s="1"/>
  <c r="G33" i="6"/>
  <c r="AH32" i="5"/>
  <c r="AH31" i="5"/>
  <c r="AH30" i="5"/>
  <c r="AH19" i="5"/>
  <c r="M32" i="10"/>
  <c r="M17" i="6"/>
  <c r="AD17" i="6" s="1"/>
  <c r="AD16" i="6"/>
  <c r="B15" i="9"/>
  <c r="B16" i="9" s="1"/>
  <c r="AH17" i="5"/>
  <c r="AH16" i="5"/>
  <c r="AN16" i="5" s="1"/>
  <c r="AH18" i="5"/>
  <c r="T57" i="4"/>
  <c r="T97" i="4"/>
  <c r="T105" i="4"/>
  <c r="T106" i="4"/>
  <c r="U106" i="4" s="1"/>
  <c r="T104" i="4"/>
  <c r="T103" i="4"/>
  <c r="T102" i="4"/>
  <c r="T65" i="4"/>
  <c r="T66" i="4"/>
  <c r="U66" i="4" s="1"/>
  <c r="T64" i="4"/>
  <c r="T63" i="4"/>
  <c r="T62" i="4"/>
  <c r="T22" i="4"/>
  <c r="T23" i="4"/>
  <c r="T24" i="4"/>
  <c r="T25" i="4"/>
  <c r="T26" i="4"/>
  <c r="U26" i="4" s="1"/>
  <c r="T17" i="4"/>
  <c r="V8" i="5" a="1"/>
  <c r="V8" i="5" s="1"/>
  <c r="O27" i="10"/>
  <c r="J12" i="9"/>
  <c r="AH14" i="5"/>
  <c r="W14" i="5" s="1"/>
  <c r="H14" i="12" s="1"/>
  <c r="BA13" i="6"/>
  <c r="BA12" i="6" s="1"/>
  <c r="A18" i="4"/>
  <c r="C17" i="4"/>
  <c r="Y12" i="8"/>
  <c r="AE13" i="12"/>
  <c r="Z13" i="6"/>
  <c r="AE13" i="6"/>
  <c r="AP13" i="6"/>
  <c r="AP12" i="6" s="1"/>
  <c r="K12" i="10"/>
  <c r="J11" i="10"/>
  <c r="C5" i="4"/>
  <c r="A6" i="4"/>
  <c r="A40" i="6" l="1"/>
  <c r="N40" i="6" s="1"/>
  <c r="B42" i="6"/>
  <c r="AE42" i="5"/>
  <c r="K42" i="5"/>
  <c r="C43" i="5"/>
  <c r="AE43" i="5" s="1"/>
  <c r="AD42" i="5"/>
  <c r="D42" i="5"/>
  <c r="B42" i="12" s="1"/>
  <c r="F42" i="5"/>
  <c r="A42" i="12"/>
  <c r="N42" i="5"/>
  <c r="D42" i="6" s="1"/>
  <c r="H42" i="6" s="1"/>
  <c r="T42" i="5" s="1"/>
  <c r="G42" i="12" s="1"/>
  <c r="H42" i="5"/>
  <c r="E42" i="5"/>
  <c r="B42" i="5"/>
  <c r="H40" i="6"/>
  <c r="T40" i="5" s="1"/>
  <c r="G42" i="5"/>
  <c r="G39" i="12"/>
  <c r="N39" i="6"/>
  <c r="N35" i="6"/>
  <c r="N37" i="6"/>
  <c r="N41" i="6"/>
  <c r="W41" i="5"/>
  <c r="H41" i="12" s="1"/>
  <c r="W33" i="5"/>
  <c r="H33" i="12" s="1"/>
  <c r="AY17" i="6"/>
  <c r="AC17" i="6"/>
  <c r="AX17" i="6"/>
  <c r="AZ17" i="6"/>
  <c r="AN17" i="6"/>
  <c r="AO17" i="6"/>
  <c r="AM17" i="6"/>
  <c r="AB17" i="6"/>
  <c r="AP17" i="6"/>
  <c r="BA17" i="6"/>
  <c r="B17" i="9"/>
  <c r="AN17" i="5"/>
  <c r="W17" i="5"/>
  <c r="H17" i="12" s="1"/>
  <c r="U7" i="4"/>
  <c r="H26" i="10"/>
  <c r="Q27" i="10"/>
  <c r="Q32" i="10" s="1" a="1"/>
  <c r="K12" i="9"/>
  <c r="AN14" i="5"/>
  <c r="BB13" i="6"/>
  <c r="AF13" i="6"/>
  <c r="AF12" i="6" s="1"/>
  <c r="AE12" i="6"/>
  <c r="A19" i="4"/>
  <c r="C19" i="4" s="1"/>
  <c r="X29" i="4" s="1"/>
  <c r="C18" i="4"/>
  <c r="Z12" i="8"/>
  <c r="AF13" i="12"/>
  <c r="AQ13" i="6"/>
  <c r="L12" i="10"/>
  <c r="A7" i="4"/>
  <c r="C7" i="4" s="1"/>
  <c r="C6" i="4"/>
  <c r="O32" i="10" a="1"/>
  <c r="B43" i="5" l="1"/>
  <c r="A43" i="12"/>
  <c r="B43" i="6"/>
  <c r="N43" i="5"/>
  <c r="D43" i="6" s="1"/>
  <c r="H43" i="6" s="1"/>
  <c r="T43" i="5" s="1"/>
  <c r="G43" i="12" s="1"/>
  <c r="AD43" i="5"/>
  <c r="D43" i="5"/>
  <c r="B43" i="12" s="1"/>
  <c r="K43" i="5"/>
  <c r="H43" i="5"/>
  <c r="C44" i="5"/>
  <c r="J43" i="5"/>
  <c r="G43" i="5"/>
  <c r="F43" i="5"/>
  <c r="A42" i="6"/>
  <c r="E43" i="5"/>
  <c r="G40" i="12"/>
  <c r="M18" i="6"/>
  <c r="M21" i="6" s="1"/>
  <c r="AF21" i="6" s="1"/>
  <c r="Q32" i="10"/>
  <c r="O32" i="10"/>
  <c r="AE16" i="6"/>
  <c r="AE17" i="6"/>
  <c r="AF16" i="6"/>
  <c r="AF17" i="6"/>
  <c r="BB17" i="6"/>
  <c r="AQ17" i="6"/>
  <c r="B18" i="9"/>
  <c r="B19" i="9" s="1"/>
  <c r="S27" i="10"/>
  <c r="L12" i="9"/>
  <c r="BB12" i="6"/>
  <c r="AQ12" i="6"/>
  <c r="AG13" i="6"/>
  <c r="AG12" i="6" s="1"/>
  <c r="BC13" i="6"/>
  <c r="AA12" i="8"/>
  <c r="AG13" i="12"/>
  <c r="AR13" i="6"/>
  <c r="L11" i="10"/>
  <c r="M12" i="10"/>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U29" i="4" s="1"/>
  <c r="Y65" i="4"/>
  <c r="Y109" i="4"/>
  <c r="Z104" i="4"/>
  <c r="Y69" i="4"/>
  <c r="X25" i="4"/>
  <c r="Z25" i="4"/>
  <c r="X22" i="4"/>
  <c r="X63" i="4"/>
  <c r="Y25" i="4"/>
  <c r="Y22" i="4"/>
  <c r="Z65" i="4"/>
  <c r="X69" i="4"/>
  <c r="Y61" i="4"/>
  <c r="X102" i="4"/>
  <c r="X104" i="4"/>
  <c r="X64" i="4"/>
  <c r="Y105" i="4"/>
  <c r="Y63" i="4"/>
  <c r="Z22" i="4"/>
  <c r="Z101" i="4"/>
  <c r="Z64" i="4"/>
  <c r="X24" i="4"/>
  <c r="Y23" i="4"/>
  <c r="S32" i="10" a="1"/>
  <c r="A43" i="6" l="1"/>
  <c r="F44" i="5"/>
  <c r="B44" i="6"/>
  <c r="H44" i="5"/>
  <c r="B44" i="5"/>
  <c r="J44" i="5"/>
  <c r="A44" i="12"/>
  <c r="AD44" i="5"/>
  <c r="E44" i="5"/>
  <c r="D44" i="5"/>
  <c r="B44" i="12" s="1"/>
  <c r="K44" i="5"/>
  <c r="N44" i="5"/>
  <c r="D44" i="6" s="1"/>
  <c r="H44" i="6" s="1"/>
  <c r="T44" i="5" s="1"/>
  <c r="G44" i="12" s="1"/>
  <c r="AE44" i="5"/>
  <c r="G44" i="5"/>
  <c r="C45" i="5"/>
  <c r="AD45" i="5" s="1"/>
  <c r="B20" i="9"/>
  <c r="B21" i="9" s="1"/>
  <c r="AG21" i="6"/>
  <c r="AY21" i="6"/>
  <c r="BB21" i="6"/>
  <c r="AR21" i="6"/>
  <c r="AP21" i="6"/>
  <c r="AM21" i="6"/>
  <c r="AN21" i="6"/>
  <c r="BC21" i="6"/>
  <c r="AZ21" i="6"/>
  <c r="AX21" i="6"/>
  <c r="AQ21" i="6"/>
  <c r="AO21" i="6"/>
  <c r="BA21" i="6"/>
  <c r="AC21" i="6"/>
  <c r="AD21" i="6"/>
  <c r="AE21" i="6"/>
  <c r="M24" i="6"/>
  <c r="AZ24" i="6" s="1"/>
  <c r="M28" i="6"/>
  <c r="AG28" i="6" s="1"/>
  <c r="M29" i="6"/>
  <c r="AG29" i="6" s="1"/>
  <c r="M26" i="6"/>
  <c r="AG26" i="6" s="1"/>
  <c r="M27" i="6"/>
  <c r="AG27" i="6" s="1"/>
  <c r="BB18" i="6"/>
  <c r="M25" i="6"/>
  <c r="AG25" i="6" s="1"/>
  <c r="M23" i="6"/>
  <c r="BB23" i="6" s="1"/>
  <c r="M22" i="6"/>
  <c r="BB22" i="6" s="1"/>
  <c r="M19" i="6"/>
  <c r="AE19" i="6" s="1"/>
  <c r="M20" i="6"/>
  <c r="AQ20" i="6" s="1"/>
  <c r="M30" i="6"/>
  <c r="AO30" i="6" s="1"/>
  <c r="AE18" i="6"/>
  <c r="AP18" i="6"/>
  <c r="AD18" i="6"/>
  <c r="AN18" i="6"/>
  <c r="AC18" i="6"/>
  <c r="AM18" i="6"/>
  <c r="AO18" i="6"/>
  <c r="AX18" i="6"/>
  <c r="BA18" i="6"/>
  <c r="AY18" i="6"/>
  <c r="AZ18" i="6"/>
  <c r="AF18" i="6"/>
  <c r="AQ18" i="6"/>
  <c r="S32" i="10"/>
  <c r="AR17" i="6"/>
  <c r="AR18" i="6"/>
  <c r="BC17" i="6"/>
  <c r="BC18" i="6"/>
  <c r="AG16" i="6"/>
  <c r="AG17" i="6"/>
  <c r="AG18" i="6"/>
  <c r="U69" i="4"/>
  <c r="U65" i="4"/>
  <c r="U103" i="4"/>
  <c r="U61" i="4"/>
  <c r="U105" i="4"/>
  <c r="U64" i="4"/>
  <c r="U102" i="4"/>
  <c r="U62" i="4"/>
  <c r="U21" i="4"/>
  <c r="U23" i="4"/>
  <c r="U104" i="4"/>
  <c r="U101" i="4"/>
  <c r="U24" i="4"/>
  <c r="U25" i="4"/>
  <c r="U22" i="4"/>
  <c r="U63" i="4"/>
  <c r="U109" i="4"/>
  <c r="K112" i="4" s="1"/>
  <c r="U27" i="10"/>
  <c r="U32" i="10" s="1" a="1"/>
  <c r="M12" i="9"/>
  <c r="BC12" i="6"/>
  <c r="AR12" i="6"/>
  <c r="AH13" i="6"/>
  <c r="AH12" i="6" s="1"/>
  <c r="BD13" i="6"/>
  <c r="BD21" i="6" s="1"/>
  <c r="AB12" i="8"/>
  <c r="AH13" i="12"/>
  <c r="AS13" i="6"/>
  <c r="AS21" i="6" s="1"/>
  <c r="M11" i="10"/>
  <c r="N12" i="10"/>
  <c r="B22" i="9" l="1"/>
  <c r="A44" i="6"/>
  <c r="J45" i="5"/>
  <c r="E45" i="5"/>
  <c r="B45" i="6"/>
  <c r="D45" i="5"/>
  <c r="B45" i="12" s="1"/>
  <c r="AE45" i="5"/>
  <c r="B45" i="5"/>
  <c r="H45" i="5"/>
  <c r="G45" i="5"/>
  <c r="A45" i="12"/>
  <c r="K45" i="5"/>
  <c r="C46" i="5"/>
  <c r="C47" i="5" s="1"/>
  <c r="N45" i="5"/>
  <c r="D45" i="6" s="1"/>
  <c r="H45" i="6" s="1"/>
  <c r="T45" i="5" s="1"/>
  <c r="G45" i="12" s="1"/>
  <c r="F45" i="5"/>
  <c r="AH21" i="6"/>
  <c r="BD24" i="6"/>
  <c r="AF24" i="6"/>
  <c r="AE24" i="6"/>
  <c r="AD24" i="6"/>
  <c r="AC24" i="6"/>
  <c r="AX24" i="6"/>
  <c r="AO24" i="6"/>
  <c r="AP24" i="6"/>
  <c r="AS24" i="6"/>
  <c r="AR24" i="6"/>
  <c r="BB24" i="6"/>
  <c r="AM24" i="6"/>
  <c r="AQ24" i="6"/>
  <c r="AY24" i="6"/>
  <c r="BC24" i="6"/>
  <c r="AN24" i="6"/>
  <c r="BA24" i="6"/>
  <c r="AG24" i="6"/>
  <c r="AH24" i="6"/>
  <c r="AH28" i="6"/>
  <c r="AH29" i="6"/>
  <c r="AZ29" i="6"/>
  <c r="AQ29" i="6"/>
  <c r="AR29" i="6"/>
  <c r="AP29" i="6"/>
  <c r="AS29" i="6"/>
  <c r="AM29" i="6"/>
  <c r="BA29" i="6"/>
  <c r="AN29" i="6"/>
  <c r="AO29" i="6"/>
  <c r="AY29" i="6"/>
  <c r="BD29" i="6"/>
  <c r="AX29" i="6"/>
  <c r="BC29" i="6"/>
  <c r="BB29" i="6"/>
  <c r="AC29" i="6"/>
  <c r="AD29" i="6"/>
  <c r="AF29" i="6"/>
  <c r="AE29" i="6"/>
  <c r="AS28" i="6"/>
  <c r="AM28" i="6"/>
  <c r="BB28" i="6"/>
  <c r="AR28" i="6"/>
  <c r="BA28" i="6"/>
  <c r="AQ28" i="6"/>
  <c r="AO28" i="6"/>
  <c r="AZ28" i="6"/>
  <c r="BC28" i="6"/>
  <c r="AY28" i="6"/>
  <c r="AX28" i="6"/>
  <c r="AP28" i="6"/>
  <c r="AN28" i="6"/>
  <c r="BD28" i="6"/>
  <c r="AC28" i="6"/>
  <c r="AD28" i="6"/>
  <c r="AF28" i="6"/>
  <c r="AE28" i="6"/>
  <c r="AS20" i="6"/>
  <c r="AH25" i="6"/>
  <c r="AH26" i="6"/>
  <c r="AH27" i="6"/>
  <c r="AR27" i="6"/>
  <c r="BD27" i="6"/>
  <c r="BA27" i="6"/>
  <c r="AQ27" i="6"/>
  <c r="BC27" i="6"/>
  <c r="AS27" i="6"/>
  <c r="AP27" i="6"/>
  <c r="AZ27" i="6"/>
  <c r="AX27" i="6"/>
  <c r="AO27" i="6"/>
  <c r="AY27" i="6"/>
  <c r="BB27" i="6"/>
  <c r="AN27" i="6"/>
  <c r="AM27" i="6"/>
  <c r="AC27" i="6"/>
  <c r="AD27" i="6"/>
  <c r="AE27" i="6"/>
  <c r="AF27" i="6"/>
  <c r="BC26" i="6"/>
  <c r="AN26" i="6"/>
  <c r="BB26" i="6"/>
  <c r="AQ26" i="6"/>
  <c r="AS26" i="6"/>
  <c r="BD26" i="6"/>
  <c r="AR26" i="6"/>
  <c r="AZ26" i="6"/>
  <c r="AM26" i="6"/>
  <c r="AY26" i="6"/>
  <c r="AO26" i="6"/>
  <c r="AP26" i="6"/>
  <c r="BA26" i="6"/>
  <c r="AX26" i="6"/>
  <c r="AC26" i="6"/>
  <c r="AD26" i="6"/>
  <c r="AE26" i="6"/>
  <c r="AF26" i="6"/>
  <c r="AY25" i="6"/>
  <c r="AZ25" i="6"/>
  <c r="BA25" i="6"/>
  <c r="BC25" i="6"/>
  <c r="AX25" i="6"/>
  <c r="AP25" i="6"/>
  <c r="AN25" i="6"/>
  <c r="BD25" i="6"/>
  <c r="AO25" i="6"/>
  <c r="AS25" i="6"/>
  <c r="AR25" i="6"/>
  <c r="AQ25" i="6"/>
  <c r="AM25" i="6"/>
  <c r="BB25" i="6"/>
  <c r="AC25" i="6"/>
  <c r="AD25" i="6"/>
  <c r="AF25" i="6"/>
  <c r="AE25" i="6"/>
  <c r="BD20" i="6"/>
  <c r="BB19" i="6"/>
  <c r="AE22" i="6"/>
  <c r="AG23" i="6"/>
  <c r="AX19" i="6"/>
  <c r="AD22" i="6"/>
  <c r="AP19" i="6"/>
  <c r="AC22" i="6"/>
  <c r="AN19" i="6"/>
  <c r="AY19" i="6"/>
  <c r="AN22" i="6"/>
  <c r="AZ19" i="6"/>
  <c r="AG22" i="6"/>
  <c r="AO22" i="6"/>
  <c r="AG19" i="6"/>
  <c r="BC19" i="6"/>
  <c r="AE23" i="6"/>
  <c r="AP22" i="6"/>
  <c r="AC19" i="6"/>
  <c r="BA19" i="6"/>
  <c r="BB20" i="6"/>
  <c r="AC23" i="6"/>
  <c r="AM19" i="6"/>
  <c r="AR19" i="6"/>
  <c r="AF22" i="6"/>
  <c r="BA22" i="6"/>
  <c r="BA23" i="6"/>
  <c r="AF23" i="6"/>
  <c r="BC23" i="6"/>
  <c r="AY20" i="6"/>
  <c r="AY22" i="6"/>
  <c r="AX23" i="6"/>
  <c r="AD20" i="6"/>
  <c r="AN20" i="6"/>
  <c r="AX22" i="6"/>
  <c r="AM23" i="6"/>
  <c r="AD23" i="6"/>
  <c r="AZ22" i="6"/>
  <c r="AQ23" i="6"/>
  <c r="AO23" i="6"/>
  <c r="AF20" i="6"/>
  <c r="AR22" i="6"/>
  <c r="AR23" i="6"/>
  <c r="AP23" i="6"/>
  <c r="AF19" i="6"/>
  <c r="AQ19" i="6"/>
  <c r="AG20" i="6"/>
  <c r="AQ22" i="6"/>
  <c r="AM22" i="6"/>
  <c r="AN23" i="6"/>
  <c r="AY23" i="6"/>
  <c r="AD19" i="6"/>
  <c r="AO19" i="6"/>
  <c r="BC22" i="6"/>
  <c r="AZ23" i="6"/>
  <c r="BA20" i="6"/>
  <c r="AP20" i="6"/>
  <c r="AZ20" i="6"/>
  <c r="AM20" i="6"/>
  <c r="AO20" i="6"/>
  <c r="AC20" i="6"/>
  <c r="AX20" i="6"/>
  <c r="AR20" i="6"/>
  <c r="AE20" i="6"/>
  <c r="BC20" i="6"/>
  <c r="AS23" i="6"/>
  <c r="BD22" i="6"/>
  <c r="AS22" i="6"/>
  <c r="AH22" i="6"/>
  <c r="AH23" i="6"/>
  <c r="BD23" i="6"/>
  <c r="AH20" i="6"/>
  <c r="AG30" i="6"/>
  <c r="AE30" i="6"/>
  <c r="AF30" i="6"/>
  <c r="AD30" i="6"/>
  <c r="AC30" i="6"/>
  <c r="AY30" i="6"/>
  <c r="AP30" i="6"/>
  <c r="AZ30" i="6"/>
  <c r="AN30" i="6"/>
  <c r="AX30" i="6"/>
  <c r="AQ30" i="6"/>
  <c r="BB30" i="6"/>
  <c r="BC30" i="6"/>
  <c r="AR30" i="6"/>
  <c r="BA30" i="6"/>
  <c r="AM30" i="6"/>
  <c r="M31" i="6"/>
  <c r="BD30" i="6"/>
  <c r="AS30" i="6"/>
  <c r="AS19" i="6"/>
  <c r="BD19" i="6"/>
  <c r="AH19" i="6"/>
  <c r="AH30" i="6"/>
  <c r="U32" i="10"/>
  <c r="AH16" i="6"/>
  <c r="AH17" i="6"/>
  <c r="AH18" i="6"/>
  <c r="BD17" i="6"/>
  <c r="BD18" i="6"/>
  <c r="AS17" i="6"/>
  <c r="AS18" i="6"/>
  <c r="AB10" i="12"/>
  <c r="W27" i="10"/>
  <c r="W32" i="10" s="1" a="1"/>
  <c r="N12" i="9"/>
  <c r="J72" i="4"/>
  <c r="U8" i="4"/>
  <c r="BD12" i="6"/>
  <c r="AS12" i="6"/>
  <c r="AI13" i="6"/>
  <c r="AI12" i="6" s="1"/>
  <c r="BE13" i="6"/>
  <c r="AC12" i="8"/>
  <c r="AI13" i="12"/>
  <c r="K72" i="4"/>
  <c r="J112" i="4"/>
  <c r="AT13" i="6"/>
  <c r="O12" i="10"/>
  <c r="N11" i="10"/>
  <c r="K32" i="4"/>
  <c r="J32" i="4"/>
  <c r="G46" i="5" l="1"/>
  <c r="G47" i="5" s="1"/>
  <c r="A46" i="12"/>
  <c r="B46" i="5"/>
  <c r="F46" i="5"/>
  <c r="F47" i="5" s="1"/>
  <c r="J46" i="5"/>
  <c r="K46" i="5"/>
  <c r="AE46" i="5"/>
  <c r="E46" i="5"/>
  <c r="E47" i="5" s="1"/>
  <c r="B46" i="6"/>
  <c r="H46" i="5"/>
  <c r="H47" i="5" s="1"/>
  <c r="AD46" i="5"/>
  <c r="D46" i="5"/>
  <c r="B46" i="12" s="1"/>
  <c r="N46" i="5"/>
  <c r="D46" i="6" s="1"/>
  <c r="H46" i="6" s="1"/>
  <c r="T46" i="5" s="1"/>
  <c r="G46" i="12" s="1"/>
  <c r="A45" i="6"/>
  <c r="AI21" i="6"/>
  <c r="BE28" i="6"/>
  <c r="BE21" i="6"/>
  <c r="B47" i="5"/>
  <c r="J47" i="5"/>
  <c r="A47" i="12"/>
  <c r="B47" i="6"/>
  <c r="K47" i="5"/>
  <c r="D47" i="5"/>
  <c r="B47" i="12" s="1"/>
  <c r="AE47" i="5"/>
  <c r="AD47" i="5"/>
  <c r="N47" i="5"/>
  <c r="D47" i="6" s="1"/>
  <c r="H47" i="6" s="1"/>
  <c r="T47" i="5" s="1"/>
  <c r="G47" i="12" s="1"/>
  <c r="AT28" i="6"/>
  <c r="AT21" i="6"/>
  <c r="AT29" i="6"/>
  <c r="AI24" i="6"/>
  <c r="AI28" i="6"/>
  <c r="AI29" i="6"/>
  <c r="BE29" i="6"/>
  <c r="AT25" i="6"/>
  <c r="AT24" i="6"/>
  <c r="BE25" i="6"/>
  <c r="BE24" i="6"/>
  <c r="BE26" i="6"/>
  <c r="BE27" i="6"/>
  <c r="AT27" i="6"/>
  <c r="AI25" i="6"/>
  <c r="AI26" i="6"/>
  <c r="AI27" i="6"/>
  <c r="AT26" i="6"/>
  <c r="BE20" i="6"/>
  <c r="BE23" i="6"/>
  <c r="BE22" i="6"/>
  <c r="AI22" i="6"/>
  <c r="AI23" i="6"/>
  <c r="AT20" i="6"/>
  <c r="AT22" i="6"/>
  <c r="AT23" i="6"/>
  <c r="AI20" i="6"/>
  <c r="M33" i="6"/>
  <c r="AI33" i="6" s="1"/>
  <c r="AH31" i="6"/>
  <c r="M32" i="6"/>
  <c r="BD32" i="6" s="1"/>
  <c r="AF31" i="6"/>
  <c r="BA31" i="6"/>
  <c r="AN31" i="6"/>
  <c r="BB31" i="6"/>
  <c r="AG31" i="6"/>
  <c r="AZ31" i="6"/>
  <c r="AQ31" i="6"/>
  <c r="AY31" i="6"/>
  <c r="AR31" i="6"/>
  <c r="AM31" i="6"/>
  <c r="AX31" i="6"/>
  <c r="AO31" i="6"/>
  <c r="AP31" i="6"/>
  <c r="BC31" i="6"/>
  <c r="AC31" i="6"/>
  <c r="AE31" i="6"/>
  <c r="AD31" i="6"/>
  <c r="AS31" i="6"/>
  <c r="BD31" i="6"/>
  <c r="AT31" i="6"/>
  <c r="AT19" i="6"/>
  <c r="AT30" i="6"/>
  <c r="BE31" i="6"/>
  <c r="BE19" i="6"/>
  <c r="BE30" i="6"/>
  <c r="AI19" i="6"/>
  <c r="AI30" i="6"/>
  <c r="AI31" i="6"/>
  <c r="W32" i="10"/>
  <c r="AT17" i="6"/>
  <c r="AT18" i="6"/>
  <c r="BE17" i="6"/>
  <c r="BE18" i="6"/>
  <c r="AI16" i="6"/>
  <c r="AI17" i="6"/>
  <c r="AI18" i="6"/>
  <c r="O12" i="9"/>
  <c r="Y27" i="10"/>
  <c r="T11" i="11"/>
  <c r="BE12" i="6"/>
  <c r="AT12" i="6"/>
  <c r="AJ13" i="6"/>
  <c r="AJ12" i="6" s="1"/>
  <c r="BF13" i="6"/>
  <c r="BF21" i="6" s="1"/>
  <c r="AD12" i="8"/>
  <c r="AJ13" i="12"/>
  <c r="AU13" i="6"/>
  <c r="AU21" i="6" s="1"/>
  <c r="P12" i="10"/>
  <c r="O11" i="10"/>
  <c r="Y32" i="10" a="1"/>
  <c r="A46" i="6" l="1"/>
  <c r="A47" i="6" s="1"/>
  <c r="AJ21" i="6"/>
  <c r="C48" i="5"/>
  <c r="F48" i="5" s="1"/>
  <c r="BF24" i="6"/>
  <c r="BF29" i="6"/>
  <c r="BF28" i="6"/>
  <c r="AU24" i="6"/>
  <c r="AU29" i="6"/>
  <c r="AU28" i="6"/>
  <c r="AJ24" i="6"/>
  <c r="AJ28" i="6"/>
  <c r="AJ29" i="6"/>
  <c r="BF25" i="6"/>
  <c r="BF26" i="6"/>
  <c r="BF27" i="6"/>
  <c r="AJ25" i="6"/>
  <c r="AJ26" i="6"/>
  <c r="AJ27" i="6"/>
  <c r="AU25" i="6"/>
  <c r="AU26" i="6"/>
  <c r="AU27" i="6"/>
  <c r="AU20" i="6"/>
  <c r="AU22" i="6"/>
  <c r="AU23" i="6"/>
  <c r="BF20" i="6"/>
  <c r="BF23" i="6"/>
  <c r="BF22" i="6"/>
  <c r="AJ22" i="6"/>
  <c r="AJ23" i="6"/>
  <c r="AJ20" i="6"/>
  <c r="M34" i="6"/>
  <c r="AJ33" i="6"/>
  <c r="BE33" i="6"/>
  <c r="AU33" i="6"/>
  <c r="AN33" i="6"/>
  <c r="AY33" i="6"/>
  <c r="BF33" i="6"/>
  <c r="AO33" i="6"/>
  <c r="AT33" i="6"/>
  <c r="BD33" i="6"/>
  <c r="AR33" i="6"/>
  <c r="AQ33" i="6"/>
  <c r="AM33" i="6"/>
  <c r="BA33" i="6"/>
  <c r="AS33" i="6"/>
  <c r="BC33" i="6"/>
  <c r="AP33" i="6"/>
  <c r="AZ33" i="6"/>
  <c r="AX33" i="6"/>
  <c r="BB33" i="6"/>
  <c r="AB33" i="6"/>
  <c r="AC33" i="6"/>
  <c r="AD33" i="6"/>
  <c r="AE33" i="6"/>
  <c r="AF33" i="6"/>
  <c r="AG33" i="6"/>
  <c r="AH33" i="6"/>
  <c r="AT32" i="6"/>
  <c r="BC32" i="6"/>
  <c r="AQ32" i="6"/>
  <c r="AM32" i="6"/>
  <c r="AE32" i="6"/>
  <c r="AN32" i="6"/>
  <c r="AI32" i="6"/>
  <c r="AY32" i="6"/>
  <c r="BE32" i="6"/>
  <c r="BA32" i="6"/>
  <c r="AG32" i="6"/>
  <c r="AR32" i="6"/>
  <c r="BB32" i="6"/>
  <c r="AF32" i="6"/>
  <c r="AD32" i="6"/>
  <c r="AC32" i="6"/>
  <c r="AX32" i="6"/>
  <c r="AO32" i="6"/>
  <c r="AZ32" i="6"/>
  <c r="AP32" i="6"/>
  <c r="AS32" i="6"/>
  <c r="AH32" i="6"/>
  <c r="BF30" i="6"/>
  <c r="BF19" i="6"/>
  <c r="BF31" i="6"/>
  <c r="BF32" i="6"/>
  <c r="AU19" i="6"/>
  <c r="AU31" i="6"/>
  <c r="AU32" i="6"/>
  <c r="AU30" i="6"/>
  <c r="AJ19" i="6"/>
  <c r="AJ30" i="6"/>
  <c r="AJ31" i="6"/>
  <c r="AJ32" i="6"/>
  <c r="Y32" i="10"/>
  <c r="BF17" i="6"/>
  <c r="BF18" i="6"/>
  <c r="AJ16" i="6"/>
  <c r="AJ17" i="6"/>
  <c r="AJ18" i="6"/>
  <c r="AU17" i="6"/>
  <c r="AU18" i="6"/>
  <c r="P12" i="9"/>
  <c r="AA27" i="10"/>
  <c r="AA32" i="10" s="1" a="1"/>
  <c r="BF12" i="6"/>
  <c r="AU12" i="6"/>
  <c r="AK13" i="6"/>
  <c r="BG13" i="6"/>
  <c r="BG21" i="6" s="1"/>
  <c r="AE12" i="8"/>
  <c r="AK13" i="12"/>
  <c r="AV13" i="6"/>
  <c r="AV21" i="6" s="1"/>
  <c r="Q12" i="10"/>
  <c r="P11" i="10"/>
  <c r="AF48" i="5"/>
  <c r="M38" i="6" l="1"/>
  <c r="BC38" i="6" s="1"/>
  <c r="M39" i="6"/>
  <c r="M40" i="6"/>
  <c r="S48" i="5"/>
  <c r="F48" i="12" s="1"/>
  <c r="AG48" i="5"/>
  <c r="AN48" i="5" s="1"/>
  <c r="AD48" i="5"/>
  <c r="W48" i="5"/>
  <c r="H48" i="12" s="1"/>
  <c r="C49" i="5"/>
  <c r="A48" i="12"/>
  <c r="AE48" i="5"/>
  <c r="G48" i="5"/>
  <c r="N48" i="5"/>
  <c r="D48" i="6" s="1"/>
  <c r="H48" i="6" s="1"/>
  <c r="T48" i="5" s="1"/>
  <c r="B48" i="6"/>
  <c r="A48" i="6" s="1"/>
  <c r="E48" i="5"/>
  <c r="B48" i="5"/>
  <c r="H48" i="5"/>
  <c r="M35" i="6"/>
  <c r="AX35" i="6" s="1"/>
  <c r="M37" i="6"/>
  <c r="BG24" i="6"/>
  <c r="BG29" i="6"/>
  <c r="BG28" i="6"/>
  <c r="AV24" i="6"/>
  <c r="AV29" i="6"/>
  <c r="AV28" i="6"/>
  <c r="BG25" i="6"/>
  <c r="BG27" i="6"/>
  <c r="BG26" i="6"/>
  <c r="AV25" i="6"/>
  <c r="AV27" i="6"/>
  <c r="AV26" i="6"/>
  <c r="BG20" i="6"/>
  <c r="BG22" i="6"/>
  <c r="BG23" i="6"/>
  <c r="AV20" i="6"/>
  <c r="AV22" i="6"/>
  <c r="AV23" i="6"/>
  <c r="AJ34" i="6"/>
  <c r="M41" i="6"/>
  <c r="AF34" i="6"/>
  <c r="AE34" i="6"/>
  <c r="AD34" i="6"/>
  <c r="AC34" i="6"/>
  <c r="AO34" i="6"/>
  <c r="AP34" i="6"/>
  <c r="AQ34" i="6"/>
  <c r="BB34" i="6"/>
  <c r="BC34" i="6"/>
  <c r="AY34" i="6"/>
  <c r="BF34" i="6"/>
  <c r="AM34" i="6"/>
  <c r="BD34" i="6"/>
  <c r="AH34" i="6"/>
  <c r="BA34" i="6"/>
  <c r="AG34" i="6"/>
  <c r="AR34" i="6"/>
  <c r="AT34" i="6"/>
  <c r="AU34" i="6"/>
  <c r="AN34" i="6"/>
  <c r="AX34" i="6"/>
  <c r="BE34" i="6"/>
  <c r="AZ34" i="6"/>
  <c r="AS34" i="6"/>
  <c r="AI34" i="6"/>
  <c r="M36" i="6"/>
  <c r="BG36" i="6" s="1"/>
  <c r="BG34" i="6"/>
  <c r="AV33" i="6"/>
  <c r="AV34" i="6"/>
  <c r="BG33" i="6"/>
  <c r="AV32" i="6"/>
  <c r="AV30" i="6"/>
  <c r="AV31" i="6"/>
  <c r="AV19" i="6"/>
  <c r="BG30" i="6"/>
  <c r="BG19" i="6"/>
  <c r="BG32" i="6"/>
  <c r="BG31" i="6"/>
  <c r="AA32" i="10"/>
  <c r="AV17" i="6"/>
  <c r="AV18" i="6"/>
  <c r="BG17" i="6"/>
  <c r="BG18" i="6"/>
  <c r="AK12" i="6"/>
  <c r="Q12" i="9"/>
  <c r="AC27" i="10"/>
  <c r="AC32" i="10" s="1" a="1"/>
  <c r="BG12" i="6"/>
  <c r="AV12" i="6"/>
  <c r="AF12" i="8"/>
  <c r="AL13" i="12"/>
  <c r="Q11" i="10"/>
  <c r="R12" i="10"/>
  <c r="AY38" i="6" l="1"/>
  <c r="AD38" i="6"/>
  <c r="AR38" i="6"/>
  <c r="AX38" i="6"/>
  <c r="AC38" i="6"/>
  <c r="AV38" i="6"/>
  <c r="AN38" i="6"/>
  <c r="AH38" i="6"/>
  <c r="AG38" i="6"/>
  <c r="BE38" i="6"/>
  <c r="AP38" i="6"/>
  <c r="AE38" i="6"/>
  <c r="AM38" i="6"/>
  <c r="AS38" i="6"/>
  <c r="AF38" i="6"/>
  <c r="BD38" i="6"/>
  <c r="AT38" i="6"/>
  <c r="BB38" i="6"/>
  <c r="AU38" i="6"/>
  <c r="AJ38" i="6"/>
  <c r="AO38" i="6"/>
  <c r="AZ38" i="6"/>
  <c r="AI38" i="6"/>
  <c r="AQ38" i="6"/>
  <c r="BF38" i="6"/>
  <c r="BG38" i="6"/>
  <c r="BA38" i="6"/>
  <c r="AK21" i="6"/>
  <c r="AK39" i="6"/>
  <c r="AK40" i="6"/>
  <c r="AX40" i="6"/>
  <c r="AV40" i="6"/>
  <c r="BC40" i="6"/>
  <c r="AO40" i="6"/>
  <c r="AN40" i="6"/>
  <c r="AT40" i="6"/>
  <c r="BA40" i="6"/>
  <c r="AR40" i="6"/>
  <c r="BG40" i="6"/>
  <c r="AC40" i="6"/>
  <c r="AY40" i="6"/>
  <c r="AZ40" i="6"/>
  <c r="BD40" i="6"/>
  <c r="BB40" i="6"/>
  <c r="AP40" i="6"/>
  <c r="AQ40" i="6"/>
  <c r="AU40" i="6"/>
  <c r="AS40" i="6"/>
  <c r="AM40" i="6"/>
  <c r="BF40" i="6"/>
  <c r="BE40" i="6"/>
  <c r="AE40" i="6"/>
  <c r="AF40" i="6"/>
  <c r="AD40" i="6"/>
  <c r="AG40" i="6"/>
  <c r="AH40" i="6"/>
  <c r="AI40" i="6"/>
  <c r="AJ40" i="6"/>
  <c r="AZ39" i="6"/>
  <c r="AV39" i="6"/>
  <c r="AQ39" i="6"/>
  <c r="BF39" i="6"/>
  <c r="AN39" i="6"/>
  <c r="BC39" i="6"/>
  <c r="AX39" i="6"/>
  <c r="AT39" i="6"/>
  <c r="AO39" i="6"/>
  <c r="BG39" i="6"/>
  <c r="BD39" i="6"/>
  <c r="AY39" i="6"/>
  <c r="AU39" i="6"/>
  <c r="BA39" i="6"/>
  <c r="AP39" i="6"/>
  <c r="AR39" i="6"/>
  <c r="AM39" i="6"/>
  <c r="BB39" i="6"/>
  <c r="BE39" i="6"/>
  <c r="AS39" i="6"/>
  <c r="AD39" i="6"/>
  <c r="AC39" i="6"/>
  <c r="AF39" i="6"/>
  <c r="AE39" i="6"/>
  <c r="AG39" i="6"/>
  <c r="AH39" i="6"/>
  <c r="AI39" i="6"/>
  <c r="AJ39" i="6"/>
  <c r="G48" i="6"/>
  <c r="A49" i="12"/>
  <c r="AE49" i="5"/>
  <c r="H49" i="5"/>
  <c r="K49" i="5"/>
  <c r="D49" i="5"/>
  <c r="B49" i="12" s="1"/>
  <c r="G49" i="5"/>
  <c r="AD49" i="5"/>
  <c r="F49" i="5"/>
  <c r="N49" i="5"/>
  <c r="D49" i="6" s="1"/>
  <c r="H49" i="6" s="1"/>
  <c r="T49" i="5" s="1"/>
  <c r="J49" i="5"/>
  <c r="E49" i="5"/>
  <c r="B49" i="6"/>
  <c r="B49" i="5"/>
  <c r="F48" i="6"/>
  <c r="E48" i="12"/>
  <c r="K41" i="5"/>
  <c r="G48" i="12"/>
  <c r="BF35" i="6"/>
  <c r="AY35" i="6"/>
  <c r="AK37" i="6"/>
  <c r="AK38" i="6"/>
  <c r="BA35" i="6"/>
  <c r="AI35" i="6"/>
  <c r="BE35" i="6"/>
  <c r="AJ35" i="6"/>
  <c r="AH35" i="6"/>
  <c r="AG35" i="6"/>
  <c r="AF35" i="6"/>
  <c r="AT35" i="6"/>
  <c r="AE35" i="6"/>
  <c r="AD35" i="6"/>
  <c r="AC35" i="6"/>
  <c r="BC35" i="6"/>
  <c r="AS35" i="6"/>
  <c r="AQ35" i="6"/>
  <c r="AU35" i="6"/>
  <c r="AO35" i="6"/>
  <c r="BG35" i="6"/>
  <c r="AR35" i="6"/>
  <c r="BB35" i="6"/>
  <c r="BD35" i="6"/>
  <c r="AN35" i="6"/>
  <c r="AM35" i="6"/>
  <c r="AZ35" i="6"/>
  <c r="AP35" i="6"/>
  <c r="AV35" i="6"/>
  <c r="AY37" i="6"/>
  <c r="BF37" i="6"/>
  <c r="AX37" i="6"/>
  <c r="AN37" i="6"/>
  <c r="BB37" i="6"/>
  <c r="BD37" i="6"/>
  <c r="AQ37" i="6"/>
  <c r="AO37" i="6"/>
  <c r="AV37" i="6"/>
  <c r="AS37" i="6"/>
  <c r="AU37" i="6"/>
  <c r="BE37" i="6"/>
  <c r="AR37" i="6"/>
  <c r="BA37" i="6"/>
  <c r="AT37" i="6"/>
  <c r="AM37" i="6"/>
  <c r="BG37" i="6"/>
  <c r="AP37" i="6"/>
  <c r="BC37" i="6"/>
  <c r="AZ37" i="6"/>
  <c r="AC37" i="6"/>
  <c r="AD37" i="6"/>
  <c r="AF37" i="6"/>
  <c r="AE37" i="6"/>
  <c r="AG37" i="6"/>
  <c r="AH37" i="6"/>
  <c r="AI37" i="6"/>
  <c r="AJ37" i="6"/>
  <c r="AK24" i="6"/>
  <c r="AK28" i="6"/>
  <c r="AK29" i="6"/>
  <c r="AK25" i="6"/>
  <c r="AK26" i="6"/>
  <c r="AK27" i="6"/>
  <c r="AK35" i="6"/>
  <c r="AK22" i="6"/>
  <c r="AK23" i="6"/>
  <c r="M42" i="6"/>
  <c r="M48" i="6" s="1"/>
  <c r="AH48" i="6" s="1"/>
  <c r="AK20" i="6"/>
  <c r="AK41" i="6"/>
  <c r="AY41" i="6"/>
  <c r="BA41" i="6"/>
  <c r="BG41" i="6"/>
  <c r="AO41" i="6"/>
  <c r="AP41" i="6"/>
  <c r="AZ41" i="6"/>
  <c r="BF41" i="6"/>
  <c r="AV41" i="6"/>
  <c r="BE41" i="6"/>
  <c r="AN41" i="6"/>
  <c r="AT41" i="6"/>
  <c r="AS41" i="6"/>
  <c r="AM41" i="6"/>
  <c r="BC41" i="6"/>
  <c r="BB41" i="6"/>
  <c r="AQ41" i="6"/>
  <c r="AX41" i="6"/>
  <c r="AU41" i="6"/>
  <c r="BD41" i="6"/>
  <c r="AR41" i="6"/>
  <c r="AB41" i="6"/>
  <c r="AC41" i="6"/>
  <c r="AD41" i="6"/>
  <c r="AF41" i="6"/>
  <c r="AE41" i="6"/>
  <c r="AG41" i="6"/>
  <c r="AH41" i="6"/>
  <c r="AI41" i="6"/>
  <c r="AJ41" i="6"/>
  <c r="AV36" i="6"/>
  <c r="AI36" i="6"/>
  <c r="AM36" i="6"/>
  <c r="AR36" i="6"/>
  <c r="BC36" i="6"/>
  <c r="BE36" i="6"/>
  <c r="AJ36" i="6"/>
  <c r="AN36" i="6"/>
  <c r="AY36" i="6"/>
  <c r="AS36" i="6"/>
  <c r="BA36" i="6"/>
  <c r="BB36" i="6"/>
  <c r="AX36" i="6"/>
  <c r="AP36" i="6"/>
  <c r="AC36" i="6"/>
  <c r="BF36" i="6"/>
  <c r="AD36" i="6"/>
  <c r="AO36" i="6"/>
  <c r="AE36" i="6"/>
  <c r="AZ36" i="6"/>
  <c r="AF36" i="6"/>
  <c r="AQ36" i="6"/>
  <c r="AG36" i="6"/>
  <c r="AU36" i="6"/>
  <c r="AH36" i="6"/>
  <c r="AT36" i="6"/>
  <c r="BD36" i="6"/>
  <c r="AK33" i="6"/>
  <c r="AK34" i="6"/>
  <c r="AK36" i="6"/>
  <c r="AK19" i="6"/>
  <c r="AK30" i="6"/>
  <c r="AK31" i="6"/>
  <c r="AK32" i="6"/>
  <c r="AC32" i="10"/>
  <c r="AK16" i="6"/>
  <c r="AK17" i="6"/>
  <c r="AK18" i="6"/>
  <c r="R12" i="9"/>
  <c r="AE27" i="10"/>
  <c r="AE32" i="10" s="1" a="1"/>
  <c r="AM13" i="12"/>
  <c r="R11" i="10"/>
  <c r="S12" i="10"/>
  <c r="C50" i="5" l="1"/>
  <c r="J49" i="12" a="1"/>
  <c r="J49" i="12" s="1"/>
  <c r="J39" i="12" a="1"/>
  <c r="J39" i="12" s="1"/>
  <c r="L40" i="12" a="1"/>
  <c r="L40" i="12" s="1"/>
  <c r="L39" i="12" a="1"/>
  <c r="L39" i="12" s="1"/>
  <c r="J40" i="12" a="1"/>
  <c r="J40" i="12" s="1"/>
  <c r="A49" i="6"/>
  <c r="AF48" i="6"/>
  <c r="L49" i="12" a="1"/>
  <c r="L49" i="12" s="1"/>
  <c r="AG48" i="6"/>
  <c r="AI48" i="6"/>
  <c r="AJ48" i="6"/>
  <c r="BA48" i="6"/>
  <c r="BF48" i="6"/>
  <c r="AR48" i="6"/>
  <c r="AX48" i="6"/>
  <c r="AC48" i="6"/>
  <c r="AO48" i="6"/>
  <c r="BD48" i="6"/>
  <c r="BG48" i="6"/>
  <c r="AU48" i="6"/>
  <c r="BB48" i="6"/>
  <c r="AY48" i="6"/>
  <c r="AM48" i="6"/>
  <c r="AP48" i="6"/>
  <c r="BE48" i="6"/>
  <c r="AZ48" i="6"/>
  <c r="AV48" i="6"/>
  <c r="BC48" i="6"/>
  <c r="AQ48" i="6"/>
  <c r="AS48" i="6"/>
  <c r="AN48" i="6"/>
  <c r="AT48" i="6"/>
  <c r="AE48" i="6"/>
  <c r="AB48" i="6"/>
  <c r="G49" i="12"/>
  <c r="AK48" i="6"/>
  <c r="AD48" i="6"/>
  <c r="L21" i="12" a="1"/>
  <c r="L21" i="12" s="1"/>
  <c r="J21" i="12" a="1"/>
  <c r="J21" i="12" s="1"/>
  <c r="L38" i="12" a="1"/>
  <c r="L38" i="12" s="1"/>
  <c r="J38" i="12" a="1"/>
  <c r="J38" i="12" s="1"/>
  <c r="L37" i="12" a="1"/>
  <c r="L37" i="12" s="1"/>
  <c r="J37" i="12" a="1"/>
  <c r="J37" i="12" s="1"/>
  <c r="M45" i="6"/>
  <c r="AQ45" i="6" s="1"/>
  <c r="L28" i="12" a="1"/>
  <c r="L28" i="12" s="1"/>
  <c r="L29" i="12" a="1"/>
  <c r="L29" i="12" s="1"/>
  <c r="J28" i="12" a="1"/>
  <c r="J28" i="12" s="1"/>
  <c r="J29" i="12" a="1"/>
  <c r="J29" i="12" s="1"/>
  <c r="J24" i="12" a="1"/>
  <c r="J24" i="12" s="1"/>
  <c r="L24" i="12" a="1"/>
  <c r="L24" i="12" s="1"/>
  <c r="J26" i="12" a="1"/>
  <c r="J26" i="12" s="1"/>
  <c r="L26" i="12" a="1"/>
  <c r="L26" i="12" s="1"/>
  <c r="J27" i="12" a="1"/>
  <c r="J27" i="12" s="1"/>
  <c r="L27" i="12" a="1"/>
  <c r="L27" i="12" s="1"/>
  <c r="L25" i="12" a="1"/>
  <c r="L25" i="12" s="1"/>
  <c r="J25" i="12" a="1"/>
  <c r="J25" i="12" s="1"/>
  <c r="L45" i="12" a="1"/>
  <c r="L45" i="12" s="1"/>
  <c r="J45" i="12" a="1"/>
  <c r="J45" i="12" s="1"/>
  <c r="J44" i="12" a="1"/>
  <c r="J44" i="12" s="1"/>
  <c r="L44" i="12" a="1"/>
  <c r="L44" i="12" s="1"/>
  <c r="AK42" i="6"/>
  <c r="M44" i="6"/>
  <c r="AI42" i="6"/>
  <c r="AH42" i="6"/>
  <c r="AG42" i="6"/>
  <c r="AD42" i="6"/>
  <c r="AC42" i="6"/>
  <c r="BB42" i="6"/>
  <c r="AR42" i="6"/>
  <c r="BC42" i="6"/>
  <c r="BD42" i="6"/>
  <c r="AS42" i="6"/>
  <c r="BA42" i="6"/>
  <c r="AT42" i="6"/>
  <c r="AQ42" i="6"/>
  <c r="AZ42" i="6"/>
  <c r="AJ42" i="6"/>
  <c r="AO42" i="6"/>
  <c r="BE42" i="6"/>
  <c r="AF42" i="6"/>
  <c r="AU42" i="6"/>
  <c r="AE42" i="6"/>
  <c r="AV42" i="6"/>
  <c r="BF42" i="6"/>
  <c r="BG42" i="6"/>
  <c r="AY42" i="6"/>
  <c r="AM42" i="6"/>
  <c r="AP42" i="6"/>
  <c r="AN42" i="6"/>
  <c r="AX42" i="6"/>
  <c r="M47" i="6"/>
  <c r="M46" i="6"/>
  <c r="M43" i="6"/>
  <c r="AE32" i="10"/>
  <c r="S12" i="9"/>
  <c r="AO7" i="12"/>
  <c r="T12" i="10"/>
  <c r="S11" i="10"/>
  <c r="L35" i="12" a="1"/>
  <c r="L22" i="12" a="1"/>
  <c r="L36" i="12" a="1"/>
  <c r="L47" i="12" a="1"/>
  <c r="J18" i="12" a="1"/>
  <c r="J35" i="12" a="1"/>
  <c r="J22" i="12" a="1"/>
  <c r="J14" i="12" a="1"/>
  <c r="J36" i="12" a="1"/>
  <c r="J20" i="12" a="1"/>
  <c r="J19" i="12" a="1"/>
  <c r="J34" i="12" a="1"/>
  <c r="L31" i="12" a="1"/>
  <c r="L42" i="12" a="1"/>
  <c r="J23" i="12" a="1"/>
  <c r="L46" i="12" a="1"/>
  <c r="L32" i="12" a="1"/>
  <c r="L18" i="12" a="1"/>
  <c r="J31" i="12" a="1"/>
  <c r="L19" i="12" a="1"/>
  <c r="L43" i="12" a="1"/>
  <c r="J32" i="12" a="1"/>
  <c r="J47" i="12" a="1"/>
  <c r="L34" i="12" a="1"/>
  <c r="L14" i="12" a="1"/>
  <c r="J46" i="12" a="1"/>
  <c r="J43" i="12" a="1"/>
  <c r="L20" i="12" a="1"/>
  <c r="J42" i="12" a="1"/>
  <c r="L23" i="12" a="1"/>
  <c r="AF50" i="5"/>
  <c r="AG50" i="5" l="1"/>
  <c r="AN50" i="5" s="1"/>
  <c r="S50" i="5"/>
  <c r="F50" i="12" s="1"/>
  <c r="B50" i="6"/>
  <c r="A50" i="6" s="1"/>
  <c r="N50" i="5"/>
  <c r="D50" i="6" s="1"/>
  <c r="G50" i="6" s="1"/>
  <c r="AD50" i="5"/>
  <c r="E50" i="5"/>
  <c r="A50" i="12"/>
  <c r="AE50" i="5"/>
  <c r="W50" i="5"/>
  <c r="H50" i="12" s="1"/>
  <c r="H50" i="5"/>
  <c r="G50" i="5"/>
  <c r="B50" i="5"/>
  <c r="F50" i="5"/>
  <c r="K49" i="12"/>
  <c r="K40" i="12"/>
  <c r="K39" i="12"/>
  <c r="M49" i="6"/>
  <c r="K21" i="12"/>
  <c r="K38" i="12"/>
  <c r="AI45" i="6"/>
  <c r="AM45" i="6"/>
  <c r="AS45" i="6"/>
  <c r="BD45" i="6"/>
  <c r="AT45" i="6"/>
  <c r="AN45" i="6"/>
  <c r="AY45" i="6"/>
  <c r="AO45" i="6"/>
  <c r="AK45" i="6"/>
  <c r="AV45" i="6"/>
  <c r="AJ45" i="6"/>
  <c r="BC45" i="6"/>
  <c r="AH45" i="6"/>
  <c r="AZ45" i="6"/>
  <c r="AE45" i="6"/>
  <c r="AR45" i="6"/>
  <c r="AF45" i="6"/>
  <c r="BA45" i="6"/>
  <c r="AD45" i="6"/>
  <c r="AC45" i="6"/>
  <c r="BB45" i="6"/>
  <c r="BE45" i="6"/>
  <c r="AG45" i="6"/>
  <c r="AU45" i="6"/>
  <c r="BF45" i="6"/>
  <c r="AP45" i="6"/>
  <c r="AX45" i="6"/>
  <c r="BG45" i="6"/>
  <c r="K37" i="12"/>
  <c r="K26" i="12"/>
  <c r="K28" i="12"/>
  <c r="K29" i="12"/>
  <c r="K27" i="12"/>
  <c r="K24" i="12"/>
  <c r="K25" i="12"/>
  <c r="K44" i="12"/>
  <c r="K45" i="12"/>
  <c r="AY44" i="6"/>
  <c r="BA44" i="6"/>
  <c r="BG44" i="6"/>
  <c r="AX44" i="6"/>
  <c r="AP44" i="6"/>
  <c r="BF44" i="6"/>
  <c r="BB44" i="6"/>
  <c r="AV44" i="6"/>
  <c r="AO44" i="6"/>
  <c r="AU44" i="6"/>
  <c r="BE44" i="6"/>
  <c r="AN44" i="6"/>
  <c r="AT44" i="6"/>
  <c r="BD44" i="6"/>
  <c r="AS44" i="6"/>
  <c r="AM44" i="6"/>
  <c r="BC44" i="6"/>
  <c r="AZ44" i="6"/>
  <c r="AR44" i="6"/>
  <c r="AQ44" i="6"/>
  <c r="AC44" i="6"/>
  <c r="AD44" i="6"/>
  <c r="AF44" i="6"/>
  <c r="AE44" i="6"/>
  <c r="AG44" i="6"/>
  <c r="AH44" i="6"/>
  <c r="AI44" i="6"/>
  <c r="AJ44" i="6"/>
  <c r="AK44" i="6"/>
  <c r="J35" i="12"/>
  <c r="L35" i="12"/>
  <c r="J23" i="12"/>
  <c r="J22" i="12"/>
  <c r="L22" i="12"/>
  <c r="L23" i="12"/>
  <c r="BE43" i="6"/>
  <c r="AD43" i="6"/>
  <c r="AR43" i="6"/>
  <c r="AP43" i="6"/>
  <c r="AX43" i="6"/>
  <c r="AE43" i="6"/>
  <c r="AN43" i="6"/>
  <c r="AF43" i="6"/>
  <c r="BD43" i="6"/>
  <c r="AG43" i="6"/>
  <c r="AU43" i="6"/>
  <c r="AH43" i="6"/>
  <c r="BC43" i="6"/>
  <c r="AI43" i="6"/>
  <c r="AC43" i="6"/>
  <c r="AT43" i="6"/>
  <c r="AJ43" i="6"/>
  <c r="AQ43" i="6"/>
  <c r="BF43" i="6"/>
  <c r="AS43" i="6"/>
  <c r="BB43" i="6"/>
  <c r="AK43" i="6"/>
  <c r="BA43" i="6"/>
  <c r="BG43" i="6"/>
  <c r="AV43" i="6"/>
  <c r="AO43" i="6"/>
  <c r="AZ43" i="6"/>
  <c r="AM43" i="6"/>
  <c r="AY43" i="6"/>
  <c r="AT46" i="6"/>
  <c r="BB46" i="6"/>
  <c r="BF46" i="6"/>
  <c r="BA46" i="6"/>
  <c r="AX46" i="6"/>
  <c r="AQ46" i="6"/>
  <c r="AC46" i="6"/>
  <c r="AP46" i="6"/>
  <c r="AD46" i="6"/>
  <c r="AK46" i="6"/>
  <c r="AO46" i="6"/>
  <c r="AE46" i="6"/>
  <c r="BD46" i="6"/>
  <c r="AS46" i="6"/>
  <c r="BE46" i="6"/>
  <c r="AF46" i="6"/>
  <c r="AR46" i="6"/>
  <c r="AG46" i="6"/>
  <c r="AY46" i="6"/>
  <c r="AH46" i="6"/>
  <c r="BG46" i="6"/>
  <c r="AV46" i="6"/>
  <c r="AI46" i="6"/>
  <c r="BC46" i="6"/>
  <c r="AJ46" i="6"/>
  <c r="AU46" i="6"/>
  <c r="AN46" i="6"/>
  <c r="AZ46" i="6"/>
  <c r="AM46" i="6"/>
  <c r="AP47" i="6"/>
  <c r="AC47" i="6"/>
  <c r="AY47" i="6"/>
  <c r="AD47" i="6"/>
  <c r="BF47" i="6"/>
  <c r="AE47" i="6"/>
  <c r="BD47" i="6"/>
  <c r="AF47" i="6"/>
  <c r="AQ47" i="6"/>
  <c r="AX47" i="6"/>
  <c r="AT47" i="6"/>
  <c r="AG47" i="6"/>
  <c r="BC47" i="6"/>
  <c r="AH47" i="6"/>
  <c r="AO47" i="6"/>
  <c r="AI47" i="6"/>
  <c r="BE47" i="6"/>
  <c r="AJ47" i="6"/>
  <c r="AN47" i="6"/>
  <c r="AK47" i="6"/>
  <c r="AV47" i="6"/>
  <c r="AS47" i="6"/>
  <c r="AU47" i="6"/>
  <c r="BG47" i="6"/>
  <c r="AM47" i="6"/>
  <c r="AR47" i="6"/>
  <c r="BB47" i="6"/>
  <c r="AZ47" i="6"/>
  <c r="BA47" i="6"/>
  <c r="L43" i="12"/>
  <c r="J47" i="12"/>
  <c r="J20" i="12"/>
  <c r="J43" i="12"/>
  <c r="L47" i="12"/>
  <c r="J42" i="12"/>
  <c r="L46" i="12"/>
  <c r="L42" i="12"/>
  <c r="J46" i="12"/>
  <c r="L34" i="12"/>
  <c r="J36" i="12"/>
  <c r="L36" i="12"/>
  <c r="J34" i="12"/>
  <c r="L20" i="12"/>
  <c r="J31" i="12"/>
  <c r="J32" i="12"/>
  <c r="L19" i="12"/>
  <c r="L31" i="12"/>
  <c r="L32" i="12"/>
  <c r="J19" i="12"/>
  <c r="J14" i="12"/>
  <c r="J18" i="12"/>
  <c r="L18" i="12"/>
  <c r="L14" i="12"/>
  <c r="T12" i="9"/>
  <c r="U12" i="10"/>
  <c r="T11" i="10"/>
  <c r="M50" i="6" l="1"/>
  <c r="AQ50" i="6" s="1"/>
  <c r="N50" i="6"/>
  <c r="H50" i="6"/>
  <c r="T50" i="5" s="1"/>
  <c r="G50" i="12" s="1"/>
  <c r="E50" i="12"/>
  <c r="F50" i="6"/>
  <c r="C51" i="5"/>
  <c r="AD49" i="6"/>
  <c r="AY49" i="6"/>
  <c r="AN49" i="6"/>
  <c r="AT49" i="6"/>
  <c r="BC49" i="6"/>
  <c r="AX49" i="6"/>
  <c r="AQ49" i="6"/>
  <c r="AZ49" i="6"/>
  <c r="BE49" i="6"/>
  <c r="AP49" i="6"/>
  <c r="AO49" i="6"/>
  <c r="AM49" i="6"/>
  <c r="AV49" i="6"/>
  <c r="BG49" i="6"/>
  <c r="BD49" i="6"/>
  <c r="AS49" i="6"/>
  <c r="AR49" i="6"/>
  <c r="BA49" i="6"/>
  <c r="AC49" i="6"/>
  <c r="AK49" i="6"/>
  <c r="AI49" i="6"/>
  <c r="AE49" i="6"/>
  <c r="AU49" i="6"/>
  <c r="AG49" i="6"/>
  <c r="AF49" i="6"/>
  <c r="AH49" i="6"/>
  <c r="BF49" i="6"/>
  <c r="BB49" i="6"/>
  <c r="AJ49" i="6"/>
  <c r="K35" i="12"/>
  <c r="K22" i="12"/>
  <c r="K23" i="12"/>
  <c r="K47" i="12"/>
  <c r="K34" i="12"/>
  <c r="K42" i="12"/>
  <c r="K36" i="12"/>
  <c r="K20" i="12"/>
  <c r="K46" i="12"/>
  <c r="K43" i="12"/>
  <c r="K31" i="12"/>
  <c r="K32" i="12"/>
  <c r="K19" i="12"/>
  <c r="K18" i="12"/>
  <c r="K14" i="12"/>
  <c r="U12" i="9"/>
  <c r="V12" i="10"/>
  <c r="U11" i="10"/>
  <c r="AO50" i="6" l="1"/>
  <c r="AX50" i="6"/>
  <c r="BA50" i="6"/>
  <c r="AP50" i="6"/>
  <c r="AZ50" i="6"/>
  <c r="AR50" i="6"/>
  <c r="AY50" i="6"/>
  <c r="AM50" i="6"/>
  <c r="AB50" i="6"/>
  <c r="AD50" i="6"/>
  <c r="AK50" i="6"/>
  <c r="AJ50" i="6"/>
  <c r="AC50" i="6"/>
  <c r="AS50" i="6"/>
  <c r="BE50" i="6"/>
  <c r="BC50" i="6"/>
  <c r="AG50" i="6"/>
  <c r="AN50" i="6"/>
  <c r="BD50" i="6"/>
  <c r="BF50" i="6"/>
  <c r="AE50" i="6"/>
  <c r="BG50" i="6"/>
  <c r="AU50" i="6"/>
  <c r="AI50" i="6"/>
  <c r="BB50" i="6"/>
  <c r="AT50" i="6"/>
  <c r="AH50" i="6"/>
  <c r="AF50" i="6"/>
  <c r="AV50" i="6"/>
  <c r="AE51" i="5"/>
  <c r="F51" i="5"/>
  <c r="B51" i="6"/>
  <c r="B51" i="5"/>
  <c r="C52" i="5"/>
  <c r="G51" i="5"/>
  <c r="K51" i="5"/>
  <c r="N51" i="5"/>
  <c r="D51" i="6" s="1"/>
  <c r="H51" i="6" s="1"/>
  <c r="T51" i="5" s="1"/>
  <c r="E51" i="5"/>
  <c r="A51" i="12"/>
  <c r="AD51" i="5"/>
  <c r="J51" i="5"/>
  <c r="D51" i="5"/>
  <c r="B51" i="12" s="1"/>
  <c r="H51" i="5"/>
  <c r="V12" i="9"/>
  <c r="W12" i="10"/>
  <c r="V11" i="10"/>
  <c r="A51" i="6" l="1"/>
  <c r="N51" i="6" s="1"/>
  <c r="B52" i="6"/>
  <c r="C53" i="5"/>
  <c r="B52" i="5"/>
  <c r="G52" i="5"/>
  <c r="A52" i="12"/>
  <c r="F52" i="5"/>
  <c r="AE52" i="5"/>
  <c r="N52" i="5"/>
  <c r="D52" i="6" s="1"/>
  <c r="E52" i="5"/>
  <c r="AD52" i="5"/>
  <c r="K52" i="5"/>
  <c r="J52" i="5"/>
  <c r="D52" i="5"/>
  <c r="B52" i="12" s="1"/>
  <c r="H52" i="5"/>
  <c r="L51" i="12" a="1"/>
  <c r="L51" i="12" s="1"/>
  <c r="J51" i="12" a="1"/>
  <c r="J51" i="12" s="1"/>
  <c r="G51" i="12"/>
  <c r="W12" i="9"/>
  <c r="W11" i="10"/>
  <c r="X12" i="10"/>
  <c r="K51" i="12" l="1"/>
  <c r="H52" i="6"/>
  <c r="T52" i="5" s="1"/>
  <c r="G52" i="12" s="1"/>
  <c r="N53" i="5"/>
  <c r="D53" i="6" s="1"/>
  <c r="H53" i="6" s="1"/>
  <c r="T53" i="5" s="1"/>
  <c r="E53" i="5"/>
  <c r="AD53" i="5"/>
  <c r="B53" i="5"/>
  <c r="H53" i="5"/>
  <c r="B53" i="6"/>
  <c r="D53" i="5"/>
  <c r="B53" i="12" s="1"/>
  <c r="AE53" i="5"/>
  <c r="C54" i="5"/>
  <c r="G53" i="5"/>
  <c r="J53" i="5"/>
  <c r="A53" i="12"/>
  <c r="F53" i="5"/>
  <c r="K53" i="5"/>
  <c r="A52" i="6"/>
  <c r="M51" i="6"/>
  <c r="J52" i="12" a="1"/>
  <c r="J52" i="12" s="1"/>
  <c r="L52" i="12" a="1"/>
  <c r="L52" i="12" s="1"/>
  <c r="X12" i="9"/>
  <c r="Y12" i="10"/>
  <c r="X11" i="10"/>
  <c r="K52" i="12" l="1"/>
  <c r="B54" i="6"/>
  <c r="K54" i="5"/>
  <c r="G54" i="5"/>
  <c r="AE54" i="5"/>
  <c r="F54" i="5"/>
  <c r="J54" i="5"/>
  <c r="N54" i="5"/>
  <c r="D54" i="6" s="1"/>
  <c r="H54" i="6" s="1"/>
  <c r="T54" i="5" s="1"/>
  <c r="E54" i="5"/>
  <c r="B54" i="5"/>
  <c r="AD54" i="5"/>
  <c r="A54" i="12"/>
  <c r="D54" i="5"/>
  <c r="B54" i="12" s="1"/>
  <c r="H54" i="5"/>
  <c r="A53" i="6"/>
  <c r="AY51" i="6"/>
  <c r="BE51" i="6"/>
  <c r="AT51" i="6"/>
  <c r="AS51" i="6"/>
  <c r="AI51" i="6"/>
  <c r="AP51" i="6"/>
  <c r="AR51" i="6"/>
  <c r="AQ51" i="6"/>
  <c r="AD51" i="6"/>
  <c r="AK51" i="6"/>
  <c r="AG51" i="6"/>
  <c r="AM51" i="6"/>
  <c r="BF51" i="6"/>
  <c r="AN51" i="6"/>
  <c r="AE51" i="6"/>
  <c r="AF51" i="6"/>
  <c r="BC51" i="6"/>
  <c r="AV51" i="6"/>
  <c r="BG51" i="6"/>
  <c r="BA51" i="6"/>
  <c r="BB51" i="6"/>
  <c r="BD51" i="6"/>
  <c r="AC51" i="6"/>
  <c r="AX51" i="6"/>
  <c r="AZ51" i="6"/>
  <c r="AH51" i="6"/>
  <c r="AO51" i="6"/>
  <c r="AU51" i="6"/>
  <c r="AJ51" i="6"/>
  <c r="N52" i="6"/>
  <c r="M52" i="6"/>
  <c r="L53" i="12" a="1"/>
  <c r="L53" i="12" s="1"/>
  <c r="J53" i="12" a="1"/>
  <c r="J53" i="12" s="1"/>
  <c r="G53" i="12"/>
  <c r="Y12" i="9"/>
  <c r="Y11" i="10"/>
  <c r="Z12" i="10"/>
  <c r="K53" i="12" l="1"/>
  <c r="AU52" i="6"/>
  <c r="BD52" i="6"/>
  <c r="AM52" i="6"/>
  <c r="AP52" i="6"/>
  <c r="BG52" i="6"/>
  <c r="BE52" i="6"/>
  <c r="AI52" i="6"/>
  <c r="BA52" i="6"/>
  <c r="AV52" i="6"/>
  <c r="AF52" i="6"/>
  <c r="AZ52" i="6"/>
  <c r="AH52" i="6"/>
  <c r="AN52" i="6"/>
  <c r="BB52" i="6"/>
  <c r="AJ52" i="6"/>
  <c r="AQ52" i="6"/>
  <c r="AT52" i="6"/>
  <c r="AS52" i="6"/>
  <c r="BC52" i="6"/>
  <c r="BF52" i="6"/>
  <c r="AE52" i="6"/>
  <c r="AC52" i="6"/>
  <c r="AY52" i="6"/>
  <c r="AO52" i="6"/>
  <c r="AD52" i="6"/>
  <c r="AG52" i="6"/>
  <c r="AK52" i="6"/>
  <c r="AR52" i="6"/>
  <c r="AX52" i="6"/>
  <c r="N53" i="6"/>
  <c r="M53" i="6"/>
  <c r="C55" i="5"/>
  <c r="A54" i="6"/>
  <c r="L54" i="12" a="1"/>
  <c r="L54" i="12" s="1"/>
  <c r="J54" i="12" a="1"/>
  <c r="J54" i="12" s="1"/>
  <c r="G54" i="12"/>
  <c r="Z12" i="9"/>
  <c r="Z11" i="10"/>
  <c r="AA12" i="10"/>
  <c r="K54" i="12" l="1"/>
  <c r="AR53" i="6"/>
  <c r="BE53" i="6"/>
  <c r="BD53" i="6"/>
  <c r="AJ53" i="6"/>
  <c r="AO53" i="6"/>
  <c r="AM53" i="6"/>
  <c r="AH53" i="6"/>
  <c r="AD53" i="6"/>
  <c r="AY53" i="6"/>
  <c r="AF53" i="6"/>
  <c r="AP53" i="6"/>
  <c r="AI53" i="6"/>
  <c r="AV53" i="6"/>
  <c r="AN53" i="6"/>
  <c r="AK53" i="6"/>
  <c r="BC53" i="6"/>
  <c r="AT53" i="6"/>
  <c r="AS53" i="6"/>
  <c r="AC53" i="6"/>
  <c r="AG53" i="6"/>
  <c r="BG53" i="6"/>
  <c r="BB53" i="6"/>
  <c r="AX53" i="6"/>
  <c r="BF53" i="6"/>
  <c r="BA53" i="6"/>
  <c r="AQ53" i="6"/>
  <c r="AZ53" i="6"/>
  <c r="AE53" i="6"/>
  <c r="AU53" i="6"/>
  <c r="N55" i="5"/>
  <c r="D55" i="6" s="1"/>
  <c r="H55" i="6" s="1"/>
  <c r="T55" i="5" s="1"/>
  <c r="B55" i="5"/>
  <c r="E55" i="5"/>
  <c r="J55" i="5"/>
  <c r="H55" i="5"/>
  <c r="A55" i="12"/>
  <c r="D55" i="5"/>
  <c r="B55" i="12" s="1"/>
  <c r="AE55" i="5"/>
  <c r="G55" i="5"/>
  <c r="C56" i="5"/>
  <c r="F55" i="5"/>
  <c r="K55" i="5"/>
  <c r="B55" i="6"/>
  <c r="AD55" i="5"/>
  <c r="M54" i="6"/>
  <c r="N54" i="6"/>
  <c r="AA12" i="9"/>
  <c r="AB12" i="10"/>
  <c r="AA11" i="10"/>
  <c r="A55" i="6" l="1"/>
  <c r="M55" i="6" s="1"/>
  <c r="AO55" i="6" s="1"/>
  <c r="E56" i="5"/>
  <c r="J56" i="5"/>
  <c r="B56" i="5"/>
  <c r="D56" i="5"/>
  <c r="B56" i="12" s="1"/>
  <c r="B56" i="6"/>
  <c r="H56" i="5"/>
  <c r="C57" i="5"/>
  <c r="C58" i="5" s="1"/>
  <c r="AE56" i="5"/>
  <c r="G56" i="5"/>
  <c r="K56" i="5"/>
  <c r="F56" i="5"/>
  <c r="A56" i="12"/>
  <c r="N56" i="5"/>
  <c r="D56" i="6" s="1"/>
  <c r="H56" i="6" s="1"/>
  <c r="T56" i="5" s="1"/>
  <c r="AD56" i="5"/>
  <c r="L55" i="12" a="1"/>
  <c r="L55" i="12" s="1"/>
  <c r="J55" i="12" a="1"/>
  <c r="J55" i="12" s="1"/>
  <c r="AZ54" i="6"/>
  <c r="BG54" i="6"/>
  <c r="BB54" i="6"/>
  <c r="AT54" i="6"/>
  <c r="AS54" i="6"/>
  <c r="AR54" i="6"/>
  <c r="AJ54" i="6"/>
  <c r="AF54" i="6"/>
  <c r="AC54" i="6"/>
  <c r="AX54" i="6"/>
  <c r="AU54" i="6"/>
  <c r="BE54" i="6"/>
  <c r="BA54" i="6"/>
  <c r="AV54" i="6"/>
  <c r="AY54" i="6"/>
  <c r="AO54" i="6"/>
  <c r="BF54" i="6"/>
  <c r="AP54" i="6"/>
  <c r="AH54" i="6"/>
  <c r="AI54" i="6"/>
  <c r="AN54" i="6"/>
  <c r="AM54" i="6"/>
  <c r="AG54" i="6"/>
  <c r="AK54" i="6"/>
  <c r="AD54" i="6"/>
  <c r="BD54" i="6"/>
  <c r="BC54" i="6"/>
  <c r="AQ54" i="6"/>
  <c r="AE54" i="6"/>
  <c r="G55" i="12"/>
  <c r="K48" i="5"/>
  <c r="AB12" i="9"/>
  <c r="AB11" i="10"/>
  <c r="AC12" i="10"/>
  <c r="AN55" i="6" l="1"/>
  <c r="AV55" i="6"/>
  <c r="BF55" i="6"/>
  <c r="AR55" i="6"/>
  <c r="AI55" i="6"/>
  <c r="AX55" i="6"/>
  <c r="AG55" i="6"/>
  <c r="BE55" i="6"/>
  <c r="AJ55" i="6"/>
  <c r="BD55" i="6"/>
  <c r="AH55" i="6"/>
  <c r="BC55" i="6"/>
  <c r="AK55" i="6"/>
  <c r="AF55" i="6"/>
  <c r="AP55" i="6"/>
  <c r="D58" i="5"/>
  <c r="B58" i="12" s="1"/>
  <c r="C59" i="5"/>
  <c r="AE58" i="5"/>
  <c r="K58" i="5"/>
  <c r="B58" i="6"/>
  <c r="AD58" i="5"/>
  <c r="J58" i="5"/>
  <c r="A58" i="12"/>
  <c r="N58" i="5"/>
  <c r="AM55" i="6"/>
  <c r="AD55" i="6"/>
  <c r="AY55" i="6"/>
  <c r="AE55" i="6"/>
  <c r="AU55" i="6"/>
  <c r="BG55" i="6"/>
  <c r="AT55" i="6"/>
  <c r="AS55" i="6"/>
  <c r="BB55" i="6"/>
  <c r="BA55" i="6"/>
  <c r="AZ55" i="6"/>
  <c r="AQ55" i="6"/>
  <c r="AC55" i="6"/>
  <c r="N55" i="6"/>
  <c r="K55" i="12"/>
  <c r="E57" i="5"/>
  <c r="E58" i="5" s="1"/>
  <c r="G57" i="5"/>
  <c r="G58" i="5" s="1"/>
  <c r="D57" i="5"/>
  <c r="B57" i="12" s="1"/>
  <c r="B57" i="5"/>
  <c r="B58" i="5" s="1"/>
  <c r="H57" i="5"/>
  <c r="H58" i="5" s="1"/>
  <c r="N57" i="5"/>
  <c r="D57" i="6" s="1"/>
  <c r="H57" i="6" s="1"/>
  <c r="T57" i="5" s="1"/>
  <c r="AE57" i="5"/>
  <c r="K57" i="5"/>
  <c r="A57" i="12"/>
  <c r="J57" i="5"/>
  <c r="F57" i="5"/>
  <c r="F58" i="5" s="1"/>
  <c r="B57" i="6"/>
  <c r="AD57" i="5"/>
  <c r="L56" i="12" a="1"/>
  <c r="L56" i="12" s="1"/>
  <c r="J56" i="12" a="1"/>
  <c r="J56" i="12" s="1"/>
  <c r="A56" i="6"/>
  <c r="G56" i="12"/>
  <c r="AC12" i="9"/>
  <c r="AC11" i="10"/>
  <c r="AD12" i="10"/>
  <c r="L58" i="12" l="1" a="1"/>
  <c r="L58" i="12" s="1"/>
  <c r="J58" i="12" a="1"/>
  <c r="J58" i="12" s="1"/>
  <c r="D59" i="5"/>
  <c r="B59" i="12" s="1"/>
  <c r="B59" i="6"/>
  <c r="C60" i="5"/>
  <c r="AE59" i="5"/>
  <c r="K59" i="5"/>
  <c r="AD59" i="5"/>
  <c r="J59" i="5"/>
  <c r="B59" i="5"/>
  <c r="H59" i="5"/>
  <c r="A59" i="12"/>
  <c r="F59" i="5"/>
  <c r="G59" i="5"/>
  <c r="E59" i="5"/>
  <c r="N59" i="5"/>
  <c r="D58" i="6"/>
  <c r="K56" i="12"/>
  <c r="L57" i="12" a="1"/>
  <c r="L57" i="12" s="1"/>
  <c r="J57" i="12" a="1"/>
  <c r="J57" i="12" s="1"/>
  <c r="A57" i="6"/>
  <c r="M56" i="6"/>
  <c r="N56" i="6"/>
  <c r="G57" i="12"/>
  <c r="AD12" i="9"/>
  <c r="AE12" i="10"/>
  <c r="AD11" i="10"/>
  <c r="A58" i="6" l="1"/>
  <c r="N58" i="6" s="1"/>
  <c r="D59" i="6"/>
  <c r="N60" i="5"/>
  <c r="E60" i="5"/>
  <c r="B60" i="6"/>
  <c r="D60" i="5"/>
  <c r="B60" i="12" s="1"/>
  <c r="C61" i="5"/>
  <c r="AE60" i="5"/>
  <c r="K60" i="5"/>
  <c r="AD60" i="5"/>
  <c r="J60" i="5"/>
  <c r="B60" i="5"/>
  <c r="H60" i="5"/>
  <c r="A60" i="12"/>
  <c r="F60" i="5"/>
  <c r="G60" i="5"/>
  <c r="H58" i="6"/>
  <c r="T58" i="5" s="1"/>
  <c r="L59" i="12" a="1"/>
  <c r="L59" i="12" s="1"/>
  <c r="J59" i="12" a="1"/>
  <c r="J59" i="12" s="1"/>
  <c r="K58" i="12"/>
  <c r="K57" i="12"/>
  <c r="BE56" i="6"/>
  <c r="AP56" i="6"/>
  <c r="AM56" i="6"/>
  <c r="BC56" i="6"/>
  <c r="BF56" i="6"/>
  <c r="AR56" i="6"/>
  <c r="BG56" i="6"/>
  <c r="AV56" i="6"/>
  <c r="BA56" i="6"/>
  <c r="AY56" i="6"/>
  <c r="BD56" i="6"/>
  <c r="AJ56" i="6"/>
  <c r="AK56" i="6"/>
  <c r="AI56" i="6"/>
  <c r="AN56" i="6"/>
  <c r="AG56" i="6"/>
  <c r="AE56" i="6"/>
  <c r="AS56" i="6"/>
  <c r="AC56" i="6"/>
  <c r="AO56" i="6"/>
  <c r="AT56" i="6"/>
  <c r="AU56" i="6"/>
  <c r="AX56" i="6"/>
  <c r="AD56" i="6"/>
  <c r="AH56" i="6"/>
  <c r="AF56" i="6"/>
  <c r="AZ56" i="6"/>
  <c r="BB56" i="6"/>
  <c r="AQ56" i="6"/>
  <c r="M57" i="6"/>
  <c r="N57" i="6"/>
  <c r="AE12" i="9"/>
  <c r="AE11" i="10"/>
  <c r="AF12" i="10"/>
  <c r="A59" i="6" l="1"/>
  <c r="M59" i="6" s="1"/>
  <c r="BA59" i="6" s="1"/>
  <c r="M58" i="6"/>
  <c r="AT58" i="6" s="1"/>
  <c r="D60" i="6"/>
  <c r="K59" i="12"/>
  <c r="L60" i="12" a="1"/>
  <c r="L60" i="12" s="1"/>
  <c r="J60" i="12" a="1"/>
  <c r="J60" i="12" s="1"/>
  <c r="H59" i="6"/>
  <c r="T59" i="5" s="1"/>
  <c r="B61" i="6"/>
  <c r="D61" i="5"/>
  <c r="B61" i="12" s="1"/>
  <c r="C62" i="5"/>
  <c r="C63" i="5" s="1"/>
  <c r="AE61" i="5"/>
  <c r="K61" i="5"/>
  <c r="AD61" i="5"/>
  <c r="J61" i="5"/>
  <c r="B61" i="5"/>
  <c r="H61" i="5"/>
  <c r="A61" i="12"/>
  <c r="F61" i="5"/>
  <c r="N61" i="5"/>
  <c r="E61" i="5"/>
  <c r="G61" i="5"/>
  <c r="G58" i="12"/>
  <c r="BD57" i="6"/>
  <c r="AR57" i="6"/>
  <c r="BC57" i="6"/>
  <c r="AS57" i="6"/>
  <c r="BB57" i="6"/>
  <c r="AT57" i="6"/>
  <c r="AV57" i="6"/>
  <c r="AU57" i="6"/>
  <c r="BF57" i="6"/>
  <c r="AY57" i="6"/>
  <c r="AN57" i="6"/>
  <c r="AG57" i="6"/>
  <c r="AM57" i="6"/>
  <c r="AD57" i="6"/>
  <c r="AE57" i="6"/>
  <c r="AZ57" i="6"/>
  <c r="AX57" i="6"/>
  <c r="AC57" i="6"/>
  <c r="AP57" i="6"/>
  <c r="AO57" i="6"/>
  <c r="AQ57" i="6"/>
  <c r="BE57" i="6"/>
  <c r="AF57" i="6"/>
  <c r="BA57" i="6"/>
  <c r="AH57" i="6"/>
  <c r="BG57" i="6"/>
  <c r="AJ57" i="6"/>
  <c r="AI57" i="6"/>
  <c r="AK57" i="6"/>
  <c r="AF11" i="10"/>
  <c r="K60" i="12" l="1"/>
  <c r="A60" i="6"/>
  <c r="M60" i="6" s="1"/>
  <c r="BA60" i="6" s="1"/>
  <c r="N59" i="6"/>
  <c r="B63" i="6"/>
  <c r="AD63" i="5"/>
  <c r="J63" i="5"/>
  <c r="N63" i="5"/>
  <c r="D63" i="5"/>
  <c r="B63" i="12" s="1"/>
  <c r="A63" i="12"/>
  <c r="C64" i="5"/>
  <c r="AE63" i="5"/>
  <c r="K63" i="5"/>
  <c r="AJ58" i="6"/>
  <c r="BA58" i="6"/>
  <c r="AY58" i="6"/>
  <c r="BC58" i="6"/>
  <c r="BD58" i="6"/>
  <c r="AC58" i="6"/>
  <c r="AH58" i="6"/>
  <c r="AV58" i="6"/>
  <c r="AR58" i="6"/>
  <c r="AP58" i="6"/>
  <c r="AS58" i="6"/>
  <c r="AX58" i="6"/>
  <c r="AF58" i="6"/>
  <c r="AU58" i="6"/>
  <c r="BB58" i="6"/>
  <c r="AQ58" i="6"/>
  <c r="BE58" i="6"/>
  <c r="AE58" i="6"/>
  <c r="AN58" i="6"/>
  <c r="AZ58" i="6"/>
  <c r="BF58" i="6"/>
  <c r="AK58" i="6"/>
  <c r="AG58" i="6"/>
  <c r="AD58" i="6"/>
  <c r="AO58" i="6"/>
  <c r="AI58" i="6"/>
  <c r="AM58" i="6"/>
  <c r="BG58" i="6"/>
  <c r="BC59" i="6"/>
  <c r="BD59" i="6"/>
  <c r="AO59" i="6"/>
  <c r="L61" i="12" a="1"/>
  <c r="L61" i="12" s="1"/>
  <c r="J61" i="12" a="1"/>
  <c r="J61" i="12" s="1"/>
  <c r="AX59" i="6"/>
  <c r="AH59" i="6"/>
  <c r="AJ59" i="6"/>
  <c r="AD59" i="6"/>
  <c r="AE59" i="6"/>
  <c r="BF59" i="6"/>
  <c r="AQ59" i="6"/>
  <c r="AS59" i="6"/>
  <c r="N62" i="5"/>
  <c r="E62" i="5"/>
  <c r="E63" i="5" s="1"/>
  <c r="D62" i="5"/>
  <c r="B62" i="12" s="1"/>
  <c r="AE62" i="5"/>
  <c r="K62" i="5"/>
  <c r="AD62" i="5"/>
  <c r="J62" i="5"/>
  <c r="B62" i="5"/>
  <c r="B63" i="5" s="1"/>
  <c r="H62" i="5"/>
  <c r="H63" i="5" s="1"/>
  <c r="A62" i="12"/>
  <c r="B62" i="6"/>
  <c r="F62" i="5"/>
  <c r="F63" i="5" s="1"/>
  <c r="G62" i="5"/>
  <c r="G63" i="5" s="1"/>
  <c r="AC59" i="6"/>
  <c r="AN59" i="6"/>
  <c r="AM59" i="6"/>
  <c r="AZ59" i="6"/>
  <c r="BB59" i="6"/>
  <c r="D61" i="6"/>
  <c r="AK59" i="6"/>
  <c r="AV59" i="6"/>
  <c r="AG59" i="6"/>
  <c r="H60" i="6"/>
  <c r="T60" i="5" s="1"/>
  <c r="AT59" i="6"/>
  <c r="BE59" i="6"/>
  <c r="AP59" i="6"/>
  <c r="AI59" i="6"/>
  <c r="G59" i="12"/>
  <c r="AY59" i="6"/>
  <c r="AR59" i="6"/>
  <c r="AU59" i="6"/>
  <c r="AF59" i="6"/>
  <c r="BG59" i="6"/>
  <c r="A15" i="10"/>
  <c r="C65" i="5" l="1"/>
  <c r="C66" i="5" s="1"/>
  <c r="N60" i="6"/>
  <c r="A61" i="6"/>
  <c r="M61" i="6" s="1"/>
  <c r="BG61" i="6" s="1"/>
  <c r="AD64" i="5"/>
  <c r="J64" i="5"/>
  <c r="B64" i="5"/>
  <c r="H64" i="5"/>
  <c r="F64" i="5"/>
  <c r="G64" i="5"/>
  <c r="N64" i="5"/>
  <c r="E64" i="5"/>
  <c r="D64" i="5"/>
  <c r="B64" i="12" s="1"/>
  <c r="A64" i="12"/>
  <c r="B64" i="6"/>
  <c r="AE64" i="5"/>
  <c r="K64" i="5"/>
  <c r="L63" i="12" a="1"/>
  <c r="L63" i="12" s="1"/>
  <c r="J63" i="12" a="1"/>
  <c r="J63" i="12" s="1"/>
  <c r="D63" i="6"/>
  <c r="AF60" i="6"/>
  <c r="AS60" i="6"/>
  <c r="BD60" i="6"/>
  <c r="K61" i="12"/>
  <c r="AM60" i="6"/>
  <c r="AC60" i="6"/>
  <c r="AY60" i="6"/>
  <c r="AR60" i="6"/>
  <c r="AJ60" i="6"/>
  <c r="AU60" i="6"/>
  <c r="G60" i="12"/>
  <c r="BG60" i="6"/>
  <c r="D62" i="6"/>
  <c r="BB60" i="6"/>
  <c r="AO60" i="6"/>
  <c r="AH60" i="6"/>
  <c r="AK60" i="6"/>
  <c r="AE60" i="6"/>
  <c r="AX60" i="6"/>
  <c r="AQ60" i="6"/>
  <c r="AT60" i="6"/>
  <c r="AN60" i="6"/>
  <c r="BF60" i="6"/>
  <c r="AZ60" i="6"/>
  <c r="L62" i="12" a="1"/>
  <c r="L62" i="12" s="1"/>
  <c r="J62" i="12" a="1"/>
  <c r="J62" i="12" s="1"/>
  <c r="BC60" i="6"/>
  <c r="AV60" i="6"/>
  <c r="AG60" i="6"/>
  <c r="H61" i="6"/>
  <c r="T61" i="5" s="1"/>
  <c r="AD60" i="6"/>
  <c r="BE60" i="6"/>
  <c r="AP60" i="6"/>
  <c r="AI60" i="6"/>
  <c r="H14" i="6"/>
  <c r="N61" i="6" l="1"/>
  <c r="A62" i="6"/>
  <c r="M62" i="6" s="1"/>
  <c r="BF62" i="6" s="1"/>
  <c r="K66" i="5"/>
  <c r="AE66" i="5"/>
  <c r="N66" i="5"/>
  <c r="D66" i="5"/>
  <c r="B66" i="12" s="1"/>
  <c r="A66" i="12"/>
  <c r="B66" i="6"/>
  <c r="AD66" i="5"/>
  <c r="J66" i="5"/>
  <c r="H65" i="5"/>
  <c r="H66" i="5" s="1"/>
  <c r="G65" i="5"/>
  <c r="G66" i="5" s="1"/>
  <c r="F65" i="5"/>
  <c r="F66" i="5" s="1"/>
  <c r="N65" i="5"/>
  <c r="E65" i="5"/>
  <c r="E66" i="5" s="1"/>
  <c r="D65" i="5"/>
  <c r="B65" i="12" s="1"/>
  <c r="A65" i="12"/>
  <c r="B65" i="6"/>
  <c r="AD65" i="5"/>
  <c r="J65" i="5"/>
  <c r="B65" i="5"/>
  <c r="B66" i="5" s="1"/>
  <c r="AE65" i="5"/>
  <c r="K65" i="5"/>
  <c r="C67" i="5"/>
  <c r="K63" i="12"/>
  <c r="D64" i="6"/>
  <c r="H63" i="6"/>
  <c r="T63" i="5" s="1"/>
  <c r="L64" i="12" a="1"/>
  <c r="L64" i="12" s="1"/>
  <c r="J64" i="12" a="1"/>
  <c r="J64" i="12" s="1"/>
  <c r="AK61" i="6"/>
  <c r="K62" i="12"/>
  <c r="AT61" i="6"/>
  <c r="AO61" i="6"/>
  <c r="BC61" i="6"/>
  <c r="AE61" i="6"/>
  <c r="AX61" i="6"/>
  <c r="AQ61" i="6"/>
  <c r="BB61" i="6"/>
  <c r="AI61" i="6"/>
  <c r="AS61" i="6"/>
  <c r="AN61" i="6"/>
  <c r="BF61" i="6"/>
  <c r="AZ61" i="6"/>
  <c r="AF61" i="6"/>
  <c r="AH61" i="6"/>
  <c r="AR61" i="6"/>
  <c r="AD61" i="6"/>
  <c r="AV61" i="6"/>
  <c r="AG61" i="6"/>
  <c r="BA61" i="6"/>
  <c r="AM61" i="6"/>
  <c r="BE61" i="6"/>
  <c r="AP61" i="6"/>
  <c r="AU61" i="6"/>
  <c r="AJ61" i="6"/>
  <c r="AY61" i="6"/>
  <c r="H62" i="6"/>
  <c r="T62" i="5" s="1"/>
  <c r="AC61" i="6"/>
  <c r="BD61" i="6"/>
  <c r="G61" i="12"/>
  <c r="M1" i="6"/>
  <c r="A63" i="6" l="1"/>
  <c r="N63" i="6" s="1"/>
  <c r="N62" i="6"/>
  <c r="F67" i="5"/>
  <c r="D66" i="6"/>
  <c r="L66" i="12" a="1"/>
  <c r="L66" i="12" s="1"/>
  <c r="J66" i="12" a="1"/>
  <c r="J66" i="12" s="1"/>
  <c r="H67" i="5"/>
  <c r="B67" i="5"/>
  <c r="AE67" i="5"/>
  <c r="N67" i="5"/>
  <c r="D67" i="6" s="1"/>
  <c r="H67" i="6" s="1"/>
  <c r="T67" i="5" s="1"/>
  <c r="B67" i="6"/>
  <c r="D67" i="5"/>
  <c r="B67" i="12" s="1"/>
  <c r="AD67" i="5"/>
  <c r="A67" i="12"/>
  <c r="J67" i="5"/>
  <c r="K67" i="5"/>
  <c r="C68" i="5"/>
  <c r="L65" i="12" a="1"/>
  <c r="L65" i="12" s="1"/>
  <c r="J65" i="12" a="1"/>
  <c r="J65" i="12" s="1"/>
  <c r="G67" i="5"/>
  <c r="E67" i="5"/>
  <c r="D65" i="6"/>
  <c r="K64" i="12"/>
  <c r="M63" i="6"/>
  <c r="BB63" i="6" s="1"/>
  <c r="H64" i="6"/>
  <c r="T64" i="5" s="1"/>
  <c r="G63" i="12"/>
  <c r="AN62" i="6"/>
  <c r="AM62" i="6"/>
  <c r="BG62" i="6"/>
  <c r="AR62" i="6"/>
  <c r="AT62" i="6"/>
  <c r="AG62" i="6"/>
  <c r="BA62" i="6"/>
  <c r="BC62" i="6"/>
  <c r="AV62" i="6"/>
  <c r="AP62" i="6"/>
  <c r="AD62" i="6"/>
  <c r="BE62" i="6"/>
  <c r="AY62" i="6"/>
  <c r="G62" i="12"/>
  <c r="AJ62" i="6"/>
  <c r="AQ62" i="6"/>
  <c r="AS62" i="6"/>
  <c r="AU62" i="6"/>
  <c r="AF62" i="6"/>
  <c r="AH62" i="6"/>
  <c r="AZ62" i="6"/>
  <c r="BB62" i="6"/>
  <c r="BD62" i="6"/>
  <c r="AO62" i="6"/>
  <c r="AC62" i="6"/>
  <c r="AX62" i="6"/>
  <c r="AI62" i="6"/>
  <c r="AK62" i="6"/>
  <c r="AE62" i="6"/>
  <c r="J16" i="6"/>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A64" i="6" l="1"/>
  <c r="A65" i="6" s="1"/>
  <c r="F68" i="5"/>
  <c r="K65" i="12"/>
  <c r="K66" i="12"/>
  <c r="H66" i="6"/>
  <c r="H65" i="6"/>
  <c r="C69" i="5"/>
  <c r="C70" i="5" s="1"/>
  <c r="D68" i="5"/>
  <c r="B68" i="12" s="1"/>
  <c r="J68" i="5"/>
  <c r="A68" i="12"/>
  <c r="B68" i="5"/>
  <c r="B68" i="6"/>
  <c r="H68" i="5"/>
  <c r="K68" i="5"/>
  <c r="G68" i="5"/>
  <c r="AE68" i="5"/>
  <c r="N68" i="5"/>
  <c r="D68" i="6" s="1"/>
  <c r="H68" i="6" s="1"/>
  <c r="AD68" i="5"/>
  <c r="E68" i="5"/>
  <c r="L67" i="12" a="1"/>
  <c r="L67" i="12" s="1"/>
  <c r="J67" i="12" a="1"/>
  <c r="J67" i="12" s="1"/>
  <c r="G67" i="12"/>
  <c r="AG63" i="6"/>
  <c r="AJ63" i="6"/>
  <c r="BF63" i="6"/>
  <c r="AI63" i="6"/>
  <c r="AO63" i="6"/>
  <c r="AY63" i="6"/>
  <c r="AM63" i="6"/>
  <c r="AV63" i="6"/>
  <c r="BC63" i="6"/>
  <c r="AE63" i="6"/>
  <c r="BD63" i="6"/>
  <c r="BA63" i="6"/>
  <c r="AK63" i="6"/>
  <c r="BG63" i="6"/>
  <c r="AS63" i="6"/>
  <c r="AU63" i="6"/>
  <c r="BE63" i="6"/>
  <c r="AN63" i="6"/>
  <c r="AQ63" i="6"/>
  <c r="AD63" i="6"/>
  <c r="AT63" i="6"/>
  <c r="AX63" i="6"/>
  <c r="AR63" i="6"/>
  <c r="AC63" i="6"/>
  <c r="AF63" i="6"/>
  <c r="AP63" i="6"/>
  <c r="AZ63" i="6"/>
  <c r="AH63" i="6"/>
  <c r="G64" i="12"/>
  <c r="I10" i="7"/>
  <c r="K13" i="7"/>
  <c r="L13" i="7" s="1"/>
  <c r="J10" i="7"/>
  <c r="N64" i="6" l="1"/>
  <c r="M64" i="6"/>
  <c r="AO64" i="6" s="1"/>
  <c r="F69" i="5"/>
  <c r="F70" i="5" s="1"/>
  <c r="G69" i="5"/>
  <c r="G70" i="5" s="1"/>
  <c r="C71" i="5"/>
  <c r="AE70" i="5"/>
  <c r="K70" i="5"/>
  <c r="B70" i="6"/>
  <c r="AD70" i="5"/>
  <c r="J70" i="5"/>
  <c r="N70" i="5"/>
  <c r="A70" i="12"/>
  <c r="D70" i="5"/>
  <c r="B70" i="12" s="1"/>
  <c r="E69" i="5"/>
  <c r="E70" i="5" s="1"/>
  <c r="H69" i="5"/>
  <c r="H70" i="5" s="1"/>
  <c r="B69" i="5"/>
  <c r="B70" i="5" s="1"/>
  <c r="M65" i="6"/>
  <c r="AY65" i="6" s="1"/>
  <c r="A66" i="6"/>
  <c r="A67" i="6" s="1"/>
  <c r="T66" i="5"/>
  <c r="L68" i="12" a="1"/>
  <c r="L68" i="12" s="1"/>
  <c r="J68" i="12" a="1"/>
  <c r="J68" i="12" s="1"/>
  <c r="K67" i="12"/>
  <c r="A69" i="12"/>
  <c r="AD69" i="5"/>
  <c r="AE69" i="5"/>
  <c r="K69" i="5"/>
  <c r="B69" i="6"/>
  <c r="J69" i="5"/>
  <c r="N69" i="5"/>
  <c r="D69" i="6" s="1"/>
  <c r="D69" i="5"/>
  <c r="B69" i="12" s="1"/>
  <c r="N65" i="6"/>
  <c r="T65" i="5"/>
  <c r="AE64" i="6"/>
  <c r="AJ64" i="6"/>
  <c r="T68" i="5"/>
  <c r="M13" i="7"/>
  <c r="L10" i="7"/>
  <c r="BA64" i="6" l="1"/>
  <c r="AZ64" i="6"/>
  <c r="BE64" i="6"/>
  <c r="AQ64" i="6"/>
  <c r="AK64" i="6"/>
  <c r="AP64" i="6"/>
  <c r="BB64" i="6"/>
  <c r="AC64" i="6"/>
  <c r="AU64" i="6"/>
  <c r="AT64" i="6"/>
  <c r="AD64" i="6"/>
  <c r="AY64" i="6"/>
  <c r="BG64" i="6"/>
  <c r="BD64" i="6"/>
  <c r="AG64" i="6"/>
  <c r="AV64" i="6"/>
  <c r="AF64" i="6"/>
  <c r="AX64" i="6"/>
  <c r="AI64" i="6"/>
  <c r="BF64" i="6"/>
  <c r="AM64" i="6"/>
  <c r="AH64" i="6"/>
  <c r="AN64" i="6"/>
  <c r="AS64" i="6"/>
  <c r="AR64" i="6"/>
  <c r="BC64" i="6"/>
  <c r="AC65" i="6"/>
  <c r="L70" i="12" a="1"/>
  <c r="L70" i="12" s="1"/>
  <c r="J70" i="12" a="1"/>
  <c r="J70" i="12" s="1"/>
  <c r="B71" i="6"/>
  <c r="C72" i="5"/>
  <c r="C73" i="5" s="1"/>
  <c r="C74" i="5" s="1"/>
  <c r="AE71" i="5"/>
  <c r="K71" i="5"/>
  <c r="AD71" i="5"/>
  <c r="J71" i="5"/>
  <c r="B71" i="5"/>
  <c r="H71" i="5"/>
  <c r="G71" i="5"/>
  <c r="N71" i="5"/>
  <c r="E71" i="5"/>
  <c r="F71" i="5"/>
  <c r="A71" i="12"/>
  <c r="D71" i="5"/>
  <c r="B71" i="12" s="1"/>
  <c r="D70" i="6"/>
  <c r="K68" i="12"/>
  <c r="BF65" i="6"/>
  <c r="AV65" i="6"/>
  <c r="AK65" i="6"/>
  <c r="BE65" i="6"/>
  <c r="AF65" i="6"/>
  <c r="AJ65" i="6"/>
  <c r="AU65" i="6"/>
  <c r="AI65" i="6"/>
  <c r="AH65" i="6"/>
  <c r="BB65" i="6"/>
  <c r="AO65" i="6"/>
  <c r="BD65" i="6"/>
  <c r="AE65" i="6"/>
  <c r="AT65" i="6"/>
  <c r="BA65" i="6"/>
  <c r="AZ65" i="6"/>
  <c r="AX65" i="6"/>
  <c r="AS65" i="6"/>
  <c r="BG65" i="6"/>
  <c r="BC65" i="6"/>
  <c r="AR65" i="6"/>
  <c r="AD65" i="6"/>
  <c r="AG65" i="6"/>
  <c r="AN65" i="6"/>
  <c r="AP65" i="6"/>
  <c r="G66" i="12"/>
  <c r="M66" i="6"/>
  <c r="N66" i="6"/>
  <c r="AQ65" i="6"/>
  <c r="AM65" i="6"/>
  <c r="G65" i="12"/>
  <c r="N67" i="6"/>
  <c r="M67" i="6"/>
  <c r="A68" i="6"/>
  <c r="L69" i="12" a="1"/>
  <c r="L69" i="12" s="1"/>
  <c r="J69" i="12" a="1"/>
  <c r="J69" i="12" s="1"/>
  <c r="H69" i="6"/>
  <c r="T69" i="5" s="1"/>
  <c r="G69" i="12" s="1"/>
  <c r="G68" i="12"/>
  <c r="N13" i="7"/>
  <c r="M10" i="7"/>
  <c r="C75" i="5" l="1"/>
  <c r="AE74" i="5"/>
  <c r="K74" i="5"/>
  <c r="B74" i="6"/>
  <c r="AD74" i="5"/>
  <c r="J74" i="5"/>
  <c r="A74" i="12"/>
  <c r="D74" i="5"/>
  <c r="B74" i="12" s="1"/>
  <c r="N74" i="5"/>
  <c r="J73" i="5"/>
  <c r="N73" i="5"/>
  <c r="A73" i="12"/>
  <c r="D73" i="5"/>
  <c r="B73" i="12" s="1"/>
  <c r="B73" i="6"/>
  <c r="AE73" i="5"/>
  <c r="K73" i="5"/>
  <c r="AD73" i="5"/>
  <c r="K70" i="12"/>
  <c r="K69" i="12"/>
  <c r="AE72" i="5"/>
  <c r="K72" i="5"/>
  <c r="AD72" i="5"/>
  <c r="J72" i="5"/>
  <c r="B72" i="5"/>
  <c r="B73" i="5" s="1"/>
  <c r="B74" i="5" s="1"/>
  <c r="N72" i="5"/>
  <c r="H72" i="5"/>
  <c r="H73" i="5" s="1"/>
  <c r="H74" i="5" s="1"/>
  <c r="G72" i="5"/>
  <c r="G73" i="5" s="1"/>
  <c r="G74" i="5" s="1"/>
  <c r="F72" i="5"/>
  <c r="A72" i="12"/>
  <c r="B72" i="6"/>
  <c r="D72" i="5"/>
  <c r="B72" i="12" s="1"/>
  <c r="E72" i="5"/>
  <c r="E73" i="5" s="1"/>
  <c r="E74" i="5" s="1"/>
  <c r="H70" i="6"/>
  <c r="D71" i="6"/>
  <c r="L71" i="12" a="1"/>
  <c r="L71" i="12" s="1"/>
  <c r="J71" i="12" a="1"/>
  <c r="J71" i="12" s="1"/>
  <c r="BG66" i="6"/>
  <c r="BA66" i="6"/>
  <c r="AY66" i="6"/>
  <c r="BD66" i="6"/>
  <c r="BB66" i="6"/>
  <c r="AP66" i="6"/>
  <c r="AR66" i="6"/>
  <c r="AU66" i="6"/>
  <c r="AS66" i="6"/>
  <c r="BE66" i="6"/>
  <c r="AM66" i="6"/>
  <c r="AV66" i="6"/>
  <c r="BF66" i="6"/>
  <c r="AN66" i="6"/>
  <c r="BC66" i="6"/>
  <c r="AZ66" i="6"/>
  <c r="AX66" i="6"/>
  <c r="AT66" i="6"/>
  <c r="AQ66" i="6"/>
  <c r="AO66" i="6"/>
  <c r="AG66" i="6"/>
  <c r="AJ66" i="6"/>
  <c r="AC66" i="6"/>
  <c r="AH66" i="6"/>
  <c r="AF66" i="6"/>
  <c r="AK66" i="6"/>
  <c r="AE66" i="6"/>
  <c r="AD66" i="6"/>
  <c r="AI66" i="6"/>
  <c r="AI67" i="6"/>
  <c r="BF67" i="6"/>
  <c r="BG67" i="6"/>
  <c r="BA67" i="6"/>
  <c r="AF67" i="6"/>
  <c r="AM67" i="6"/>
  <c r="AJ67" i="6"/>
  <c r="AR67" i="6"/>
  <c r="AK67" i="6"/>
  <c r="AQ67" i="6"/>
  <c r="AN67" i="6"/>
  <c r="AX67" i="6"/>
  <c r="AG67" i="6"/>
  <c r="BC67" i="6"/>
  <c r="AE67" i="6"/>
  <c r="AT67" i="6"/>
  <c r="AO67" i="6"/>
  <c r="AY67" i="6"/>
  <c r="AS67" i="6"/>
  <c r="AC67" i="6"/>
  <c r="AH67" i="6"/>
  <c r="BD67" i="6"/>
  <c r="BE67" i="6"/>
  <c r="AD67" i="6"/>
  <c r="BB67" i="6"/>
  <c r="AP67" i="6"/>
  <c r="AU67" i="6"/>
  <c r="AV67" i="6"/>
  <c r="AZ67" i="6"/>
  <c r="N68" i="6"/>
  <c r="A69" i="6"/>
  <c r="A70" i="6" s="1"/>
  <c r="N70" i="6" s="1"/>
  <c r="M68" i="6"/>
  <c r="O13" i="7"/>
  <c r="N10" i="7"/>
  <c r="D74" i="6" l="1"/>
  <c r="L74" i="12" a="1"/>
  <c r="L74" i="12" s="1"/>
  <c r="J74" i="12" a="1"/>
  <c r="J74" i="12" s="1"/>
  <c r="B75" i="6"/>
  <c r="C76" i="5"/>
  <c r="C77" i="5" s="1"/>
  <c r="C78" i="5" s="1"/>
  <c r="AE75" i="5"/>
  <c r="K75" i="5"/>
  <c r="AD75" i="5"/>
  <c r="J75" i="5"/>
  <c r="B75" i="5"/>
  <c r="A75" i="12"/>
  <c r="D75" i="5"/>
  <c r="B75" i="12" s="1"/>
  <c r="H75" i="5"/>
  <c r="G75" i="5"/>
  <c r="N75" i="5"/>
  <c r="E75" i="5"/>
  <c r="L73" i="12" a="1"/>
  <c r="L73" i="12" s="1"/>
  <c r="J73" i="12" a="1"/>
  <c r="J73" i="12" s="1"/>
  <c r="D73" i="6"/>
  <c r="F73" i="5"/>
  <c r="K71" i="12"/>
  <c r="M70" i="6"/>
  <c r="AD70" i="6" s="1"/>
  <c r="A71" i="6"/>
  <c r="M71" i="6" s="1"/>
  <c r="H71" i="6"/>
  <c r="J72" i="12" a="1"/>
  <c r="J72" i="12" s="1"/>
  <c r="L72" i="12" a="1"/>
  <c r="L72" i="12" s="1"/>
  <c r="T70" i="5"/>
  <c r="D72" i="6"/>
  <c r="AK68" i="6"/>
  <c r="AU68" i="6"/>
  <c r="AY68" i="6"/>
  <c r="AR68" i="6"/>
  <c r="AG68" i="6"/>
  <c r="BG68" i="6"/>
  <c r="AI68" i="6"/>
  <c r="AS68" i="6"/>
  <c r="BE68" i="6"/>
  <c r="AO68" i="6"/>
  <c r="BC68" i="6"/>
  <c r="BF68" i="6"/>
  <c r="AQ68" i="6"/>
  <c r="AP68" i="6"/>
  <c r="AX68" i="6"/>
  <c r="AV68" i="6"/>
  <c r="AC68" i="6"/>
  <c r="BD68" i="6"/>
  <c r="AM68" i="6"/>
  <c r="BA68" i="6"/>
  <c r="AD68" i="6"/>
  <c r="AF68" i="6"/>
  <c r="BB68" i="6"/>
  <c r="AJ68" i="6"/>
  <c r="AN68" i="6"/>
  <c r="AE68" i="6"/>
  <c r="AZ68" i="6"/>
  <c r="AH68" i="6"/>
  <c r="AT68" i="6"/>
  <c r="N69" i="6"/>
  <c r="M69" i="6"/>
  <c r="P13" i="7"/>
  <c r="O10" i="7"/>
  <c r="B78" i="6" l="1"/>
  <c r="AD78" i="5"/>
  <c r="J78" i="5"/>
  <c r="A78" i="12"/>
  <c r="AE78" i="5"/>
  <c r="K78" i="5"/>
  <c r="N78" i="5"/>
  <c r="C79" i="5"/>
  <c r="C80" i="5" s="1"/>
  <c r="D78" i="5"/>
  <c r="B78" i="12" s="1"/>
  <c r="B77" i="6"/>
  <c r="N77" i="5"/>
  <c r="A77" i="12"/>
  <c r="D77" i="5"/>
  <c r="B77" i="12" s="1"/>
  <c r="J77" i="5"/>
  <c r="AE77" i="5"/>
  <c r="K77" i="5"/>
  <c r="AD77" i="5"/>
  <c r="K74" i="12"/>
  <c r="A72" i="6"/>
  <c r="A73" i="6" s="1"/>
  <c r="A74" i="6" s="1"/>
  <c r="N74" i="6" s="1"/>
  <c r="F74" i="5"/>
  <c r="D75" i="6"/>
  <c r="L75" i="12" a="1"/>
  <c r="L75" i="12" s="1"/>
  <c r="J75" i="12" a="1"/>
  <c r="J75" i="12" s="1"/>
  <c r="AE76" i="5"/>
  <c r="K76" i="5"/>
  <c r="AD76" i="5"/>
  <c r="J76" i="5"/>
  <c r="B76" i="5"/>
  <c r="B77" i="5" s="1"/>
  <c r="B78" i="5" s="1"/>
  <c r="D76" i="5"/>
  <c r="B76" i="12" s="1"/>
  <c r="B76" i="6"/>
  <c r="H76" i="5"/>
  <c r="H77" i="5" s="1"/>
  <c r="H78" i="5" s="1"/>
  <c r="A76" i="12"/>
  <c r="G76" i="5"/>
  <c r="G77" i="5" s="1"/>
  <c r="G78" i="5" s="1"/>
  <c r="N76" i="5"/>
  <c r="E76" i="5"/>
  <c r="E77" i="5" s="1"/>
  <c r="E78" i="5" s="1"/>
  <c r="H74" i="6"/>
  <c r="K73" i="12"/>
  <c r="N71" i="6"/>
  <c r="H73" i="6"/>
  <c r="AI70" i="6"/>
  <c r="AG70" i="6"/>
  <c r="K72" i="12"/>
  <c r="AD71" i="6"/>
  <c r="AZ71" i="6"/>
  <c r="BF71" i="6"/>
  <c r="AQ71" i="6"/>
  <c r="AX71" i="6"/>
  <c r="AO71" i="6"/>
  <c r="BD71" i="6"/>
  <c r="BB71" i="6"/>
  <c r="AU71" i="6"/>
  <c r="AS71" i="6"/>
  <c r="BG71" i="6"/>
  <c r="AM71" i="6"/>
  <c r="AY71" i="6"/>
  <c r="BE71" i="6"/>
  <c r="BA71" i="6"/>
  <c r="AP71" i="6"/>
  <c r="AV71" i="6"/>
  <c r="BC71" i="6"/>
  <c r="AR71" i="6"/>
  <c r="AN71" i="6"/>
  <c r="AT71" i="6"/>
  <c r="AI71" i="6"/>
  <c r="AG71" i="6"/>
  <c r="AH70" i="6"/>
  <c r="G70" i="12"/>
  <c r="T71" i="5"/>
  <c r="BA70" i="6"/>
  <c r="BG70" i="6"/>
  <c r="AU70" i="6"/>
  <c r="AJ70" i="6"/>
  <c r="AR70" i="6"/>
  <c r="AY70" i="6"/>
  <c r="AM70" i="6"/>
  <c r="AP70" i="6"/>
  <c r="BE70" i="6"/>
  <c r="AV70" i="6"/>
  <c r="BC70" i="6"/>
  <c r="AZ70" i="6"/>
  <c r="BF70" i="6"/>
  <c r="AN70" i="6"/>
  <c r="AT70" i="6"/>
  <c r="AQ70" i="6"/>
  <c r="AX70" i="6"/>
  <c r="AE70" i="6"/>
  <c r="AK70" i="6"/>
  <c r="AO70" i="6"/>
  <c r="BB70" i="6"/>
  <c r="BD70" i="6"/>
  <c r="AS70" i="6"/>
  <c r="AF71" i="6"/>
  <c r="AF70" i="6"/>
  <c r="AH71" i="6"/>
  <c r="H72" i="6"/>
  <c r="AJ71" i="6"/>
  <c r="AC71" i="6"/>
  <c r="AC70" i="6"/>
  <c r="AK71" i="6"/>
  <c r="AE71" i="6"/>
  <c r="AX69" i="6"/>
  <c r="BD69" i="6"/>
  <c r="AS69" i="6"/>
  <c r="AG69" i="6"/>
  <c r="AE69" i="6"/>
  <c r="AY69" i="6"/>
  <c r="AV69" i="6"/>
  <c r="AT69" i="6"/>
  <c r="AU69" i="6"/>
  <c r="AZ69" i="6"/>
  <c r="AI69" i="6"/>
  <c r="BA69" i="6"/>
  <c r="AQ69" i="6"/>
  <c r="BF69" i="6"/>
  <c r="AC69" i="6"/>
  <c r="AO69" i="6"/>
  <c r="AP69" i="6"/>
  <c r="AN69" i="6"/>
  <c r="AJ69" i="6"/>
  <c r="AF69" i="6"/>
  <c r="BB69" i="6"/>
  <c r="AK69" i="6"/>
  <c r="AM69" i="6"/>
  <c r="BC69" i="6"/>
  <c r="AH69" i="6"/>
  <c r="AR69" i="6"/>
  <c r="BG69" i="6"/>
  <c r="BE69" i="6"/>
  <c r="AD69" i="6"/>
  <c r="Q13" i="7"/>
  <c r="P10" i="7"/>
  <c r="B80" i="6" l="1"/>
  <c r="AD80" i="5"/>
  <c r="J80" i="5"/>
  <c r="D80" i="5"/>
  <c r="B80" i="12" s="1"/>
  <c r="A80" i="12"/>
  <c r="AE80" i="5"/>
  <c r="N80" i="5"/>
  <c r="C81" i="5"/>
  <c r="C82" i="5" s="1"/>
  <c r="C83" i="5" s="1"/>
  <c r="K80" i="5"/>
  <c r="AD79" i="5"/>
  <c r="J79" i="5"/>
  <c r="B79" i="5"/>
  <c r="B80" i="5" s="1"/>
  <c r="K79" i="5"/>
  <c r="H79" i="5"/>
  <c r="H80" i="5" s="1"/>
  <c r="G79" i="5"/>
  <c r="G80" i="5" s="1"/>
  <c r="A79" i="12"/>
  <c r="B79" i="6"/>
  <c r="N79" i="5"/>
  <c r="E79" i="5"/>
  <c r="E80" i="5" s="1"/>
  <c r="AE79" i="5"/>
  <c r="D79" i="5"/>
  <c r="B79" i="12" s="1"/>
  <c r="D78" i="6"/>
  <c r="L78" i="12" a="1"/>
  <c r="L78" i="12" s="1"/>
  <c r="J78" i="12" a="1"/>
  <c r="J78" i="12" s="1"/>
  <c r="N72" i="6"/>
  <c r="D77" i="6"/>
  <c r="M74" i="6"/>
  <c r="AQ74" i="6" s="1"/>
  <c r="L77" i="12" a="1"/>
  <c r="L77" i="12" s="1"/>
  <c r="J77" i="12" a="1"/>
  <c r="J77" i="12" s="1"/>
  <c r="A75" i="6"/>
  <c r="M75" i="6" s="1"/>
  <c r="M72" i="6"/>
  <c r="AO72" i="6" s="1"/>
  <c r="N73" i="6"/>
  <c r="M73" i="6"/>
  <c r="BE73" i="6" s="1"/>
  <c r="K75" i="12"/>
  <c r="D76" i="6"/>
  <c r="L76" i="12" a="1"/>
  <c r="L76" i="12" s="1"/>
  <c r="J76" i="12" a="1"/>
  <c r="J76" i="12" s="1"/>
  <c r="H75" i="6"/>
  <c r="T74" i="5"/>
  <c r="F75" i="5"/>
  <c r="T73" i="5"/>
  <c r="G71" i="12"/>
  <c r="T72" i="5"/>
  <c r="R13" i="7"/>
  <c r="Q10" i="7"/>
  <c r="W83" i="5" l="1"/>
  <c r="H83" i="12" s="1"/>
  <c r="N83" i="5"/>
  <c r="C84" i="5"/>
  <c r="C85" i="5" s="1"/>
  <c r="C86" i="5" s="1"/>
  <c r="K83" i="5"/>
  <c r="B83" i="6"/>
  <c r="D83" i="5"/>
  <c r="B83" i="12" s="1"/>
  <c r="A83" i="12"/>
  <c r="AE83" i="5"/>
  <c r="AD83" i="5"/>
  <c r="J83" i="5"/>
  <c r="B82" i="6"/>
  <c r="N82" i="5"/>
  <c r="AD82" i="5"/>
  <c r="AE82" i="5"/>
  <c r="K82" i="5"/>
  <c r="J82" i="5"/>
  <c r="D82" i="5"/>
  <c r="B82" i="12" s="1"/>
  <c r="A82" i="12"/>
  <c r="AD81" i="5"/>
  <c r="J81" i="5"/>
  <c r="B81" i="5"/>
  <c r="A81" i="12"/>
  <c r="H81" i="5"/>
  <c r="H82" i="5" s="1"/>
  <c r="H83" i="5" s="1"/>
  <c r="D81" i="5"/>
  <c r="B81" i="12" s="1"/>
  <c r="G81" i="5"/>
  <c r="G82" i="5" s="1"/>
  <c r="G83" i="5" s="1"/>
  <c r="N81" i="5"/>
  <c r="E81" i="5"/>
  <c r="E82" i="5" s="1"/>
  <c r="E83" i="5" s="1"/>
  <c r="B81" i="6"/>
  <c r="AE81" i="5"/>
  <c r="K81" i="5"/>
  <c r="D80" i="6"/>
  <c r="J80" i="12" a="1"/>
  <c r="J80" i="12" s="1"/>
  <c r="L80" i="12" a="1"/>
  <c r="L80" i="12" s="1"/>
  <c r="K78" i="12"/>
  <c r="L79" i="12" a="1"/>
  <c r="L79" i="12" s="1"/>
  <c r="J79" i="12" a="1"/>
  <c r="J79" i="12" s="1"/>
  <c r="H78" i="6"/>
  <c r="D79" i="6"/>
  <c r="BF74" i="6"/>
  <c r="AR74" i="6"/>
  <c r="AJ73" i="6"/>
  <c r="AR73" i="6"/>
  <c r="AI73" i="6"/>
  <c r="AQ73" i="6"/>
  <c r="AX73" i="6"/>
  <c r="A76" i="6"/>
  <c r="A77" i="6" s="1"/>
  <c r="N77" i="6" s="1"/>
  <c r="AF72" i="6"/>
  <c r="AU72" i="6"/>
  <c r="AZ72" i="6"/>
  <c r="AE72" i="6"/>
  <c r="AG74" i="6"/>
  <c r="AJ74" i="6"/>
  <c r="AE74" i="6"/>
  <c r="BD74" i="6"/>
  <c r="BC74" i="6"/>
  <c r="AX72" i="6"/>
  <c r="BG72" i="6"/>
  <c r="BA72" i="6"/>
  <c r="AS74" i="6"/>
  <c r="AY75" i="6"/>
  <c r="AN75" i="6"/>
  <c r="AK72" i="6"/>
  <c r="AN74" i="6"/>
  <c r="AO74" i="6"/>
  <c r="AC74" i="6"/>
  <c r="AD74" i="6"/>
  <c r="N75" i="6"/>
  <c r="AZ74" i="6"/>
  <c r="BC72" i="6"/>
  <c r="AN72" i="6"/>
  <c r="AF73" i="6"/>
  <c r="AH74" i="6"/>
  <c r="AK74" i="6"/>
  <c r="AI74" i="6"/>
  <c r="AV74" i="6"/>
  <c r="BG74" i="6"/>
  <c r="AY74" i="6"/>
  <c r="AX74" i="6"/>
  <c r="BD72" i="6"/>
  <c r="AJ72" i="6"/>
  <c r="AM72" i="6"/>
  <c r="BA74" i="6"/>
  <c r="AF74" i="6"/>
  <c r="BB72" i="6"/>
  <c r="AV72" i="6"/>
  <c r="BF72" i="6"/>
  <c r="BB74" i="6"/>
  <c r="AP72" i="6"/>
  <c r="AT72" i="6"/>
  <c r="AC73" i="6"/>
  <c r="AS72" i="6"/>
  <c r="BC73" i="6"/>
  <c r="BB73" i="6"/>
  <c r="AI72" i="6"/>
  <c r="BE72" i="6"/>
  <c r="AR72" i="6"/>
  <c r="AZ73" i="6"/>
  <c r="AS73" i="6"/>
  <c r="AU74" i="6"/>
  <c r="K77" i="12"/>
  <c r="AT74" i="6"/>
  <c r="H77" i="6"/>
  <c r="BE74" i="6"/>
  <c r="AP74" i="6"/>
  <c r="AM74" i="6"/>
  <c r="AT73" i="6"/>
  <c r="AY73" i="6"/>
  <c r="BA73" i="6"/>
  <c r="AD73" i="6"/>
  <c r="AO73" i="6"/>
  <c r="AU73" i="6"/>
  <c r="BF73" i="6"/>
  <c r="BG73" i="6"/>
  <c r="AP73" i="6"/>
  <c r="AJ75" i="6"/>
  <c r="AV73" i="6"/>
  <c r="AH72" i="6"/>
  <c r="AY72" i="6"/>
  <c r="AG72" i="6"/>
  <c r="AQ72" i="6"/>
  <c r="AN73" i="6"/>
  <c r="AK73" i="6"/>
  <c r="AH73" i="6"/>
  <c r="AC72" i="6"/>
  <c r="AD72" i="6"/>
  <c r="AG73" i="6"/>
  <c r="AE73" i="6"/>
  <c r="BD73" i="6"/>
  <c r="AM73" i="6"/>
  <c r="AC75" i="6"/>
  <c r="AZ75" i="6"/>
  <c r="AK75" i="6"/>
  <c r="AO75" i="6"/>
  <c r="BC75" i="6"/>
  <c r="AX75" i="6"/>
  <c r="AI75" i="6"/>
  <c r="BD75" i="6"/>
  <c r="BA75" i="6"/>
  <c r="BG75" i="6"/>
  <c r="AV75" i="6"/>
  <c r="AQ75" i="6"/>
  <c r="K76" i="12"/>
  <c r="BB75" i="6"/>
  <c r="AM75" i="6"/>
  <c r="T75" i="5"/>
  <c r="AP75" i="6"/>
  <c r="AR75" i="6"/>
  <c r="AU75" i="6"/>
  <c r="AF75" i="6"/>
  <c r="H76" i="6"/>
  <c r="G74" i="12"/>
  <c r="AT75" i="6"/>
  <c r="AE75" i="6"/>
  <c r="BF75" i="6"/>
  <c r="AH75" i="6"/>
  <c r="F76" i="5"/>
  <c r="AS75" i="6"/>
  <c r="AD75" i="6"/>
  <c r="BE75" i="6"/>
  <c r="AG75" i="6"/>
  <c r="G73" i="12"/>
  <c r="G72" i="12"/>
  <c r="S13" i="7"/>
  <c r="R10" i="7"/>
  <c r="N86" i="5" l="1"/>
  <c r="D86" i="5"/>
  <c r="B86" i="12" s="1"/>
  <c r="AD86" i="5"/>
  <c r="W86" i="5"/>
  <c r="H86" i="12" s="1"/>
  <c r="J86" i="5"/>
  <c r="AE86" i="5"/>
  <c r="K86" i="5"/>
  <c r="A86" i="12"/>
  <c r="B86" i="6"/>
  <c r="N85" i="5"/>
  <c r="D85" i="5"/>
  <c r="B85" i="12" s="1"/>
  <c r="AE85" i="5"/>
  <c r="K85" i="5"/>
  <c r="A85" i="12"/>
  <c r="B85" i="6"/>
  <c r="AD85" i="5"/>
  <c r="W85" i="5"/>
  <c r="H85" i="12" s="1"/>
  <c r="J85" i="5"/>
  <c r="AD84" i="5"/>
  <c r="H84" i="5"/>
  <c r="H85" i="5" s="1"/>
  <c r="H86" i="5" s="1"/>
  <c r="G84" i="5"/>
  <c r="G85" i="5" s="1"/>
  <c r="G86" i="5" s="1"/>
  <c r="N84" i="5"/>
  <c r="E84" i="5"/>
  <c r="E85" i="5" s="1"/>
  <c r="E86" i="5" s="1"/>
  <c r="AE84" i="5"/>
  <c r="K84" i="5"/>
  <c r="D84" i="5"/>
  <c r="B84" i="12" s="1"/>
  <c r="A84" i="12"/>
  <c r="B84" i="6"/>
  <c r="W84" i="5"/>
  <c r="H84" i="12" s="1"/>
  <c r="J84" i="5"/>
  <c r="D83" i="6"/>
  <c r="L83" i="12" a="1"/>
  <c r="L83" i="12" s="1"/>
  <c r="J83" i="12" a="1"/>
  <c r="J83" i="12" s="1"/>
  <c r="D82" i="6"/>
  <c r="L82" i="12" a="1"/>
  <c r="L82" i="12" s="1"/>
  <c r="J82" i="12" a="1"/>
  <c r="J82" i="12" s="1"/>
  <c r="B82" i="5"/>
  <c r="B83" i="5" s="1"/>
  <c r="B84" i="5" s="1"/>
  <c r="B85" i="5" s="1"/>
  <c r="B86" i="5" s="1"/>
  <c r="N76" i="6"/>
  <c r="E87" i="12"/>
  <c r="F87" i="6"/>
  <c r="M76" i="6"/>
  <c r="AN76" i="6" s="1"/>
  <c r="L81" i="12" a="1"/>
  <c r="L81" i="12" s="1"/>
  <c r="J81" i="12" a="1"/>
  <c r="J81" i="12" s="1"/>
  <c r="D81" i="6"/>
  <c r="K80" i="12"/>
  <c r="H80" i="6"/>
  <c r="M77" i="6"/>
  <c r="AX77" i="6" s="1"/>
  <c r="A78" i="6"/>
  <c r="T78" i="5"/>
  <c r="K79" i="12"/>
  <c r="H79" i="6"/>
  <c r="T77" i="5"/>
  <c r="F77" i="5"/>
  <c r="G75" i="12"/>
  <c r="T76" i="5"/>
  <c r="T13" i="7"/>
  <c r="S10" i="7"/>
  <c r="L86" i="12" l="1" a="1"/>
  <c r="L86" i="12" s="1"/>
  <c r="J86" i="12" a="1"/>
  <c r="J86" i="12" s="1"/>
  <c r="D86" i="6"/>
  <c r="D85" i="6"/>
  <c r="C87" i="5"/>
  <c r="A87" i="12" s="1"/>
  <c r="L85" i="12" a="1"/>
  <c r="L85" i="12" s="1"/>
  <c r="J85" i="12" a="1"/>
  <c r="J85" i="12" s="1"/>
  <c r="K83" i="12"/>
  <c r="D84" i="6"/>
  <c r="H83" i="6"/>
  <c r="L84" i="12" a="1"/>
  <c r="L84" i="12" s="1"/>
  <c r="J84" i="12" a="1"/>
  <c r="J84" i="12" s="1"/>
  <c r="K82" i="12"/>
  <c r="H82" i="6"/>
  <c r="AI76" i="6"/>
  <c r="AD76" i="6"/>
  <c r="BE76" i="6"/>
  <c r="AQ76" i="6"/>
  <c r="AH76" i="6"/>
  <c r="AR76" i="6"/>
  <c r="AF76" i="6"/>
  <c r="BG76" i="6"/>
  <c r="AY76" i="6"/>
  <c r="AV76" i="6"/>
  <c r="BC76" i="6"/>
  <c r="AU76" i="6"/>
  <c r="AG76" i="6"/>
  <c r="AP76" i="6"/>
  <c r="AO76" i="6"/>
  <c r="AM76" i="6"/>
  <c r="AX76" i="6"/>
  <c r="BF76" i="6"/>
  <c r="AS76" i="6"/>
  <c r="AK76" i="6"/>
  <c r="AZ76" i="6"/>
  <c r="AJ76" i="6"/>
  <c r="BA76" i="6"/>
  <c r="AT76" i="6"/>
  <c r="AC76" i="6"/>
  <c r="BB76" i="6"/>
  <c r="AE76" i="6"/>
  <c r="BD76" i="6"/>
  <c r="K81" i="12"/>
  <c r="H81" i="6"/>
  <c r="T80" i="5"/>
  <c r="AR77" i="6"/>
  <c r="BG77" i="6"/>
  <c r="AP77" i="6"/>
  <c r="BF77" i="6"/>
  <c r="BA77" i="6"/>
  <c r="AG77" i="6"/>
  <c r="AY77" i="6"/>
  <c r="AO77" i="6"/>
  <c r="AH77" i="6"/>
  <c r="AT77" i="6"/>
  <c r="AJ77" i="6"/>
  <c r="AI77" i="6"/>
  <c r="AN77" i="6"/>
  <c r="AF77" i="6"/>
  <c r="BE77" i="6"/>
  <c r="AQ77" i="6"/>
  <c r="AE77" i="6"/>
  <c r="AZ77" i="6"/>
  <c r="AM77" i="6"/>
  <c r="BC77" i="6"/>
  <c r="AK77" i="6"/>
  <c r="AS77" i="6"/>
  <c r="AC77" i="6"/>
  <c r="AV77" i="6"/>
  <c r="BB77" i="6"/>
  <c r="AU77" i="6"/>
  <c r="G78" i="12"/>
  <c r="T79" i="5"/>
  <c r="M78" i="6"/>
  <c r="N78" i="6"/>
  <c r="A79" i="6"/>
  <c r="A80" i="6" s="1"/>
  <c r="F78" i="5"/>
  <c r="AD77" i="6"/>
  <c r="BD77" i="6"/>
  <c r="G77" i="12"/>
  <c r="G76" i="12"/>
  <c r="U13" i="7"/>
  <c r="T10" i="7"/>
  <c r="AF87" i="5"/>
  <c r="K86" i="12" l="1"/>
  <c r="B87" i="6"/>
  <c r="G87" i="5"/>
  <c r="AE87" i="5"/>
  <c r="H87" i="5"/>
  <c r="E87" i="5"/>
  <c r="N87" i="5"/>
  <c r="D87" i="6" s="1"/>
  <c r="H87" i="6" s="1"/>
  <c r="T87" i="5" s="1"/>
  <c r="H86" i="6"/>
  <c r="C88" i="5"/>
  <c r="K88" i="5" s="1"/>
  <c r="AD87" i="5"/>
  <c r="W87" i="5"/>
  <c r="H87" i="12" s="1"/>
  <c r="B87" i="5"/>
  <c r="K85" i="12"/>
  <c r="AG87" i="5"/>
  <c r="AN87" i="5" s="1"/>
  <c r="S87" i="5"/>
  <c r="F87" i="12" s="1"/>
  <c r="H85" i="6"/>
  <c r="K84" i="12"/>
  <c r="H84" i="6"/>
  <c r="T83" i="5"/>
  <c r="AD88" i="5"/>
  <c r="B88" i="6"/>
  <c r="AE88" i="5"/>
  <c r="A88" i="12"/>
  <c r="D88" i="5"/>
  <c r="B88" i="12" s="1"/>
  <c r="N88" i="5"/>
  <c r="D88" i="6" s="1"/>
  <c r="H88" i="6" s="1"/>
  <c r="G88" i="5"/>
  <c r="T82" i="5"/>
  <c r="G80" i="12"/>
  <c r="T81" i="5"/>
  <c r="A81" i="6"/>
  <c r="N80" i="6"/>
  <c r="M80" i="6"/>
  <c r="M79" i="6"/>
  <c r="N79" i="6"/>
  <c r="G79" i="12"/>
  <c r="AO78" i="6"/>
  <c r="BG78" i="6"/>
  <c r="AY78" i="6"/>
  <c r="BD78" i="6"/>
  <c r="AI78" i="6"/>
  <c r="AP78" i="6"/>
  <c r="BA78" i="6"/>
  <c r="AU78" i="6"/>
  <c r="BB78" i="6"/>
  <c r="AM78" i="6"/>
  <c r="AS78" i="6"/>
  <c r="AZ78" i="6"/>
  <c r="AR78" i="6"/>
  <c r="BE78" i="6"/>
  <c r="AQ78" i="6"/>
  <c r="BF78" i="6"/>
  <c r="AV78" i="6"/>
  <c r="BC78" i="6"/>
  <c r="AX78" i="6"/>
  <c r="AN78" i="6"/>
  <c r="AT78" i="6"/>
  <c r="AG78" i="6"/>
  <c r="AH78" i="6"/>
  <c r="AC78" i="6"/>
  <c r="AF78" i="6"/>
  <c r="AJ78" i="6"/>
  <c r="AD78" i="6"/>
  <c r="AK78" i="6"/>
  <c r="AE78" i="6"/>
  <c r="F79" i="5"/>
  <c r="V13" i="7"/>
  <c r="U10" i="7"/>
  <c r="K11" i="10"/>
  <c r="K10" i="7"/>
  <c r="J88" i="5" l="1"/>
  <c r="E88" i="5"/>
  <c r="G87" i="6"/>
  <c r="C89" i="5"/>
  <c r="K89" i="5" s="1"/>
  <c r="H88" i="5"/>
  <c r="B88" i="5"/>
  <c r="T86" i="5"/>
  <c r="T85" i="5"/>
  <c r="T84" i="5"/>
  <c r="G83" i="12"/>
  <c r="G82" i="12"/>
  <c r="L88" i="12" a="1"/>
  <c r="L88" i="12" s="1"/>
  <c r="J88" i="12" a="1"/>
  <c r="J88" i="12" s="1"/>
  <c r="A87" i="6"/>
  <c r="A88" i="6" s="1"/>
  <c r="A82" i="6"/>
  <c r="A83" i="6" s="1"/>
  <c r="T88" i="5"/>
  <c r="G87" i="12"/>
  <c r="N87" i="6"/>
  <c r="M87" i="6"/>
  <c r="G81" i="12"/>
  <c r="BG80" i="6"/>
  <c r="AJ80" i="6"/>
  <c r="AK80" i="6"/>
  <c r="AY80" i="6"/>
  <c r="BE80" i="6"/>
  <c r="AC80" i="6"/>
  <c r="AP80" i="6"/>
  <c r="AV80" i="6"/>
  <c r="BD80" i="6"/>
  <c r="BA80" i="6"/>
  <c r="AN80" i="6"/>
  <c r="AU80" i="6"/>
  <c r="AR80" i="6"/>
  <c r="AZ80" i="6"/>
  <c r="BF80" i="6"/>
  <c r="AM80" i="6"/>
  <c r="AQ80" i="6"/>
  <c r="AX80" i="6"/>
  <c r="AD80" i="6"/>
  <c r="AO80" i="6"/>
  <c r="BB80" i="6"/>
  <c r="BC80" i="6"/>
  <c r="AS80" i="6"/>
  <c r="AT80" i="6"/>
  <c r="AG80" i="6"/>
  <c r="AF80" i="6"/>
  <c r="AH80" i="6"/>
  <c r="AI80" i="6"/>
  <c r="AE80" i="6"/>
  <c r="F80" i="5"/>
  <c r="F81" i="5" s="1"/>
  <c r="M81" i="6"/>
  <c r="N81" i="6"/>
  <c r="AZ79" i="6"/>
  <c r="AN79" i="6"/>
  <c r="BC79" i="6"/>
  <c r="BF79" i="6"/>
  <c r="AT79" i="6"/>
  <c r="AQ79" i="6"/>
  <c r="AX79" i="6"/>
  <c r="AK79" i="6"/>
  <c r="BA79" i="6"/>
  <c r="AO79" i="6"/>
  <c r="AR79" i="6"/>
  <c r="BG79" i="6"/>
  <c r="BD79" i="6"/>
  <c r="AY79" i="6"/>
  <c r="AU79" i="6"/>
  <c r="BB79" i="6"/>
  <c r="AP79" i="6"/>
  <c r="BE79" i="6"/>
  <c r="AM79" i="6"/>
  <c r="AS79" i="6"/>
  <c r="AV79" i="6"/>
  <c r="AG79" i="6"/>
  <c r="AI79" i="6"/>
  <c r="AH79" i="6"/>
  <c r="AE79" i="6"/>
  <c r="AJ79" i="6"/>
  <c r="AF79" i="6"/>
  <c r="AD79" i="6"/>
  <c r="AC79" i="6"/>
  <c r="W13" i="7"/>
  <c r="V10" i="7"/>
  <c r="T14" i="5"/>
  <c r="D89" i="5" l="1"/>
  <c r="B89" i="12" s="1"/>
  <c r="B89" i="6"/>
  <c r="AE89" i="5"/>
  <c r="E89" i="5"/>
  <c r="J89" i="5"/>
  <c r="A89" i="12"/>
  <c r="J89" i="12" s="1" a="1"/>
  <c r="J89" i="12" s="1"/>
  <c r="B89" i="5"/>
  <c r="C90" i="5"/>
  <c r="AD90" i="5" s="1"/>
  <c r="G89" i="5"/>
  <c r="H89" i="5"/>
  <c r="N89" i="5"/>
  <c r="D89" i="6" s="1"/>
  <c r="H89" i="6" s="1"/>
  <c r="T89" i="5" s="1"/>
  <c r="AD89" i="5"/>
  <c r="G86" i="12"/>
  <c r="G85" i="12"/>
  <c r="M83" i="6"/>
  <c r="A84" i="6"/>
  <c r="A85" i="6" s="1"/>
  <c r="A86" i="6" s="1"/>
  <c r="N83" i="6"/>
  <c r="G84" i="12"/>
  <c r="K88" i="12"/>
  <c r="F82" i="5"/>
  <c r="N82" i="6"/>
  <c r="M82" i="6"/>
  <c r="N88" i="6"/>
  <c r="AU87" i="6"/>
  <c r="BA87" i="6"/>
  <c r="AM87" i="6"/>
  <c r="BE87" i="6"/>
  <c r="AP87" i="6"/>
  <c r="BG87" i="6"/>
  <c r="AR87" i="6"/>
  <c r="BB87" i="6"/>
  <c r="AV87" i="6"/>
  <c r="AZ87" i="6"/>
  <c r="AS87" i="6"/>
  <c r="AO87" i="6"/>
  <c r="BF87" i="6"/>
  <c r="BC87" i="6"/>
  <c r="AT87" i="6"/>
  <c r="AQ87" i="6"/>
  <c r="AY87" i="6"/>
  <c r="BD87" i="6"/>
  <c r="AX87" i="6"/>
  <c r="AN87" i="6"/>
  <c r="AG87" i="6"/>
  <c r="AJ87" i="6"/>
  <c r="AD87" i="6"/>
  <c r="AF87" i="6"/>
  <c r="AE87" i="6"/>
  <c r="AK87" i="6"/>
  <c r="AH87" i="6"/>
  <c r="AI87" i="6"/>
  <c r="AB87" i="6"/>
  <c r="AC87" i="6"/>
  <c r="G88" i="12"/>
  <c r="BF81" i="6"/>
  <c r="AT81" i="6"/>
  <c r="BA81" i="6"/>
  <c r="AX81" i="6"/>
  <c r="AK81" i="6"/>
  <c r="AZ81" i="6"/>
  <c r="AO81" i="6"/>
  <c r="BD81" i="6"/>
  <c r="AQ81" i="6"/>
  <c r="BG81" i="6"/>
  <c r="AU81" i="6"/>
  <c r="AR81" i="6"/>
  <c r="AY81" i="6"/>
  <c r="AM81" i="6"/>
  <c r="BB81" i="6"/>
  <c r="AP81" i="6"/>
  <c r="BE81" i="6"/>
  <c r="AS81" i="6"/>
  <c r="AV81" i="6"/>
  <c r="AN81" i="6"/>
  <c r="BC81" i="6"/>
  <c r="AD81" i="6"/>
  <c r="AH81" i="6"/>
  <c r="AF81" i="6"/>
  <c r="AC81" i="6"/>
  <c r="AJ81" i="6"/>
  <c r="AI81" i="6"/>
  <c r="AG81" i="6"/>
  <c r="AE81" i="6"/>
  <c r="X13" i="7"/>
  <c r="W10" i="7"/>
  <c r="G14" i="12"/>
  <c r="L89" i="12" l="1" a="1"/>
  <c r="L89" i="12" s="1"/>
  <c r="K89" i="12" s="1"/>
  <c r="A89" i="6"/>
  <c r="G90" i="5"/>
  <c r="N90" i="5"/>
  <c r="D90" i="6" s="1"/>
  <c r="H90" i="6" s="1"/>
  <c r="D90" i="5"/>
  <c r="B90" i="12" s="1"/>
  <c r="AE90" i="5"/>
  <c r="J90" i="5"/>
  <c r="B90" i="5"/>
  <c r="C91" i="5"/>
  <c r="J91" i="5" s="1"/>
  <c r="A90" i="12"/>
  <c r="L90" i="12" s="1" a="1"/>
  <c r="L90" i="12" s="1"/>
  <c r="E90" i="5"/>
  <c r="B90" i="6"/>
  <c r="K90" i="5"/>
  <c r="H90" i="5"/>
  <c r="N86" i="6"/>
  <c r="M86" i="6"/>
  <c r="M85" i="6"/>
  <c r="N85" i="6"/>
  <c r="F83" i="5"/>
  <c r="F84" i="5" s="1"/>
  <c r="N84" i="6"/>
  <c r="M84" i="6"/>
  <c r="AU83" i="6"/>
  <c r="AS83" i="6"/>
  <c r="BG83" i="6"/>
  <c r="AM83" i="6"/>
  <c r="AJ83" i="6"/>
  <c r="AY83" i="6"/>
  <c r="BE83" i="6"/>
  <c r="AP83" i="6"/>
  <c r="AV83" i="6"/>
  <c r="BC83" i="6"/>
  <c r="BA83" i="6"/>
  <c r="AN83" i="6"/>
  <c r="AT83" i="6"/>
  <c r="AR83" i="6"/>
  <c r="AZ83" i="6"/>
  <c r="BF83" i="6"/>
  <c r="AQ83" i="6"/>
  <c r="AX83" i="6"/>
  <c r="AC83" i="6"/>
  <c r="AO83" i="6"/>
  <c r="BD83" i="6"/>
  <c r="BB83" i="6"/>
  <c r="AD83" i="6"/>
  <c r="AB83" i="6"/>
  <c r="AH83" i="6"/>
  <c r="AI83" i="6"/>
  <c r="AK83" i="6"/>
  <c r="AF83" i="6"/>
  <c r="AE83" i="6"/>
  <c r="AG83" i="6"/>
  <c r="J90" i="12" a="1"/>
  <c r="J90" i="12" s="1"/>
  <c r="K90" i="12" s="1"/>
  <c r="AT82" i="6"/>
  <c r="BD82" i="6"/>
  <c r="BC82" i="6"/>
  <c r="BB82" i="6"/>
  <c r="AS82" i="6"/>
  <c r="BA82" i="6"/>
  <c r="AN82" i="6"/>
  <c r="AZ82" i="6"/>
  <c r="AQ82" i="6"/>
  <c r="AM82" i="6"/>
  <c r="AH82" i="6"/>
  <c r="BG82" i="6"/>
  <c r="AJ82" i="6"/>
  <c r="AX82" i="6"/>
  <c r="BF82" i="6"/>
  <c r="AY82" i="6"/>
  <c r="BE82" i="6"/>
  <c r="AD82" i="6"/>
  <c r="AG82" i="6"/>
  <c r="AI82" i="6"/>
  <c r="AF82" i="6"/>
  <c r="AR82" i="6"/>
  <c r="AP82" i="6"/>
  <c r="AV82" i="6"/>
  <c r="AU82" i="6"/>
  <c r="AE82" i="6"/>
  <c r="AO82" i="6"/>
  <c r="AC82" i="6"/>
  <c r="AK82" i="6"/>
  <c r="T90" i="5"/>
  <c r="A90" i="6"/>
  <c r="N89" i="6"/>
  <c r="G89" i="12"/>
  <c r="Y13" i="7"/>
  <c r="X10" i="7"/>
  <c r="A8" i="9"/>
  <c r="B7" i="9" a="1"/>
  <c r="B7" i="9" s="1"/>
  <c r="G91" i="5" l="1"/>
  <c r="A91" i="12"/>
  <c r="L91" i="12" s="1" a="1"/>
  <c r="L91" i="12" s="1"/>
  <c r="E91" i="5"/>
  <c r="H91" i="5"/>
  <c r="AE91" i="5"/>
  <c r="AD91" i="5"/>
  <c r="B91" i="5"/>
  <c r="C92" i="5"/>
  <c r="B92" i="6" s="1"/>
  <c r="D91" i="5"/>
  <c r="B91" i="12" s="1"/>
  <c r="B91" i="6"/>
  <c r="N91" i="5"/>
  <c r="D91" i="6" s="1"/>
  <c r="H91" i="6" s="1"/>
  <c r="K91" i="5"/>
  <c r="AX86" i="6"/>
  <c r="BA86" i="6"/>
  <c r="AO86" i="6"/>
  <c r="BD86" i="6"/>
  <c r="BB86" i="6"/>
  <c r="AR86" i="6"/>
  <c r="AU86" i="6"/>
  <c r="AS86" i="6"/>
  <c r="AM86" i="6"/>
  <c r="AJ86" i="6"/>
  <c r="BE86" i="6"/>
  <c r="AZ86" i="6"/>
  <c r="AV86" i="6"/>
  <c r="BC86" i="6"/>
  <c r="AQ86" i="6"/>
  <c r="AY86" i="6"/>
  <c r="AN86" i="6"/>
  <c r="AT86" i="6"/>
  <c r="BG86" i="6"/>
  <c r="BF86" i="6"/>
  <c r="AP86" i="6"/>
  <c r="AD86" i="6"/>
  <c r="AI86" i="6"/>
  <c r="AG86" i="6"/>
  <c r="AF86" i="6"/>
  <c r="AK86" i="6"/>
  <c r="AC86" i="6"/>
  <c r="AE86" i="6"/>
  <c r="AH86" i="6"/>
  <c r="AB86" i="6"/>
  <c r="F85" i="5"/>
  <c r="BE85" i="6"/>
  <c r="AV85" i="6"/>
  <c r="BC85" i="6"/>
  <c r="BA85" i="6"/>
  <c r="BG85" i="6"/>
  <c r="AY85" i="6"/>
  <c r="AN85" i="6"/>
  <c r="AT85" i="6"/>
  <c r="AR85" i="6"/>
  <c r="AP85" i="6"/>
  <c r="BF85" i="6"/>
  <c r="AX85" i="6"/>
  <c r="AO85" i="6"/>
  <c r="BD85" i="6"/>
  <c r="BB85" i="6"/>
  <c r="AZ85" i="6"/>
  <c r="AU85" i="6"/>
  <c r="AS85" i="6"/>
  <c r="AQ85" i="6"/>
  <c r="AM85" i="6"/>
  <c r="AJ85" i="6"/>
  <c r="AH85" i="6"/>
  <c r="AB85" i="6"/>
  <c r="AD85" i="6"/>
  <c r="AF85" i="6"/>
  <c r="AC85" i="6"/>
  <c r="AG85" i="6"/>
  <c r="AI85" i="6"/>
  <c r="AK85" i="6"/>
  <c r="AE85" i="6"/>
  <c r="X83" i="5" a="1"/>
  <c r="X83" i="5" s="1"/>
  <c r="AM83" i="5" s="1"/>
  <c r="AP84" i="6"/>
  <c r="AV84" i="6"/>
  <c r="BC84" i="6"/>
  <c r="BA84" i="6"/>
  <c r="AN84" i="6"/>
  <c r="AT84" i="6"/>
  <c r="AR84" i="6"/>
  <c r="BF84" i="6"/>
  <c r="AX84" i="6"/>
  <c r="AO84" i="6"/>
  <c r="BD84" i="6"/>
  <c r="BB84" i="6"/>
  <c r="AZ84" i="6"/>
  <c r="AU84" i="6"/>
  <c r="AS84" i="6"/>
  <c r="AQ84" i="6"/>
  <c r="BG84" i="6"/>
  <c r="AM84" i="6"/>
  <c r="AJ84" i="6"/>
  <c r="AH84" i="6"/>
  <c r="AY84" i="6"/>
  <c r="BE84" i="6"/>
  <c r="AD84" i="6"/>
  <c r="AE84" i="6"/>
  <c r="AB84" i="6"/>
  <c r="AG84" i="6"/>
  <c r="AF84" i="6"/>
  <c r="AC84" i="6"/>
  <c r="AI84" i="6"/>
  <c r="AK84" i="6"/>
  <c r="J91" i="12" a="1"/>
  <c r="J91" i="12" s="1"/>
  <c r="K91" i="12" s="1"/>
  <c r="M88" i="6"/>
  <c r="G90" i="12"/>
  <c r="A91" i="6"/>
  <c r="N90" i="6"/>
  <c r="T91" i="5"/>
  <c r="Y10" i="7"/>
  <c r="D15" i="7"/>
  <c r="C16" i="7" s="1" a="1"/>
  <c r="C16" i="7" s="1"/>
  <c r="B15" i="10"/>
  <c r="B16" i="10" s="1"/>
  <c r="D92" i="5" l="1"/>
  <c r="B92" i="12" s="1"/>
  <c r="B92" i="5"/>
  <c r="J92" i="5"/>
  <c r="E92" i="5"/>
  <c r="G92" i="5"/>
  <c r="AE92" i="5"/>
  <c r="A92" i="12"/>
  <c r="J92" i="12" s="1" a="1"/>
  <c r="J92" i="12" s="1"/>
  <c r="H92" i="5"/>
  <c r="K92" i="5"/>
  <c r="C93" i="5"/>
  <c r="K93" i="5" s="1"/>
  <c r="AD92" i="5"/>
  <c r="N92" i="5"/>
  <c r="D92" i="6" s="1"/>
  <c r="H92" i="6" s="1"/>
  <c r="X86" i="5" a="1"/>
  <c r="X86" i="5" s="1"/>
  <c r="AM86" i="5" s="1"/>
  <c r="F86" i="5"/>
  <c r="F87" i="5" s="1"/>
  <c r="F88" i="5" s="1"/>
  <c r="F89" i="5" s="1"/>
  <c r="F90" i="5" s="1"/>
  <c r="F91" i="5" s="1"/>
  <c r="F92" i="5" s="1"/>
  <c r="X85" i="5" a="1"/>
  <c r="X85" i="5" s="1"/>
  <c r="I85" i="12" s="1"/>
  <c r="X84" i="5" a="1"/>
  <c r="X84" i="5" s="1"/>
  <c r="AM84" i="5" s="1"/>
  <c r="Z83" i="5"/>
  <c r="I83" i="12"/>
  <c r="C83" i="12" s="1"/>
  <c r="L83" i="5"/>
  <c r="AX88" i="6"/>
  <c r="AK88" i="6"/>
  <c r="AH88" i="6"/>
  <c r="BB88" i="6"/>
  <c r="AC88" i="6"/>
  <c r="BE88" i="6"/>
  <c r="AG88" i="6"/>
  <c r="AF88" i="6"/>
  <c r="BA88" i="6"/>
  <c r="AM88" i="6"/>
  <c r="AD88" i="6"/>
  <c r="AJ88" i="6"/>
  <c r="AY88" i="6"/>
  <c r="AT88" i="6"/>
  <c r="BF88" i="6"/>
  <c r="M89" i="6"/>
  <c r="AR88" i="6"/>
  <c r="AS88" i="6"/>
  <c r="AP88" i="6"/>
  <c r="AV88" i="6"/>
  <c r="AZ88" i="6"/>
  <c r="BC88" i="6"/>
  <c r="BG88" i="6"/>
  <c r="AQ88" i="6"/>
  <c r="AO88" i="6"/>
  <c r="AE88" i="6"/>
  <c r="AN88" i="6"/>
  <c r="AU88" i="6"/>
  <c r="BD88" i="6"/>
  <c r="AI88" i="6"/>
  <c r="M90" i="6"/>
  <c r="AZ90" i="6" s="1"/>
  <c r="M91" i="6"/>
  <c r="N91" i="6"/>
  <c r="A92" i="6"/>
  <c r="G91" i="12"/>
  <c r="T92" i="5"/>
  <c r="C17" i="7" a="1"/>
  <c r="C17" i="7" s="1"/>
  <c r="B16" i="7"/>
  <c r="B17" i="10"/>
  <c r="B15" i="7"/>
  <c r="C15" i="9"/>
  <c r="F15" i="9" s="1"/>
  <c r="C15" i="10"/>
  <c r="A15" i="7"/>
  <c r="L92" i="12" l="1" a="1"/>
  <c r="L92" i="12" s="1"/>
  <c r="K92" i="12" s="1"/>
  <c r="AE93" i="5"/>
  <c r="F93" i="5"/>
  <c r="J93" i="5"/>
  <c r="H93" i="5"/>
  <c r="B93" i="6"/>
  <c r="G93" i="5"/>
  <c r="A93" i="12"/>
  <c r="D93" i="5"/>
  <c r="B93" i="12" s="1"/>
  <c r="E93" i="5"/>
  <c r="B93" i="5"/>
  <c r="N93" i="5"/>
  <c r="D93" i="6" s="1"/>
  <c r="H93" i="6" s="1"/>
  <c r="C94" i="5"/>
  <c r="AD94" i="5" s="1"/>
  <c r="AD93" i="5"/>
  <c r="C83" i="6"/>
  <c r="Z86" i="5"/>
  <c r="AB86" i="5" s="1"/>
  <c r="O83" i="12"/>
  <c r="I86" i="12"/>
  <c r="C86" i="12" s="1"/>
  <c r="AO83" i="12"/>
  <c r="L86" i="5"/>
  <c r="C86" i="6" s="1"/>
  <c r="L85" i="5"/>
  <c r="M83" i="12"/>
  <c r="AM85" i="5"/>
  <c r="Z85" i="5"/>
  <c r="AB85" i="5" s="1"/>
  <c r="AB83" i="5"/>
  <c r="C85" i="12"/>
  <c r="M85" i="12"/>
  <c r="O85" i="12"/>
  <c r="AO85" i="12"/>
  <c r="Z84" i="5"/>
  <c r="L84" i="5"/>
  <c r="I84" i="12"/>
  <c r="C84" i="12" s="1"/>
  <c r="AY90" i="6"/>
  <c r="BA90" i="6"/>
  <c r="AX90" i="6"/>
  <c r="AQ90" i="6"/>
  <c r="AV90" i="6"/>
  <c r="AP90" i="6"/>
  <c r="AS90" i="6"/>
  <c r="AE90" i="6"/>
  <c r="BE90" i="6"/>
  <c r="AN90" i="6"/>
  <c r="BB90" i="6"/>
  <c r="BC90" i="6"/>
  <c r="AT90" i="6"/>
  <c r="AK90" i="6"/>
  <c r="AM90" i="6"/>
  <c r="AO90" i="6"/>
  <c r="AR90" i="6"/>
  <c r="AH90" i="6"/>
  <c r="AG90" i="6"/>
  <c r="BD90" i="6"/>
  <c r="AD90" i="6"/>
  <c r="AI90" i="6"/>
  <c r="AU90" i="6"/>
  <c r="AC90" i="6"/>
  <c r="BG90" i="6"/>
  <c r="BF90" i="6"/>
  <c r="AF90" i="6"/>
  <c r="AJ90" i="6"/>
  <c r="AG89" i="6"/>
  <c r="AY89" i="6"/>
  <c r="BG89" i="6"/>
  <c r="AP89" i="6"/>
  <c r="AJ89" i="6"/>
  <c r="AU89" i="6"/>
  <c r="AS89" i="6"/>
  <c r="AK89" i="6"/>
  <c r="AD89" i="6"/>
  <c r="BA89" i="6"/>
  <c r="AC89" i="6"/>
  <c r="AV89" i="6"/>
  <c r="BE89" i="6"/>
  <c r="AO89" i="6"/>
  <c r="BF89" i="6"/>
  <c r="AX89" i="6"/>
  <c r="AH89" i="6"/>
  <c r="AR89" i="6"/>
  <c r="AZ89" i="6"/>
  <c r="AF89" i="6"/>
  <c r="BB89" i="6"/>
  <c r="BC89" i="6"/>
  <c r="BD89" i="6"/>
  <c r="AT89" i="6"/>
  <c r="AN89" i="6"/>
  <c r="AM89" i="6"/>
  <c r="AI89" i="6"/>
  <c r="AE89" i="6"/>
  <c r="AQ89" i="6"/>
  <c r="AQ91" i="6"/>
  <c r="AX91" i="6"/>
  <c r="AV91" i="6"/>
  <c r="BE91" i="6"/>
  <c r="BD91" i="6"/>
  <c r="AH91" i="6"/>
  <c r="AO91" i="6"/>
  <c r="AE91" i="6"/>
  <c r="AN91" i="6"/>
  <c r="AF91" i="6"/>
  <c r="AU91" i="6"/>
  <c r="BA91" i="6"/>
  <c r="BG91" i="6"/>
  <c r="AD91" i="6"/>
  <c r="AM91" i="6"/>
  <c r="AR91" i="6"/>
  <c r="AY91" i="6"/>
  <c r="BC91" i="6"/>
  <c r="AT91" i="6"/>
  <c r="AI91" i="6"/>
  <c r="AP91" i="6"/>
  <c r="AK91" i="6"/>
  <c r="AC91" i="6"/>
  <c r="AG91" i="6"/>
  <c r="BB91" i="6"/>
  <c r="AS91" i="6"/>
  <c r="AZ91" i="6"/>
  <c r="BF91" i="6"/>
  <c r="AJ91" i="6"/>
  <c r="G92" i="12"/>
  <c r="T93" i="5"/>
  <c r="N92" i="6"/>
  <c r="A93" i="6"/>
  <c r="M92" i="6"/>
  <c r="K50" i="5"/>
  <c r="B18" i="10"/>
  <c r="B19" i="10" s="1"/>
  <c r="B17" i="7"/>
  <c r="C18" i="7" a="1"/>
  <c r="C18" i="7" s="1"/>
  <c r="C19" i="7" s="1" a="1"/>
  <c r="C19" i="7" s="1"/>
  <c r="D21" i="2"/>
  <c r="Y83" i="12" l="1"/>
  <c r="N83" i="12"/>
  <c r="F94" i="5"/>
  <c r="B94" i="5"/>
  <c r="H94" i="5"/>
  <c r="C95" i="5"/>
  <c r="K95" i="5" s="1"/>
  <c r="A94" i="12"/>
  <c r="K94" i="5"/>
  <c r="J94" i="5"/>
  <c r="AE94" i="5"/>
  <c r="E94" i="5"/>
  <c r="J93" i="12" a="1"/>
  <c r="J93" i="12" s="1"/>
  <c r="L93" i="12" a="1"/>
  <c r="L93" i="12" s="1"/>
  <c r="G94" i="5"/>
  <c r="N94" i="5"/>
  <c r="D94" i="6" s="1"/>
  <c r="H94" i="6" s="1"/>
  <c r="T94" i="5" s="1"/>
  <c r="D94" i="5"/>
  <c r="B94" i="12" s="1"/>
  <c r="B94" i="6"/>
  <c r="C85" i="6"/>
  <c r="O86" i="12"/>
  <c r="AO86" i="12"/>
  <c r="M86" i="12"/>
  <c r="C84" i="6"/>
  <c r="O84" i="12"/>
  <c r="M84" i="12"/>
  <c r="AO84" i="12"/>
  <c r="AB84" i="5"/>
  <c r="N85" i="12"/>
  <c r="Y85" i="12"/>
  <c r="X85" i="12" s="1"/>
  <c r="X83" i="12"/>
  <c r="W83" i="12"/>
  <c r="N93" i="6"/>
  <c r="M93" i="6"/>
  <c r="G93" i="12"/>
  <c r="BG92" i="6"/>
  <c r="AR92" i="6"/>
  <c r="BA92" i="6"/>
  <c r="AY92" i="6"/>
  <c r="BE92" i="6"/>
  <c r="AI92" i="6"/>
  <c r="AP92" i="6"/>
  <c r="AV92" i="6"/>
  <c r="BD92" i="6"/>
  <c r="AU92" i="6"/>
  <c r="AN92" i="6"/>
  <c r="AM92" i="6"/>
  <c r="AZ92" i="6"/>
  <c r="BF92" i="6"/>
  <c r="BC92" i="6"/>
  <c r="AT92" i="6"/>
  <c r="AQ92" i="6"/>
  <c r="AX92" i="6"/>
  <c r="AK92" i="6"/>
  <c r="AC92" i="6"/>
  <c r="AH92" i="6"/>
  <c r="AO92" i="6"/>
  <c r="AS92" i="6"/>
  <c r="BB92" i="6"/>
  <c r="AG92" i="6"/>
  <c r="AJ92" i="6"/>
  <c r="AF92" i="6"/>
  <c r="AE92" i="6"/>
  <c r="AD92" i="6"/>
  <c r="B19" i="7"/>
  <c r="C20" i="7" a="1"/>
  <c r="C20" i="7" s="1"/>
  <c r="B20" i="10"/>
  <c r="B21" i="10" s="1"/>
  <c r="B18" i="7"/>
  <c r="I15" i="12"/>
  <c r="M15" i="12"/>
  <c r="O15" i="12"/>
  <c r="D95" i="5" l="1"/>
  <c r="B95" i="12" s="1"/>
  <c r="A95" i="12"/>
  <c r="F95" i="5"/>
  <c r="E95" i="5"/>
  <c r="AD95" i="5"/>
  <c r="K93" i="12"/>
  <c r="C96" i="5"/>
  <c r="AD96" i="5" s="1"/>
  <c r="B95" i="6"/>
  <c r="A94" i="6"/>
  <c r="N95" i="5"/>
  <c r="D95" i="6" s="1"/>
  <c r="H95" i="6" s="1"/>
  <c r="T95" i="5" s="1"/>
  <c r="G95" i="5"/>
  <c r="B95" i="5"/>
  <c r="J95" i="5"/>
  <c r="AE95" i="5"/>
  <c r="H95" i="5"/>
  <c r="H96" i="5" s="1"/>
  <c r="L94" i="12" a="1"/>
  <c r="L94" i="12" s="1"/>
  <c r="J94" i="12" a="1"/>
  <c r="J94" i="12" s="1"/>
  <c r="Y86" i="12"/>
  <c r="W86" i="12" s="1"/>
  <c r="N86" i="12"/>
  <c r="Y84" i="12"/>
  <c r="W84" i="12" s="1"/>
  <c r="N84" i="12"/>
  <c r="X86" i="12"/>
  <c r="W85" i="12"/>
  <c r="V85" i="12" s="1"/>
  <c r="V83" i="12"/>
  <c r="U83" i="12"/>
  <c r="T83" i="12"/>
  <c r="B22" i="10"/>
  <c r="B20" i="7"/>
  <c r="C21" i="7" a="1"/>
  <c r="C21" i="7" s="1"/>
  <c r="AU93" i="6"/>
  <c r="BG93" i="6"/>
  <c r="AM93" i="6"/>
  <c r="AS93" i="6"/>
  <c r="BB93" i="6"/>
  <c r="AY93" i="6"/>
  <c r="BE93" i="6"/>
  <c r="AP93" i="6"/>
  <c r="AV93" i="6"/>
  <c r="BA93" i="6"/>
  <c r="AR93" i="6"/>
  <c r="AN93" i="6"/>
  <c r="BF93" i="6"/>
  <c r="AZ93" i="6"/>
  <c r="AQ93" i="6"/>
  <c r="AX93" i="6"/>
  <c r="AO93" i="6"/>
  <c r="BD93" i="6"/>
  <c r="AT93" i="6"/>
  <c r="BC93" i="6"/>
  <c r="AK93" i="6"/>
  <c r="AD93" i="6"/>
  <c r="AC93" i="6"/>
  <c r="AH93" i="6"/>
  <c r="AF93" i="6"/>
  <c r="AE93" i="6"/>
  <c r="AI93" i="6"/>
  <c r="AJ93" i="6"/>
  <c r="AG93" i="6"/>
  <c r="G94" i="12"/>
  <c r="M94" i="6"/>
  <c r="N94" i="6"/>
  <c r="J15" i="12"/>
  <c r="L15" i="12"/>
  <c r="N15" i="12"/>
  <c r="P10" i="12"/>
  <c r="O10" i="12" s="1"/>
  <c r="C97" i="5" l="1"/>
  <c r="B97" i="6" s="1"/>
  <c r="B96" i="6"/>
  <c r="K96" i="5"/>
  <c r="A96" i="12"/>
  <c r="J96" i="12" s="1" a="1"/>
  <c r="J96" i="12" s="1"/>
  <c r="G96" i="5"/>
  <c r="L95" i="12" a="1"/>
  <c r="L95" i="12" s="1"/>
  <c r="J95" i="12" a="1"/>
  <c r="J95" i="12" s="1"/>
  <c r="A95" i="6"/>
  <c r="B96" i="5"/>
  <c r="E96" i="5"/>
  <c r="N96" i="5"/>
  <c r="D96" i="6" s="1"/>
  <c r="H96" i="6" s="1"/>
  <c r="T96" i="5" s="1"/>
  <c r="AE97" i="5"/>
  <c r="A97" i="12"/>
  <c r="D96" i="5"/>
  <c r="B96" i="12" s="1"/>
  <c r="J96" i="5"/>
  <c r="AE96" i="5"/>
  <c r="AD97" i="5"/>
  <c r="K97" i="5"/>
  <c r="C98" i="5"/>
  <c r="N98" i="5" s="1"/>
  <c r="F96" i="5"/>
  <c r="F97" i="5" s="1"/>
  <c r="E97" i="5"/>
  <c r="J97" i="5"/>
  <c r="B97" i="5"/>
  <c r="G97" i="5"/>
  <c r="L96" i="12" a="1"/>
  <c r="L96" i="12" s="1"/>
  <c r="K96" i="12" s="1"/>
  <c r="X84" i="12"/>
  <c r="H97" i="5"/>
  <c r="H98" i="5" s="1"/>
  <c r="D97" i="5"/>
  <c r="B97" i="12" s="1"/>
  <c r="N97" i="5"/>
  <c r="K94" i="12"/>
  <c r="T85" i="12"/>
  <c r="U85" i="12"/>
  <c r="V86" i="12"/>
  <c r="U86" i="12"/>
  <c r="T86" i="12"/>
  <c r="V84" i="12"/>
  <c r="U84" i="12"/>
  <c r="T84" i="12"/>
  <c r="B21" i="7"/>
  <c r="C22" i="7" a="1"/>
  <c r="C22" i="7" s="1"/>
  <c r="B22" i="7" s="1"/>
  <c r="L97" i="12" a="1"/>
  <c r="L97" i="12" s="1"/>
  <c r="J97" i="12" a="1"/>
  <c r="J97" i="12" s="1"/>
  <c r="G98" i="5"/>
  <c r="D97" i="6"/>
  <c r="G95" i="12"/>
  <c r="N95" i="6"/>
  <c r="M95" i="6"/>
  <c r="AO94" i="6"/>
  <c r="BD94" i="6"/>
  <c r="AQ94" i="6"/>
  <c r="AZ94" i="6"/>
  <c r="AU94" i="6"/>
  <c r="BE94" i="6"/>
  <c r="AP94" i="6"/>
  <c r="AV94" i="6"/>
  <c r="BC94" i="6"/>
  <c r="BB94" i="6"/>
  <c r="AS94" i="6"/>
  <c r="AN94" i="6"/>
  <c r="AT94" i="6"/>
  <c r="BF94" i="6"/>
  <c r="BA94" i="6"/>
  <c r="AR94" i="6"/>
  <c r="AM94" i="6"/>
  <c r="BG94" i="6"/>
  <c r="AY94" i="6"/>
  <c r="AX94" i="6"/>
  <c r="AD94" i="6"/>
  <c r="AI94" i="6"/>
  <c r="AC94" i="6"/>
  <c r="AK94" i="6"/>
  <c r="AJ94" i="6"/>
  <c r="AE94" i="6"/>
  <c r="AG94" i="6"/>
  <c r="AH94" i="6"/>
  <c r="AF94" i="6"/>
  <c r="K15" i="12"/>
  <c r="F15" i="7" a="1"/>
  <c r="F15" i="7" s="1"/>
  <c r="K95" i="12" l="1"/>
  <c r="AD98" i="5"/>
  <c r="A96" i="6"/>
  <c r="A97" i="6" s="1"/>
  <c r="N97" i="6" s="1"/>
  <c r="K98" i="5"/>
  <c r="C99" i="5"/>
  <c r="K99" i="5" s="1"/>
  <c r="D98" i="5"/>
  <c r="B98" i="12" s="1"/>
  <c r="A98" i="12"/>
  <c r="J98" i="12" s="1" a="1"/>
  <c r="J98" i="12" s="1"/>
  <c r="B98" i="6"/>
  <c r="B98" i="5"/>
  <c r="E98" i="5"/>
  <c r="AE98" i="5"/>
  <c r="J98" i="5"/>
  <c r="F98" i="5"/>
  <c r="K97" i="12"/>
  <c r="H97" i="6"/>
  <c r="D98" i="6"/>
  <c r="AX95" i="6"/>
  <c r="BF95" i="6"/>
  <c r="AC95" i="6"/>
  <c r="AF95" i="6"/>
  <c r="AO95" i="6"/>
  <c r="BD95" i="6"/>
  <c r="BB95" i="6"/>
  <c r="AR95" i="6"/>
  <c r="AU95" i="6"/>
  <c r="AS95" i="6"/>
  <c r="BA95" i="6"/>
  <c r="AM95" i="6"/>
  <c r="AQ95" i="6"/>
  <c r="BE95" i="6"/>
  <c r="AZ95" i="6"/>
  <c r="AV95" i="6"/>
  <c r="BC95" i="6"/>
  <c r="AY95" i="6"/>
  <c r="BG95" i="6"/>
  <c r="AN95" i="6"/>
  <c r="AT95" i="6"/>
  <c r="AP95" i="6"/>
  <c r="AJ95" i="6"/>
  <c r="AG95" i="6"/>
  <c r="AH95" i="6"/>
  <c r="AD95" i="6"/>
  <c r="AI95" i="6"/>
  <c r="AK95" i="6"/>
  <c r="AE95" i="6"/>
  <c r="G96" i="12"/>
  <c r="N96" i="6"/>
  <c r="M96" i="6"/>
  <c r="J15" i="7"/>
  <c r="S15" i="7"/>
  <c r="L15" i="7"/>
  <c r="X15" i="7"/>
  <c r="R15" i="7"/>
  <c r="O15" i="7"/>
  <c r="Y15" i="7"/>
  <c r="M15" i="7"/>
  <c r="Q15" i="7"/>
  <c r="P15" i="7"/>
  <c r="V15" i="7"/>
  <c r="K15" i="7"/>
  <c r="U15" i="7"/>
  <c r="W15" i="7"/>
  <c r="T15" i="7"/>
  <c r="I15" i="7"/>
  <c r="N15" i="7"/>
  <c r="J99" i="5" l="1"/>
  <c r="A99" i="12"/>
  <c r="H99" i="5"/>
  <c r="C100" i="5"/>
  <c r="AE99" i="5"/>
  <c r="F99" i="5"/>
  <c r="B99" i="6"/>
  <c r="D99" i="5"/>
  <c r="B99" i="12" s="1"/>
  <c r="L98" i="12" a="1"/>
  <c r="L98" i="12" s="1"/>
  <c r="K98" i="12" s="1"/>
  <c r="B99" i="5"/>
  <c r="N99" i="5"/>
  <c r="D99" i="6" s="1"/>
  <c r="AD99" i="5"/>
  <c r="G99" i="5"/>
  <c r="G100" i="5" s="1"/>
  <c r="E99" i="5"/>
  <c r="A98" i="6"/>
  <c r="N98" i="6" s="1"/>
  <c r="M97" i="6"/>
  <c r="BC97" i="6" s="1"/>
  <c r="L99" i="12" a="1"/>
  <c r="L99" i="12" s="1"/>
  <c r="J99" i="12" a="1"/>
  <c r="J99" i="12" s="1"/>
  <c r="T97" i="5"/>
  <c r="H98" i="6"/>
  <c r="B100" i="6"/>
  <c r="F100" i="5"/>
  <c r="N100" i="5"/>
  <c r="E100" i="5"/>
  <c r="D100" i="5"/>
  <c r="B100" i="12" s="1"/>
  <c r="A100" i="12"/>
  <c r="C101" i="5"/>
  <c r="AE100" i="5"/>
  <c r="K100" i="5"/>
  <c r="AD100" i="5"/>
  <c r="J100" i="5"/>
  <c r="B100" i="5"/>
  <c r="H100" i="5"/>
  <c r="BE96" i="6"/>
  <c r="BC96" i="6"/>
  <c r="BA96" i="6"/>
  <c r="AN96" i="6"/>
  <c r="AV96" i="6"/>
  <c r="AT96" i="6"/>
  <c r="AR96" i="6"/>
  <c r="AZ96" i="6"/>
  <c r="AQ96" i="6"/>
  <c r="AH96" i="6"/>
  <c r="BD96" i="6"/>
  <c r="BB96" i="6"/>
  <c r="BF96" i="6"/>
  <c r="AY96" i="6"/>
  <c r="BG96" i="6"/>
  <c r="AU96" i="6"/>
  <c r="AS96" i="6"/>
  <c r="AO96" i="6"/>
  <c r="AG96" i="6"/>
  <c r="AP96" i="6"/>
  <c r="AM96" i="6"/>
  <c r="AX96" i="6"/>
  <c r="AD96" i="6"/>
  <c r="AJ96" i="6"/>
  <c r="AI96" i="6"/>
  <c r="AE96" i="6"/>
  <c r="AK96" i="6"/>
  <c r="AF96" i="6"/>
  <c r="AC96" i="6"/>
  <c r="H15" i="7"/>
  <c r="E15" i="7"/>
  <c r="A99" i="6" l="1"/>
  <c r="M99" i="6" s="1"/>
  <c r="BA99" i="6" s="1"/>
  <c r="M98" i="6"/>
  <c r="BA98" i="6" s="1"/>
  <c r="AT97" i="6"/>
  <c r="AV97" i="6"/>
  <c r="BF97" i="6"/>
  <c r="AG97" i="6"/>
  <c r="BD97" i="6"/>
  <c r="AI97" i="6"/>
  <c r="AS97" i="6"/>
  <c r="AY97" i="6"/>
  <c r="AP97" i="6"/>
  <c r="AD97" i="6"/>
  <c r="AK97" i="6"/>
  <c r="BB97" i="6"/>
  <c r="AC97" i="6"/>
  <c r="AF97" i="6"/>
  <c r="AM97" i="6"/>
  <c r="BG97" i="6"/>
  <c r="AN97" i="6"/>
  <c r="AR97" i="6"/>
  <c r="AQ97" i="6"/>
  <c r="BA97" i="6"/>
  <c r="AX97" i="6"/>
  <c r="AZ97" i="6"/>
  <c r="BE97" i="6"/>
  <c r="AU97" i="6"/>
  <c r="AH97" i="6"/>
  <c r="AJ97" i="6"/>
  <c r="AE97" i="6"/>
  <c r="AO97" i="6"/>
  <c r="K99" i="12"/>
  <c r="T98" i="5"/>
  <c r="B101" i="6"/>
  <c r="G101" i="5"/>
  <c r="A101" i="12"/>
  <c r="F101" i="5"/>
  <c r="N101" i="5"/>
  <c r="E101" i="5"/>
  <c r="D101" i="5"/>
  <c r="B101" i="12" s="1"/>
  <c r="C102" i="5"/>
  <c r="AE101" i="5"/>
  <c r="K101" i="5"/>
  <c r="AD101" i="5"/>
  <c r="J101" i="5"/>
  <c r="B101" i="5"/>
  <c r="H101" i="5"/>
  <c r="L100" i="12" a="1"/>
  <c r="L100" i="12" s="1"/>
  <c r="J100" i="12" a="1"/>
  <c r="J100" i="12" s="1"/>
  <c r="G97" i="12"/>
  <c r="H99" i="6"/>
  <c r="D100" i="6"/>
  <c r="J10" i="13"/>
  <c r="K32" i="10" a="1"/>
  <c r="A100" i="6" l="1"/>
  <c r="N99" i="6"/>
  <c r="AD98" i="6"/>
  <c r="BC98" i="6"/>
  <c r="AU98" i="6"/>
  <c r="AK98" i="6"/>
  <c r="AN98" i="6"/>
  <c r="BE98" i="6"/>
  <c r="AF98" i="6"/>
  <c r="AG98" i="6"/>
  <c r="AX98" i="6"/>
  <c r="BF98" i="6"/>
  <c r="AS98" i="6"/>
  <c r="AQ98" i="6"/>
  <c r="AV98" i="6"/>
  <c r="AY98" i="6"/>
  <c r="AC98" i="6"/>
  <c r="AH98" i="6"/>
  <c r="AZ98" i="6"/>
  <c r="AI98" i="6"/>
  <c r="AT98" i="6"/>
  <c r="AO98" i="6"/>
  <c r="AE98" i="6"/>
  <c r="BG98" i="6"/>
  <c r="BB98" i="6"/>
  <c r="AM98" i="6"/>
  <c r="BD98" i="6"/>
  <c r="AR98" i="6"/>
  <c r="AP98" i="6"/>
  <c r="AJ98" i="6"/>
  <c r="K100" i="12"/>
  <c r="AH99" i="6"/>
  <c r="AX99" i="6"/>
  <c r="AP99" i="6"/>
  <c r="BE99" i="6"/>
  <c r="N100" i="6"/>
  <c r="M100" i="6"/>
  <c r="AS100" i="6" s="1"/>
  <c r="H100" i="6"/>
  <c r="AN99" i="6"/>
  <c r="AF99" i="6"/>
  <c r="AJ99" i="6"/>
  <c r="AI99" i="6"/>
  <c r="BC99" i="6"/>
  <c r="AK99" i="6"/>
  <c r="AY99" i="6"/>
  <c r="AS99" i="6"/>
  <c r="AU99" i="6"/>
  <c r="AR99" i="6"/>
  <c r="G98" i="12"/>
  <c r="AV99" i="6"/>
  <c r="AD99" i="6"/>
  <c r="BD99" i="6"/>
  <c r="BF99" i="6"/>
  <c r="D101" i="6"/>
  <c r="A101" i="6" s="1"/>
  <c r="BG99" i="6"/>
  <c r="AO99" i="6"/>
  <c r="BB99" i="6"/>
  <c r="AG99" i="6"/>
  <c r="AM99" i="6"/>
  <c r="AE99" i="6"/>
  <c r="AT99" i="6"/>
  <c r="AQ99" i="6"/>
  <c r="AZ99" i="6"/>
  <c r="AC99" i="6"/>
  <c r="T99" i="5"/>
  <c r="B102" i="6"/>
  <c r="G102" i="5"/>
  <c r="F102" i="5"/>
  <c r="N102" i="5"/>
  <c r="E102" i="5"/>
  <c r="D102" i="5"/>
  <c r="B102" i="12" s="1"/>
  <c r="C103" i="5"/>
  <c r="AE102" i="5"/>
  <c r="K102" i="5"/>
  <c r="AD102" i="5"/>
  <c r="J102" i="5"/>
  <c r="B102" i="5"/>
  <c r="A102" i="12"/>
  <c r="H102" i="5"/>
  <c r="L101" i="12" a="1"/>
  <c r="L101" i="12" s="1"/>
  <c r="J101" i="12" a="1"/>
  <c r="J101" i="12" s="1"/>
  <c r="K32" i="10"/>
  <c r="A14" i="6"/>
  <c r="K101" i="12" l="1"/>
  <c r="AD100" i="6"/>
  <c r="D102" i="6"/>
  <c r="A102" i="6" s="1"/>
  <c r="AX100" i="6"/>
  <c r="T100" i="5"/>
  <c r="AV100" i="6"/>
  <c r="AZ100" i="6"/>
  <c r="BB100" i="6"/>
  <c r="AK100" i="6"/>
  <c r="AO100" i="6"/>
  <c r="AG100" i="6"/>
  <c r="L102" i="12" a="1"/>
  <c r="L102" i="12" s="1"/>
  <c r="J102" i="12" a="1"/>
  <c r="J102" i="12" s="1"/>
  <c r="G103" i="5"/>
  <c r="F103" i="5"/>
  <c r="B103" i="6"/>
  <c r="N103" i="5"/>
  <c r="E103" i="5"/>
  <c r="A103" i="12"/>
  <c r="D103" i="5"/>
  <c r="B103" i="12" s="1"/>
  <c r="C104" i="5"/>
  <c r="AE103" i="5"/>
  <c r="K103" i="5"/>
  <c r="AD103" i="5"/>
  <c r="J103" i="5"/>
  <c r="B103" i="5"/>
  <c r="H103" i="5"/>
  <c r="BC100" i="6"/>
  <c r="BF100" i="6"/>
  <c r="AP100" i="6"/>
  <c r="AI100" i="6"/>
  <c r="AM100" i="6"/>
  <c r="AC100" i="6"/>
  <c r="AY100" i="6"/>
  <c r="AR100" i="6"/>
  <c r="BD100" i="6"/>
  <c r="AT100" i="6"/>
  <c r="BG100" i="6"/>
  <c r="BA100" i="6"/>
  <c r="AN100" i="6"/>
  <c r="AU100" i="6"/>
  <c r="AH100" i="6"/>
  <c r="AJ100" i="6"/>
  <c r="G99" i="12"/>
  <c r="N101" i="6"/>
  <c r="M101" i="6"/>
  <c r="H101" i="6"/>
  <c r="AF100" i="6"/>
  <c r="BE100" i="6"/>
  <c r="AE100" i="6"/>
  <c r="AQ100" i="6"/>
  <c r="N14" i="6"/>
  <c r="M14" i="6"/>
  <c r="K102" i="12" l="1"/>
  <c r="AI101" i="6"/>
  <c r="AC101" i="6"/>
  <c r="AK101" i="6"/>
  <c r="BF101" i="6"/>
  <c r="AZ101" i="6"/>
  <c r="BE101" i="6"/>
  <c r="AF101" i="6"/>
  <c r="AX101" i="6"/>
  <c r="AT101" i="6"/>
  <c r="BC101" i="6"/>
  <c r="AG101" i="6"/>
  <c r="A104" i="12"/>
  <c r="G104" i="5"/>
  <c r="F104" i="5"/>
  <c r="N104" i="5"/>
  <c r="E104" i="5"/>
  <c r="D104" i="5"/>
  <c r="B104" i="12" s="1"/>
  <c r="AE104" i="5"/>
  <c r="K104" i="5"/>
  <c r="B104" i="6"/>
  <c r="AD104" i="5"/>
  <c r="J104" i="5"/>
  <c r="B104" i="5"/>
  <c r="H104" i="5"/>
  <c r="AD101" i="6"/>
  <c r="AM101" i="6"/>
  <c r="AP101" i="6"/>
  <c r="G100" i="12"/>
  <c r="AV101" i="6"/>
  <c r="AS101" i="6"/>
  <c r="AU101" i="6"/>
  <c r="BD101" i="6"/>
  <c r="AY101" i="6"/>
  <c r="AR101" i="6"/>
  <c r="L103" i="12" a="1"/>
  <c r="L103" i="12" s="1"/>
  <c r="J103" i="12" a="1"/>
  <c r="J103" i="12" s="1"/>
  <c r="AN101" i="6"/>
  <c r="AE101" i="6"/>
  <c r="T101" i="5"/>
  <c r="BG101" i="6"/>
  <c r="BA101" i="6"/>
  <c r="D103" i="6"/>
  <c r="A103" i="6" s="1"/>
  <c r="M102" i="6"/>
  <c r="AZ102" i="6" s="1"/>
  <c r="H102" i="6"/>
  <c r="N102" i="6"/>
  <c r="AJ101" i="6"/>
  <c r="AO101" i="6"/>
  <c r="AH101" i="6"/>
  <c r="BB101" i="6"/>
  <c r="AQ101" i="6"/>
  <c r="AM14" i="6"/>
  <c r="AN14" i="6"/>
  <c r="AR14" i="6"/>
  <c r="AO14" i="6"/>
  <c r="AP14" i="6"/>
  <c r="AT14" i="6"/>
  <c r="AS14" i="6"/>
  <c r="AV14" i="6"/>
  <c r="AU14" i="6"/>
  <c r="AQ14" i="6"/>
  <c r="BF14" i="6"/>
  <c r="AD14" i="6"/>
  <c r="AH14" i="6"/>
  <c r="AX14" i="6"/>
  <c r="AG14" i="6"/>
  <c r="AZ14" i="6"/>
  <c r="BB14" i="6"/>
  <c r="AB14" i="6"/>
  <c r="AY14" i="6"/>
  <c r="BE14" i="6"/>
  <c r="AC14" i="6"/>
  <c r="BD14" i="6"/>
  <c r="AE14" i="6"/>
  <c r="AI14" i="6"/>
  <c r="AJ14" i="6"/>
  <c r="AK14" i="6"/>
  <c r="BG14" i="6"/>
  <c r="BC14" i="6"/>
  <c r="AF14" i="6"/>
  <c r="BA14" i="6"/>
  <c r="F32" i="8" l="1"/>
  <c r="F33" i="8" s="1"/>
  <c r="F35" i="8"/>
  <c r="F36" i="8" s="1"/>
  <c r="AC102" i="6"/>
  <c r="BC102" i="6"/>
  <c r="AF102" i="6"/>
  <c r="AK102" i="6"/>
  <c r="AO102" i="6"/>
  <c r="AH102" i="6"/>
  <c r="AT102" i="6"/>
  <c r="AG102" i="6"/>
  <c r="AI102" i="6"/>
  <c r="AN102" i="6"/>
  <c r="BA102" i="6"/>
  <c r="AR102" i="6"/>
  <c r="AV102" i="6"/>
  <c r="AP102" i="6"/>
  <c r="H103" i="6"/>
  <c r="N103" i="6"/>
  <c r="M103" i="6"/>
  <c r="BG103" i="6" s="1"/>
  <c r="AJ102" i="6"/>
  <c r="BE102" i="6"/>
  <c r="AY102" i="6"/>
  <c r="G101" i="12"/>
  <c r="BB102" i="6"/>
  <c r="AS102" i="6"/>
  <c r="T102" i="5"/>
  <c r="BG102" i="6"/>
  <c r="D104" i="6"/>
  <c r="A104" i="6" s="1"/>
  <c r="L104" i="12" a="1"/>
  <c r="L104" i="12" s="1"/>
  <c r="J104" i="12" a="1"/>
  <c r="J104" i="12" s="1"/>
  <c r="AD102" i="6"/>
  <c r="AM102" i="6"/>
  <c r="AX102" i="6"/>
  <c r="AQ102" i="6"/>
  <c r="AU102" i="6"/>
  <c r="BD102" i="6"/>
  <c r="AE102" i="6"/>
  <c r="BF102" i="6"/>
  <c r="K103" i="12"/>
  <c r="X14" i="5" a="1"/>
  <c r="X14" i="5" s="1"/>
  <c r="M35" i="8" l="1"/>
  <c r="N35" i="8" s="1"/>
  <c r="J35" i="8"/>
  <c r="M32" i="8"/>
  <c r="Q32" i="8" s="1"/>
  <c r="J32" i="8"/>
  <c r="K104" i="12"/>
  <c r="AD103" i="6"/>
  <c r="AQ103" i="6"/>
  <c r="AZ103" i="6"/>
  <c r="BD103" i="6"/>
  <c r="AO103" i="6"/>
  <c r="AI103" i="6"/>
  <c r="AX103" i="6"/>
  <c r="H104" i="6"/>
  <c r="N104" i="6"/>
  <c r="M104" i="6"/>
  <c r="AR103" i="6"/>
  <c r="BA103" i="6"/>
  <c r="AE103" i="6"/>
  <c r="BF103" i="6"/>
  <c r="AJ103" i="6"/>
  <c r="AN103" i="6"/>
  <c r="AG103" i="6"/>
  <c r="G102" i="12"/>
  <c r="AS103" i="6"/>
  <c r="BB103" i="6"/>
  <c r="AV103" i="6"/>
  <c r="AP103" i="6"/>
  <c r="AK103" i="6"/>
  <c r="AC103" i="6"/>
  <c r="BE103" i="6"/>
  <c r="AY103" i="6"/>
  <c r="BC103" i="6"/>
  <c r="AT103" i="6"/>
  <c r="AM103" i="6"/>
  <c r="T103" i="5"/>
  <c r="AH103" i="6"/>
  <c r="AU103" i="6"/>
  <c r="AF103" i="6"/>
  <c r="I14" i="5"/>
  <c r="Z14" i="5"/>
  <c r="I14" i="12"/>
  <c r="L14" i="5"/>
  <c r="AM14" i="5"/>
  <c r="O35" i="8" l="1"/>
  <c r="R35" i="8" s="1"/>
  <c r="P35" i="8"/>
  <c r="Q35" i="8"/>
  <c r="N32" i="8"/>
  <c r="O32" i="8"/>
  <c r="P32" i="8"/>
  <c r="S34" i="8"/>
  <c r="S37" i="8"/>
  <c r="AX104" i="6"/>
  <c r="A21" i="9"/>
  <c r="A22" i="9"/>
  <c r="C21" i="9"/>
  <c r="F21" i="9" s="1"/>
  <c r="C22" i="9"/>
  <c r="F22" i="9" s="1"/>
  <c r="C21" i="10"/>
  <c r="A22" i="10"/>
  <c r="A21" i="10"/>
  <c r="C22" i="10"/>
  <c r="AG104" i="6"/>
  <c r="AS104" i="6"/>
  <c r="BB104" i="6"/>
  <c r="AK104" i="6"/>
  <c r="AE104" i="6"/>
  <c r="BF104" i="6"/>
  <c r="AH104" i="6"/>
  <c r="AP104" i="6"/>
  <c r="AT104" i="6"/>
  <c r="AN104" i="6"/>
  <c r="J41" i="5"/>
  <c r="D41" i="5" s="1"/>
  <c r="J48" i="5"/>
  <c r="D48" i="5" s="1"/>
  <c r="J30" i="5"/>
  <c r="D30" i="5" s="1"/>
  <c r="B30" i="12" s="1"/>
  <c r="K87" i="5"/>
  <c r="J87" i="5"/>
  <c r="J50" i="5"/>
  <c r="D50" i="5" s="1"/>
  <c r="J33" i="5"/>
  <c r="D33" i="5" s="1"/>
  <c r="AY104" i="6"/>
  <c r="BG104" i="6"/>
  <c r="BC104" i="6"/>
  <c r="AV104" i="6"/>
  <c r="BE104" i="6"/>
  <c r="AZ104" i="6"/>
  <c r="AQ104" i="6"/>
  <c r="AM104" i="6"/>
  <c r="T104" i="5"/>
  <c r="AI104" i="6"/>
  <c r="AU104" i="6"/>
  <c r="AF104" i="6"/>
  <c r="G103" i="12"/>
  <c r="BA104" i="6"/>
  <c r="AR104" i="6"/>
  <c r="BD104" i="6"/>
  <c r="AO104" i="6"/>
  <c r="F26" i="8"/>
  <c r="F29" i="8"/>
  <c r="AD104" i="6"/>
  <c r="AJ104" i="6"/>
  <c r="AC104" i="6"/>
  <c r="O14" i="5"/>
  <c r="C14" i="6"/>
  <c r="M14" i="12"/>
  <c r="AO14" i="12"/>
  <c r="C14" i="12"/>
  <c r="O14" i="12"/>
  <c r="AB14" i="5"/>
  <c r="AA14" i="5"/>
  <c r="R32" i="8" l="1"/>
  <c r="F34" i="8" s="1"/>
  <c r="F37" i="8"/>
  <c r="D87" i="5"/>
  <c r="B87" i="12" s="1"/>
  <c r="B41" i="12"/>
  <c r="B33" i="12"/>
  <c r="B50" i="12"/>
  <c r="G104" i="12"/>
  <c r="B48" i="12"/>
  <c r="N14" i="12"/>
  <c r="Y14" i="12"/>
  <c r="D14" i="12"/>
  <c r="E14" i="6"/>
  <c r="AD34" i="8" l="1" a="1"/>
  <c r="AD34" i="8" s="1"/>
  <c r="AA34" i="8" a="1"/>
  <c r="AA34" i="8" s="1"/>
  <c r="Z34" i="8" a="1"/>
  <c r="Z34" i="8" s="1"/>
  <c r="Y34" i="8" a="1"/>
  <c r="Y34" i="8" s="1"/>
  <c r="AF34" i="8" a="1"/>
  <c r="AF34" i="8" s="1"/>
  <c r="X34" i="8" a="1"/>
  <c r="X34" i="8" s="1"/>
  <c r="AE34" i="8" a="1"/>
  <c r="AE34" i="8" s="1"/>
  <c r="AB34" i="8" a="1"/>
  <c r="AB34" i="8" s="1"/>
  <c r="AC34" i="8" a="1"/>
  <c r="AC34" i="8" s="1"/>
  <c r="W34" i="8" a="1"/>
  <c r="W34" i="8" s="1"/>
  <c r="AC37" i="8" a="1"/>
  <c r="AC37" i="8" s="1"/>
  <c r="Z37" i="8" a="1"/>
  <c r="Z37" i="8" s="1"/>
  <c r="AA37" i="8" a="1"/>
  <c r="AA37" i="8" s="1"/>
  <c r="AD37" i="8" a="1"/>
  <c r="AD37" i="8" s="1"/>
  <c r="W37" i="8" a="1"/>
  <c r="W37" i="8" s="1"/>
  <c r="AE37" i="8" a="1"/>
  <c r="AE37" i="8" s="1"/>
  <c r="Y37" i="8" a="1"/>
  <c r="Y37" i="8" s="1"/>
  <c r="V34" i="8" a="1"/>
  <c r="V34" i="8" s="1"/>
  <c r="AB37" i="8" a="1"/>
  <c r="AB37" i="8" s="1"/>
  <c r="X37" i="8" a="1"/>
  <c r="X37" i="8" s="1"/>
  <c r="AF37" i="8" a="1"/>
  <c r="AF37" i="8" s="1"/>
  <c r="W14" i="12"/>
  <c r="X14" i="12"/>
  <c r="A19" i="10" l="1"/>
  <c r="A19" i="9"/>
  <c r="A20" i="9"/>
  <c r="A20" i="10"/>
  <c r="V14" i="12"/>
  <c r="T14" i="12"/>
  <c r="U14" i="12"/>
  <c r="AN12" i="13"/>
  <c r="AJ12" i="13"/>
  <c r="AK12" i="13"/>
  <c r="AO12" i="13"/>
  <c r="AL12" i="13"/>
  <c r="A10" i="9" l="1"/>
  <c r="K1" i="7" l="1" a="1"/>
  <c r="K1" i="7" s="1"/>
  <c r="O1" i="7" a="1"/>
  <c r="O1" i="7" s="1"/>
  <c r="U1" i="7" a="1"/>
  <c r="U1" i="7" s="1"/>
  <c r="W1" i="7" a="1"/>
  <c r="W1" i="7" s="1"/>
  <c r="L1" i="7" a="1"/>
  <c r="L1" i="7" s="1"/>
  <c r="Y1" i="7" a="1"/>
  <c r="Y1" i="7" s="1"/>
  <c r="J1" i="7" a="1"/>
  <c r="J1" i="7" s="1"/>
  <c r="S1" i="7" a="1"/>
  <c r="S1" i="7" s="1"/>
  <c r="M1" i="7" a="1"/>
  <c r="M1" i="7" s="1"/>
  <c r="I1" i="7" a="1"/>
  <c r="I1" i="7" s="1"/>
  <c r="T1" i="7" a="1"/>
  <c r="T1" i="7" s="1"/>
  <c r="Q1" i="7" a="1"/>
  <c r="Q1" i="7" s="1"/>
  <c r="N1" i="7" a="1"/>
  <c r="N1" i="7" s="1"/>
  <c r="V1" i="7" a="1"/>
  <c r="V1" i="7" s="1"/>
  <c r="R1" i="7" a="1"/>
  <c r="R1" i="7" s="1"/>
  <c r="P1" i="7" a="1"/>
  <c r="P1" i="7" s="1"/>
  <c r="X1" i="7" a="1"/>
  <c r="X1" i="7" s="1"/>
  <c r="K14" i="7" l="1"/>
  <c r="M14" i="7"/>
  <c r="W14" i="7"/>
  <c r="O14" i="7"/>
  <c r="Q14" i="7"/>
  <c r="X14" i="7"/>
  <c r="J14" i="7"/>
  <c r="Y14" i="7"/>
  <c r="P14" i="7"/>
  <c r="T14" i="7"/>
  <c r="I14" i="7"/>
  <c r="N14" i="7"/>
  <c r="S14" i="7"/>
  <c r="U14" i="7"/>
  <c r="V14" i="7"/>
  <c r="H1" i="7" a="1"/>
  <c r="H1" i="7" s="1"/>
  <c r="F1" i="7"/>
  <c r="E1" i="7" a="1"/>
  <c r="E1" i="7" s="1"/>
  <c r="R14" i="7"/>
  <c r="L14" i="7"/>
  <c r="F14" i="7" l="1"/>
  <c r="E14" i="7"/>
  <c r="H14" i="7"/>
  <c r="G21" i="7" l="1"/>
  <c r="G22" i="7"/>
  <c r="G20" i="7"/>
  <c r="G19" i="7"/>
  <c r="G18" i="7"/>
  <c r="G17" i="7"/>
  <c r="G16" i="7"/>
  <c r="G1" i="7"/>
  <c r="F6" i="7"/>
  <c r="C10" i="7" l="1"/>
  <c r="A5" i="5" l="1"/>
  <c r="J17" i="5" l="1"/>
  <c r="K17" i="5"/>
  <c r="F20" i="8"/>
  <c r="F17" i="8"/>
  <c r="F18" i="8" s="1"/>
  <c r="F14" i="8"/>
  <c r="F15" i="8" s="1"/>
  <c r="F23" i="8"/>
  <c r="F1" i="8"/>
  <c r="F2" i="8" s="1"/>
  <c r="A20" i="13"/>
  <c r="B17" i="11"/>
  <c r="B15" i="11"/>
  <c r="B19" i="11"/>
  <c r="A19" i="13"/>
  <c r="A21" i="13"/>
  <c r="A17" i="13"/>
  <c r="A22" i="13"/>
  <c r="B20" i="11"/>
  <c r="B22" i="11"/>
  <c r="B23" i="11"/>
  <c r="B21" i="11"/>
  <c r="B16" i="11"/>
  <c r="A18" i="13"/>
  <c r="A15" i="13"/>
  <c r="B18" i="11"/>
  <c r="A16" i="13"/>
  <c r="A23" i="13"/>
  <c r="J16" i="5"/>
  <c r="K16" i="5"/>
  <c r="A12" i="13"/>
  <c r="B12" i="11"/>
  <c r="I17" i="5" l="1"/>
  <c r="D17" i="5"/>
  <c r="D16" i="5"/>
  <c r="B14" i="13" s="1"/>
  <c r="B22" i="13"/>
  <c r="AE22" i="13" s="1"/>
  <c r="B17" i="13"/>
  <c r="AG17" i="13" s="1"/>
  <c r="B23" i="13"/>
  <c r="AD23" i="13" s="1"/>
  <c r="B21" i="13"/>
  <c r="AC21" i="13" s="1"/>
  <c r="B19" i="13"/>
  <c r="AH19" i="13" s="1"/>
  <c r="G22" i="11"/>
  <c r="F22" i="13" s="1"/>
  <c r="AB22" i="11"/>
  <c r="N22" i="11" s="1"/>
  <c r="C22" i="13"/>
  <c r="AA22" i="11"/>
  <c r="K22" i="11"/>
  <c r="J22" i="13" s="1"/>
  <c r="O22" i="11"/>
  <c r="B16" i="13"/>
  <c r="AF16" i="13" s="1"/>
  <c r="G18" i="11"/>
  <c r="F18" i="13" s="1"/>
  <c r="AB18" i="11"/>
  <c r="N18" i="11" s="1"/>
  <c r="C18" i="13"/>
  <c r="AA18" i="11"/>
  <c r="K18" i="11"/>
  <c r="J18" i="13" s="1"/>
  <c r="O18" i="11"/>
  <c r="O19" i="11"/>
  <c r="K19" i="11"/>
  <c r="J19" i="13" s="1"/>
  <c r="C19" i="13"/>
  <c r="AB19" i="11"/>
  <c r="N19" i="11" s="1"/>
  <c r="AA19" i="11"/>
  <c r="G19" i="11"/>
  <c r="F19" i="13" s="1"/>
  <c r="K15" i="11"/>
  <c r="J15" i="13" s="1"/>
  <c r="C15" i="13"/>
  <c r="F10" i="8" a="1"/>
  <c r="F10" i="8" s="1"/>
  <c r="G12" i="11"/>
  <c r="F12" i="13" s="1"/>
  <c r="C12" i="13"/>
  <c r="AA12" i="11"/>
  <c r="O12" i="11"/>
  <c r="AB12" i="11"/>
  <c r="N12" i="11" s="1"/>
  <c r="K12" i="11"/>
  <c r="J12" i="13" s="1"/>
  <c r="B12" i="13"/>
  <c r="M14" i="8"/>
  <c r="J14" i="8"/>
  <c r="B15" i="13"/>
  <c r="G16" i="11"/>
  <c r="F16" i="13" s="1"/>
  <c r="AB16" i="11"/>
  <c r="N16" i="11" s="1"/>
  <c r="AA16" i="11"/>
  <c r="C16" i="13"/>
  <c r="O16" i="11"/>
  <c r="K16" i="11"/>
  <c r="J16" i="13" s="1"/>
  <c r="B20" i="13"/>
  <c r="AF20" i="13" s="1"/>
  <c r="O1" i="8"/>
  <c r="J1" i="8"/>
  <c r="M1" i="8"/>
  <c r="S1" i="8"/>
  <c r="N1" i="8"/>
  <c r="Q1" i="8"/>
  <c r="I1" i="8"/>
  <c r="P1" i="8"/>
  <c r="M17" i="8"/>
  <c r="Q17" i="8" s="1"/>
  <c r="J17" i="8"/>
  <c r="C17" i="13"/>
  <c r="O17" i="11"/>
  <c r="K17" i="11"/>
  <c r="J17" i="13" s="1"/>
  <c r="AB17" i="11"/>
  <c r="N17" i="11" s="1"/>
  <c r="AA17" i="11"/>
  <c r="G17" i="11"/>
  <c r="F17" i="13" s="1"/>
  <c r="C21" i="13"/>
  <c r="O21" i="11"/>
  <c r="K21" i="11"/>
  <c r="J21" i="13" s="1"/>
  <c r="AB21" i="11"/>
  <c r="N21" i="11" s="1"/>
  <c r="AA21" i="11"/>
  <c r="G21" i="11"/>
  <c r="F21" i="13" s="1"/>
  <c r="G20" i="11"/>
  <c r="F20" i="13" s="1"/>
  <c r="AB20" i="11"/>
  <c r="N20" i="11" s="1"/>
  <c r="AA20" i="11"/>
  <c r="O20" i="11"/>
  <c r="C20" i="13"/>
  <c r="K20" i="11"/>
  <c r="J20" i="13" s="1"/>
  <c r="B18" i="13"/>
  <c r="AD18" i="13" s="1"/>
  <c r="O23" i="11"/>
  <c r="K23" i="11"/>
  <c r="J23" i="13" s="1"/>
  <c r="C23" i="13"/>
  <c r="AB23" i="11"/>
  <c r="N23" i="11" s="1"/>
  <c r="AA23" i="11"/>
  <c r="G23" i="11"/>
  <c r="F23" i="13" s="1"/>
  <c r="AM12" i="13"/>
  <c r="B17" i="12" l="1"/>
  <c r="Q14" i="8"/>
  <c r="B16" i="12"/>
  <c r="P17" i="8"/>
  <c r="D15" i="5"/>
  <c r="A16" i="9"/>
  <c r="A17" i="9"/>
  <c r="A18" i="9"/>
  <c r="A16" i="10"/>
  <c r="A17" i="10"/>
  <c r="A18" i="10"/>
  <c r="C1" i="9"/>
  <c r="F1" i="9" s="1"/>
  <c r="A1" i="10"/>
  <c r="A15" i="9"/>
  <c r="M12" i="6" a="1"/>
  <c r="M12" i="6" s="1"/>
  <c r="C1" i="10"/>
  <c r="A1" i="9"/>
  <c r="R12" i="13"/>
  <c r="M12" i="13"/>
  <c r="U12" i="13"/>
  <c r="S12" i="13"/>
  <c r="O12" i="13"/>
  <c r="T12" i="13"/>
  <c r="AE15" i="6"/>
  <c r="T15" i="6" s="1"/>
  <c r="T11" i="6" s="1"/>
  <c r="C22" i="11"/>
  <c r="Z22" i="11"/>
  <c r="L22" i="13"/>
  <c r="P22" i="11"/>
  <c r="U23" i="13"/>
  <c r="T23" i="13"/>
  <c r="S23" i="13"/>
  <c r="R23" i="13"/>
  <c r="O23" i="13"/>
  <c r="M23" i="13"/>
  <c r="G1" i="8"/>
  <c r="G2" i="8" s="1" a="1"/>
  <c r="G2" i="8" s="1"/>
  <c r="H1" i="8" a="1"/>
  <c r="H1" i="8" s="1"/>
  <c r="J2" i="8" s="1"/>
  <c r="H2" i="8" a="1"/>
  <c r="H2" i="8" s="1"/>
  <c r="U20" i="13"/>
  <c r="T20" i="13"/>
  <c r="S20" i="13"/>
  <c r="R20" i="13"/>
  <c r="O20" i="13"/>
  <c r="M20" i="13"/>
  <c r="L20" i="13"/>
  <c r="C20" i="11"/>
  <c r="Z20" i="11"/>
  <c r="P20" i="11"/>
  <c r="P17" i="11"/>
  <c r="L17" i="13"/>
  <c r="Z17" i="11"/>
  <c r="C17" i="11"/>
  <c r="A1" i="8"/>
  <c r="R1" i="8"/>
  <c r="S3" i="8"/>
  <c r="U19" i="13"/>
  <c r="T19" i="13"/>
  <c r="S19" i="13"/>
  <c r="R19" i="13"/>
  <c r="O19" i="13"/>
  <c r="M19" i="13"/>
  <c r="O17" i="13"/>
  <c r="M17" i="13"/>
  <c r="R17" i="13"/>
  <c r="U17" i="13"/>
  <c r="T17" i="13"/>
  <c r="S17" i="13"/>
  <c r="S16" i="8"/>
  <c r="A14" i="8"/>
  <c r="S22" i="13"/>
  <c r="R22" i="13"/>
  <c r="O22" i="13"/>
  <c r="M22" i="13"/>
  <c r="U22" i="13"/>
  <c r="T22" i="13"/>
  <c r="P23" i="11"/>
  <c r="Z23" i="11"/>
  <c r="L23" i="13"/>
  <c r="C23" i="11"/>
  <c r="F21" i="8"/>
  <c r="P19" i="11"/>
  <c r="Z19" i="11"/>
  <c r="C19" i="11"/>
  <c r="L19" i="13"/>
  <c r="S19" i="8"/>
  <c r="O14" i="8"/>
  <c r="C18" i="11"/>
  <c r="Z18" i="11"/>
  <c r="L18" i="13"/>
  <c r="P18" i="11"/>
  <c r="P21" i="11"/>
  <c r="L21" i="13"/>
  <c r="Z21" i="11"/>
  <c r="C21" i="11"/>
  <c r="L16" i="13"/>
  <c r="C16" i="11"/>
  <c r="Z16" i="11"/>
  <c r="P16" i="11"/>
  <c r="P14" i="8"/>
  <c r="O21" i="13"/>
  <c r="M21" i="13"/>
  <c r="R21" i="13"/>
  <c r="U21" i="13"/>
  <c r="T21" i="13"/>
  <c r="S21" i="13"/>
  <c r="U16" i="13"/>
  <c r="T16" i="13"/>
  <c r="S16" i="13"/>
  <c r="R16" i="13"/>
  <c r="O16" i="13"/>
  <c r="M16" i="13"/>
  <c r="C12" i="11"/>
  <c r="P12" i="11"/>
  <c r="L12" i="13"/>
  <c r="Z12" i="11"/>
  <c r="S18" i="13"/>
  <c r="R18" i="13"/>
  <c r="O18" i="13"/>
  <c r="M18" i="13"/>
  <c r="U18" i="13"/>
  <c r="T18" i="13"/>
  <c r="AF17" i="13"/>
  <c r="K21" i="13"/>
  <c r="AH12" i="13"/>
  <c r="AC19" i="13"/>
  <c r="AE23" i="13"/>
  <c r="AF18" i="13"/>
  <c r="AH17" i="13"/>
  <c r="AG16" i="13"/>
  <c r="AC16" i="13"/>
  <c r="K19" i="13"/>
  <c r="AF23" i="13"/>
  <c r="AE20" i="13"/>
  <c r="AE21" i="13"/>
  <c r="AC22" i="13"/>
  <c r="K17" i="13"/>
  <c r="AE12" i="13"/>
  <c r="AG23" i="13"/>
  <c r="AG20" i="13"/>
  <c r="AF22" i="13"/>
  <c r="AC12" i="13"/>
  <c r="K12" i="13"/>
  <c r="AG22" i="13"/>
  <c r="AD19" i="13"/>
  <c r="K15" i="13"/>
  <c r="AD21" i="13"/>
  <c r="AG21" i="13"/>
  <c r="AC20" i="13"/>
  <c r="AE16" i="13"/>
  <c r="AC23" i="13"/>
  <c r="AH22" i="13"/>
  <c r="AF12" i="13"/>
  <c r="AH16" i="13"/>
  <c r="AD12" i="13"/>
  <c r="AE17" i="13"/>
  <c r="K18" i="13"/>
  <c r="AD20" i="13"/>
  <c r="AG18" i="13"/>
  <c r="AF19" i="13"/>
  <c r="AF21" i="13"/>
  <c r="AD17" i="13"/>
  <c r="AE19" i="13"/>
  <c r="AH23" i="13"/>
  <c r="AH21" i="13"/>
  <c r="AG12" i="13"/>
  <c r="AC18" i="13"/>
  <c r="AE18" i="13"/>
  <c r="AH20" i="13"/>
  <c r="AD22" i="13"/>
  <c r="AD16" i="13"/>
  <c r="AH18" i="13"/>
  <c r="AG19" i="13"/>
  <c r="K16" i="13"/>
  <c r="K23" i="13"/>
  <c r="K22" i="13"/>
  <c r="K20" i="13"/>
  <c r="AC17" i="13"/>
  <c r="AH15" i="6" l="1"/>
  <c r="W15" i="6" s="1"/>
  <c r="W11" i="6" s="1"/>
  <c r="AC15" i="6"/>
  <c r="R15" i="6" s="1"/>
  <c r="R11" i="6" s="1"/>
  <c r="AD15" i="6"/>
  <c r="S15" i="6" s="1"/>
  <c r="S11" i="6" s="1"/>
  <c r="AG15" i="6"/>
  <c r="V15" i="6" s="1"/>
  <c r="V11" i="6" s="1"/>
  <c r="AK15" i="6"/>
  <c r="Z15" i="6" s="1"/>
  <c r="Z11" i="6" s="1"/>
  <c r="AJ15" i="6"/>
  <c r="Y15" i="6" s="1"/>
  <c r="Y11" i="6" s="1"/>
  <c r="AI15" i="6"/>
  <c r="X15" i="6" s="1"/>
  <c r="X11" i="6" s="1"/>
  <c r="AF15" i="6"/>
  <c r="U15" i="6" s="1"/>
  <c r="U11" i="6" s="1"/>
  <c r="M20" i="8"/>
  <c r="D17" i="13"/>
  <c r="D18" i="13"/>
  <c r="D19" i="13"/>
  <c r="D21" i="13"/>
  <c r="D23" i="13"/>
  <c r="P19" i="13"/>
  <c r="N19" i="13"/>
  <c r="P23" i="13"/>
  <c r="N23" i="13"/>
  <c r="AA1" i="8" a="1"/>
  <c r="AA1" i="8" s="1"/>
  <c r="Y3" i="8" a="1"/>
  <c r="Y3" i="8" s="1"/>
  <c r="AC3" i="8" a="1"/>
  <c r="AC3" i="8" s="1"/>
  <c r="C1" i="8"/>
  <c r="AF1" i="8" a="1"/>
  <c r="AF1" i="8" s="1"/>
  <c r="AD3" i="8" a="1"/>
  <c r="AD3" i="8" s="1"/>
  <c r="AA3" i="8" a="1"/>
  <c r="AA3" i="8" s="1"/>
  <c r="AE1" i="8" a="1"/>
  <c r="AE1" i="8" s="1"/>
  <c r="AD1" i="8" a="1"/>
  <c r="AD1" i="8" s="1"/>
  <c r="AB1" i="8" a="1"/>
  <c r="AB1" i="8" s="1"/>
  <c r="V3" i="8" a="1"/>
  <c r="V3" i="8" s="1"/>
  <c r="U3" i="8" a="1"/>
  <c r="U3" i="8" s="1"/>
  <c r="E3" i="8" a="1"/>
  <c r="E3" i="8" s="1"/>
  <c r="V1" i="8" a="1"/>
  <c r="V1" i="8" s="1"/>
  <c r="X1" i="8" a="1"/>
  <c r="X1" i="8" s="1"/>
  <c r="W1" i="8" a="1"/>
  <c r="W1" i="8" s="1"/>
  <c r="AB3" i="8" a="1"/>
  <c r="AB3" i="8" s="1"/>
  <c r="Y1" i="8" a="1"/>
  <c r="Y1" i="8" s="1"/>
  <c r="X3" i="8" a="1"/>
  <c r="X3" i="8" s="1"/>
  <c r="Z3" i="8" a="1"/>
  <c r="Z3" i="8" s="1"/>
  <c r="Z1" i="8" a="1"/>
  <c r="Z1" i="8" s="1"/>
  <c r="D1" i="8"/>
  <c r="W3" i="8" a="1"/>
  <c r="W3" i="8" s="1"/>
  <c r="E1" i="8" a="1"/>
  <c r="E1" i="8" s="1"/>
  <c r="F3" i="8"/>
  <c r="AF3" i="8" a="1"/>
  <c r="AF3" i="8" s="1"/>
  <c r="AE3" i="8" a="1"/>
  <c r="AE3" i="8" s="1"/>
  <c r="U1" i="8" a="1"/>
  <c r="U1" i="8" s="1"/>
  <c r="AC1" i="8" a="1"/>
  <c r="AC1" i="8" s="1"/>
  <c r="N17" i="13"/>
  <c r="P17" i="13"/>
  <c r="P18" i="13"/>
  <c r="N18" i="13"/>
  <c r="N16" i="13"/>
  <c r="P16" i="13"/>
  <c r="D16" i="13"/>
  <c r="P22" i="13"/>
  <c r="N22" i="13"/>
  <c r="D20" i="13"/>
  <c r="P12" i="13"/>
  <c r="N12" i="13"/>
  <c r="D22" i="13"/>
  <c r="N21" i="13"/>
  <c r="P21" i="13"/>
  <c r="V12" i="13"/>
  <c r="D12" i="13"/>
  <c r="N20" i="13"/>
  <c r="P20" i="13"/>
  <c r="P20" i="8" l="1"/>
  <c r="S22" i="8"/>
  <c r="F24" i="8"/>
  <c r="Q20" i="8"/>
  <c r="M23" i="8" l="1"/>
  <c r="F27" i="8" l="1"/>
  <c r="S25" i="8"/>
  <c r="Q23" i="8"/>
  <c r="P23" i="8"/>
  <c r="M26" i="8" l="1"/>
  <c r="P26" i="8" s="1"/>
  <c r="Q26" i="8" l="1"/>
  <c r="S28" i="8"/>
  <c r="F30" i="8"/>
  <c r="M29" i="8" l="1"/>
  <c r="P29" i="8" s="1"/>
  <c r="O20" i="8"/>
  <c r="O23" i="8"/>
  <c r="O17" i="8"/>
  <c r="O29" i="8" l="1"/>
  <c r="N29" i="8"/>
  <c r="N17" i="8"/>
  <c r="R17" i="8" s="1"/>
  <c r="F19" i="8" s="1"/>
  <c r="AD19" i="8" s="1" a="1"/>
  <c r="AD19" i="8" s="1"/>
  <c r="N20" i="8"/>
  <c r="R20" i="8" s="1"/>
  <c r="F22" i="8" s="1"/>
  <c r="N23" i="8"/>
  <c r="R23" i="8" s="1"/>
  <c r="F25" i="8" s="1"/>
  <c r="N14" i="8"/>
  <c r="R14" i="8" s="1"/>
  <c r="O26" i="8"/>
  <c r="Q29" i="8"/>
  <c r="S31" i="8"/>
  <c r="N26" i="8"/>
  <c r="R29" i="8" l="1"/>
  <c r="F31" i="8" s="1"/>
  <c r="R26" i="8"/>
  <c r="F28" i="8" s="1"/>
  <c r="D14" i="8"/>
  <c r="C14" i="8"/>
  <c r="F16" i="8"/>
  <c r="Y19" i="8" a="1"/>
  <c r="Y19" i="8" s="1"/>
  <c r="AE19" i="8" a="1"/>
  <c r="AE19" i="8" s="1"/>
  <c r="Z19" i="8" a="1"/>
  <c r="Z19" i="8" s="1"/>
  <c r="AB19" i="8" a="1"/>
  <c r="AB19" i="8" s="1"/>
  <c r="AC19" i="8" a="1"/>
  <c r="AC19" i="8" s="1"/>
  <c r="AF19" i="8" a="1"/>
  <c r="AF19" i="8" s="1"/>
  <c r="AA19" i="8" a="1"/>
  <c r="AA19" i="8" s="1"/>
  <c r="X19" i="8" a="1"/>
  <c r="X19" i="8" s="1"/>
  <c r="E17" i="12" l="1"/>
  <c r="F17" i="6"/>
  <c r="N21" i="6" s="1"/>
  <c r="G17" i="6"/>
  <c r="N24" i="6" l="1"/>
  <c r="N28" i="6"/>
  <c r="N29" i="6"/>
  <c r="N25" i="6"/>
  <c r="N26" i="6"/>
  <c r="N27" i="6"/>
  <c r="N20" i="6"/>
  <c r="N22" i="6"/>
  <c r="N23" i="6"/>
  <c r="N19" i="6"/>
  <c r="N30" i="6"/>
  <c r="N18" i="6"/>
  <c r="C16" i="10" l="1"/>
  <c r="C16" i="9"/>
  <c r="F16" i="9" s="1"/>
  <c r="G15" i="11" l="1"/>
  <c r="E30" i="12"/>
  <c r="F30" i="6"/>
  <c r="G30" i="6"/>
  <c r="J29" i="8" l="1"/>
  <c r="N33" i="6"/>
  <c r="N34" i="6"/>
  <c r="N36" i="6"/>
  <c r="N31" i="6"/>
  <c r="N32" i="6"/>
  <c r="F15" i="13"/>
  <c r="J20" i="8"/>
  <c r="J23" i="8"/>
  <c r="W30" i="5"/>
  <c r="C17" i="10" l="1"/>
  <c r="C17" i="9"/>
  <c r="F17" i="9" s="1"/>
  <c r="C18" i="9"/>
  <c r="F18" i="9" s="1"/>
  <c r="C18" i="10"/>
  <c r="H30" i="12"/>
  <c r="AB30" i="6"/>
  <c r="I31" i="10" l="1" a="1"/>
  <c r="I31" i="10" s="1"/>
  <c r="I29" i="10" s="1" a="1"/>
  <c r="I29" i="10" s="1"/>
  <c r="AA31" i="10" a="1"/>
  <c r="AA31" i="10" s="1"/>
  <c r="M31" i="10" a="1"/>
  <c r="M31" i="10" s="1"/>
  <c r="O31" i="10" a="1"/>
  <c r="O31" i="10" s="1"/>
  <c r="Q31" i="10" a="1"/>
  <c r="Q31" i="10" s="1"/>
  <c r="AC31" i="10" a="1"/>
  <c r="AC31" i="10" s="1"/>
  <c r="AE31" i="10" a="1"/>
  <c r="AE31" i="10" s="1"/>
  <c r="W31" i="10" a="1"/>
  <c r="W31" i="10" s="1"/>
  <c r="S31" i="10" a="1"/>
  <c r="S31" i="10" s="1"/>
  <c r="K31" i="10" a="1"/>
  <c r="K31" i="10" s="1"/>
  <c r="Y31" i="10" a="1"/>
  <c r="Y31" i="10" s="1"/>
  <c r="U31" i="10" a="1"/>
  <c r="U31" i="10" s="1"/>
  <c r="U19" i="8" a="1"/>
  <c r="U19" i="8" s="1"/>
  <c r="E19" i="8" a="1"/>
  <c r="E19" i="8" s="1"/>
  <c r="AH15" i="13"/>
  <c r="AE15" i="13"/>
  <c r="AE14" i="13"/>
  <c r="AH14" i="13"/>
  <c r="J87" i="6" l="1"/>
  <c r="J50" i="6"/>
  <c r="K29" i="10"/>
  <c r="J33" i="6"/>
  <c r="O15" i="13"/>
  <c r="M15" i="13"/>
  <c r="M14" i="13"/>
  <c r="O14" i="13"/>
  <c r="S29" i="10"/>
  <c r="AC29" i="10"/>
  <c r="O29" i="10"/>
  <c r="Y29" i="10"/>
  <c r="AE29" i="10"/>
  <c r="U29" i="10"/>
  <c r="W29" i="10"/>
  <c r="Q29" i="10"/>
  <c r="M29" i="10"/>
  <c r="AA29" i="10"/>
  <c r="M28" i="13" l="1"/>
  <c r="O28" i="13"/>
  <c r="D47" i="2" s="1"/>
  <c r="N15" i="13"/>
  <c r="N14" i="13"/>
  <c r="O15" i="11"/>
  <c r="AB15" i="11"/>
  <c r="N15" i="11" s="1"/>
  <c r="AG15" i="13"/>
  <c r="AD15" i="13"/>
  <c r="AB31" i="8" l="1" a="1"/>
  <c r="AB31" i="8" s="1"/>
  <c r="U31" i="8" a="1"/>
  <c r="U31" i="8" s="1"/>
  <c r="V31" i="8" a="1"/>
  <c r="V31" i="8" s="1"/>
  <c r="Z31" i="8" a="1"/>
  <c r="Z31" i="8" s="1"/>
  <c r="X31" i="8" a="1"/>
  <c r="X31" i="8" s="1"/>
  <c r="AC31" i="8" a="1"/>
  <c r="AC31" i="8" s="1"/>
  <c r="AE31" i="8" a="1"/>
  <c r="AE31" i="8" s="1"/>
  <c r="E31" i="8" a="1"/>
  <c r="E31" i="8" s="1"/>
  <c r="AD31" i="8" a="1"/>
  <c r="AD31" i="8" s="1"/>
  <c r="Y31" i="8" a="1"/>
  <c r="Y31" i="8" s="1"/>
  <c r="AF31" i="8" a="1"/>
  <c r="AF31" i="8" s="1"/>
  <c r="F33" i="14"/>
  <c r="D52" i="2"/>
  <c r="D48" i="2"/>
  <c r="D46" i="2" s="1"/>
  <c r="D54" i="2"/>
  <c r="D51" i="2"/>
  <c r="D53" i="2"/>
  <c r="AD6" i="13"/>
  <c r="AE6" i="13" s="1"/>
  <c r="N28" i="13"/>
  <c r="E33" i="14" s="1"/>
  <c r="C15" i="11"/>
  <c r="U15" i="13"/>
  <c r="S15" i="13"/>
  <c r="P15" i="11"/>
  <c r="L15" i="13"/>
  <c r="P15" i="13" s="1"/>
  <c r="AF25" i="8" a="1"/>
  <c r="AF25" i="8" s="1"/>
  <c r="AA25" i="8" a="1"/>
  <c r="AA25" i="8" s="1"/>
  <c r="AD25" i="8" a="1"/>
  <c r="AD25" i="8" s="1"/>
  <c r="X25" i="8" a="1"/>
  <c r="X25" i="8" s="1"/>
  <c r="I30" i="5"/>
  <c r="D50" i="2" l="1"/>
  <c r="J115" i="12" s="1"/>
  <c r="AB28" i="8" a="1"/>
  <c r="AB28" i="8" s="1"/>
  <c r="AE28" i="8" a="1"/>
  <c r="AE28" i="8" s="1"/>
  <c r="U28" i="8" a="1"/>
  <c r="U28" i="8" s="1"/>
  <c r="Y28" i="8" a="1"/>
  <c r="Y28" i="8" s="1"/>
  <c r="AC28" i="8" a="1"/>
  <c r="AC28" i="8" s="1"/>
  <c r="V28" i="8" a="1"/>
  <c r="V28" i="8" s="1"/>
  <c r="AF28" i="8" a="1"/>
  <c r="AF28" i="8" s="1"/>
  <c r="X28" i="8" a="1"/>
  <c r="X28" i="8" s="1"/>
  <c r="E28" i="8" a="1"/>
  <c r="E28" i="8" s="1"/>
  <c r="AD28" i="8" a="1"/>
  <c r="AD28" i="8" s="1"/>
  <c r="AA28" i="8" a="1"/>
  <c r="AA28" i="8" s="1"/>
  <c r="AE22" i="8" a="1"/>
  <c r="AE22" i="8" s="1"/>
  <c r="AD22" i="8" a="1"/>
  <c r="AD22" i="8" s="1"/>
  <c r="Y22" i="8" a="1"/>
  <c r="Y22" i="8" s="1"/>
  <c r="AA22" i="8" a="1"/>
  <c r="AA22" i="8" s="1"/>
  <c r="Z22" i="8" a="1"/>
  <c r="Z22" i="8" s="1"/>
  <c r="AB22" i="8" a="1"/>
  <c r="AB22" i="8" s="1"/>
  <c r="AF22" i="8" a="1"/>
  <c r="AF22" i="8" s="1"/>
  <c r="U22" i="8" a="1"/>
  <c r="U22" i="8" s="1"/>
  <c r="E22" i="8" a="1"/>
  <c r="E22" i="8" s="1"/>
  <c r="AC22" i="8" a="1"/>
  <c r="AC22" i="8" s="1"/>
  <c r="W22" i="8" a="1"/>
  <c r="W22" i="8" s="1"/>
  <c r="V22" i="8" a="1"/>
  <c r="V22" i="8" s="1"/>
  <c r="D15" i="13"/>
  <c r="AB25" i="8" a="1"/>
  <c r="AB25" i="8" s="1"/>
  <c r="V25" i="8" a="1"/>
  <c r="V25" i="8" s="1"/>
  <c r="AE25" i="8" a="1"/>
  <c r="AE25" i="8" s="1"/>
  <c r="AC25" i="8" a="1"/>
  <c r="AC25" i="8" s="1"/>
  <c r="W25" i="8" a="1"/>
  <c r="W25" i="8" s="1"/>
  <c r="Z25" i="8" a="1"/>
  <c r="Z25" i="8" s="1"/>
  <c r="C11" i="10"/>
  <c r="S35" i="10" l="1"/>
  <c r="D1" i="2"/>
  <c r="I33" i="5" l="1"/>
  <c r="I41" i="5" l="1"/>
  <c r="AA15" i="11"/>
  <c r="Z15" i="11" s="1"/>
  <c r="AC15" i="13"/>
  <c r="AF15" i="13"/>
  <c r="T15" i="13" l="1"/>
  <c r="R15" i="13"/>
  <c r="AF41" i="5"/>
  <c r="S41" i="5" l="1"/>
  <c r="AG41" i="5"/>
  <c r="AN41" i="5" s="1"/>
  <c r="J26" i="8" l="1"/>
  <c r="F41" i="6"/>
  <c r="E41" i="12"/>
  <c r="G41" i="6"/>
  <c r="F41" i="12"/>
  <c r="N48" i="6" l="1"/>
  <c r="J48" i="6" s="1"/>
  <c r="N49" i="6"/>
  <c r="N44" i="6"/>
  <c r="N45" i="6"/>
  <c r="N43" i="6"/>
  <c r="N42" i="6"/>
  <c r="N46" i="6"/>
  <c r="N47" i="6"/>
  <c r="AF33" i="5"/>
  <c r="AF30" i="5"/>
  <c r="C19" i="9" l="1"/>
  <c r="F19" i="9" s="1"/>
  <c r="C19" i="10"/>
  <c r="C20" i="9"/>
  <c r="F20" i="9" s="1"/>
  <c r="C20" i="10"/>
  <c r="S30" i="5"/>
  <c r="AG30" i="5"/>
  <c r="AN30" i="5" s="1"/>
  <c r="S33" i="5"/>
  <c r="AG33" i="5"/>
  <c r="AN33" i="5" s="1"/>
  <c r="D8" i="9" l="1"/>
  <c r="F49" i="8" s="1"/>
  <c r="F30" i="12"/>
  <c r="F33" i="12"/>
  <c r="A11" i="12" l="1"/>
  <c r="P11" i="12" s="1"/>
  <c r="O11" i="12" s="1"/>
  <c r="E49" i="8"/>
  <c r="AB49" i="8"/>
  <c r="AC49" i="8"/>
  <c r="X49" i="8"/>
  <c r="AA49" i="8"/>
  <c r="Y49" i="8"/>
  <c r="AF49" i="8"/>
  <c r="Z49" i="8"/>
  <c r="V49" i="8"/>
  <c r="U49" i="8"/>
  <c r="W49" i="8"/>
  <c r="AD49" i="8"/>
  <c r="AE49" i="8"/>
  <c r="R30" i="9" l="1"/>
  <c r="R31" i="9" s="1"/>
  <c r="Z50" i="8"/>
  <c r="AD30" i="9"/>
  <c r="AD31" i="9" s="1"/>
  <c r="AF50" i="8"/>
  <c r="P30" i="9"/>
  <c r="P31" i="9" s="1"/>
  <c r="Y50" i="8"/>
  <c r="AB30" i="9"/>
  <c r="AB31" i="9" s="1"/>
  <c r="AE50" i="8"/>
  <c r="T30" i="9"/>
  <c r="T31" i="9" s="1"/>
  <c r="AA50" i="8"/>
  <c r="Z30" i="9"/>
  <c r="Z31" i="9" s="1"/>
  <c r="AD50" i="8"/>
  <c r="N30" i="9"/>
  <c r="N31" i="9" s="1"/>
  <c r="X50" i="8"/>
  <c r="L30" i="9"/>
  <c r="L31" i="9" s="1"/>
  <c r="W50" i="8"/>
  <c r="X30" i="9"/>
  <c r="X31" i="9" s="1"/>
  <c r="AC50" i="8"/>
  <c r="H30" i="9"/>
  <c r="H31" i="9" s="1"/>
  <c r="U50" i="8"/>
  <c r="V30" i="9"/>
  <c r="V31" i="9" s="1"/>
  <c r="AB50" i="8"/>
  <c r="J30" i="9"/>
  <c r="J31" i="9" s="1"/>
  <c r="V50" i="8"/>
  <c r="T50" i="8" l="1"/>
  <c r="G31" i="9"/>
  <c r="I87" i="5" l="1"/>
  <c r="AN25" i="5" l="1"/>
  <c r="W25" i="5"/>
  <c r="AN97" i="5"/>
  <c r="W97" i="5"/>
  <c r="AN73" i="5"/>
  <c r="W73" i="5"/>
  <c r="AN54" i="5"/>
  <c r="W54" i="5"/>
  <c r="AN102" i="5"/>
  <c r="W102" i="5"/>
  <c r="AN103" i="5"/>
  <c r="W103" i="5"/>
  <c r="AN49" i="5"/>
  <c r="W49" i="5"/>
  <c r="AN99" i="5"/>
  <c r="W99" i="5"/>
  <c r="AN89" i="5"/>
  <c r="W89" i="5"/>
  <c r="AN40" i="5"/>
  <c r="W40" i="5"/>
  <c r="AN88" i="5"/>
  <c r="W88" i="5"/>
  <c r="AN36" i="5"/>
  <c r="W36" i="5"/>
  <c r="AN45" i="5"/>
  <c r="W45" i="5"/>
  <c r="W23" i="5"/>
  <c r="AN23" i="5"/>
  <c r="AN55" i="5"/>
  <c r="W55" i="5"/>
  <c r="AN96" i="5"/>
  <c r="W96" i="5"/>
  <c r="AN67" i="5"/>
  <c r="W67" i="5"/>
  <c r="AN77" i="5"/>
  <c r="W77" i="5"/>
  <c r="AN82" i="5"/>
  <c r="W82" i="5"/>
  <c r="AN72" i="5"/>
  <c r="W72" i="5"/>
  <c r="W31" i="5"/>
  <c r="AN31" i="5"/>
  <c r="AN46" i="5"/>
  <c r="W46" i="5"/>
  <c r="AN24" i="5"/>
  <c r="W24" i="5"/>
  <c r="AN47" i="5"/>
  <c r="W47" i="5"/>
  <c r="AN95" i="5"/>
  <c r="W95" i="5"/>
  <c r="AN39" i="5"/>
  <c r="W39" i="5"/>
  <c r="AN79" i="5"/>
  <c r="W79" i="5"/>
  <c r="W20" i="5"/>
  <c r="AN20" i="5"/>
  <c r="AN70" i="5"/>
  <c r="W70" i="5"/>
  <c r="AN22" i="5"/>
  <c r="W22" i="5"/>
  <c r="AN27" i="5"/>
  <c r="W27" i="5"/>
  <c r="AN42" i="5"/>
  <c r="W42" i="5"/>
  <c r="AN101" i="5"/>
  <c r="W101" i="5"/>
  <c r="AN29" i="5"/>
  <c r="W29" i="5"/>
  <c r="AN65" i="5"/>
  <c r="W65" i="5"/>
  <c r="AN53" i="5"/>
  <c r="W53" i="5"/>
  <c r="AN80" i="5"/>
  <c r="W80" i="5"/>
  <c r="AN62" i="5"/>
  <c r="W62" i="5"/>
  <c r="AN57" i="5"/>
  <c r="W57" i="5"/>
  <c r="W37" i="5"/>
  <c r="AN37" i="5"/>
  <c r="AN93" i="5"/>
  <c r="W93" i="5"/>
  <c r="W26" i="5"/>
  <c r="AN26" i="5"/>
  <c r="AN76" i="5"/>
  <c r="W76" i="5"/>
  <c r="W19" i="5"/>
  <c r="AN19" i="5"/>
  <c r="AN74" i="5"/>
  <c r="W74" i="5"/>
  <c r="AN100" i="5"/>
  <c r="W100" i="5"/>
  <c r="AN94" i="5"/>
  <c r="W94" i="5"/>
  <c r="AN34" i="5"/>
  <c r="W34" i="5"/>
  <c r="AN81" i="5"/>
  <c r="W81" i="5"/>
  <c r="AN52" i="5"/>
  <c r="W52" i="5"/>
  <c r="AN51" i="5"/>
  <c r="W51" i="5"/>
  <c r="AN71" i="5"/>
  <c r="W71" i="5"/>
  <c r="AN61" i="5"/>
  <c r="W61" i="5"/>
  <c r="AN38" i="5"/>
  <c r="W38" i="5"/>
  <c r="AN66" i="5"/>
  <c r="W66" i="5"/>
  <c r="AN75" i="5"/>
  <c r="W75" i="5"/>
  <c r="AN32" i="5"/>
  <c r="W32" i="5"/>
  <c r="AN44" i="5"/>
  <c r="W44" i="5"/>
  <c r="AN35" i="5"/>
  <c r="W35" i="5"/>
  <c r="AN78" i="5"/>
  <c r="W78" i="5"/>
  <c r="AN68" i="5"/>
  <c r="W68" i="5"/>
  <c r="AN64" i="5"/>
  <c r="W64" i="5"/>
  <c r="AN91" i="5"/>
  <c r="W91" i="5"/>
  <c r="AN58" i="5"/>
  <c r="W58" i="5"/>
  <c r="AN60" i="5"/>
  <c r="W60" i="5"/>
  <c r="AN56" i="5"/>
  <c r="W56" i="5"/>
  <c r="AN92" i="5"/>
  <c r="W92" i="5"/>
  <c r="W28" i="5"/>
  <c r="AN28" i="5"/>
  <c r="W21" i="5"/>
  <c r="AN21" i="5"/>
  <c r="AN98" i="5"/>
  <c r="W98" i="5"/>
  <c r="AN90" i="5"/>
  <c r="W90" i="5"/>
  <c r="AN104" i="5"/>
  <c r="W104" i="5"/>
  <c r="AN69" i="5"/>
  <c r="W69" i="5"/>
  <c r="AN63" i="5"/>
  <c r="W63" i="5"/>
  <c r="AN59" i="5"/>
  <c r="W59" i="5"/>
  <c r="AN43" i="5"/>
  <c r="W43" i="5"/>
  <c r="AN18" i="5"/>
  <c r="W18" i="5"/>
  <c r="H43" i="12" l="1"/>
  <c r="AB43" i="6"/>
  <c r="X43" i="5" s="1" a="1"/>
  <c r="X43" i="5" s="1"/>
  <c r="H104" i="12"/>
  <c r="AB104" i="6"/>
  <c r="X104" i="5" s="1" a="1"/>
  <c r="X104" i="5" s="1"/>
  <c r="H58" i="12"/>
  <c r="AB58" i="6"/>
  <c r="X58" i="5" s="1" a="1"/>
  <c r="X58" i="5" s="1"/>
  <c r="H78" i="12"/>
  <c r="AB78" i="6"/>
  <c r="X78" i="5" s="1" a="1"/>
  <c r="X78" i="5" s="1"/>
  <c r="H75" i="12"/>
  <c r="AB75" i="6"/>
  <c r="X75" i="5" s="1" a="1"/>
  <c r="X75" i="5" s="1"/>
  <c r="H71" i="12"/>
  <c r="AB71" i="6"/>
  <c r="X71" i="5" s="1" a="1"/>
  <c r="X71" i="5" s="1"/>
  <c r="H34" i="12"/>
  <c r="AB34" i="6"/>
  <c r="H53" i="12"/>
  <c r="AB53" i="6"/>
  <c r="X53" i="5" s="1" a="1"/>
  <c r="X53" i="5" s="1"/>
  <c r="H42" i="12"/>
  <c r="AB42" i="6"/>
  <c r="H47" i="12"/>
  <c r="AB47" i="6"/>
  <c r="X47" i="5" s="1" a="1"/>
  <c r="X47" i="5" s="1"/>
  <c r="H72" i="12"/>
  <c r="AB72" i="6"/>
  <c r="X72" i="5" s="1" a="1"/>
  <c r="X72" i="5" s="1"/>
  <c r="H96" i="12"/>
  <c r="AB96" i="6"/>
  <c r="X96" i="5" s="1" a="1"/>
  <c r="X96" i="5" s="1"/>
  <c r="H36" i="12"/>
  <c r="AB36" i="6"/>
  <c r="X36" i="5" s="1" a="1"/>
  <c r="X36" i="5" s="1"/>
  <c r="H99" i="12"/>
  <c r="AB99" i="6"/>
  <c r="X99" i="5" s="1" a="1"/>
  <c r="X99" i="5" s="1"/>
  <c r="H54" i="12"/>
  <c r="AB54" i="6"/>
  <c r="X54" i="5" s="1" a="1"/>
  <c r="X54" i="5" s="1"/>
  <c r="H21" i="12"/>
  <c r="AB21" i="6"/>
  <c r="X21" i="5" s="1" a="1"/>
  <c r="X21" i="5" s="1"/>
  <c r="H28" i="12"/>
  <c r="AB28" i="6"/>
  <c r="X28" i="5" s="1" a="1"/>
  <c r="X28" i="5" s="1"/>
  <c r="H19" i="12"/>
  <c r="AB19" i="6"/>
  <c r="X19" i="5" s="1" a="1"/>
  <c r="X19" i="5" s="1"/>
  <c r="H37" i="12"/>
  <c r="AB37" i="6"/>
  <c r="X37" i="5" s="1" a="1"/>
  <c r="X37" i="5" s="1"/>
  <c r="H20" i="12"/>
  <c r="AB20" i="6"/>
  <c r="X20" i="5" s="1" a="1"/>
  <c r="X20" i="5" s="1"/>
  <c r="H59" i="12"/>
  <c r="AB59" i="6"/>
  <c r="X59" i="5" s="1" a="1"/>
  <c r="X59" i="5" s="1"/>
  <c r="H90" i="12"/>
  <c r="AB90" i="6"/>
  <c r="X90" i="5" s="1" a="1"/>
  <c r="X90" i="5" s="1"/>
  <c r="H92" i="12"/>
  <c r="AB92" i="6"/>
  <c r="X92" i="5" s="1" a="1"/>
  <c r="X92" i="5" s="1"/>
  <c r="H91" i="12"/>
  <c r="AB91" i="6"/>
  <c r="X91" i="5" s="1" a="1"/>
  <c r="X91" i="5" s="1"/>
  <c r="H35" i="12"/>
  <c r="AB35" i="6"/>
  <c r="X35" i="5" s="1" a="1"/>
  <c r="X35" i="5" s="1"/>
  <c r="H66" i="12"/>
  <c r="AB66" i="6"/>
  <c r="X66" i="5" s="1" a="1"/>
  <c r="X66" i="5" s="1"/>
  <c r="H51" i="12"/>
  <c r="AB51" i="6"/>
  <c r="H94" i="12"/>
  <c r="AB94" i="6"/>
  <c r="X94" i="5" s="1" a="1"/>
  <c r="X94" i="5" s="1"/>
  <c r="H76" i="12"/>
  <c r="AB76" i="6"/>
  <c r="X76" i="5" s="1" a="1"/>
  <c r="X76" i="5" s="1"/>
  <c r="H57" i="12"/>
  <c r="AB57" i="6"/>
  <c r="X57" i="5" s="1" a="1"/>
  <c r="X57" i="5" s="1"/>
  <c r="H65" i="12"/>
  <c r="AB65" i="6"/>
  <c r="X65" i="5" s="1" a="1"/>
  <c r="X65" i="5" s="1"/>
  <c r="H27" i="12"/>
  <c r="AB27" i="6"/>
  <c r="X27" i="5" s="1" a="1"/>
  <c r="X27" i="5" s="1"/>
  <c r="H79" i="12"/>
  <c r="AB79" i="6"/>
  <c r="X79" i="5" s="1" a="1"/>
  <c r="X79" i="5" s="1"/>
  <c r="H24" i="12"/>
  <c r="AB24" i="6"/>
  <c r="X24" i="5" s="1" a="1"/>
  <c r="X24" i="5" s="1"/>
  <c r="H82" i="12"/>
  <c r="AB82" i="6"/>
  <c r="X82" i="5" s="1" a="1"/>
  <c r="X82" i="5" s="1"/>
  <c r="H55" i="12"/>
  <c r="AB55" i="6"/>
  <c r="X55" i="5" s="1" a="1"/>
  <c r="X55" i="5" s="1"/>
  <c r="H88" i="12"/>
  <c r="AB88" i="6"/>
  <c r="H49" i="12"/>
  <c r="AB49" i="6"/>
  <c r="W31" i="8" s="1" a="1"/>
  <c r="W31" i="8" s="1"/>
  <c r="H73" i="12"/>
  <c r="AB73" i="6"/>
  <c r="X73" i="5" s="1" a="1"/>
  <c r="X73" i="5" s="1"/>
  <c r="H63" i="12"/>
  <c r="AB63" i="6"/>
  <c r="X63" i="5" s="1" a="1"/>
  <c r="X63" i="5" s="1"/>
  <c r="H98" i="12"/>
  <c r="AB98" i="6"/>
  <c r="X98" i="5" s="1" a="1"/>
  <c r="X98" i="5" s="1"/>
  <c r="H56" i="12"/>
  <c r="AB56" i="6"/>
  <c r="X56" i="5" s="1" a="1"/>
  <c r="X56" i="5" s="1"/>
  <c r="H64" i="12"/>
  <c r="AB64" i="6"/>
  <c r="X64" i="5" s="1" a="1"/>
  <c r="X64" i="5" s="1"/>
  <c r="H44" i="12"/>
  <c r="AB44" i="6"/>
  <c r="X44" i="5" s="1" a="1"/>
  <c r="X44" i="5" s="1"/>
  <c r="H38" i="12"/>
  <c r="AB38" i="6"/>
  <c r="X38" i="5" s="1" a="1"/>
  <c r="X38" i="5" s="1"/>
  <c r="H52" i="12"/>
  <c r="AB52" i="6"/>
  <c r="X52" i="5" s="1" a="1"/>
  <c r="X52" i="5" s="1"/>
  <c r="H100" i="12"/>
  <c r="AB100" i="6"/>
  <c r="X100" i="5" s="1" a="1"/>
  <c r="X100" i="5" s="1"/>
  <c r="H62" i="12"/>
  <c r="AB62" i="6"/>
  <c r="X62" i="5" s="1" a="1"/>
  <c r="X62" i="5" s="1"/>
  <c r="H29" i="12"/>
  <c r="AB29" i="6"/>
  <c r="X29" i="5" s="1" a="1"/>
  <c r="X29" i="5" s="1"/>
  <c r="H22" i="12"/>
  <c r="AB22" i="6"/>
  <c r="X22" i="5" s="1" a="1"/>
  <c r="X22" i="5" s="1"/>
  <c r="H39" i="12"/>
  <c r="AB39" i="6"/>
  <c r="X39" i="5" s="1" a="1"/>
  <c r="X39" i="5" s="1"/>
  <c r="H46" i="12"/>
  <c r="AB46" i="6"/>
  <c r="X46" i="5" s="1" a="1"/>
  <c r="X46" i="5" s="1"/>
  <c r="H77" i="12"/>
  <c r="AB77" i="6"/>
  <c r="X77" i="5" s="1" a="1"/>
  <c r="X77" i="5" s="1"/>
  <c r="H40" i="12"/>
  <c r="AB40" i="6"/>
  <c r="X40" i="5" s="1" a="1"/>
  <c r="X40" i="5" s="1"/>
  <c r="H103" i="12"/>
  <c r="AB103" i="6"/>
  <c r="X103" i="5" s="1" a="1"/>
  <c r="X103" i="5" s="1"/>
  <c r="H97" i="12"/>
  <c r="AB97" i="6"/>
  <c r="X97" i="5" s="1" a="1"/>
  <c r="X97" i="5" s="1"/>
  <c r="H26" i="12"/>
  <c r="AB26" i="6"/>
  <c r="X26" i="5" s="1" a="1"/>
  <c r="X26" i="5" s="1"/>
  <c r="H23" i="12"/>
  <c r="AB23" i="6"/>
  <c r="X23" i="5" s="1" a="1"/>
  <c r="X23" i="5" s="1"/>
  <c r="H69" i="12"/>
  <c r="AB69" i="6"/>
  <c r="X69" i="5" s="1" a="1"/>
  <c r="X69" i="5" s="1"/>
  <c r="H60" i="12"/>
  <c r="AB60" i="6"/>
  <c r="X60" i="5" s="1" a="1"/>
  <c r="X60" i="5" s="1"/>
  <c r="H68" i="12"/>
  <c r="AB68" i="6"/>
  <c r="X68" i="5" s="1" a="1"/>
  <c r="X68" i="5" s="1"/>
  <c r="AB32" i="6"/>
  <c r="X32" i="5" s="1" a="1"/>
  <c r="X32" i="5" s="1"/>
  <c r="H32" i="12"/>
  <c r="H61" i="12"/>
  <c r="AB61" i="6"/>
  <c r="X61" i="5" s="1" a="1"/>
  <c r="X61" i="5" s="1"/>
  <c r="H81" i="12"/>
  <c r="AB81" i="6"/>
  <c r="X81" i="5" s="1" a="1"/>
  <c r="X81" i="5" s="1"/>
  <c r="H74" i="12"/>
  <c r="AB74" i="6"/>
  <c r="X74" i="5" s="1" a="1"/>
  <c r="X74" i="5" s="1"/>
  <c r="H93" i="12"/>
  <c r="AB93" i="6"/>
  <c r="X93" i="5" s="1" a="1"/>
  <c r="X93" i="5" s="1"/>
  <c r="H80" i="12"/>
  <c r="AB80" i="6"/>
  <c r="X80" i="5" s="1" a="1"/>
  <c r="X80" i="5" s="1"/>
  <c r="H101" i="12"/>
  <c r="AB101" i="6"/>
  <c r="X101" i="5" s="1" a="1"/>
  <c r="X101" i="5" s="1"/>
  <c r="H70" i="12"/>
  <c r="AB70" i="6"/>
  <c r="X70" i="5" s="1" a="1"/>
  <c r="X70" i="5" s="1"/>
  <c r="H95" i="12"/>
  <c r="AB95" i="6"/>
  <c r="X95" i="5" s="1" a="1"/>
  <c r="X95" i="5" s="1"/>
  <c r="H67" i="12"/>
  <c r="AB67" i="6"/>
  <c r="X67" i="5" s="1" a="1"/>
  <c r="X67" i="5" s="1"/>
  <c r="H45" i="12"/>
  <c r="AB45" i="6"/>
  <c r="X45" i="5" s="1" a="1"/>
  <c r="X45" i="5" s="1"/>
  <c r="H89" i="12"/>
  <c r="AB89" i="6"/>
  <c r="X89" i="5" s="1" a="1"/>
  <c r="X89" i="5" s="1"/>
  <c r="H102" i="12"/>
  <c r="AB102" i="6"/>
  <c r="X102" i="5" s="1" a="1"/>
  <c r="X102" i="5" s="1"/>
  <c r="H25" i="12"/>
  <c r="AB25" i="6"/>
  <c r="X25" i="5" s="1" a="1"/>
  <c r="X25" i="5" s="1"/>
  <c r="AB31" i="6"/>
  <c r="H31" i="12"/>
  <c r="H18" i="12"/>
  <c r="AB18" i="6"/>
  <c r="V19" i="8" l="1" a="1"/>
  <c r="V19" i="8" s="1"/>
  <c r="W28" i="8" a="1"/>
  <c r="W28" i="8" s="1"/>
  <c r="U25" i="8" a="1"/>
  <c r="U25" i="8" s="1"/>
  <c r="E25" i="8" a="1"/>
  <c r="E25" i="8" s="1"/>
  <c r="U37" i="8" a="1"/>
  <c r="U37" i="8" s="1"/>
  <c r="E37" i="8" a="1"/>
  <c r="E37" i="8" s="1"/>
  <c r="Z101" i="5"/>
  <c r="AB101" i="5" s="1"/>
  <c r="AM101" i="5"/>
  <c r="I101" i="12"/>
  <c r="L101" i="5"/>
  <c r="AM81" i="5"/>
  <c r="I81" i="12"/>
  <c r="Z81" i="5"/>
  <c r="AB81" i="5" s="1"/>
  <c r="L81" i="5"/>
  <c r="L60" i="5"/>
  <c r="I60" i="12"/>
  <c r="AM60" i="5"/>
  <c r="Z60" i="5"/>
  <c r="AB60" i="5" s="1"/>
  <c r="I52" i="12"/>
  <c r="Z52" i="5"/>
  <c r="AB52" i="5" s="1"/>
  <c r="AM52" i="5"/>
  <c r="L52" i="5"/>
  <c r="Z56" i="5"/>
  <c r="AB56" i="5" s="1"/>
  <c r="AM56" i="5"/>
  <c r="L56" i="5"/>
  <c r="I56" i="12"/>
  <c r="Z53" i="5"/>
  <c r="AB53" i="5" s="1"/>
  <c r="I53" i="12"/>
  <c r="AM53" i="5"/>
  <c r="L53" i="5"/>
  <c r="L75" i="5"/>
  <c r="Z75" i="5"/>
  <c r="AB75" i="5" s="1"/>
  <c r="I75" i="12"/>
  <c r="AM75" i="5"/>
  <c r="I67" i="12"/>
  <c r="AM67" i="5"/>
  <c r="Z67" i="5"/>
  <c r="AB67" i="5" s="1"/>
  <c r="L67" i="5"/>
  <c r="L77" i="5"/>
  <c r="AM77" i="5"/>
  <c r="Z77" i="5"/>
  <c r="AB77" i="5" s="1"/>
  <c r="I77" i="12"/>
  <c r="AM29" i="5"/>
  <c r="L29" i="5"/>
  <c r="I29" i="12"/>
  <c r="Z29" i="5"/>
  <c r="AB29" i="5" s="1"/>
  <c r="X49" i="5" a="1"/>
  <c r="X49" i="5" s="1"/>
  <c r="AA31" i="8" a="1"/>
  <c r="AA31" i="8" s="1"/>
  <c r="AM24" i="5"/>
  <c r="Z24" i="5"/>
  <c r="AB24" i="5" s="1"/>
  <c r="I24" i="12"/>
  <c r="L24" i="5"/>
  <c r="AM57" i="5"/>
  <c r="I57" i="12"/>
  <c r="L57" i="5"/>
  <c r="Z57" i="5"/>
  <c r="AB57" i="5" s="1"/>
  <c r="AM66" i="5"/>
  <c r="Z66" i="5"/>
  <c r="AB66" i="5" s="1"/>
  <c r="I66" i="12"/>
  <c r="L66" i="5"/>
  <c r="AM90" i="5"/>
  <c r="L90" i="5"/>
  <c r="Z90" i="5"/>
  <c r="AB90" i="5" s="1"/>
  <c r="I90" i="12"/>
  <c r="AM37" i="5"/>
  <c r="L37" i="5"/>
  <c r="I37" i="12"/>
  <c r="Z37" i="5"/>
  <c r="AB37" i="5" s="1"/>
  <c r="L54" i="5"/>
  <c r="Z54" i="5"/>
  <c r="AB54" i="5" s="1"/>
  <c r="I54" i="12"/>
  <c r="AM54" i="5"/>
  <c r="I72" i="12"/>
  <c r="Z72" i="5"/>
  <c r="AB72" i="5" s="1"/>
  <c r="AM72" i="5"/>
  <c r="L72" i="5"/>
  <c r="AM43" i="5"/>
  <c r="Z43" i="5"/>
  <c r="AB43" i="5" s="1"/>
  <c r="I43" i="12"/>
  <c r="L43" i="5"/>
  <c r="L89" i="5"/>
  <c r="I89" i="12"/>
  <c r="AM89" i="5"/>
  <c r="Z89" i="5"/>
  <c r="AB89" i="5" s="1"/>
  <c r="AM25" i="5"/>
  <c r="Z25" i="5"/>
  <c r="AB25" i="5" s="1"/>
  <c r="I25" i="12"/>
  <c r="L25" i="5"/>
  <c r="X31" i="5" a="1"/>
  <c r="X31" i="5" s="1"/>
  <c r="X22" i="8" a="1"/>
  <c r="X22" i="8" s="1"/>
  <c r="Z80" i="5"/>
  <c r="AB80" i="5" s="1"/>
  <c r="I80" i="12"/>
  <c r="L80" i="5"/>
  <c r="AM80" i="5"/>
  <c r="AM61" i="5"/>
  <c r="L61" i="5"/>
  <c r="Z61" i="5"/>
  <c r="AB61" i="5" s="1"/>
  <c r="I61" i="12"/>
  <c r="I97" i="12"/>
  <c r="AM97" i="5"/>
  <c r="L97" i="5"/>
  <c r="Z97" i="5"/>
  <c r="AB97" i="5" s="1"/>
  <c r="AM38" i="5"/>
  <c r="I38" i="12"/>
  <c r="Z38" i="5"/>
  <c r="AB38" i="5" s="1"/>
  <c r="L38" i="5"/>
  <c r="Z98" i="5"/>
  <c r="AB98" i="5" s="1"/>
  <c r="L98" i="5"/>
  <c r="I98" i="12"/>
  <c r="AM98" i="5"/>
  <c r="I78" i="12"/>
  <c r="Z78" i="5"/>
  <c r="AB78" i="5" s="1"/>
  <c r="AM78" i="5"/>
  <c r="L78" i="5"/>
  <c r="AM69" i="5"/>
  <c r="I69" i="12"/>
  <c r="L69" i="5"/>
  <c r="Z69" i="5"/>
  <c r="AB69" i="5" s="1"/>
  <c r="Z46" i="5"/>
  <c r="AB46" i="5" s="1"/>
  <c r="L46" i="5"/>
  <c r="AM46" i="5"/>
  <c r="I46" i="12"/>
  <c r="Z62" i="5"/>
  <c r="AB62" i="5" s="1"/>
  <c r="L62" i="5"/>
  <c r="I62" i="12"/>
  <c r="AM62" i="5"/>
  <c r="X88" i="5" a="1"/>
  <c r="X88" i="5" s="1"/>
  <c r="V37" i="8" a="1"/>
  <c r="V37" i="8" s="1"/>
  <c r="AM79" i="5"/>
  <c r="Z79" i="5"/>
  <c r="AB79" i="5" s="1"/>
  <c r="L79" i="5"/>
  <c r="I79" i="12"/>
  <c r="Z76" i="5"/>
  <c r="AB76" i="5" s="1"/>
  <c r="L76" i="5"/>
  <c r="I76" i="12"/>
  <c r="AM76" i="5"/>
  <c r="Z35" i="5"/>
  <c r="AB35" i="5" s="1"/>
  <c r="L35" i="5"/>
  <c r="I35" i="12"/>
  <c r="AM35" i="5"/>
  <c r="Z59" i="5"/>
  <c r="AB59" i="5" s="1"/>
  <c r="I59" i="12"/>
  <c r="AM59" i="5"/>
  <c r="L59" i="5"/>
  <c r="L19" i="5"/>
  <c r="Z19" i="5"/>
  <c r="AB19" i="5" s="1"/>
  <c r="AM19" i="5"/>
  <c r="I19" i="12"/>
  <c r="Z99" i="5"/>
  <c r="AB99" i="5" s="1"/>
  <c r="AM99" i="5"/>
  <c r="I99" i="12"/>
  <c r="L99" i="5"/>
  <c r="Z47" i="5"/>
  <c r="AB47" i="5" s="1"/>
  <c r="AM47" i="5"/>
  <c r="L47" i="5"/>
  <c r="I47" i="12"/>
  <c r="AM102" i="5"/>
  <c r="L102" i="5"/>
  <c r="I102" i="12"/>
  <c r="Z102" i="5"/>
  <c r="AB102" i="5" s="1"/>
  <c r="I95" i="12"/>
  <c r="AM95" i="5"/>
  <c r="Z95" i="5"/>
  <c r="AB95" i="5" s="1"/>
  <c r="L95" i="5"/>
  <c r="I93" i="12"/>
  <c r="AM93" i="5"/>
  <c r="L93" i="5"/>
  <c r="Z93" i="5"/>
  <c r="AB93" i="5" s="1"/>
  <c r="Z26" i="5"/>
  <c r="AB26" i="5" s="1"/>
  <c r="AM26" i="5"/>
  <c r="L26" i="5"/>
  <c r="I26" i="12"/>
  <c r="I103" i="12"/>
  <c r="Z103" i="5"/>
  <c r="AB103" i="5" s="1"/>
  <c r="L103" i="5"/>
  <c r="AM103" i="5"/>
  <c r="AM44" i="5"/>
  <c r="L44" i="5"/>
  <c r="I44" i="12"/>
  <c r="Z44" i="5"/>
  <c r="AB44" i="5" s="1"/>
  <c r="L63" i="5"/>
  <c r="I63" i="12"/>
  <c r="AM63" i="5"/>
  <c r="Z63" i="5"/>
  <c r="AB63" i="5" s="1"/>
  <c r="X34" i="5" a="1"/>
  <c r="X34" i="5" s="1"/>
  <c r="Y25" i="8" a="1"/>
  <c r="Y25" i="8" s="1"/>
  <c r="L58" i="5"/>
  <c r="Z58" i="5"/>
  <c r="AB58" i="5" s="1"/>
  <c r="AM58" i="5"/>
  <c r="I58" i="12"/>
  <c r="Z32" i="5"/>
  <c r="AB32" i="5" s="1"/>
  <c r="I32" i="12"/>
  <c r="AM32" i="5"/>
  <c r="L32" i="5"/>
  <c r="AM39" i="5"/>
  <c r="I39" i="12"/>
  <c r="L39" i="5"/>
  <c r="Z39" i="5"/>
  <c r="AB39" i="5" s="1"/>
  <c r="AM55" i="5"/>
  <c r="Z55" i="5"/>
  <c r="AB55" i="5" s="1"/>
  <c r="I55" i="12"/>
  <c r="L55" i="5"/>
  <c r="AM27" i="5"/>
  <c r="L27" i="5"/>
  <c r="I27" i="12"/>
  <c r="Z27" i="5"/>
  <c r="AB27" i="5" s="1"/>
  <c r="AM94" i="5"/>
  <c r="I94" i="12"/>
  <c r="L94" i="5"/>
  <c r="Z94" i="5"/>
  <c r="AB94" i="5" s="1"/>
  <c r="AM91" i="5"/>
  <c r="Z91" i="5"/>
  <c r="AB91" i="5" s="1"/>
  <c r="L91" i="5"/>
  <c r="I91" i="12"/>
  <c r="AM36" i="5"/>
  <c r="L36" i="5"/>
  <c r="I36" i="12"/>
  <c r="Z36" i="5"/>
  <c r="AB36" i="5" s="1"/>
  <c r="Z70" i="5"/>
  <c r="AB70" i="5" s="1"/>
  <c r="AM70" i="5"/>
  <c r="I70" i="12"/>
  <c r="L70" i="5"/>
  <c r="I74" i="12"/>
  <c r="Z74" i="5"/>
  <c r="AB74" i="5" s="1"/>
  <c r="AM74" i="5"/>
  <c r="L74" i="5"/>
  <c r="L68" i="5"/>
  <c r="I68" i="12"/>
  <c r="AM68" i="5"/>
  <c r="Z68" i="5"/>
  <c r="AB68" i="5" s="1"/>
  <c r="AM23" i="5"/>
  <c r="L23" i="5"/>
  <c r="I23" i="12"/>
  <c r="Z23" i="5"/>
  <c r="AB23" i="5" s="1"/>
  <c r="L40" i="5"/>
  <c r="Z40" i="5"/>
  <c r="AB40" i="5" s="1"/>
  <c r="I40" i="12"/>
  <c r="AM40" i="5"/>
  <c r="I100" i="12"/>
  <c r="Z100" i="5"/>
  <c r="AB100" i="5" s="1"/>
  <c r="L100" i="5"/>
  <c r="AM100" i="5"/>
  <c r="I64" i="12"/>
  <c r="Z64" i="5"/>
  <c r="AB64" i="5" s="1"/>
  <c r="L64" i="5"/>
  <c r="AM64" i="5"/>
  <c r="I20" i="12"/>
  <c r="L20" i="5"/>
  <c r="AM20" i="5"/>
  <c r="Z20" i="5"/>
  <c r="AB20" i="5" s="1"/>
  <c r="L21" i="5"/>
  <c r="AM21" i="5"/>
  <c r="Z21" i="5"/>
  <c r="AB21" i="5" s="1"/>
  <c r="I21" i="12"/>
  <c r="X42" i="5" a="1"/>
  <c r="X42" i="5" s="1"/>
  <c r="Z28" i="8" a="1"/>
  <c r="Z28" i="8" s="1"/>
  <c r="AM71" i="5"/>
  <c r="I71" i="12"/>
  <c r="L71" i="5"/>
  <c r="Z71" i="5"/>
  <c r="AB71" i="5" s="1"/>
  <c r="AM45" i="5"/>
  <c r="Z45" i="5"/>
  <c r="AB45" i="5" s="1"/>
  <c r="I45" i="12"/>
  <c r="L45" i="5"/>
  <c r="Z22" i="5"/>
  <c r="AB22" i="5" s="1"/>
  <c r="AM22" i="5"/>
  <c r="L22" i="5"/>
  <c r="I22" i="12"/>
  <c r="AM73" i="5"/>
  <c r="I73" i="12"/>
  <c r="L73" i="5"/>
  <c r="Z73" i="5"/>
  <c r="AB73" i="5" s="1"/>
  <c r="L82" i="5"/>
  <c r="I82" i="12"/>
  <c r="Z82" i="5"/>
  <c r="AB82" i="5" s="1"/>
  <c r="AM82" i="5"/>
  <c r="I65" i="12"/>
  <c r="Z65" i="5"/>
  <c r="AB65" i="5" s="1"/>
  <c r="AM65" i="5"/>
  <c r="L65" i="5"/>
  <c r="X51" i="5" a="1"/>
  <c r="X51" i="5" s="1"/>
  <c r="E34" i="8" a="1"/>
  <c r="E34" i="8" s="1"/>
  <c r="U34" i="8" a="1"/>
  <c r="U34" i="8" s="1"/>
  <c r="L92" i="5"/>
  <c r="AM92" i="5"/>
  <c r="Z92" i="5"/>
  <c r="AB92" i="5" s="1"/>
  <c r="I92" i="12"/>
  <c r="AM28" i="5"/>
  <c r="L28" i="5"/>
  <c r="I28" i="12"/>
  <c r="Z28" i="5"/>
  <c r="AB28" i="5" s="1"/>
  <c r="L96" i="5"/>
  <c r="AM96" i="5"/>
  <c r="Z96" i="5"/>
  <c r="AB96" i="5" s="1"/>
  <c r="I96" i="12"/>
  <c r="L104" i="5"/>
  <c r="Z104" i="5"/>
  <c r="AB104" i="5" s="1"/>
  <c r="AM104" i="5"/>
  <c r="I104" i="12"/>
  <c r="X18" i="5" a="1"/>
  <c r="X18" i="5" s="1"/>
  <c r="W19" i="8" a="1"/>
  <c r="W19" i="8" s="1"/>
  <c r="AB15" i="6"/>
  <c r="Q15" i="6" s="1"/>
  <c r="Q11" i="6" s="1"/>
  <c r="AM42" i="5" l="1"/>
  <c r="Z42" i="5"/>
  <c r="AB42" i="5" s="1"/>
  <c r="AB41" i="5" s="1"/>
  <c r="I42" i="12"/>
  <c r="L42" i="5"/>
  <c r="X41" i="5" a="1"/>
  <c r="X41" i="5" s="1"/>
  <c r="I42" i="5"/>
  <c r="I43" i="5" s="1"/>
  <c r="I44" i="5" s="1"/>
  <c r="I45" i="5" s="1"/>
  <c r="C20" i="12"/>
  <c r="AO20" i="12"/>
  <c r="O20" i="12"/>
  <c r="M20" i="12"/>
  <c r="C100" i="6"/>
  <c r="C68" i="6"/>
  <c r="O70" i="12"/>
  <c r="M70" i="12"/>
  <c r="AO70" i="12"/>
  <c r="C70" i="12"/>
  <c r="C94" i="12"/>
  <c r="M94" i="12"/>
  <c r="O94" i="12"/>
  <c r="AO94" i="12"/>
  <c r="C55" i="12"/>
  <c r="M55" i="12"/>
  <c r="O55" i="12"/>
  <c r="AO55" i="12"/>
  <c r="C63" i="6"/>
  <c r="C93" i="6"/>
  <c r="C46" i="6"/>
  <c r="C78" i="6"/>
  <c r="C97" i="6"/>
  <c r="C43" i="6"/>
  <c r="AO72" i="12"/>
  <c r="C72" i="12"/>
  <c r="M72" i="12"/>
  <c r="O72" i="12"/>
  <c r="C37" i="6"/>
  <c r="C66" i="6"/>
  <c r="C29" i="12"/>
  <c r="O29" i="12"/>
  <c r="M29" i="12"/>
  <c r="AO29" i="12"/>
  <c r="C56" i="12"/>
  <c r="O56" i="12"/>
  <c r="M56" i="12"/>
  <c r="AO56" i="12"/>
  <c r="C52" i="12"/>
  <c r="O52" i="12"/>
  <c r="AO52" i="12"/>
  <c r="M52" i="12"/>
  <c r="C22" i="12"/>
  <c r="AO22" i="12"/>
  <c r="O22" i="12"/>
  <c r="M22" i="12"/>
  <c r="C21" i="12"/>
  <c r="AO21" i="12"/>
  <c r="M21" i="12"/>
  <c r="O21" i="12"/>
  <c r="AO23" i="12"/>
  <c r="C23" i="12"/>
  <c r="O23" i="12"/>
  <c r="M23" i="12"/>
  <c r="O91" i="12"/>
  <c r="AO91" i="12"/>
  <c r="M91" i="12"/>
  <c r="C91" i="12"/>
  <c r="C32" i="6"/>
  <c r="C58" i="6"/>
  <c r="C103" i="12"/>
  <c r="O103" i="12"/>
  <c r="M103" i="12"/>
  <c r="AO103" i="12"/>
  <c r="C35" i="12"/>
  <c r="AO35" i="12"/>
  <c r="O35" i="12"/>
  <c r="M35" i="12"/>
  <c r="C80" i="6"/>
  <c r="AO43" i="12"/>
  <c r="M43" i="12"/>
  <c r="O43" i="12"/>
  <c r="C43" i="12"/>
  <c r="C66" i="12"/>
  <c r="M66" i="12"/>
  <c r="AO66" i="12"/>
  <c r="O66" i="12"/>
  <c r="C24" i="6"/>
  <c r="C29" i="6"/>
  <c r="C67" i="6"/>
  <c r="C75" i="6"/>
  <c r="C56" i="6"/>
  <c r="C81" i="12"/>
  <c r="AO81" i="12"/>
  <c r="M81" i="12"/>
  <c r="O81" i="12"/>
  <c r="O82" i="12"/>
  <c r="C82" i="12"/>
  <c r="M82" i="12"/>
  <c r="AO82" i="12"/>
  <c r="C22" i="6"/>
  <c r="C100" i="12"/>
  <c r="M100" i="12"/>
  <c r="O100" i="12"/>
  <c r="AO100" i="12"/>
  <c r="C23" i="6"/>
  <c r="C74" i="6"/>
  <c r="C91" i="6"/>
  <c r="M44" i="12"/>
  <c r="AO44" i="12"/>
  <c r="O44" i="12"/>
  <c r="C44" i="12"/>
  <c r="C26" i="12"/>
  <c r="M26" i="12"/>
  <c r="O26" i="12"/>
  <c r="AO26" i="12"/>
  <c r="C93" i="12"/>
  <c r="M93" i="12"/>
  <c r="O93" i="12"/>
  <c r="AO93" i="12"/>
  <c r="AO102" i="12"/>
  <c r="M102" i="12"/>
  <c r="C102" i="12"/>
  <c r="O102" i="12"/>
  <c r="C19" i="6"/>
  <c r="C35" i="6"/>
  <c r="AO79" i="12"/>
  <c r="C79" i="12"/>
  <c r="O79" i="12"/>
  <c r="M79" i="12"/>
  <c r="C62" i="12"/>
  <c r="O62" i="12"/>
  <c r="AO62" i="12"/>
  <c r="M62" i="12"/>
  <c r="C38" i="6"/>
  <c r="M97" i="12"/>
  <c r="AO97" i="12"/>
  <c r="C97" i="12"/>
  <c r="O97" i="12"/>
  <c r="C80" i="12"/>
  <c r="AO80" i="12"/>
  <c r="M80" i="12"/>
  <c r="O80" i="12"/>
  <c r="AO24" i="12"/>
  <c r="C24" i="12"/>
  <c r="O24" i="12"/>
  <c r="M24" i="12"/>
  <c r="C28" i="12"/>
  <c r="M28" i="12"/>
  <c r="O28" i="12"/>
  <c r="AO28" i="12"/>
  <c r="C104" i="6"/>
  <c r="C28" i="6"/>
  <c r="I51" i="12"/>
  <c r="L51" i="5"/>
  <c r="Z51" i="5"/>
  <c r="AB51" i="5" s="1"/>
  <c r="AB50" i="5" s="1"/>
  <c r="AM51" i="5"/>
  <c r="X50" i="5" a="1"/>
  <c r="X50" i="5" s="1"/>
  <c r="C82" i="6"/>
  <c r="C64" i="6"/>
  <c r="C27" i="12"/>
  <c r="AO27" i="12"/>
  <c r="O27" i="12"/>
  <c r="M27" i="12"/>
  <c r="O32" i="12"/>
  <c r="C32" i="12"/>
  <c r="AO32" i="12"/>
  <c r="M32" i="12"/>
  <c r="I34" i="12"/>
  <c r="L34" i="5"/>
  <c r="Z34" i="5"/>
  <c r="AB34" i="5" s="1"/>
  <c r="AB33" i="5" s="1"/>
  <c r="AM34" i="5"/>
  <c r="X33" i="5" a="1"/>
  <c r="X33" i="5" s="1"/>
  <c r="I34" i="5"/>
  <c r="I35" i="5" s="1"/>
  <c r="C44" i="6"/>
  <c r="C26" i="6"/>
  <c r="C102" i="6"/>
  <c r="C99" i="6"/>
  <c r="C79" i="6"/>
  <c r="C62" i="6"/>
  <c r="AO78" i="12"/>
  <c r="M78" i="12"/>
  <c r="O78" i="12"/>
  <c r="C78" i="12"/>
  <c r="AO61" i="12"/>
  <c r="O61" i="12"/>
  <c r="M61" i="12"/>
  <c r="C61" i="12"/>
  <c r="O54" i="12"/>
  <c r="C54" i="12"/>
  <c r="M54" i="12"/>
  <c r="AO54" i="12"/>
  <c r="C90" i="12"/>
  <c r="M90" i="12"/>
  <c r="AO90" i="12"/>
  <c r="O90" i="12"/>
  <c r="C53" i="6"/>
  <c r="AO96" i="12"/>
  <c r="C96" i="12"/>
  <c r="O96" i="12"/>
  <c r="M96" i="12"/>
  <c r="C65" i="6"/>
  <c r="C71" i="6"/>
  <c r="C21" i="6"/>
  <c r="C27" i="6"/>
  <c r="C95" i="6"/>
  <c r="M99" i="12"/>
  <c r="O99" i="12"/>
  <c r="C99" i="12"/>
  <c r="AO99" i="12"/>
  <c r="C59" i="6"/>
  <c r="C69" i="6"/>
  <c r="C38" i="12"/>
  <c r="AO38" i="12"/>
  <c r="O38" i="12"/>
  <c r="M38" i="12"/>
  <c r="AO77" i="12"/>
  <c r="O77" i="12"/>
  <c r="C77" i="12"/>
  <c r="M77" i="12"/>
  <c r="C67" i="12"/>
  <c r="O67" i="12"/>
  <c r="AO67" i="12"/>
  <c r="M67" i="12"/>
  <c r="O60" i="12"/>
  <c r="C60" i="12"/>
  <c r="AO60" i="12"/>
  <c r="M60" i="12"/>
  <c r="C101" i="6"/>
  <c r="O92" i="12"/>
  <c r="C92" i="12"/>
  <c r="M92" i="12"/>
  <c r="AO92" i="12"/>
  <c r="O71" i="12"/>
  <c r="M71" i="12"/>
  <c r="AO71" i="12"/>
  <c r="C71" i="12"/>
  <c r="C64" i="12"/>
  <c r="O64" i="12"/>
  <c r="AO64" i="12"/>
  <c r="M64" i="12"/>
  <c r="C40" i="12"/>
  <c r="AO40" i="12"/>
  <c r="M40" i="12"/>
  <c r="O40" i="12"/>
  <c r="M74" i="12"/>
  <c r="AO74" i="12"/>
  <c r="O74" i="12"/>
  <c r="C74" i="12"/>
  <c r="AO36" i="12"/>
  <c r="C36" i="12"/>
  <c r="O36" i="12"/>
  <c r="M36" i="12"/>
  <c r="C39" i="6"/>
  <c r="C69" i="12"/>
  <c r="M69" i="12"/>
  <c r="O69" i="12"/>
  <c r="AO69" i="12"/>
  <c r="C61" i="6"/>
  <c r="X30" i="5" a="1"/>
  <c r="X30" i="5" s="1"/>
  <c r="L31" i="5"/>
  <c r="Z31" i="5"/>
  <c r="AB31" i="5" s="1"/>
  <c r="AB30" i="5" s="1"/>
  <c r="I31" i="12"/>
  <c r="AM31" i="5"/>
  <c r="I31" i="5"/>
  <c r="I32" i="5" s="1"/>
  <c r="O32" i="5" s="1"/>
  <c r="M89" i="12"/>
  <c r="C89" i="12"/>
  <c r="AO89" i="12"/>
  <c r="O89" i="12"/>
  <c r="C72" i="6"/>
  <c r="C54" i="6"/>
  <c r="C90" i="6"/>
  <c r="M53" i="12"/>
  <c r="C53" i="12"/>
  <c r="O53" i="12"/>
  <c r="AO53" i="12"/>
  <c r="C52" i="6"/>
  <c r="C60" i="6"/>
  <c r="O101" i="12"/>
  <c r="M101" i="12"/>
  <c r="C101" i="12"/>
  <c r="AO101" i="12"/>
  <c r="C92" i="6"/>
  <c r="C73" i="6"/>
  <c r="C45" i="6"/>
  <c r="C36" i="6"/>
  <c r="C39" i="12"/>
  <c r="O39" i="12"/>
  <c r="AO39" i="12"/>
  <c r="M39" i="12"/>
  <c r="AO58" i="12"/>
  <c r="O58" i="12"/>
  <c r="M58" i="12"/>
  <c r="C58" i="12"/>
  <c r="C47" i="12"/>
  <c r="O47" i="12"/>
  <c r="AO47" i="12"/>
  <c r="M47" i="12"/>
  <c r="C59" i="12"/>
  <c r="AO59" i="12"/>
  <c r="O59" i="12"/>
  <c r="M59" i="12"/>
  <c r="C76" i="12"/>
  <c r="AO76" i="12"/>
  <c r="O76" i="12"/>
  <c r="M76" i="12"/>
  <c r="C46" i="12"/>
  <c r="M46" i="12"/>
  <c r="AO46" i="12"/>
  <c r="O46" i="12"/>
  <c r="O98" i="12"/>
  <c r="M98" i="12"/>
  <c r="C98" i="12"/>
  <c r="AO98" i="12"/>
  <c r="C25" i="6"/>
  <c r="C89" i="6"/>
  <c r="C57" i="6"/>
  <c r="Z49" i="5"/>
  <c r="AB49" i="5" s="1"/>
  <c r="AB48" i="5" s="1"/>
  <c r="AM49" i="5"/>
  <c r="I49" i="12"/>
  <c r="L49" i="5"/>
  <c r="X48" i="5" a="1"/>
  <c r="X48" i="5" s="1"/>
  <c r="O104" i="12"/>
  <c r="AO104" i="12"/>
  <c r="C104" i="12"/>
  <c r="M104" i="12"/>
  <c r="C96" i="6"/>
  <c r="C65" i="12"/>
  <c r="O65" i="12"/>
  <c r="AO65" i="12"/>
  <c r="M65" i="12"/>
  <c r="M73" i="12"/>
  <c r="O73" i="12"/>
  <c r="AO73" i="12"/>
  <c r="C73" i="12"/>
  <c r="C45" i="12"/>
  <c r="M45" i="12"/>
  <c r="O45" i="12"/>
  <c r="AO45" i="12"/>
  <c r="C20" i="6"/>
  <c r="C40" i="6"/>
  <c r="AO68" i="12"/>
  <c r="O68" i="12"/>
  <c r="M68" i="12"/>
  <c r="C68" i="12"/>
  <c r="C70" i="6"/>
  <c r="C94" i="6"/>
  <c r="C55" i="6"/>
  <c r="C63" i="12"/>
  <c r="O63" i="12"/>
  <c r="AO63" i="12"/>
  <c r="M63" i="12"/>
  <c r="C103" i="6"/>
  <c r="O95" i="12"/>
  <c r="AO95" i="12"/>
  <c r="C95" i="12"/>
  <c r="M95" i="12"/>
  <c r="C47" i="6"/>
  <c r="O19" i="12"/>
  <c r="C19" i="12"/>
  <c r="AO19" i="12"/>
  <c r="M19" i="12"/>
  <c r="C76" i="6"/>
  <c r="AM88" i="5"/>
  <c r="I88" i="12"/>
  <c r="L88" i="5"/>
  <c r="Z88" i="5"/>
  <c r="AB88" i="5" s="1"/>
  <c r="AB87" i="5" s="1"/>
  <c r="X87" i="5" a="1"/>
  <c r="X87" i="5" s="1"/>
  <c r="I88" i="5"/>
  <c r="I89" i="5" s="1"/>
  <c r="I90" i="5" s="1"/>
  <c r="I91" i="5" s="1"/>
  <c r="I92" i="5" s="1"/>
  <c r="I93" i="5" s="1"/>
  <c r="I94" i="5" s="1"/>
  <c r="I95" i="5" s="1"/>
  <c r="I96" i="5" s="1"/>
  <c r="I97" i="5" s="1"/>
  <c r="I98" i="5" s="1"/>
  <c r="I99" i="5" s="1"/>
  <c r="I100" i="5" s="1"/>
  <c r="I101" i="5" s="1"/>
  <c r="I102" i="5" s="1"/>
  <c r="I103" i="5" s="1"/>
  <c r="I104" i="5" s="1"/>
  <c r="O104" i="5" s="1"/>
  <c r="C98" i="6"/>
  <c r="M25" i="12"/>
  <c r="C25" i="12"/>
  <c r="O25" i="12"/>
  <c r="AO25" i="12"/>
  <c r="C37" i="12"/>
  <c r="AO37" i="12"/>
  <c r="M37" i="12"/>
  <c r="O37" i="12"/>
  <c r="AO57" i="12"/>
  <c r="C57" i="12"/>
  <c r="M57" i="12"/>
  <c r="O57" i="12"/>
  <c r="C77" i="6"/>
  <c r="C75" i="12"/>
  <c r="O75" i="12"/>
  <c r="M75" i="12"/>
  <c r="AO75" i="12"/>
  <c r="C81" i="6"/>
  <c r="AM18" i="5"/>
  <c r="L18" i="5"/>
  <c r="I18" i="12"/>
  <c r="Z18" i="5"/>
  <c r="I18" i="5"/>
  <c r="I19" i="5" s="1"/>
  <c r="X17" i="5" a="1"/>
  <c r="X17" i="5" s="1"/>
  <c r="X16" i="5" a="1"/>
  <c r="X16" i="5" s="1"/>
  <c r="X15" i="5"/>
  <c r="Y72" i="12" l="1"/>
  <c r="O43" i="5"/>
  <c r="E43" i="6" s="1"/>
  <c r="O44" i="5"/>
  <c r="E44" i="6" s="1"/>
  <c r="Y21" i="12"/>
  <c r="Y98" i="12"/>
  <c r="X98" i="12" s="1"/>
  <c r="N98" i="12"/>
  <c r="Y69" i="12"/>
  <c r="W69" i="12" s="1"/>
  <c r="N97" i="12"/>
  <c r="Y70" i="12"/>
  <c r="W70" i="12" s="1"/>
  <c r="Y28" i="12"/>
  <c r="W28" i="12" s="1"/>
  <c r="N80" i="12"/>
  <c r="N89" i="12"/>
  <c r="N67" i="12"/>
  <c r="N99" i="12"/>
  <c r="Y53" i="12"/>
  <c r="X53" i="12" s="1"/>
  <c r="N61" i="12"/>
  <c r="Y59" i="12"/>
  <c r="W59" i="12" s="1"/>
  <c r="N58" i="12"/>
  <c r="Y94" i="12"/>
  <c r="X94" i="12" s="1"/>
  <c r="Y57" i="12"/>
  <c r="X57" i="12" s="1"/>
  <c r="Y101" i="12"/>
  <c r="W101" i="12" s="1"/>
  <c r="Y92" i="12"/>
  <c r="W92" i="12" s="1"/>
  <c r="N101" i="12"/>
  <c r="N54" i="12"/>
  <c r="Y78" i="12"/>
  <c r="X78" i="12" s="1"/>
  <c r="Y24" i="12"/>
  <c r="W24" i="12" s="1"/>
  <c r="Y82" i="12"/>
  <c r="W82" i="12" s="1"/>
  <c r="N74" i="12"/>
  <c r="N92" i="12"/>
  <c r="N44" i="12"/>
  <c r="N91" i="12"/>
  <c r="Y100" i="12"/>
  <c r="X100" i="12" s="1"/>
  <c r="Y75" i="12"/>
  <c r="X75" i="12" s="1"/>
  <c r="N46" i="12"/>
  <c r="Y35" i="12"/>
  <c r="X35" i="12" s="1"/>
  <c r="N102" i="12"/>
  <c r="N25" i="12"/>
  <c r="Y71" i="12"/>
  <c r="X71" i="12" s="1"/>
  <c r="Y45" i="12"/>
  <c r="W45" i="12" s="1"/>
  <c r="Y95" i="12"/>
  <c r="X95" i="12" s="1"/>
  <c r="Y43" i="12"/>
  <c r="W43" i="12" s="1"/>
  <c r="N75" i="12"/>
  <c r="N37" i="12"/>
  <c r="Y73" i="12"/>
  <c r="X73" i="12" s="1"/>
  <c r="O96" i="5"/>
  <c r="D96" i="12" s="1"/>
  <c r="Y58" i="12"/>
  <c r="W58" i="12" s="1"/>
  <c r="Y89" i="12"/>
  <c r="W89" i="12" s="1"/>
  <c r="N38" i="12"/>
  <c r="Y20" i="12"/>
  <c r="W20" i="12" s="1"/>
  <c r="O98" i="5"/>
  <c r="E98" i="6" s="1"/>
  <c r="N76" i="12"/>
  <c r="Y47" i="12"/>
  <c r="X47" i="12" s="1"/>
  <c r="Y39" i="12"/>
  <c r="W39" i="12" s="1"/>
  <c r="N36" i="12"/>
  <c r="N79" i="12"/>
  <c r="N26" i="12"/>
  <c r="Y22" i="12"/>
  <c r="X22" i="12" s="1"/>
  <c r="Y19" i="12"/>
  <c r="W19" i="12" s="1"/>
  <c r="N71" i="12"/>
  <c r="Y60" i="12"/>
  <c r="W60" i="12" s="1"/>
  <c r="Y90" i="12"/>
  <c r="X90" i="12" s="1"/>
  <c r="Y27" i="12"/>
  <c r="X27" i="12" s="1"/>
  <c r="Y79" i="12"/>
  <c r="W79" i="12" s="1"/>
  <c r="Y102" i="12"/>
  <c r="X102" i="12" s="1"/>
  <c r="Y23" i="12"/>
  <c r="X23" i="12" s="1"/>
  <c r="Y80" i="12"/>
  <c r="X80" i="12" s="1"/>
  <c r="Y103" i="12"/>
  <c r="X103" i="12" s="1"/>
  <c r="Y29" i="12"/>
  <c r="X29" i="12" s="1"/>
  <c r="N19" i="12"/>
  <c r="O103" i="5"/>
  <c r="D103" i="12" s="1"/>
  <c r="Y68" i="12"/>
  <c r="X68" i="12" s="1"/>
  <c r="Y46" i="12"/>
  <c r="W46" i="12" s="1"/>
  <c r="Y64" i="12"/>
  <c r="X64" i="12" s="1"/>
  <c r="N96" i="12"/>
  <c r="Y62" i="12"/>
  <c r="X62" i="12" s="1"/>
  <c r="N93" i="12"/>
  <c r="O94" i="5"/>
  <c r="D94" i="12" s="1"/>
  <c r="N66" i="12"/>
  <c r="N29" i="12"/>
  <c r="E32" i="6"/>
  <c r="D32" i="12"/>
  <c r="D104" i="12"/>
  <c r="E104" i="6"/>
  <c r="O101" i="5"/>
  <c r="O99" i="5"/>
  <c r="D44" i="12"/>
  <c r="N35" i="12"/>
  <c r="N52" i="12"/>
  <c r="M49" i="12"/>
  <c r="M48" i="12" s="1"/>
  <c r="C49" i="12"/>
  <c r="O49" i="12"/>
  <c r="AO49" i="12"/>
  <c r="C88" i="6"/>
  <c r="O88" i="5"/>
  <c r="N95" i="12"/>
  <c r="N73" i="12"/>
  <c r="N59" i="12"/>
  <c r="O92" i="5"/>
  <c r="M31" i="12"/>
  <c r="M30" i="12" s="1"/>
  <c r="C31" i="12"/>
  <c r="O31" i="12"/>
  <c r="AO31" i="12"/>
  <c r="N69" i="12"/>
  <c r="Y40" i="12"/>
  <c r="Y38" i="12"/>
  <c r="Y99" i="12"/>
  <c r="N90" i="12"/>
  <c r="Y32" i="12"/>
  <c r="C51" i="6"/>
  <c r="N28" i="12"/>
  <c r="O91" i="5"/>
  <c r="N100" i="12"/>
  <c r="N82" i="12"/>
  <c r="N43" i="12"/>
  <c r="N94" i="12"/>
  <c r="O88" i="12"/>
  <c r="M88" i="12"/>
  <c r="M87" i="12" s="1"/>
  <c r="AO88" i="12"/>
  <c r="C88" i="12"/>
  <c r="N104" i="12"/>
  <c r="Y36" i="12"/>
  <c r="O35" i="5"/>
  <c r="I36" i="5"/>
  <c r="M51" i="12"/>
  <c r="M50" i="12" s="1"/>
  <c r="C51" i="12"/>
  <c r="AO51" i="12"/>
  <c r="O51" i="12"/>
  <c r="N23" i="12"/>
  <c r="N22" i="12"/>
  <c r="Y56" i="12"/>
  <c r="W72" i="12"/>
  <c r="X72" i="12"/>
  <c r="O45" i="5"/>
  <c r="I46" i="5"/>
  <c r="X45" i="12"/>
  <c r="O90" i="5"/>
  <c r="C31" i="6"/>
  <c r="O31" i="5"/>
  <c r="O102" i="5"/>
  <c r="I33" i="12"/>
  <c r="L33" i="5"/>
  <c r="AM33" i="5"/>
  <c r="Z33" i="5"/>
  <c r="S23" i="8"/>
  <c r="N32" i="12"/>
  <c r="Y93" i="12"/>
  <c r="N81" i="12"/>
  <c r="I41" i="12"/>
  <c r="Z41" i="5"/>
  <c r="L41" i="5"/>
  <c r="AM41" i="5"/>
  <c r="S26" i="8"/>
  <c r="N68" i="12"/>
  <c r="N45" i="12"/>
  <c r="Y65" i="12"/>
  <c r="Y104" i="12"/>
  <c r="I30" i="12"/>
  <c r="AM30" i="5"/>
  <c r="L30" i="5"/>
  <c r="Z30" i="5"/>
  <c r="S20" i="8"/>
  <c r="Y77" i="12"/>
  <c r="N77" i="12"/>
  <c r="Y61" i="12"/>
  <c r="N56" i="12"/>
  <c r="Y55" i="12"/>
  <c r="O100" i="5"/>
  <c r="C42" i="6"/>
  <c r="O42" i="5"/>
  <c r="Y37" i="12"/>
  <c r="N65" i="12"/>
  <c r="Y74" i="12"/>
  <c r="N64" i="12"/>
  <c r="N60" i="12"/>
  <c r="Y96" i="12"/>
  <c r="Y54" i="12"/>
  <c r="N27" i="12"/>
  <c r="N24" i="12"/>
  <c r="N62" i="12"/>
  <c r="Y44" i="12"/>
  <c r="Y81" i="12"/>
  <c r="Y66" i="12"/>
  <c r="N103" i="12"/>
  <c r="N21" i="12"/>
  <c r="N55" i="12"/>
  <c r="M42" i="12"/>
  <c r="M41" i="12" s="1"/>
  <c r="C42" i="12"/>
  <c r="AO42" i="12"/>
  <c r="O42" i="12"/>
  <c r="Y63" i="12"/>
  <c r="L48" i="5"/>
  <c r="AM48" i="5"/>
  <c r="Z48" i="5"/>
  <c r="I48" i="12"/>
  <c r="S29" i="8"/>
  <c r="Y76" i="12"/>
  <c r="N47" i="12"/>
  <c r="N39" i="12"/>
  <c r="N53" i="12"/>
  <c r="O95" i="5"/>
  <c r="N78" i="12"/>
  <c r="C34" i="6"/>
  <c r="O34" i="5"/>
  <c r="W27" i="12"/>
  <c r="S32" i="8"/>
  <c r="I50" i="12"/>
  <c r="AM50" i="5"/>
  <c r="Z50" i="5"/>
  <c r="L50" i="5"/>
  <c r="Y97" i="12"/>
  <c r="X82" i="12"/>
  <c r="N57" i="12"/>
  <c r="Y25" i="12"/>
  <c r="S35" i="8"/>
  <c r="L87" i="5"/>
  <c r="Z87" i="5"/>
  <c r="AM87" i="5"/>
  <c r="I87" i="12"/>
  <c r="N63" i="12"/>
  <c r="C49" i="6"/>
  <c r="O89" i="5"/>
  <c r="N40" i="12"/>
  <c r="Y67" i="12"/>
  <c r="C34" i="12"/>
  <c r="AO34" i="12"/>
  <c r="AO33" i="12" s="1"/>
  <c r="M34" i="12"/>
  <c r="M33" i="12" s="1"/>
  <c r="O34" i="12"/>
  <c r="X24" i="12"/>
  <c r="Y26" i="12"/>
  <c r="Y91" i="12"/>
  <c r="W21" i="12"/>
  <c r="X21" i="12"/>
  <c r="Y52" i="12"/>
  <c r="N72" i="12"/>
  <c r="O97" i="5"/>
  <c r="O93" i="5"/>
  <c r="N70" i="12"/>
  <c r="N20" i="12"/>
  <c r="AM15" i="5"/>
  <c r="U28" i="10"/>
  <c r="AA30" i="10"/>
  <c r="AA33" i="10" s="1"/>
  <c r="K30" i="10"/>
  <c r="K33" i="10" s="1"/>
  <c r="W28" i="10"/>
  <c r="Q28" i="10"/>
  <c r="W30" i="10"/>
  <c r="W33" i="10" s="1"/>
  <c r="M30" i="10"/>
  <c r="M33" i="10" s="1"/>
  <c r="K28" i="10"/>
  <c r="I30" i="10"/>
  <c r="AE9" i="10" s="1"/>
  <c r="AE28" i="10"/>
  <c r="O28" i="10"/>
  <c r="AE30" i="10"/>
  <c r="AE33" i="10" s="1"/>
  <c r="Q30" i="10"/>
  <c r="Q33" i="10" s="1"/>
  <c r="I28" i="10"/>
  <c r="Y9" i="10" s="1"/>
  <c r="AC30" i="10"/>
  <c r="AC33" i="10" s="1"/>
  <c r="Y30" i="10"/>
  <c r="Y33" i="10" s="1"/>
  <c r="S30" i="10"/>
  <c r="S33" i="10" s="1"/>
  <c r="O30" i="10"/>
  <c r="O33" i="10" s="1"/>
  <c r="S28" i="10"/>
  <c r="M28" i="10"/>
  <c r="U30" i="10"/>
  <c r="U33" i="10" s="1"/>
  <c r="Z15" i="5"/>
  <c r="AA28" i="10"/>
  <c r="Y28" i="10"/>
  <c r="AC28" i="10"/>
  <c r="AB18" i="5"/>
  <c r="I20" i="5"/>
  <c r="O19" i="5"/>
  <c r="O18" i="12"/>
  <c r="M18" i="12"/>
  <c r="AO18" i="12"/>
  <c r="C18" i="12"/>
  <c r="C18" i="6"/>
  <c r="O18" i="5"/>
  <c r="Z16" i="5"/>
  <c r="AM16" i="5"/>
  <c r="I16" i="12"/>
  <c r="L16" i="5"/>
  <c r="S14" i="8"/>
  <c r="O14" i="11"/>
  <c r="I32" i="10" a="1"/>
  <c r="I32" i="10" s="1"/>
  <c r="L17" i="5"/>
  <c r="S17" i="8"/>
  <c r="Z17" i="5"/>
  <c r="AM17" i="5"/>
  <c r="I17" i="12"/>
  <c r="W98" i="12" l="1"/>
  <c r="W53" i="12"/>
  <c r="D43" i="12"/>
  <c r="X28" i="12"/>
  <c r="X69" i="12"/>
  <c r="X70" i="12"/>
  <c r="X59" i="12"/>
  <c r="W103" i="12"/>
  <c r="U103" i="12" s="1"/>
  <c r="W57" i="12"/>
  <c r="T57" i="12" s="1"/>
  <c r="W102" i="12"/>
  <c r="W94" i="12"/>
  <c r="V94" i="12" s="1"/>
  <c r="W68" i="12"/>
  <c r="V68" i="12" s="1"/>
  <c r="W62" i="12"/>
  <c r="T62" i="12" s="1"/>
  <c r="X92" i="12"/>
  <c r="W47" i="12"/>
  <c r="V47" i="12" s="1"/>
  <c r="W29" i="12"/>
  <c r="V29" i="12" s="1"/>
  <c r="W64" i="12"/>
  <c r="T64" i="12" s="1"/>
  <c r="X39" i="12"/>
  <c r="X89" i="12"/>
  <c r="D98" i="12"/>
  <c r="W80" i="12"/>
  <c r="V80" i="12" s="1"/>
  <c r="X60" i="12"/>
  <c r="W23" i="12"/>
  <c r="U23" i="12" s="1"/>
  <c r="X101" i="12"/>
  <c r="X58" i="12"/>
  <c r="W22" i="12"/>
  <c r="W78" i="12"/>
  <c r="U78" i="12" s="1"/>
  <c r="W100" i="12"/>
  <c r="U100" i="12" s="1"/>
  <c r="E94" i="6"/>
  <c r="X43" i="12"/>
  <c r="E103" i="6"/>
  <c r="W90" i="12"/>
  <c r="V90" i="12" s="1"/>
  <c r="W75" i="12"/>
  <c r="T75" i="12" s="1"/>
  <c r="X79" i="12"/>
  <c r="W35" i="12"/>
  <c r="V35" i="12" s="1"/>
  <c r="I33" i="10"/>
  <c r="H33" i="10" s="1"/>
  <c r="W73" i="12"/>
  <c r="U73" i="12" s="1"/>
  <c r="X20" i="12"/>
  <c r="W71" i="12"/>
  <c r="V71" i="12" s="1"/>
  <c r="W95" i="12"/>
  <c r="T95" i="12" s="1"/>
  <c r="X19" i="12"/>
  <c r="X46" i="12"/>
  <c r="E96" i="6"/>
  <c r="AC87" i="5" a="1"/>
  <c r="AC87" i="5" s="1"/>
  <c r="C87" i="6"/>
  <c r="O87" i="5"/>
  <c r="X26" i="12"/>
  <c r="W26" i="12"/>
  <c r="N42" i="12"/>
  <c r="O41" i="12"/>
  <c r="N41" i="12" s="1"/>
  <c r="W96" i="12"/>
  <c r="X96" i="12"/>
  <c r="W104" i="12"/>
  <c r="X104" i="12"/>
  <c r="C41" i="6"/>
  <c r="O41" i="5"/>
  <c r="AC41" i="5" a="1"/>
  <c r="AC41" i="5" s="1"/>
  <c r="J41" i="6" s="1"/>
  <c r="U43" i="12"/>
  <c r="T43" i="12"/>
  <c r="V43" i="12"/>
  <c r="C33" i="12"/>
  <c r="J33" i="12" a="1"/>
  <c r="J33" i="12" s="1"/>
  <c r="L33" i="12" a="1"/>
  <c r="L33" i="12" s="1"/>
  <c r="V45" i="12"/>
  <c r="U45" i="12"/>
  <c r="T45" i="12"/>
  <c r="X56" i="12"/>
  <c r="W56" i="12"/>
  <c r="N88" i="12"/>
  <c r="O87" i="12"/>
  <c r="N87" i="12" s="1"/>
  <c r="W99" i="12"/>
  <c r="X99" i="12"/>
  <c r="D92" i="12"/>
  <c r="E92" i="6"/>
  <c r="T20" i="12"/>
  <c r="U20" i="12"/>
  <c r="V20" i="12"/>
  <c r="T28" i="12"/>
  <c r="U28" i="12"/>
  <c r="V28" i="12"/>
  <c r="V19" i="12"/>
  <c r="T19" i="12"/>
  <c r="U19" i="12"/>
  <c r="V24" i="12"/>
  <c r="T24" i="12"/>
  <c r="U24" i="12"/>
  <c r="X97" i="12"/>
  <c r="W97" i="12"/>
  <c r="W76" i="12"/>
  <c r="X76" i="12"/>
  <c r="Y42" i="12"/>
  <c r="AO41" i="12"/>
  <c r="X66" i="12"/>
  <c r="W66" i="12"/>
  <c r="D42" i="12"/>
  <c r="E42" i="6"/>
  <c r="H20" i="8" a="1"/>
  <c r="H20" i="8" s="1"/>
  <c r="J21" i="8" s="1"/>
  <c r="H21" i="8" a="1"/>
  <c r="H21" i="8" s="1"/>
  <c r="D20" i="8"/>
  <c r="G20" i="8"/>
  <c r="U20" i="8" a="1"/>
  <c r="U20" i="8" s="1"/>
  <c r="Z20" i="8" a="1"/>
  <c r="Z20" i="8" s="1"/>
  <c r="AE20" i="8" a="1"/>
  <c r="AE20" i="8" s="1"/>
  <c r="AC20" i="8" a="1"/>
  <c r="AC20" i="8" s="1"/>
  <c r="V20" i="8" a="1"/>
  <c r="V20" i="8" s="1"/>
  <c r="AD20" i="8" a="1"/>
  <c r="AD20" i="8" s="1"/>
  <c r="AA20" i="8" a="1"/>
  <c r="AA20" i="8" s="1"/>
  <c r="AF20" i="8" a="1"/>
  <c r="AF20" i="8" s="1"/>
  <c r="W20" i="8" a="1"/>
  <c r="W20" i="8" s="1"/>
  <c r="Y20" i="8" a="1"/>
  <c r="Y20" i="8" s="1"/>
  <c r="E20" i="8" a="1"/>
  <c r="E20" i="8" s="1"/>
  <c r="AB20" i="8" a="1"/>
  <c r="AB20" i="8" s="1"/>
  <c r="X20" i="8" a="1"/>
  <c r="X20" i="8" s="1"/>
  <c r="X65" i="12"/>
  <c r="W65" i="12"/>
  <c r="E102" i="6"/>
  <c r="D102" i="12"/>
  <c r="D90" i="12"/>
  <c r="E90" i="6"/>
  <c r="N51" i="12"/>
  <c r="O50" i="12"/>
  <c r="N50" i="12" s="1"/>
  <c r="X36" i="12"/>
  <c r="W36" i="12"/>
  <c r="D91" i="12"/>
  <c r="E91" i="6"/>
  <c r="X38" i="12"/>
  <c r="W38" i="12"/>
  <c r="Y49" i="12"/>
  <c r="AO48" i="12"/>
  <c r="E89" i="6"/>
  <c r="D89" i="12"/>
  <c r="D97" i="12"/>
  <c r="E97" i="6"/>
  <c r="H35" i="8" a="1"/>
  <c r="H35" i="8" s="1"/>
  <c r="J36" i="8" s="1"/>
  <c r="AA35" i="8" a="1"/>
  <c r="AA35" i="8" s="1"/>
  <c r="H36" i="8" a="1"/>
  <c r="H36" i="8" s="1"/>
  <c r="G35" i="8"/>
  <c r="AF35" i="8" a="1"/>
  <c r="AF35" i="8" s="1"/>
  <c r="Y35" i="8" a="1"/>
  <c r="Y35" i="8" s="1"/>
  <c r="Z35" i="8" a="1"/>
  <c r="Z35" i="8" s="1"/>
  <c r="AE35" i="8" a="1"/>
  <c r="AE35" i="8" s="1"/>
  <c r="E35" i="8" a="1"/>
  <c r="E35" i="8" s="1"/>
  <c r="W35" i="8" a="1"/>
  <c r="W35" i="8" s="1"/>
  <c r="AB35" i="8" a="1"/>
  <c r="AB35" i="8" s="1"/>
  <c r="AD35" i="8" a="1"/>
  <c r="AD35" i="8" s="1"/>
  <c r="U35" i="8" a="1"/>
  <c r="U35" i="8" s="1"/>
  <c r="AC35" i="8" a="1"/>
  <c r="AC35" i="8" s="1"/>
  <c r="X35" i="8" a="1"/>
  <c r="X35" i="8" s="1"/>
  <c r="V35" i="8" a="1"/>
  <c r="V35" i="8" s="1"/>
  <c r="AC50" i="5" a="1"/>
  <c r="AC50" i="5" s="1"/>
  <c r="C50" i="6"/>
  <c r="O50" i="5"/>
  <c r="E34" i="6"/>
  <c r="D34" i="12"/>
  <c r="G29" i="8"/>
  <c r="H29" i="8" a="1"/>
  <c r="H29" i="8" s="1"/>
  <c r="J30" i="8" s="1"/>
  <c r="H30" i="8" a="1"/>
  <c r="H30" i="8" s="1"/>
  <c r="D29" i="8"/>
  <c r="AD29" i="8" a="1"/>
  <c r="AD29" i="8" s="1"/>
  <c r="Z29" i="8" a="1"/>
  <c r="Z29" i="8" s="1"/>
  <c r="V29" i="8" a="1"/>
  <c r="V29" i="8" s="1"/>
  <c r="AE29" i="8" a="1"/>
  <c r="AE29" i="8" s="1"/>
  <c r="E29" i="8" a="1"/>
  <c r="E29" i="8" s="1"/>
  <c r="U29" i="8" a="1"/>
  <c r="U29" i="8" s="1"/>
  <c r="AC29" i="8" a="1"/>
  <c r="AC29" i="8" s="1"/>
  <c r="W29" i="8" a="1"/>
  <c r="W29" i="8" s="1"/>
  <c r="X29" i="8" a="1"/>
  <c r="X29" i="8" s="1"/>
  <c r="AB29" i="8" a="1"/>
  <c r="AB29" i="8" s="1"/>
  <c r="AF29" i="8" a="1"/>
  <c r="AF29" i="8" s="1"/>
  <c r="Y29" i="8" a="1"/>
  <c r="Y29" i="8" s="1"/>
  <c r="AA29" i="8" a="1"/>
  <c r="AA29" i="8" s="1"/>
  <c r="W81" i="12"/>
  <c r="X81" i="12"/>
  <c r="J41" i="12" a="1"/>
  <c r="J41" i="12" s="1"/>
  <c r="L41" i="12" a="1"/>
  <c r="L41" i="12" s="1"/>
  <c r="C41" i="12"/>
  <c r="X93" i="12"/>
  <c r="W93" i="12"/>
  <c r="U60" i="12"/>
  <c r="V60" i="12"/>
  <c r="T60" i="12"/>
  <c r="V101" i="12"/>
  <c r="T101" i="12"/>
  <c r="U101" i="12"/>
  <c r="Y51" i="12"/>
  <c r="AO50" i="12"/>
  <c r="V59" i="12"/>
  <c r="T59" i="12"/>
  <c r="U59" i="12"/>
  <c r="X40" i="12"/>
  <c r="W40" i="12"/>
  <c r="N49" i="12"/>
  <c r="O48" i="12"/>
  <c r="N48" i="12" s="1"/>
  <c r="Y34" i="12"/>
  <c r="N34" i="12"/>
  <c r="O33" i="12"/>
  <c r="N33" i="12" s="1"/>
  <c r="X25" i="12"/>
  <c r="W25" i="12"/>
  <c r="L48" i="12" a="1"/>
  <c r="L48" i="12" s="1"/>
  <c r="J48" i="12" a="1"/>
  <c r="J48" i="12" s="1"/>
  <c r="C48" i="12"/>
  <c r="W44" i="12"/>
  <c r="X44" i="12"/>
  <c r="X74" i="12"/>
  <c r="W74" i="12"/>
  <c r="D100" i="12"/>
  <c r="E100" i="6"/>
  <c r="C30" i="6"/>
  <c r="O30" i="5"/>
  <c r="AC30" i="5" a="1"/>
  <c r="AC30" i="5" s="1"/>
  <c r="J30" i="6" s="1"/>
  <c r="V22" i="12"/>
  <c r="U22" i="12"/>
  <c r="T22" i="12"/>
  <c r="T102" i="12"/>
  <c r="V102" i="12"/>
  <c r="U102" i="12"/>
  <c r="T69" i="12"/>
  <c r="U69" i="12"/>
  <c r="V69" i="12"/>
  <c r="Y31" i="12"/>
  <c r="AO30" i="12"/>
  <c r="E99" i="6"/>
  <c r="D99" i="12"/>
  <c r="D93" i="12"/>
  <c r="E93" i="6"/>
  <c r="D23" i="8"/>
  <c r="H23" i="8" a="1"/>
  <c r="H23" i="8" s="1"/>
  <c r="J24" i="8" s="1"/>
  <c r="G23" i="8"/>
  <c r="H24" i="8" a="1"/>
  <c r="H24" i="8" s="1"/>
  <c r="AF23" i="8" a="1"/>
  <c r="AF23" i="8" s="1"/>
  <c r="X23" i="8" a="1"/>
  <c r="X23" i="8" s="1"/>
  <c r="U23" i="8" a="1"/>
  <c r="U23" i="8" s="1"/>
  <c r="AA23" i="8" a="1"/>
  <c r="AA23" i="8" s="1"/>
  <c r="AD23" i="8" a="1"/>
  <c r="AD23" i="8" s="1"/>
  <c r="W23" i="8" a="1"/>
  <c r="W23" i="8" s="1"/>
  <c r="AC23" i="8" a="1"/>
  <c r="AC23" i="8" s="1"/>
  <c r="AE23" i="8" a="1"/>
  <c r="AE23" i="8" s="1"/>
  <c r="V23" i="8" a="1"/>
  <c r="V23" i="8" s="1"/>
  <c r="Z23" i="8" a="1"/>
  <c r="Z23" i="8" s="1"/>
  <c r="AB23" i="8" a="1"/>
  <c r="AB23" i="8" s="1"/>
  <c r="E23" i="8" a="1"/>
  <c r="E23" i="8" s="1"/>
  <c r="Y23" i="8" a="1"/>
  <c r="Y23" i="8" s="1"/>
  <c r="V92" i="12"/>
  <c r="U92" i="12"/>
  <c r="T92" i="12"/>
  <c r="V58" i="12"/>
  <c r="U58" i="12"/>
  <c r="T58" i="12"/>
  <c r="C50" i="12"/>
  <c r="L50" i="12" a="1"/>
  <c r="L50" i="12" s="1"/>
  <c r="J50" i="12" a="1"/>
  <c r="J50" i="12" s="1"/>
  <c r="D95" i="12"/>
  <c r="E95" i="6"/>
  <c r="T70" i="12"/>
  <c r="V70" i="12"/>
  <c r="U70" i="12"/>
  <c r="C30" i="12"/>
  <c r="J30" i="12" a="1"/>
  <c r="J30" i="12" s="1"/>
  <c r="L30" i="12" a="1"/>
  <c r="L30" i="12" s="1"/>
  <c r="D45" i="12"/>
  <c r="E45" i="6"/>
  <c r="I37" i="5"/>
  <c r="O36" i="5"/>
  <c r="N31" i="12"/>
  <c r="O30" i="12"/>
  <c r="N30" i="12" s="1"/>
  <c r="E88" i="6"/>
  <c r="D88" i="12"/>
  <c r="W52" i="12"/>
  <c r="X52" i="12"/>
  <c r="W61" i="12"/>
  <c r="X61" i="12"/>
  <c r="O46" i="5"/>
  <c r="I47" i="5"/>
  <c r="L87" i="12" a="1"/>
  <c r="L87" i="12" s="1"/>
  <c r="J87" i="12" a="1"/>
  <c r="J87" i="12" s="1"/>
  <c r="C87" i="12"/>
  <c r="Z32" i="8" a="1"/>
  <c r="Z32" i="8" s="1"/>
  <c r="H33" i="8" a="1"/>
  <c r="H33" i="8" s="1"/>
  <c r="G32" i="8"/>
  <c r="AA32" i="8" a="1"/>
  <c r="AA32" i="8" s="1"/>
  <c r="D32" i="8"/>
  <c r="AD32" i="8" a="1"/>
  <c r="AD32" i="8" s="1"/>
  <c r="Y32" i="8" a="1"/>
  <c r="Y32" i="8" s="1"/>
  <c r="X32" i="8" a="1"/>
  <c r="X32" i="8" s="1"/>
  <c r="AE32" i="8" a="1"/>
  <c r="AE32" i="8" s="1"/>
  <c r="H32" i="8" a="1"/>
  <c r="H32" i="8" s="1"/>
  <c r="J33" i="8" s="1"/>
  <c r="AF32" i="8" a="1"/>
  <c r="AF32" i="8" s="1"/>
  <c r="V32" i="8" a="1"/>
  <c r="V32" i="8" s="1"/>
  <c r="W32" i="8" a="1"/>
  <c r="W32" i="8" s="1"/>
  <c r="AC32" i="8" a="1"/>
  <c r="AC32" i="8" s="1"/>
  <c r="AB32" i="8" a="1"/>
  <c r="AB32" i="8" s="1"/>
  <c r="U32" i="8" a="1"/>
  <c r="U32" i="8" s="1"/>
  <c r="E32" i="8" a="1"/>
  <c r="E32" i="8" s="1"/>
  <c r="C48" i="6"/>
  <c r="AC48" i="5" a="1"/>
  <c r="AC48" i="5" s="1"/>
  <c r="O48" i="5"/>
  <c r="V39" i="12"/>
  <c r="U39" i="12"/>
  <c r="T39" i="12"/>
  <c r="X77" i="12"/>
  <c r="W77" i="12"/>
  <c r="T89" i="12"/>
  <c r="V89" i="12"/>
  <c r="U89" i="12"/>
  <c r="G26" i="8"/>
  <c r="H27" i="8" a="1"/>
  <c r="H27" i="8" s="1"/>
  <c r="H26" i="8" a="1"/>
  <c r="H26" i="8" s="1"/>
  <c r="J27" i="8" s="1"/>
  <c r="D26" i="8"/>
  <c r="W26" i="8" a="1"/>
  <c r="W26" i="8" s="1"/>
  <c r="AE26" i="8" a="1"/>
  <c r="AE26" i="8" s="1"/>
  <c r="AC26" i="8" a="1"/>
  <c r="AC26" i="8" s="1"/>
  <c r="AF26" i="8" a="1"/>
  <c r="AF26" i="8" s="1"/>
  <c r="AB26" i="8" a="1"/>
  <c r="AB26" i="8" s="1"/>
  <c r="E26" i="8" a="1"/>
  <c r="E26" i="8" s="1"/>
  <c r="AA26" i="8" a="1"/>
  <c r="AA26" i="8" s="1"/>
  <c r="U26" i="8" a="1"/>
  <c r="U26" i="8" s="1"/>
  <c r="V26" i="8" a="1"/>
  <c r="V26" i="8" s="1"/>
  <c r="Y26" i="8" a="1"/>
  <c r="Y26" i="8" s="1"/>
  <c r="AD26" i="8" a="1"/>
  <c r="AD26" i="8" s="1"/>
  <c r="X26" i="8" a="1"/>
  <c r="X26" i="8" s="1"/>
  <c r="Z26" i="8" a="1"/>
  <c r="Z26" i="8" s="1"/>
  <c r="V98" i="12"/>
  <c r="T98" i="12"/>
  <c r="U98" i="12"/>
  <c r="V79" i="12"/>
  <c r="T79" i="12"/>
  <c r="U79" i="12"/>
  <c r="D35" i="12"/>
  <c r="E35" i="6"/>
  <c r="Y88" i="12"/>
  <c r="AO87" i="12"/>
  <c r="X32" i="12"/>
  <c r="W32" i="12"/>
  <c r="V95" i="12"/>
  <c r="T53" i="12"/>
  <c r="V53" i="12"/>
  <c r="U53" i="12"/>
  <c r="X55" i="12"/>
  <c r="W55" i="12"/>
  <c r="T21" i="12"/>
  <c r="U21" i="12"/>
  <c r="V21" i="12"/>
  <c r="X91" i="12"/>
  <c r="W91" i="12"/>
  <c r="X67" i="12"/>
  <c r="W67" i="12"/>
  <c r="V82" i="12"/>
  <c r="T82" i="12"/>
  <c r="U82" i="12"/>
  <c r="V27" i="12"/>
  <c r="T27" i="12"/>
  <c r="U27" i="12"/>
  <c r="X63" i="12"/>
  <c r="W63" i="12"/>
  <c r="W54" i="12"/>
  <c r="X54" i="12"/>
  <c r="W37" i="12"/>
  <c r="X37" i="12"/>
  <c r="V64" i="12"/>
  <c r="C33" i="6"/>
  <c r="O33" i="5"/>
  <c r="AC33" i="5" a="1"/>
  <c r="AC33" i="5" s="1"/>
  <c r="D31" i="12"/>
  <c r="E31" i="6"/>
  <c r="T72" i="12"/>
  <c r="V72" i="12"/>
  <c r="U72" i="12"/>
  <c r="V46" i="12"/>
  <c r="U46" i="12"/>
  <c r="T46" i="12"/>
  <c r="D35" i="8"/>
  <c r="E101" i="6"/>
  <c r="D101" i="12"/>
  <c r="M17" i="12"/>
  <c r="M16" i="12"/>
  <c r="N18" i="12"/>
  <c r="O16" i="12"/>
  <c r="O17" i="12"/>
  <c r="C17" i="12"/>
  <c r="J17" i="12" a="1"/>
  <c r="J17" i="12" s="1"/>
  <c r="L17" i="12" a="1"/>
  <c r="L17" i="12" s="1"/>
  <c r="L16" i="12" a="1"/>
  <c r="L16" i="12" s="1"/>
  <c r="J16" i="12" a="1"/>
  <c r="J16" i="12" s="1"/>
  <c r="C16" i="12"/>
  <c r="AA17" i="8" a="1"/>
  <c r="AA17" i="8" s="1"/>
  <c r="G17" i="8"/>
  <c r="V17" i="8" a="1"/>
  <c r="V17" i="8" s="1"/>
  <c r="H18" i="8" a="1"/>
  <c r="H18" i="8" s="1"/>
  <c r="AE17" i="8" a="1"/>
  <c r="AE17" i="8" s="1"/>
  <c r="H17" i="8" a="1"/>
  <c r="H17" i="8" s="1"/>
  <c r="J18" i="8" s="1"/>
  <c r="Y17" i="8" a="1"/>
  <c r="Y17" i="8" s="1"/>
  <c r="U17" i="8" a="1"/>
  <c r="U17" i="8" s="1"/>
  <c r="AD17" i="8" a="1"/>
  <c r="AD17" i="8" s="1"/>
  <c r="Z17" i="8" a="1"/>
  <c r="Z17" i="8" s="1"/>
  <c r="AB17" i="8" a="1"/>
  <c r="AB17" i="8" s="1"/>
  <c r="AC17" i="8" a="1"/>
  <c r="AC17" i="8" s="1"/>
  <c r="AF17" i="8" a="1"/>
  <c r="AF17" i="8" s="1"/>
  <c r="X17" i="8" a="1"/>
  <c r="X17" i="8" s="1"/>
  <c r="E17" i="8" a="1"/>
  <c r="E17" i="8" s="1"/>
  <c r="AF16" i="8" a="1"/>
  <c r="AF16" i="8" s="1"/>
  <c r="AF14" i="8" s="1" a="1"/>
  <c r="AF14" i="8" s="1"/>
  <c r="AC16" i="8" a="1"/>
  <c r="AC16" i="8" s="1"/>
  <c r="AC14" i="8" s="1" a="1"/>
  <c r="AC14" i="8" s="1"/>
  <c r="U16" i="8" a="1"/>
  <c r="U16" i="8" s="1"/>
  <c r="X16" i="8" a="1"/>
  <c r="X16" i="8" s="1"/>
  <c r="X14" i="8" s="1" a="1"/>
  <c r="X14" i="8" s="1"/>
  <c r="AE16" i="8" a="1"/>
  <c r="AE16" i="8" s="1"/>
  <c r="AE14" i="8" s="1" a="1"/>
  <c r="AE14" i="8" s="1"/>
  <c r="AD16" i="8" a="1"/>
  <c r="AD16" i="8" s="1"/>
  <c r="AD14" i="8" s="1" a="1"/>
  <c r="AD14" i="8" s="1"/>
  <c r="E16" i="8" a="1"/>
  <c r="E16" i="8" s="1"/>
  <c r="E48" i="8" s="1"/>
  <c r="Z16" i="8" a="1"/>
  <c r="Z16" i="8" s="1"/>
  <c r="Z14" i="8" s="1" a="1"/>
  <c r="Z14" i="8" s="1"/>
  <c r="W16" i="8" a="1"/>
  <c r="W16" i="8" s="1"/>
  <c r="W14" i="8" s="1" a="1"/>
  <c r="W14" i="8" s="1"/>
  <c r="Y16" i="8" a="1"/>
  <c r="Y16" i="8" s="1"/>
  <c r="Y14" i="8" s="1" a="1"/>
  <c r="Y14" i="8" s="1"/>
  <c r="AB16" i="8" a="1"/>
  <c r="AB16" i="8" s="1"/>
  <c r="AB14" i="8" s="1" a="1"/>
  <c r="AB14" i="8" s="1"/>
  <c r="V16" i="8" a="1"/>
  <c r="V16" i="8" s="1"/>
  <c r="V14" i="8" s="1" a="1"/>
  <c r="V14" i="8" s="1"/>
  <c r="AA16" i="8" a="1"/>
  <c r="AA16" i="8" s="1"/>
  <c r="AA14" i="8" s="1" a="1"/>
  <c r="AA14" i="8" s="1"/>
  <c r="W17" i="8" a="1"/>
  <c r="W17" i="8" s="1"/>
  <c r="E19" i="6"/>
  <c r="D19" i="12"/>
  <c r="I21" i="5"/>
  <c r="O20" i="5"/>
  <c r="D18" i="12"/>
  <c r="E18" i="6"/>
  <c r="O24" i="11"/>
  <c r="P14" i="11"/>
  <c r="G11" i="11" s="1"/>
  <c r="G9" i="11" s="1"/>
  <c r="L14" i="13"/>
  <c r="C14" i="11"/>
  <c r="AB16" i="5"/>
  <c r="AB17" i="5"/>
  <c r="D17" i="8" s="1"/>
  <c r="AB15" i="5"/>
  <c r="C16" i="6"/>
  <c r="O16" i="5"/>
  <c r="C17" i="6"/>
  <c r="O17" i="5"/>
  <c r="H15" i="8" a="1"/>
  <c r="H15" i="8" s="1"/>
  <c r="R39" i="8"/>
  <c r="I39" i="8" s="1"/>
  <c r="G14" i="8"/>
  <c r="H14" i="8" a="1"/>
  <c r="H14" i="8" s="1"/>
  <c r="J15" i="8" s="1"/>
  <c r="Y18" i="12"/>
  <c r="AO17" i="12"/>
  <c r="AO16" i="12"/>
  <c r="U95" i="12" l="1"/>
  <c r="U29" i="12"/>
  <c r="T103" i="12"/>
  <c r="T29" i="12"/>
  <c r="V103" i="12"/>
  <c r="V57" i="12"/>
  <c r="U57" i="12"/>
  <c r="U64" i="12"/>
  <c r="T35" i="12"/>
  <c r="U35" i="12"/>
  <c r="V78" i="12"/>
  <c r="T94" i="12"/>
  <c r="T78" i="12"/>
  <c r="U94" i="12"/>
  <c r="V62" i="12"/>
  <c r="T80" i="12"/>
  <c r="U80" i="12"/>
  <c r="V100" i="12"/>
  <c r="U68" i="12"/>
  <c r="T100" i="12"/>
  <c r="T68" i="12"/>
  <c r="U75" i="12"/>
  <c r="U62" i="12"/>
  <c r="V75" i="12"/>
  <c r="K16" i="12"/>
  <c r="V73" i="12"/>
  <c r="T73" i="12"/>
  <c r="T47" i="12"/>
  <c r="U47" i="12"/>
  <c r="V23" i="12"/>
  <c r="T23" i="12"/>
  <c r="U90" i="12"/>
  <c r="T71" i="12"/>
  <c r="U71" i="12"/>
  <c r="T90" i="12"/>
  <c r="Y17" i="12"/>
  <c r="X17" i="12" s="1"/>
  <c r="Y87" i="12"/>
  <c r="X87" i="12" s="1"/>
  <c r="Y41" i="12"/>
  <c r="W41" i="12" s="1"/>
  <c r="Y50" i="12"/>
  <c r="W50" i="12" s="1"/>
  <c r="K48" i="12"/>
  <c r="N17" i="12"/>
  <c r="Y48" i="12"/>
  <c r="W48" i="12" s="1"/>
  <c r="Y16" i="12"/>
  <c r="W16" i="12" s="1"/>
  <c r="K50" i="12"/>
  <c r="K87" i="12"/>
  <c r="Y33" i="12"/>
  <c r="W33" i="12" s="1"/>
  <c r="D33" i="12"/>
  <c r="E33" i="6"/>
  <c r="I23" i="8"/>
  <c r="A23" i="8" s="1"/>
  <c r="V54" i="12"/>
  <c r="T54" i="12"/>
  <c r="U54" i="12"/>
  <c r="U61" i="12"/>
  <c r="T61" i="12"/>
  <c r="V61" i="12"/>
  <c r="Y30" i="12"/>
  <c r="X51" i="12"/>
  <c r="W51" i="12"/>
  <c r="V81" i="12"/>
  <c r="U81" i="12"/>
  <c r="T81" i="12"/>
  <c r="V38" i="12"/>
  <c r="U38" i="12"/>
  <c r="T38" i="12"/>
  <c r="V104" i="12"/>
  <c r="T104" i="12"/>
  <c r="U104" i="12"/>
  <c r="T96" i="12"/>
  <c r="V96" i="12"/>
  <c r="U96" i="12"/>
  <c r="K17" i="12"/>
  <c r="V63" i="12"/>
  <c r="U63" i="12"/>
  <c r="T63" i="12"/>
  <c r="V67" i="12"/>
  <c r="U67" i="12"/>
  <c r="T67" i="12"/>
  <c r="W88" i="12"/>
  <c r="X88" i="12"/>
  <c r="V77" i="12"/>
  <c r="T77" i="12"/>
  <c r="U77" i="12"/>
  <c r="K30" i="12"/>
  <c r="W31" i="12"/>
  <c r="X31" i="12"/>
  <c r="U44" i="12"/>
  <c r="T44" i="12"/>
  <c r="V44" i="12"/>
  <c r="W34" i="12"/>
  <c r="X34" i="12"/>
  <c r="V76" i="12"/>
  <c r="U76" i="12"/>
  <c r="T76" i="12"/>
  <c r="V56" i="12"/>
  <c r="T56" i="12"/>
  <c r="U56" i="12"/>
  <c r="U52" i="12"/>
  <c r="V52" i="12"/>
  <c r="T52" i="12"/>
  <c r="V40" i="12"/>
  <c r="T40" i="12"/>
  <c r="U40" i="12"/>
  <c r="K41" i="12"/>
  <c r="U97" i="12"/>
  <c r="T97" i="12"/>
  <c r="V97" i="12"/>
  <c r="U37" i="12"/>
  <c r="T37" i="12"/>
  <c r="V37" i="12"/>
  <c r="V32" i="12"/>
  <c r="U32" i="12"/>
  <c r="T32" i="12"/>
  <c r="T91" i="12"/>
  <c r="V91" i="12"/>
  <c r="U91" i="12"/>
  <c r="U55" i="12"/>
  <c r="V55" i="12"/>
  <c r="T55" i="12"/>
  <c r="U99" i="12"/>
  <c r="T99" i="12"/>
  <c r="V99" i="12"/>
  <c r="V26" i="12"/>
  <c r="U26" i="12"/>
  <c r="T26" i="12"/>
  <c r="D50" i="12"/>
  <c r="I32" i="8"/>
  <c r="A32" i="8" s="1"/>
  <c r="E50" i="6"/>
  <c r="V66" i="12"/>
  <c r="U66" i="12"/>
  <c r="T66" i="12"/>
  <c r="N16" i="12"/>
  <c r="I48" i="5"/>
  <c r="I49" i="5" s="1"/>
  <c r="O47" i="5"/>
  <c r="D36" i="12"/>
  <c r="E36" i="6"/>
  <c r="V25" i="12"/>
  <c r="T25" i="12"/>
  <c r="U25" i="12"/>
  <c r="E41" i="6"/>
  <c r="D41" i="12"/>
  <c r="I26" i="8"/>
  <c r="A26" i="8" s="1"/>
  <c r="D87" i="12"/>
  <c r="I35" i="8"/>
  <c r="A35" i="8" s="1"/>
  <c r="E87" i="6"/>
  <c r="D48" i="12"/>
  <c r="E48" i="6"/>
  <c r="I29" i="8"/>
  <c r="A29" i="8" s="1"/>
  <c r="D46" i="12"/>
  <c r="E46" i="6"/>
  <c r="I38" i="5"/>
  <c r="O37" i="5"/>
  <c r="V74" i="12"/>
  <c r="T74" i="12"/>
  <c r="U74" i="12"/>
  <c r="K33" i="12"/>
  <c r="I20" i="8"/>
  <c r="A20" i="8" s="1"/>
  <c r="D30" i="12"/>
  <c r="E30" i="6"/>
  <c r="V93" i="12"/>
  <c r="U93" i="12"/>
  <c r="T93" i="12"/>
  <c r="X49" i="12"/>
  <c r="W49" i="12"/>
  <c r="U36" i="12"/>
  <c r="V36" i="12"/>
  <c r="T36" i="12"/>
  <c r="U65" i="12"/>
  <c r="V65" i="12"/>
  <c r="T65" i="12"/>
  <c r="X42" i="12"/>
  <c r="W42" i="12"/>
  <c r="X18" i="12"/>
  <c r="W18" i="12"/>
  <c r="AA7" i="11"/>
  <c r="O25" i="11"/>
  <c r="E17" i="6"/>
  <c r="D17" i="12"/>
  <c r="I17" i="8"/>
  <c r="A17" i="8" s="1"/>
  <c r="AB14" i="11"/>
  <c r="AD14" i="13"/>
  <c r="S14" i="13" s="1"/>
  <c r="M27" i="13" s="1"/>
  <c r="AG14" i="13"/>
  <c r="U14" i="13" s="1"/>
  <c r="AD4" i="13" s="1"/>
  <c r="U48" i="8"/>
  <c r="U47" i="8" a="1"/>
  <c r="U47" i="8" s="1"/>
  <c r="U14" i="8" a="1"/>
  <c r="U14" i="8" s="1"/>
  <c r="E44" i="8"/>
  <c r="E43" i="8"/>
  <c r="E39" i="8" s="1"/>
  <c r="E20" i="6"/>
  <c r="D20" i="12"/>
  <c r="O21" i="5"/>
  <c r="I22" i="5"/>
  <c r="E16" i="6"/>
  <c r="D16" i="12"/>
  <c r="I14" i="8"/>
  <c r="P14" i="13"/>
  <c r="V14" i="13"/>
  <c r="V15" i="13" s="1"/>
  <c r="V16" i="13" s="1"/>
  <c r="V17" i="13" s="1"/>
  <c r="V18" i="13" s="1"/>
  <c r="V19" i="13" s="1"/>
  <c r="V20" i="13" s="1"/>
  <c r="V21" i="13" s="1"/>
  <c r="V22" i="13" s="1"/>
  <c r="V23" i="13" s="1"/>
  <c r="D14" i="13"/>
  <c r="L28" i="13"/>
  <c r="E47" i="8" a="1"/>
  <c r="E47" i="8" s="1"/>
  <c r="E42" i="8" s="1"/>
  <c r="E14" i="8" a="1"/>
  <c r="E14" i="8" s="1"/>
  <c r="X16" i="12" l="1"/>
  <c r="W87" i="12"/>
  <c r="T87" i="12" s="1"/>
  <c r="W17" i="12"/>
  <c r="V17" i="12" s="1"/>
  <c r="X50" i="12"/>
  <c r="X41" i="12"/>
  <c r="X33" i="12"/>
  <c r="X48" i="12"/>
  <c r="U42" i="12"/>
  <c r="V42" i="12"/>
  <c r="T42" i="12"/>
  <c r="T49" i="12"/>
  <c r="V49" i="12"/>
  <c r="U49" i="12"/>
  <c r="U87" i="12"/>
  <c r="D37" i="12"/>
  <c r="E37" i="6"/>
  <c r="U34" i="12"/>
  <c r="V34" i="12"/>
  <c r="T34" i="12"/>
  <c r="T51" i="12"/>
  <c r="U51" i="12"/>
  <c r="V51" i="12"/>
  <c r="I39" i="5"/>
  <c r="O38" i="5"/>
  <c r="V41" i="12"/>
  <c r="T41" i="12"/>
  <c r="U41" i="12"/>
  <c r="D47" i="12"/>
  <c r="E47" i="6"/>
  <c r="W30" i="12"/>
  <c r="X30" i="12"/>
  <c r="I50" i="5"/>
  <c r="I51" i="5" s="1"/>
  <c r="O49" i="5"/>
  <c r="V88" i="12"/>
  <c r="U88" i="12"/>
  <c r="T88" i="12"/>
  <c r="V50" i="12"/>
  <c r="T50" i="12"/>
  <c r="U50" i="12"/>
  <c r="V48" i="12"/>
  <c r="U48" i="12"/>
  <c r="T48" i="12"/>
  <c r="V33" i="12"/>
  <c r="T33" i="12"/>
  <c r="U33" i="12"/>
  <c r="U31" i="12"/>
  <c r="T31" i="12"/>
  <c r="V31" i="12"/>
  <c r="D21" i="12"/>
  <c r="E21" i="6"/>
  <c r="U44" i="8"/>
  <c r="H29" i="9"/>
  <c r="U43" i="8"/>
  <c r="V48" i="8"/>
  <c r="T16" i="12"/>
  <c r="U16" i="12"/>
  <c r="V16" i="12"/>
  <c r="AE4" i="13"/>
  <c r="O27" i="13" s="1"/>
  <c r="L24" i="13"/>
  <c r="P24" i="13"/>
  <c r="N24" i="13"/>
  <c r="M24" i="13"/>
  <c r="E34" i="14"/>
  <c r="O29" i="13"/>
  <c r="O24" i="13"/>
  <c r="D33" i="14"/>
  <c r="N14" i="11"/>
  <c r="N24" i="11" s="1"/>
  <c r="AB24" i="11"/>
  <c r="AB7" i="11" s="1"/>
  <c r="Z3" i="11" s="1"/>
  <c r="AA3" i="11" s="1"/>
  <c r="I23" i="5"/>
  <c r="O22" i="5"/>
  <c r="U18" i="12"/>
  <c r="T18" i="12"/>
  <c r="V18" i="12"/>
  <c r="U42" i="8"/>
  <c r="V47" i="8" a="1"/>
  <c r="V47" i="8" s="1"/>
  <c r="V87" i="12" l="1"/>
  <c r="AA85" i="5"/>
  <c r="AA86" i="5"/>
  <c r="AA83" i="5"/>
  <c r="AA84" i="5"/>
  <c r="U17" i="12"/>
  <c r="T17" i="12"/>
  <c r="D49" i="12"/>
  <c r="E49" i="6"/>
  <c r="I52" i="5"/>
  <c r="O51" i="5"/>
  <c r="D38" i="12"/>
  <c r="E38" i="6"/>
  <c r="I40" i="5"/>
  <c r="O40" i="5" s="1"/>
  <c r="O39" i="5"/>
  <c r="U30" i="12"/>
  <c r="T30" i="12"/>
  <c r="V30" i="12"/>
  <c r="V42" i="8"/>
  <c r="W47" i="8" a="1"/>
  <c r="W47" i="8" s="1"/>
  <c r="N25" i="11"/>
  <c r="L27" i="13"/>
  <c r="V44" i="8"/>
  <c r="J28" i="9" s="1"/>
  <c r="J29" i="9"/>
  <c r="V43" i="8"/>
  <c r="W48" i="8"/>
  <c r="H27" i="9"/>
  <c r="U39" i="8"/>
  <c r="H26" i="9" s="1"/>
  <c r="E22" i="6"/>
  <c r="D22" i="12"/>
  <c r="N27" i="13"/>
  <c r="E32" i="14" s="1"/>
  <c r="F32" i="14"/>
  <c r="H28" i="9"/>
  <c r="I24" i="5"/>
  <c r="O23" i="5"/>
  <c r="AA104" i="5"/>
  <c r="AA91" i="5"/>
  <c r="AA95" i="5"/>
  <c r="AA74" i="5"/>
  <c r="AA68" i="5"/>
  <c r="AA55" i="5"/>
  <c r="AA40" i="5"/>
  <c r="AA38" i="5"/>
  <c r="AA37" i="5"/>
  <c r="AA42" i="5"/>
  <c r="AD22" i="11"/>
  <c r="AD12" i="11"/>
  <c r="AD16" i="11"/>
  <c r="AA34" i="5"/>
  <c r="AA82" i="5"/>
  <c r="AA92" i="5"/>
  <c r="AA96" i="5"/>
  <c r="AA75" i="5"/>
  <c r="AA69" i="5"/>
  <c r="AA56" i="5"/>
  <c r="AA51" i="5"/>
  <c r="AA26" i="5"/>
  <c r="AA35" i="5"/>
  <c r="AA43" i="5"/>
  <c r="AA100" i="5"/>
  <c r="AA89" i="5"/>
  <c r="AA80" i="5"/>
  <c r="AA72" i="5"/>
  <c r="AA60" i="5"/>
  <c r="AA53" i="5"/>
  <c r="AA49" i="5"/>
  <c r="AA48" i="5" s="1"/>
  <c r="C29" i="8" s="1"/>
  <c r="AA28" i="5"/>
  <c r="AA44" i="5"/>
  <c r="AA22" i="5"/>
  <c r="AA36" i="5"/>
  <c r="AD19" i="11"/>
  <c r="AA32" i="5"/>
  <c r="AA103" i="5"/>
  <c r="AA90" i="5"/>
  <c r="AA81" i="5"/>
  <c r="AA73" i="5"/>
  <c r="AA59" i="5"/>
  <c r="AA54" i="5"/>
  <c r="AA39" i="5"/>
  <c r="AA25" i="5"/>
  <c r="AA23" i="5"/>
  <c r="AA20" i="5"/>
  <c r="AA98" i="5"/>
  <c r="AA102" i="5"/>
  <c r="AA78" i="5"/>
  <c r="AA70" i="5"/>
  <c r="AA67" i="5"/>
  <c r="AA62" i="5"/>
  <c r="AA27" i="5"/>
  <c r="AA24" i="5"/>
  <c r="AA99" i="5"/>
  <c r="AA88" i="5"/>
  <c r="AA79" i="5"/>
  <c r="AA71" i="5"/>
  <c r="AA58" i="5"/>
  <c r="AA61" i="5"/>
  <c r="AA21" i="5"/>
  <c r="AA46" i="5"/>
  <c r="AD17" i="11"/>
  <c r="AA19" i="5"/>
  <c r="AA93" i="5"/>
  <c r="AA94" i="5"/>
  <c r="AA76" i="5"/>
  <c r="AA65" i="5"/>
  <c r="AA57" i="5"/>
  <c r="AA52" i="5"/>
  <c r="AA47" i="5"/>
  <c r="AA97" i="5"/>
  <c r="AA101" i="5"/>
  <c r="AA77" i="5"/>
  <c r="AA66" i="5"/>
  <c r="AA64" i="5"/>
  <c r="AA63" i="5"/>
  <c r="AA29" i="5"/>
  <c r="AA45" i="5"/>
  <c r="AD23" i="11"/>
  <c r="AA31" i="5"/>
  <c r="AD21" i="11"/>
  <c r="AD18" i="11"/>
  <c r="AD14" i="11"/>
  <c r="AD15" i="11"/>
  <c r="AD20" i="11"/>
  <c r="AA18" i="5"/>
  <c r="F34" i="14"/>
  <c r="G10" i="13"/>
  <c r="AA30" i="5" l="1"/>
  <c r="C20" i="8" s="1"/>
  <c r="AE20" i="11"/>
  <c r="M20" i="11" s="1"/>
  <c r="L20" i="11" s="1"/>
  <c r="AE19" i="11"/>
  <c r="M19" i="11" s="1"/>
  <c r="L19" i="11" s="1"/>
  <c r="E39" i="6"/>
  <c r="D39" i="12"/>
  <c r="D40" i="12"/>
  <c r="E40" i="6"/>
  <c r="E51" i="6"/>
  <c r="D51" i="12"/>
  <c r="I53" i="5"/>
  <c r="O52" i="5"/>
  <c r="AE14" i="11"/>
  <c r="AA33" i="5"/>
  <c r="C23" i="8" s="1"/>
  <c r="AE12" i="11"/>
  <c r="M12" i="11" s="1"/>
  <c r="L12" i="11" s="1"/>
  <c r="AE17" i="11"/>
  <c r="M17" i="11" s="1"/>
  <c r="L17" i="11" s="1"/>
  <c r="AE18" i="11"/>
  <c r="M18" i="11" s="1"/>
  <c r="L18" i="11" s="1"/>
  <c r="AE21" i="11"/>
  <c r="M21" i="11" s="1"/>
  <c r="L21" i="11" s="1"/>
  <c r="V39" i="8"/>
  <c r="J26" i="9" s="1"/>
  <c r="J27" i="9"/>
  <c r="AA41" i="5"/>
  <c r="C26" i="8" s="1"/>
  <c r="AA87" i="5"/>
  <c r="C35" i="8" s="1"/>
  <c r="AE22" i="11"/>
  <c r="M22" i="11" s="1"/>
  <c r="L22" i="11" s="1"/>
  <c r="AE23" i="11"/>
  <c r="M23" i="11" s="1"/>
  <c r="L23" i="11" s="1"/>
  <c r="AA17" i="5"/>
  <c r="C17" i="8" s="1"/>
  <c r="AA16" i="5"/>
  <c r="AA15" i="5"/>
  <c r="AE16" i="11"/>
  <c r="M16" i="11" s="1"/>
  <c r="L16" i="11" s="1"/>
  <c r="D23" i="12"/>
  <c r="E23" i="6"/>
  <c r="AD27" i="13"/>
  <c r="D32" i="14"/>
  <c r="AC27" i="13"/>
  <c r="O24" i="5"/>
  <c r="I25" i="5"/>
  <c r="W42" i="8"/>
  <c r="X47" i="8" a="1"/>
  <c r="X47" i="8" s="1"/>
  <c r="AA50" i="5"/>
  <c r="C32" i="8" s="1"/>
  <c r="AE15" i="11"/>
  <c r="M15" i="11" s="1"/>
  <c r="L15" i="11" s="1"/>
  <c r="L29" i="9"/>
  <c r="W44" i="8"/>
  <c r="W43" i="8"/>
  <c r="X48" i="8"/>
  <c r="E52" i="6" l="1"/>
  <c r="D52" i="12"/>
  <c r="I54" i="5"/>
  <c r="O53" i="5"/>
  <c r="D24" i="12"/>
  <c r="E24" i="6"/>
  <c r="Y47" i="8" a="1"/>
  <c r="Y47" i="8" s="1"/>
  <c r="X42" i="8"/>
  <c r="N29" i="9"/>
  <c r="X43" i="8"/>
  <c r="X44" i="8"/>
  <c r="N28" i="9" s="1"/>
  <c r="Y48" i="8"/>
  <c r="AC14" i="13"/>
  <c r="R14" i="13" s="1"/>
  <c r="M26" i="13" s="1"/>
  <c r="AF14" i="13"/>
  <c r="T14" i="13" s="1"/>
  <c r="AD3" i="13" s="1"/>
  <c r="AD2" i="13" s="1"/>
  <c r="AA14" i="11"/>
  <c r="I26" i="5"/>
  <c r="O25" i="5"/>
  <c r="U46" i="8" a="1"/>
  <c r="U46" i="8" s="1"/>
  <c r="E46" i="8" a="1"/>
  <c r="E46" i="8" s="1"/>
  <c r="W39" i="8"/>
  <c r="L26" i="9" s="1"/>
  <c r="L27" i="9"/>
  <c r="L28" i="9"/>
  <c r="E53" i="6" l="1"/>
  <c r="D53" i="12"/>
  <c r="I55" i="5"/>
  <c r="O54" i="5"/>
  <c r="E45" i="8"/>
  <c r="E40" i="8" s="1"/>
  <c r="E41" i="8"/>
  <c r="D25" i="12"/>
  <c r="E25" i="6"/>
  <c r="X39" i="8"/>
  <c r="N26" i="9" s="1"/>
  <c r="N27" i="9"/>
  <c r="V46" i="8" a="1"/>
  <c r="V46" i="8" s="1"/>
  <c r="U41" i="8"/>
  <c r="U45" i="8"/>
  <c r="U40" i="8" s="1"/>
  <c r="I27" i="5"/>
  <c r="O26" i="5"/>
  <c r="AA24" i="11"/>
  <c r="M14" i="11"/>
  <c r="Z14" i="11"/>
  <c r="Z24" i="11" s="1"/>
  <c r="Y42" i="8"/>
  <c r="Z47" i="8" a="1"/>
  <c r="Z47" i="8" s="1"/>
  <c r="AE3" i="13"/>
  <c r="M25" i="13"/>
  <c r="Y44" i="8"/>
  <c r="P29" i="9"/>
  <c r="Y43" i="8"/>
  <c r="Z48" i="8"/>
  <c r="D54" i="12" l="1"/>
  <c r="E54" i="6"/>
  <c r="I56" i="5"/>
  <c r="O55" i="5"/>
  <c r="AA47" i="8" a="1"/>
  <c r="AA47" i="8" s="1"/>
  <c r="Z42" i="8"/>
  <c r="V41" i="8"/>
  <c r="W46" i="8" a="1"/>
  <c r="W46" i="8" s="1"/>
  <c r="V45" i="8"/>
  <c r="V40" i="8" s="1"/>
  <c r="M24" i="11"/>
  <c r="L14" i="11"/>
  <c r="L24" i="11" s="1"/>
  <c r="Z44" i="8"/>
  <c r="R28" i="9" s="1"/>
  <c r="R29" i="9"/>
  <c r="Z43" i="8"/>
  <c r="AA48" i="8"/>
  <c r="D26" i="12"/>
  <c r="E26" i="6"/>
  <c r="I28" i="5"/>
  <c r="O27" i="5"/>
  <c r="Y39" i="8"/>
  <c r="P26" i="9" s="1"/>
  <c r="P27" i="9"/>
  <c r="P28" i="9"/>
  <c r="AE2" i="13"/>
  <c r="O26" i="13"/>
  <c r="D55" i="12" l="1"/>
  <c r="E55" i="6"/>
  <c r="I57" i="5"/>
  <c r="O56" i="5"/>
  <c r="D27" i="12"/>
  <c r="E27" i="6"/>
  <c r="I29" i="5"/>
  <c r="O29" i="5" s="1"/>
  <c r="O28" i="5"/>
  <c r="L10" i="11"/>
  <c r="M10" i="13" s="1"/>
  <c r="L25" i="11"/>
  <c r="L25" i="13"/>
  <c r="D30" i="14" s="1"/>
  <c r="L26" i="13"/>
  <c r="M10" i="11"/>
  <c r="N10" i="13" s="1"/>
  <c r="M25" i="11"/>
  <c r="F31" i="14"/>
  <c r="N26" i="13"/>
  <c r="E31" i="14" s="1"/>
  <c r="O25" i="13"/>
  <c r="X46" i="8" a="1"/>
  <c r="X46" i="8" s="1"/>
  <c r="W41" i="8"/>
  <c r="W45" i="8"/>
  <c r="W40" i="8" s="1"/>
  <c r="AA43" i="8"/>
  <c r="T29" i="9"/>
  <c r="AA44" i="8"/>
  <c r="AB48" i="8"/>
  <c r="R27" i="9"/>
  <c r="Z39" i="8"/>
  <c r="R26" i="9" s="1"/>
  <c r="AB47" i="8" a="1"/>
  <c r="AB47" i="8" s="1"/>
  <c r="AA42" i="8"/>
  <c r="D56" i="12" l="1"/>
  <c r="E56" i="6"/>
  <c r="I58" i="5"/>
  <c r="O57" i="5"/>
  <c r="AB42" i="8"/>
  <c r="AC47" i="8" a="1"/>
  <c r="AC47" i="8" s="1"/>
  <c r="D31" i="14"/>
  <c r="AD26" i="13"/>
  <c r="AC26" i="13"/>
  <c r="X41" i="8"/>
  <c r="Y46" i="8" a="1"/>
  <c r="Y46" i="8" s="1"/>
  <c r="X45" i="8"/>
  <c r="X40" i="8" s="1"/>
  <c r="V29" i="9"/>
  <c r="AB44" i="8"/>
  <c r="V28" i="9" s="1"/>
  <c r="AB43" i="8"/>
  <c r="AC48" i="8"/>
  <c r="N25" i="13"/>
  <c r="E30" i="14" s="1"/>
  <c r="F30" i="14"/>
  <c r="E28" i="6"/>
  <c r="D28" i="12"/>
  <c r="D29" i="12"/>
  <c r="E29" i="6"/>
  <c r="T28" i="9"/>
  <c r="F11" i="8" a="1"/>
  <c r="F11" i="8" s="1"/>
  <c r="T27" i="9"/>
  <c r="AA39" i="8"/>
  <c r="T26" i="9" s="1"/>
  <c r="D57" i="12" l="1"/>
  <c r="E57" i="6"/>
  <c r="I59" i="5"/>
  <c r="O58" i="5"/>
  <c r="Z46" i="8" a="1"/>
  <c r="Z46" i="8" s="1"/>
  <c r="Y41" i="8"/>
  <c r="Y45" i="8"/>
  <c r="Y40" i="8" s="1"/>
  <c r="AC44" i="8"/>
  <c r="X28" i="9" s="1"/>
  <c r="AC43" i="8"/>
  <c r="X29" i="9"/>
  <c r="AD48" i="8"/>
  <c r="V27" i="9"/>
  <c r="AB39" i="8"/>
  <c r="V26" i="9" s="1"/>
  <c r="AC42" i="8"/>
  <c r="AD47" i="8" a="1"/>
  <c r="AD47" i="8" s="1"/>
  <c r="E58" i="6" l="1"/>
  <c r="D58" i="12"/>
  <c r="I60" i="5"/>
  <c r="O59" i="5"/>
  <c r="AD43" i="8"/>
  <c r="Z29" i="9"/>
  <c r="AD44" i="8"/>
  <c r="Z28" i="9" s="1"/>
  <c r="AE48" i="8"/>
  <c r="AC39" i="8"/>
  <c r="X26" i="9" s="1"/>
  <c r="X27" i="9"/>
  <c r="AE47" i="8" a="1"/>
  <c r="AE47" i="8" s="1"/>
  <c r="AD42" i="8"/>
  <c r="AA46" i="8" a="1"/>
  <c r="AA46" i="8" s="1"/>
  <c r="Z41" i="8"/>
  <c r="Z45" i="8"/>
  <c r="Z40" i="8" s="1"/>
  <c r="D59" i="12" l="1"/>
  <c r="E59" i="6"/>
  <c r="I61" i="5"/>
  <c r="O60" i="5"/>
  <c r="AF47" i="8" a="1"/>
  <c r="AF47" i="8" s="1"/>
  <c r="AF42" i="8" s="1"/>
  <c r="AE42" i="8"/>
  <c r="AE44" i="8"/>
  <c r="AB28" i="9" s="1"/>
  <c r="AE43" i="8"/>
  <c r="AB29" i="9"/>
  <c r="AF48" i="8"/>
  <c r="AB46" i="8" a="1"/>
  <c r="AB46" i="8" s="1"/>
  <c r="AA41" i="8"/>
  <c r="AA45" i="8"/>
  <c r="AA40" i="8" s="1"/>
  <c r="Z27" i="9"/>
  <c r="AD39" i="8"/>
  <c r="Z26" i="9" s="1"/>
  <c r="E60" i="6" l="1"/>
  <c r="D60" i="12"/>
  <c r="I62" i="5"/>
  <c r="O61" i="5"/>
  <c r="AC46" i="8" a="1"/>
  <c r="AC46" i="8" s="1"/>
  <c r="AB41" i="8"/>
  <c r="AB45" i="8"/>
  <c r="AB40" i="8" s="1"/>
  <c r="B6" i="9" a="1"/>
  <c r="B6" i="9" s="1"/>
  <c r="M13" i="9" s="1"/>
  <c r="K10" i="8" a="1"/>
  <c r="K10" i="8" s="1"/>
  <c r="AD29" i="9"/>
  <c r="AF43" i="8"/>
  <c r="AF44" i="8"/>
  <c r="AD28" i="9" s="1"/>
  <c r="AE39" i="8"/>
  <c r="AB26" i="9" s="1"/>
  <c r="AB27" i="9"/>
  <c r="D61" i="12" l="1"/>
  <c r="E61" i="6"/>
  <c r="I63" i="5"/>
  <c r="O62" i="5"/>
  <c r="AD27" i="9"/>
  <c r="AF39" i="8"/>
  <c r="AD26" i="9" s="1"/>
  <c r="AD46" i="8" a="1"/>
  <c r="AD46" i="8" s="1"/>
  <c r="AC41" i="8"/>
  <c r="AC45" i="8"/>
  <c r="AC40" i="8" s="1"/>
  <c r="D62" i="12" l="1"/>
  <c r="E62" i="6"/>
  <c r="I64" i="5"/>
  <c r="O63" i="5"/>
  <c r="AE46" i="8" a="1"/>
  <c r="AE46" i="8" s="1"/>
  <c r="AD41" i="8"/>
  <c r="AD45" i="8"/>
  <c r="AD40" i="8" s="1"/>
  <c r="D63" i="12" l="1"/>
  <c r="E63" i="6"/>
  <c r="I65" i="5"/>
  <c r="O64" i="5"/>
  <c r="AF46" i="8" a="1"/>
  <c r="AF46" i="8" s="1"/>
  <c r="AE41" i="8"/>
  <c r="AE45" i="8"/>
  <c r="AE40" i="8" s="1"/>
  <c r="E64" i="6" l="1"/>
  <c r="D64" i="12"/>
  <c r="I66" i="5"/>
  <c r="O65" i="5"/>
  <c r="AF41" i="8"/>
  <c r="AF45" i="8"/>
  <c r="AF40" i="8" s="1"/>
  <c r="D65" i="12" l="1"/>
  <c r="E65" i="6"/>
  <c r="O66" i="5"/>
  <c r="I67" i="5"/>
  <c r="D66" i="12" l="1"/>
  <c r="E66" i="6"/>
  <c r="I68" i="5"/>
  <c r="O67" i="5"/>
  <c r="I69" i="5" l="1"/>
  <c r="O68" i="5"/>
  <c r="D67" i="12"/>
  <c r="E67" i="6"/>
  <c r="D68" i="12" l="1"/>
  <c r="E68" i="6"/>
  <c r="I70" i="5"/>
  <c r="O69" i="5"/>
  <c r="I71" i="5" l="1"/>
  <c r="O70" i="5"/>
  <c r="D69" i="12"/>
  <c r="E69" i="6"/>
  <c r="E70" i="6" l="1"/>
  <c r="D70" i="12"/>
  <c r="I72" i="5"/>
  <c r="O71" i="5"/>
  <c r="D71" i="12" l="1"/>
  <c r="E71" i="6"/>
  <c r="I73" i="5"/>
  <c r="O72" i="5"/>
  <c r="I74" i="5" l="1"/>
  <c r="O73" i="5"/>
  <c r="D72" i="12"/>
  <c r="E72" i="6"/>
  <c r="E73" i="6" l="1"/>
  <c r="D73" i="12"/>
  <c r="I75" i="5"/>
  <c r="O74" i="5"/>
  <c r="D74" i="12" l="1"/>
  <c r="E74" i="6"/>
  <c r="I76" i="5"/>
  <c r="O75" i="5"/>
  <c r="I77" i="5" l="1"/>
  <c r="O76" i="5"/>
  <c r="E75" i="6"/>
  <c r="D75" i="12"/>
  <c r="D76" i="12" l="1"/>
  <c r="E76" i="6"/>
  <c r="I78" i="5"/>
  <c r="O77" i="5"/>
  <c r="D77" i="12" l="1"/>
  <c r="E77" i="6"/>
  <c r="I79" i="5"/>
  <c r="O78" i="5"/>
  <c r="I80" i="5" l="1"/>
  <c r="O79" i="5"/>
  <c r="D78" i="12"/>
  <c r="E78" i="6"/>
  <c r="D79" i="12" l="1"/>
  <c r="E79" i="6"/>
  <c r="I81" i="5"/>
  <c r="O80" i="5"/>
  <c r="I82" i="5" l="1"/>
  <c r="O81" i="5"/>
  <c r="E80" i="6"/>
  <c r="D80" i="12"/>
  <c r="O82" i="5" l="1"/>
  <c r="D82" i="12" s="1"/>
  <c r="I83" i="5"/>
  <c r="E81" i="6"/>
  <c r="D81" i="12"/>
  <c r="E82" i="6" l="1"/>
  <c r="I84" i="5"/>
  <c r="O83" i="5"/>
  <c r="I85" i="5" l="1"/>
  <c r="O84" i="5"/>
  <c r="D83" i="12"/>
  <c r="E83" i="6"/>
  <c r="I86" i="5" l="1"/>
  <c r="O86" i="5" s="1"/>
  <c r="O85" i="5"/>
  <c r="D84" i="12"/>
  <c r="E84" i="6"/>
  <c r="D86" i="12" l="1"/>
  <c r="E86" i="6"/>
  <c r="D85" i="12"/>
  <c r="E85" i="6"/>
  <c r="AF19" i="5" l="1"/>
  <c r="AF18" i="5"/>
  <c r="AF99" i="5"/>
  <c r="AF53" i="5"/>
  <c r="AF57" i="5"/>
  <c r="AF38" i="5"/>
  <c r="AF56" i="5"/>
  <c r="AF42" i="5"/>
  <c r="AF37" i="5"/>
  <c r="AF77" i="5"/>
  <c r="AF31" i="5"/>
  <c r="AF66" i="5"/>
  <c r="AF63" i="5"/>
  <c r="AF100" i="5"/>
  <c r="AF64" i="5"/>
  <c r="AF79" i="5"/>
  <c r="AF55" i="5"/>
  <c r="AF67" i="5"/>
  <c r="AF59" i="5"/>
  <c r="AF75" i="5"/>
  <c r="AF72" i="5"/>
  <c r="AF81" i="5"/>
  <c r="AF103" i="5"/>
  <c r="AF78" i="5"/>
  <c r="AF70" i="5"/>
  <c r="AF93" i="5"/>
  <c r="AF46" i="5"/>
  <c r="AF68" i="5"/>
  <c r="AF69" i="5"/>
  <c r="AF61" i="5"/>
  <c r="AF28" i="5"/>
  <c r="AF71" i="5"/>
  <c r="AF58" i="5"/>
  <c r="AF90" i="5"/>
  <c r="AF29" i="5"/>
  <c r="AF76" i="5"/>
  <c r="AF47" i="5"/>
  <c r="AF98" i="5"/>
  <c r="AF27" i="5"/>
  <c r="AF49" i="5"/>
  <c r="AF39" i="5"/>
  <c r="AF95" i="5"/>
  <c r="AF97" i="5"/>
  <c r="AF83" i="5"/>
  <c r="AF89" i="5"/>
  <c r="AF43" i="5"/>
  <c r="AF101" i="5"/>
  <c r="AF88" i="5"/>
  <c r="AF52" i="5"/>
  <c r="AF34" i="5"/>
  <c r="AF92" i="5"/>
  <c r="AF54" i="5"/>
  <c r="AF84" i="5"/>
  <c r="AF82" i="5"/>
  <c r="AF40" i="5"/>
  <c r="AF91" i="5"/>
  <c r="AF62" i="5"/>
  <c r="AF102" i="5"/>
  <c r="AF32" i="5"/>
  <c r="AF65" i="5"/>
  <c r="AF96" i="5"/>
  <c r="AF60" i="5"/>
  <c r="AF44" i="5"/>
  <c r="AF85" i="5"/>
  <c r="AF51" i="5"/>
  <c r="AF80" i="5"/>
  <c r="AF35" i="5"/>
  <c r="AF94" i="5"/>
  <c r="AF74" i="5"/>
  <c r="AF45" i="5"/>
  <c r="AF104" i="5"/>
  <c r="AF73" i="5"/>
  <c r="AF36" i="5"/>
  <c r="AF86" i="5"/>
  <c r="AF26" i="5"/>
  <c r="AF20" i="5"/>
  <c r="AF14" i="5"/>
  <c r="AF23" i="5"/>
  <c r="AF24" i="5"/>
  <c r="AF16" i="5"/>
  <c r="AF17" i="5"/>
  <c r="AF21" i="5"/>
  <c r="AF25" i="5"/>
  <c r="AF22" i="5"/>
  <c r="S17" i="5" l="1"/>
  <c r="AG17" i="5"/>
  <c r="AG16" i="5"/>
  <c r="S16" i="5"/>
  <c r="S14" i="5"/>
  <c r="AG14" i="5"/>
  <c r="R14" i="5"/>
  <c r="AG22" i="5"/>
  <c r="R21" i="5"/>
  <c r="S23" i="5"/>
  <c r="AG20" i="5"/>
  <c r="S36" i="5"/>
  <c r="AG45" i="5"/>
  <c r="S94" i="5"/>
  <c r="S51" i="5"/>
  <c r="AG60" i="5"/>
  <c r="AG65" i="5"/>
  <c r="S62" i="5"/>
  <c r="R82" i="5"/>
  <c r="AG54" i="5"/>
  <c r="R52" i="5"/>
  <c r="R43" i="5"/>
  <c r="R83" i="5"/>
  <c r="S39" i="5"/>
  <c r="AG98" i="5"/>
  <c r="AG76" i="5"/>
  <c r="S58" i="5"/>
  <c r="R61" i="5"/>
  <c r="R68" i="5"/>
  <c r="R70" i="5"/>
  <c r="AG81" i="5"/>
  <c r="S75" i="5"/>
  <c r="R55" i="5"/>
  <c r="S100" i="5"/>
  <c r="AG66" i="5"/>
  <c r="S37" i="5"/>
  <c r="R38" i="5"/>
  <c r="R53" i="5"/>
  <c r="AG19" i="5"/>
  <c r="R22" i="5"/>
  <c r="AG23" i="5"/>
  <c r="AG26" i="5"/>
  <c r="R36" i="5"/>
  <c r="R45" i="5"/>
  <c r="S35" i="5"/>
  <c r="R51" i="5"/>
  <c r="R60" i="5"/>
  <c r="R32" i="5"/>
  <c r="AG62" i="5"/>
  <c r="AG82" i="5"/>
  <c r="S92" i="5"/>
  <c r="S52" i="5"/>
  <c r="AG43" i="5"/>
  <c r="AG97" i="5"/>
  <c r="R39" i="5"/>
  <c r="S98" i="5"/>
  <c r="R29" i="5"/>
  <c r="R58" i="5"/>
  <c r="S61" i="5"/>
  <c r="S46" i="5"/>
  <c r="S70" i="5"/>
  <c r="R81" i="5"/>
  <c r="AG59" i="5"/>
  <c r="AG55" i="5"/>
  <c r="R100" i="5"/>
  <c r="S31" i="5"/>
  <c r="R37" i="5"/>
  <c r="AG38" i="5"/>
  <c r="S99" i="5"/>
  <c r="S19" i="5"/>
  <c r="S22" i="5"/>
  <c r="R23" i="5"/>
  <c r="S26" i="5"/>
  <c r="AG73" i="5"/>
  <c r="S45" i="5"/>
  <c r="R35" i="5"/>
  <c r="R85" i="5"/>
  <c r="S60" i="5"/>
  <c r="S32" i="5"/>
  <c r="S91" i="5"/>
  <c r="S82" i="5"/>
  <c r="R92" i="5"/>
  <c r="R88" i="5"/>
  <c r="S43" i="5"/>
  <c r="R97" i="5"/>
  <c r="R49" i="5"/>
  <c r="R98" i="5"/>
  <c r="S29" i="5"/>
  <c r="S71" i="5"/>
  <c r="AG61" i="5"/>
  <c r="R46" i="5"/>
  <c r="AG78" i="5"/>
  <c r="S81" i="5"/>
  <c r="S59" i="5"/>
  <c r="S79" i="5"/>
  <c r="AG100" i="5"/>
  <c r="AG31" i="5"/>
  <c r="S42" i="5"/>
  <c r="S38" i="5"/>
  <c r="AG99" i="5"/>
  <c r="AG25" i="5"/>
  <c r="R26" i="5"/>
  <c r="R73" i="5"/>
  <c r="S74" i="5"/>
  <c r="AG35" i="5"/>
  <c r="S85" i="5"/>
  <c r="R96" i="5"/>
  <c r="AG32" i="5"/>
  <c r="R91" i="5"/>
  <c r="S84" i="5"/>
  <c r="AG92" i="5"/>
  <c r="S88" i="5"/>
  <c r="R89" i="5"/>
  <c r="S97" i="5"/>
  <c r="AG49" i="5"/>
  <c r="AG47" i="5"/>
  <c r="AG29" i="5"/>
  <c r="R71" i="5"/>
  <c r="AG69" i="5"/>
  <c r="AG46" i="5"/>
  <c r="R78" i="5"/>
  <c r="AG72" i="5"/>
  <c r="R59" i="5"/>
  <c r="R79" i="5"/>
  <c r="AG63" i="5"/>
  <c r="R31" i="5"/>
  <c r="R42" i="5"/>
  <c r="R57" i="5"/>
  <c r="R99" i="5"/>
  <c r="S25" i="5"/>
  <c r="R86" i="5"/>
  <c r="S73" i="5"/>
  <c r="AG74" i="5"/>
  <c r="S80" i="5"/>
  <c r="AG85" i="5"/>
  <c r="S96" i="5"/>
  <c r="AG102" i="5"/>
  <c r="AG91" i="5"/>
  <c r="AG84" i="5"/>
  <c r="S34" i="5"/>
  <c r="AG88" i="5"/>
  <c r="AG89" i="5"/>
  <c r="S95" i="5"/>
  <c r="S49" i="5"/>
  <c r="S47" i="5"/>
  <c r="R90" i="5"/>
  <c r="AG71" i="5"/>
  <c r="R69" i="5"/>
  <c r="AG93" i="5"/>
  <c r="S78" i="5"/>
  <c r="S72" i="5"/>
  <c r="R67" i="5"/>
  <c r="AG79" i="5"/>
  <c r="R63" i="5"/>
  <c r="S77" i="5"/>
  <c r="AG42" i="5"/>
  <c r="AG57" i="5"/>
  <c r="S18" i="5"/>
  <c r="R25" i="5"/>
  <c r="S24" i="5"/>
  <c r="S86" i="5"/>
  <c r="R104" i="5"/>
  <c r="R74" i="5"/>
  <c r="AG80" i="5"/>
  <c r="R44" i="5"/>
  <c r="AG96" i="5"/>
  <c r="R102" i="5"/>
  <c r="AG40" i="5"/>
  <c r="R84" i="5"/>
  <c r="AG34" i="5"/>
  <c r="R101" i="5"/>
  <c r="S89" i="5"/>
  <c r="R95" i="5"/>
  <c r="R27" i="5"/>
  <c r="R47" i="5"/>
  <c r="AG90" i="5"/>
  <c r="R28" i="5"/>
  <c r="S69" i="5"/>
  <c r="S93" i="5"/>
  <c r="S103" i="5"/>
  <c r="R72" i="5"/>
  <c r="AG67" i="5"/>
  <c r="S64" i="5"/>
  <c r="S63" i="5"/>
  <c r="R77" i="5"/>
  <c r="S56" i="5"/>
  <c r="S57" i="5"/>
  <c r="AG18" i="5"/>
  <c r="S21" i="5"/>
  <c r="AG24" i="5"/>
  <c r="S20" i="5"/>
  <c r="AG86" i="5"/>
  <c r="AG104" i="5"/>
  <c r="AG94" i="5"/>
  <c r="R80" i="5"/>
  <c r="S44" i="5"/>
  <c r="R65" i="5"/>
  <c r="S102" i="5"/>
  <c r="R40" i="5"/>
  <c r="R54" i="5"/>
  <c r="R34" i="5"/>
  <c r="S101" i="5"/>
  <c r="S83" i="5"/>
  <c r="AG95" i="5"/>
  <c r="S27" i="5"/>
  <c r="S76" i="5"/>
  <c r="S90" i="5"/>
  <c r="AG28" i="5"/>
  <c r="AG68" i="5"/>
  <c r="R93" i="5"/>
  <c r="AG103" i="5"/>
  <c r="AG75" i="5"/>
  <c r="S67" i="5"/>
  <c r="R64" i="5"/>
  <c r="R66" i="5"/>
  <c r="AG77" i="5"/>
  <c r="R56" i="5"/>
  <c r="S53" i="5"/>
  <c r="R18" i="5"/>
  <c r="AG21" i="5"/>
  <c r="R24" i="5"/>
  <c r="R20" i="5"/>
  <c r="AG36" i="5"/>
  <c r="S104" i="5"/>
  <c r="R94" i="5"/>
  <c r="AG51" i="5"/>
  <c r="AG44" i="5"/>
  <c r="S65" i="5"/>
  <c r="R62" i="5"/>
  <c r="S40" i="5"/>
  <c r="S54" i="5"/>
  <c r="AG52" i="5"/>
  <c r="AG101" i="5"/>
  <c r="AG83" i="5"/>
  <c r="AG39" i="5"/>
  <c r="AG27" i="5"/>
  <c r="R76" i="5"/>
  <c r="AG58" i="5"/>
  <c r="S28" i="5"/>
  <c r="S68" i="5"/>
  <c r="AG70" i="5"/>
  <c r="R103" i="5"/>
  <c r="R75" i="5"/>
  <c r="S55" i="5"/>
  <c r="AG64" i="5"/>
  <c r="S66" i="5"/>
  <c r="AG37" i="5"/>
  <c r="AG56" i="5"/>
  <c r="AG53" i="5"/>
  <c r="R19" i="5"/>
  <c r="E19" i="12" l="1"/>
  <c r="F19" i="6"/>
  <c r="AC19" i="5" a="1"/>
  <c r="AC19" i="5" s="1"/>
  <c r="J19" i="6" s="1"/>
  <c r="F66" i="12"/>
  <c r="G66" i="6"/>
  <c r="F55" i="12"/>
  <c r="G55" i="6"/>
  <c r="F75" i="6"/>
  <c r="AC75" i="5" a="1"/>
  <c r="AC75" i="5" s="1"/>
  <c r="J75" i="6" s="1"/>
  <c r="E75" i="12"/>
  <c r="AC103" i="5" a="1"/>
  <c r="AC103" i="5" s="1"/>
  <c r="J103" i="6" s="1"/>
  <c r="F103" i="6"/>
  <c r="E103" i="12"/>
  <c r="G68" i="6"/>
  <c r="F68" i="12"/>
  <c r="G28" i="6"/>
  <c r="F28" i="12"/>
  <c r="F76" i="6"/>
  <c r="AC76" i="5" a="1"/>
  <c r="AC76" i="5" s="1"/>
  <c r="J76" i="6" s="1"/>
  <c r="E76" i="12"/>
  <c r="F54" i="12"/>
  <c r="G54" i="6"/>
  <c r="F40" i="12"/>
  <c r="G40" i="6"/>
  <c r="F62" i="6"/>
  <c r="E62" i="12"/>
  <c r="AC62" i="5" a="1"/>
  <c r="AC62" i="5" s="1"/>
  <c r="J62" i="6" s="1"/>
  <c r="F65" i="12"/>
  <c r="G65" i="6"/>
  <c r="F94" i="6"/>
  <c r="AC94" i="5" a="1"/>
  <c r="AC94" i="5" s="1"/>
  <c r="J94" i="6" s="1"/>
  <c r="E94" i="12"/>
  <c r="F104" i="12"/>
  <c r="G104" i="6"/>
  <c r="E20" i="12"/>
  <c r="F20" i="6"/>
  <c r="AC20" i="5" a="1"/>
  <c r="AC20" i="5" s="1"/>
  <c r="J20" i="6" s="1"/>
  <c r="F24" i="6"/>
  <c r="E24" i="12"/>
  <c r="AC24" i="5" a="1"/>
  <c r="AC24" i="5" s="1"/>
  <c r="J24" i="6" s="1"/>
  <c r="F18" i="6"/>
  <c r="E18" i="12"/>
  <c r="AC18" i="5" a="1"/>
  <c r="AC18" i="5" s="1"/>
  <c r="J18" i="6" s="1"/>
  <c r="F53" i="12"/>
  <c r="G53" i="6"/>
  <c r="F56" i="6"/>
  <c r="E56" i="12"/>
  <c r="AC56" i="5" a="1"/>
  <c r="AC56" i="5" s="1"/>
  <c r="J56" i="6" s="1"/>
  <c r="E66" i="12"/>
  <c r="F66" i="6"/>
  <c r="AC66" i="5" a="1"/>
  <c r="AC66" i="5" s="1"/>
  <c r="J66" i="6" s="1"/>
  <c r="E64" i="12"/>
  <c r="AC64" i="5" a="1"/>
  <c r="AC64" i="5" s="1"/>
  <c r="J64" i="6" s="1"/>
  <c r="F64" i="6"/>
  <c r="F67" i="12"/>
  <c r="G67" i="6"/>
  <c r="AC93" i="5" a="1"/>
  <c r="AC93" i="5" s="1"/>
  <c r="J93" i="6" s="1"/>
  <c r="F93" i="6"/>
  <c r="E93" i="12"/>
  <c r="F90" i="12"/>
  <c r="G90" i="6"/>
  <c r="F76" i="12"/>
  <c r="G76" i="6"/>
  <c r="G27" i="6"/>
  <c r="F27" i="12"/>
  <c r="F83" i="12"/>
  <c r="G83" i="6"/>
  <c r="G101" i="6"/>
  <c r="F101" i="12"/>
  <c r="F34" i="6"/>
  <c r="E34" i="12"/>
  <c r="AC34" i="5" a="1"/>
  <c r="AC34" i="5" s="1"/>
  <c r="J34" i="6" s="1"/>
  <c r="E54" i="12"/>
  <c r="F54" i="6"/>
  <c r="AC54" i="5" a="1"/>
  <c r="AC54" i="5" s="1"/>
  <c r="J54" i="6" s="1"/>
  <c r="E40" i="12"/>
  <c r="F40" i="6"/>
  <c r="AC40" i="5" a="1"/>
  <c r="AC40" i="5" s="1"/>
  <c r="J40" i="6" s="1"/>
  <c r="F102" i="12"/>
  <c r="G102" i="6"/>
  <c r="E65" i="12"/>
  <c r="F65" i="6"/>
  <c r="AC65" i="5" a="1"/>
  <c r="AC65" i="5" s="1"/>
  <c r="J65" i="6" s="1"/>
  <c r="G44" i="6"/>
  <c r="F44" i="12"/>
  <c r="F80" i="6"/>
  <c r="AC80" i="5" a="1"/>
  <c r="AC80" i="5" s="1"/>
  <c r="J80" i="6" s="1"/>
  <c r="E80" i="12"/>
  <c r="G20" i="6"/>
  <c r="F20" i="12"/>
  <c r="F21" i="12"/>
  <c r="G21" i="6"/>
  <c r="F57" i="12"/>
  <c r="G57" i="6"/>
  <c r="G56" i="6"/>
  <c r="F56" i="12"/>
  <c r="F77" i="6"/>
  <c r="E77" i="12"/>
  <c r="AC77" i="5" a="1"/>
  <c r="AC77" i="5" s="1"/>
  <c r="J77" i="6" s="1"/>
  <c r="F63" i="12"/>
  <c r="G63" i="6"/>
  <c r="G64" i="6"/>
  <c r="F64" i="12"/>
  <c r="F72" i="6"/>
  <c r="E72" i="12"/>
  <c r="AC72" i="5" a="1"/>
  <c r="AC72" i="5" s="1"/>
  <c r="J72" i="6" s="1"/>
  <c r="F103" i="12"/>
  <c r="G103" i="6"/>
  <c r="F93" i="12"/>
  <c r="G93" i="6"/>
  <c r="F69" i="12"/>
  <c r="G69" i="6"/>
  <c r="F28" i="6"/>
  <c r="E28" i="12"/>
  <c r="AC28" i="5" a="1"/>
  <c r="AC28" i="5" s="1"/>
  <c r="J28" i="6" s="1"/>
  <c r="F47" i="6"/>
  <c r="E47" i="12"/>
  <c r="AC47" i="5" a="1"/>
  <c r="AC47" i="5" s="1"/>
  <c r="J47" i="6" s="1"/>
  <c r="AC27" i="5" a="1"/>
  <c r="AC27" i="5" s="1"/>
  <c r="J27" i="6" s="1"/>
  <c r="E27" i="12"/>
  <c r="F27" i="6"/>
  <c r="E95" i="12"/>
  <c r="F95" i="6"/>
  <c r="AC95" i="5" a="1"/>
  <c r="AC95" i="5" s="1"/>
  <c r="J95" i="6" s="1"/>
  <c r="G89" i="6"/>
  <c r="F89" i="12"/>
  <c r="F101" i="6"/>
  <c r="AC101" i="5" a="1"/>
  <c r="AC101" i="5" s="1"/>
  <c r="J101" i="6" s="1"/>
  <c r="E101" i="12"/>
  <c r="E84" i="12"/>
  <c r="F84" i="6"/>
  <c r="AC84" i="5" a="1"/>
  <c r="AC84" i="5" s="1"/>
  <c r="J84" i="6" s="1"/>
  <c r="F102" i="6"/>
  <c r="AC102" i="5" a="1"/>
  <c r="AC102" i="5" s="1"/>
  <c r="J102" i="6" s="1"/>
  <c r="E102" i="12"/>
  <c r="AC44" i="5" a="1"/>
  <c r="AC44" i="5" s="1"/>
  <c r="J44" i="6" s="1"/>
  <c r="F44" i="6"/>
  <c r="E44" i="12"/>
  <c r="F74" i="6"/>
  <c r="E74" i="12"/>
  <c r="AC74" i="5" a="1"/>
  <c r="AC74" i="5" s="1"/>
  <c r="J74" i="6" s="1"/>
  <c r="E104" i="12"/>
  <c r="F104" i="6"/>
  <c r="AC104" i="5" a="1"/>
  <c r="AC104" i="5" s="1"/>
  <c r="J104" i="6" s="1"/>
  <c r="F86" i="12"/>
  <c r="G86" i="6"/>
  <c r="F24" i="12"/>
  <c r="G24" i="6"/>
  <c r="AC25" i="5" a="1"/>
  <c r="AC25" i="5" s="1"/>
  <c r="J25" i="6" s="1"/>
  <c r="F25" i="6"/>
  <c r="E25" i="12"/>
  <c r="F18" i="12"/>
  <c r="G18" i="6"/>
  <c r="F77" i="12"/>
  <c r="G77" i="6"/>
  <c r="E63" i="12"/>
  <c r="AC63" i="5" a="1"/>
  <c r="AC63" i="5" s="1"/>
  <c r="J63" i="6" s="1"/>
  <c r="F63" i="6"/>
  <c r="F67" i="6"/>
  <c r="E67" i="12"/>
  <c r="AC67" i="5" a="1"/>
  <c r="AC67" i="5" s="1"/>
  <c r="J67" i="6" s="1"/>
  <c r="F72" i="12"/>
  <c r="G72" i="6"/>
  <c r="F78" i="12"/>
  <c r="G78" i="6"/>
  <c r="E69" i="12"/>
  <c r="F69" i="6"/>
  <c r="AC69" i="5" a="1"/>
  <c r="AC69" i="5" s="1"/>
  <c r="J69" i="6" s="1"/>
  <c r="E90" i="12"/>
  <c r="F90" i="6"/>
  <c r="AC90" i="5" a="1"/>
  <c r="AC90" i="5" s="1"/>
  <c r="J90" i="6" s="1"/>
  <c r="G47" i="6"/>
  <c r="F47" i="12"/>
  <c r="F49" i="12"/>
  <c r="G49" i="6"/>
  <c r="F95" i="12"/>
  <c r="G95" i="6"/>
  <c r="F34" i="12"/>
  <c r="G34" i="6"/>
  <c r="F96" i="12"/>
  <c r="G96" i="6"/>
  <c r="F80" i="12"/>
  <c r="G80" i="6"/>
  <c r="F73" i="12"/>
  <c r="G73" i="6"/>
  <c r="E86" i="12"/>
  <c r="F86" i="6"/>
  <c r="AC86" i="5" a="1"/>
  <c r="AC86" i="5" s="1"/>
  <c r="J86" i="6" s="1"/>
  <c r="G25" i="6"/>
  <c r="F25" i="12"/>
  <c r="AC99" i="5" a="1"/>
  <c r="AC99" i="5" s="1"/>
  <c r="J99" i="6" s="1"/>
  <c r="E99" i="12"/>
  <c r="F99" i="6"/>
  <c r="E57" i="12"/>
  <c r="F57" i="6"/>
  <c r="AC57" i="5" a="1"/>
  <c r="AC57" i="5" s="1"/>
  <c r="J57" i="6" s="1"/>
  <c r="E42" i="12"/>
  <c r="F42" i="6"/>
  <c r="AC42" i="5" a="1"/>
  <c r="AC42" i="5" s="1"/>
  <c r="J42" i="6" s="1"/>
  <c r="AC31" i="5" a="1"/>
  <c r="AC31" i="5" s="1"/>
  <c r="J31" i="6" s="1"/>
  <c r="E31" i="12"/>
  <c r="F31" i="6"/>
  <c r="F79" i="6"/>
  <c r="E79" i="12"/>
  <c r="AC79" i="5" a="1"/>
  <c r="AC79" i="5" s="1"/>
  <c r="J79" i="6" s="1"/>
  <c r="F59" i="6"/>
  <c r="E59" i="12"/>
  <c r="AC59" i="5" a="1"/>
  <c r="AC59" i="5" s="1"/>
  <c r="J59" i="6" s="1"/>
  <c r="AC78" i="5" a="1"/>
  <c r="AC78" i="5" s="1"/>
  <c r="J78" i="6" s="1"/>
  <c r="E78" i="12"/>
  <c r="F78" i="6"/>
  <c r="E71" i="12"/>
  <c r="F71" i="6"/>
  <c r="AC71" i="5" a="1"/>
  <c r="AC71" i="5" s="1"/>
  <c r="J71" i="6" s="1"/>
  <c r="F97" i="12"/>
  <c r="G97" i="6"/>
  <c r="E89" i="12"/>
  <c r="F89" i="6"/>
  <c r="AC89" i="5" a="1"/>
  <c r="AC89" i="5" s="1"/>
  <c r="J89" i="6" s="1"/>
  <c r="F88" i="12"/>
  <c r="G88" i="6"/>
  <c r="F84" i="12"/>
  <c r="G84" i="6"/>
  <c r="E91" i="12"/>
  <c r="F91" i="6"/>
  <c r="AC91" i="5" a="1"/>
  <c r="AC91" i="5" s="1"/>
  <c r="J91" i="6" s="1"/>
  <c r="F96" i="6"/>
  <c r="AC96" i="5" a="1"/>
  <c r="AC96" i="5" s="1"/>
  <c r="J96" i="6" s="1"/>
  <c r="E96" i="12"/>
  <c r="F85" i="12"/>
  <c r="G85" i="6"/>
  <c r="F74" i="12"/>
  <c r="G74" i="6"/>
  <c r="E73" i="12"/>
  <c r="F73" i="6"/>
  <c r="AC73" i="5" a="1"/>
  <c r="AC73" i="5" s="1"/>
  <c r="J73" i="6" s="1"/>
  <c r="AC26" i="5" a="1"/>
  <c r="AC26" i="5" s="1"/>
  <c r="J26" i="6" s="1"/>
  <c r="E26" i="12"/>
  <c r="F26" i="6"/>
  <c r="G38" i="6"/>
  <c r="F38" i="12"/>
  <c r="G42" i="6"/>
  <c r="F42" i="12"/>
  <c r="F79" i="12"/>
  <c r="G79" i="6"/>
  <c r="G59" i="6"/>
  <c r="F59" i="12"/>
  <c r="G81" i="6"/>
  <c r="F81" i="12"/>
  <c r="AC46" i="5" a="1"/>
  <c r="AC46" i="5" s="1"/>
  <c r="J46" i="6" s="1"/>
  <c r="E46" i="12"/>
  <c r="F46" i="6"/>
  <c r="F71" i="12"/>
  <c r="G71" i="6"/>
  <c r="G29" i="6"/>
  <c r="F29" i="12"/>
  <c r="E98" i="12"/>
  <c r="F98" i="6"/>
  <c r="AC98" i="5" a="1"/>
  <c r="AC98" i="5" s="1"/>
  <c r="J98" i="6" s="1"/>
  <c r="E49" i="12"/>
  <c r="AC49" i="5" a="1"/>
  <c r="AC49" i="5" s="1"/>
  <c r="J49" i="6" s="1"/>
  <c r="F49" i="6"/>
  <c r="F97" i="6"/>
  <c r="AC97" i="5" a="1"/>
  <c r="AC97" i="5" s="1"/>
  <c r="J97" i="6" s="1"/>
  <c r="E97" i="12"/>
  <c r="G43" i="6"/>
  <c r="F43" i="12"/>
  <c r="F88" i="6"/>
  <c r="E88" i="12"/>
  <c r="AC88" i="5" a="1"/>
  <c r="AC88" i="5" s="1"/>
  <c r="J88" i="6" s="1"/>
  <c r="F92" i="6"/>
  <c r="E92" i="12"/>
  <c r="AC92" i="5" a="1"/>
  <c r="AC92" i="5" s="1"/>
  <c r="J92" i="6" s="1"/>
  <c r="F82" i="12"/>
  <c r="G82" i="6"/>
  <c r="F91" i="12"/>
  <c r="G91" i="6"/>
  <c r="F32" i="12"/>
  <c r="G32" i="6"/>
  <c r="G60" i="6"/>
  <c r="F60" i="12"/>
  <c r="E85" i="12"/>
  <c r="F85" i="6"/>
  <c r="AC85" i="5" a="1"/>
  <c r="AC85" i="5" s="1"/>
  <c r="J85" i="6" s="1"/>
  <c r="E35" i="12"/>
  <c r="F35" i="6"/>
  <c r="AC35" i="5" a="1"/>
  <c r="AC35" i="5" s="1"/>
  <c r="J35" i="6" s="1"/>
  <c r="F45" i="12"/>
  <c r="G45" i="6"/>
  <c r="F26" i="12"/>
  <c r="G26" i="6"/>
  <c r="E23" i="12"/>
  <c r="F23" i="6"/>
  <c r="AC23" i="5" a="1"/>
  <c r="AC23" i="5" s="1"/>
  <c r="J23" i="6" s="1"/>
  <c r="F22" i="12"/>
  <c r="G22" i="6"/>
  <c r="F19" i="12"/>
  <c r="G19" i="6"/>
  <c r="G99" i="6"/>
  <c r="F99" i="12"/>
  <c r="F37" i="6"/>
  <c r="E37" i="12"/>
  <c r="AC37" i="5" a="1"/>
  <c r="AC37" i="5" s="1"/>
  <c r="J37" i="6" s="1"/>
  <c r="G31" i="6"/>
  <c r="F31" i="12"/>
  <c r="F100" i="6"/>
  <c r="E100" i="12"/>
  <c r="AC100" i="5" a="1"/>
  <c r="AC100" i="5" s="1"/>
  <c r="J100" i="6" s="1"/>
  <c r="F81" i="6"/>
  <c r="E81" i="12"/>
  <c r="AC81" i="5" a="1"/>
  <c r="AC81" i="5" s="1"/>
  <c r="J81" i="6" s="1"/>
  <c r="G70" i="6"/>
  <c r="F70" i="12"/>
  <c r="F46" i="12"/>
  <c r="G46" i="6"/>
  <c r="F61" i="12"/>
  <c r="G61" i="6"/>
  <c r="AC58" i="5" a="1"/>
  <c r="AC58" i="5" s="1"/>
  <c r="J58" i="6" s="1"/>
  <c r="F58" i="6"/>
  <c r="E58" i="12"/>
  <c r="AC29" i="5" a="1"/>
  <c r="AC29" i="5" s="1"/>
  <c r="J29" i="6" s="1"/>
  <c r="F29" i="6"/>
  <c r="E29" i="12"/>
  <c r="F98" i="12"/>
  <c r="G98" i="6"/>
  <c r="F39" i="6"/>
  <c r="AC39" i="5" a="1"/>
  <c r="AC39" i="5" s="1"/>
  <c r="J39" i="6" s="1"/>
  <c r="E39" i="12"/>
  <c r="G52" i="6"/>
  <c r="F52" i="12"/>
  <c r="F92" i="12"/>
  <c r="G92" i="6"/>
  <c r="F32" i="6"/>
  <c r="E32" i="12"/>
  <c r="AC32" i="5" a="1"/>
  <c r="AC32" i="5" s="1"/>
  <c r="J32" i="6" s="1"/>
  <c r="F60" i="6"/>
  <c r="E60" i="12"/>
  <c r="AC60" i="5" a="1"/>
  <c r="AC60" i="5" s="1"/>
  <c r="J60" i="6" s="1"/>
  <c r="E51" i="12"/>
  <c r="F51" i="6"/>
  <c r="AC51" i="5" a="1"/>
  <c r="AC51" i="5" s="1"/>
  <c r="J51" i="6" s="1"/>
  <c r="G35" i="6"/>
  <c r="F35" i="12"/>
  <c r="E45" i="12"/>
  <c r="F45" i="6"/>
  <c r="AC45" i="5" a="1"/>
  <c r="AC45" i="5" s="1"/>
  <c r="J45" i="6" s="1"/>
  <c r="F36" i="6"/>
  <c r="E36" i="12"/>
  <c r="AC36" i="5" a="1"/>
  <c r="AC36" i="5" s="1"/>
  <c r="J36" i="6" s="1"/>
  <c r="E22" i="12"/>
  <c r="F22" i="6"/>
  <c r="AC22" i="5" a="1"/>
  <c r="AC22" i="5" s="1"/>
  <c r="J22" i="6" s="1"/>
  <c r="AC53" i="5" a="1"/>
  <c r="AC53" i="5" s="1"/>
  <c r="J53" i="6" s="1"/>
  <c r="E53" i="12"/>
  <c r="F53" i="6"/>
  <c r="F38" i="6"/>
  <c r="E38" i="12"/>
  <c r="AC38" i="5" a="1"/>
  <c r="AC38" i="5" s="1"/>
  <c r="J38" i="6" s="1"/>
  <c r="F37" i="12"/>
  <c r="G37" i="6"/>
  <c r="F100" i="12"/>
  <c r="G100" i="6"/>
  <c r="E55" i="12"/>
  <c r="F55" i="6"/>
  <c r="AC55" i="5" a="1"/>
  <c r="AC55" i="5" s="1"/>
  <c r="J55" i="6" s="1"/>
  <c r="G75" i="6"/>
  <c r="F75" i="12"/>
  <c r="F70" i="6"/>
  <c r="E70" i="12"/>
  <c r="AC70" i="5" a="1"/>
  <c r="AC70" i="5" s="1"/>
  <c r="J70" i="6" s="1"/>
  <c r="F68" i="6"/>
  <c r="AC68" i="5" a="1"/>
  <c r="AC68" i="5" s="1"/>
  <c r="J68" i="6" s="1"/>
  <c r="E68" i="12"/>
  <c r="E61" i="12"/>
  <c r="F61" i="6"/>
  <c r="AC61" i="5" a="1"/>
  <c r="AC61" i="5" s="1"/>
  <c r="J61" i="6" s="1"/>
  <c r="F58" i="12"/>
  <c r="G58" i="6"/>
  <c r="G39" i="6"/>
  <c r="F39" i="12"/>
  <c r="E83" i="12"/>
  <c r="AC83" i="5" a="1"/>
  <c r="AC83" i="5" s="1"/>
  <c r="J83" i="6" s="1"/>
  <c r="F83" i="6"/>
  <c r="AC43" i="5" a="1"/>
  <c r="AC43" i="5" s="1"/>
  <c r="J43" i="6" s="1"/>
  <c r="E43" i="12"/>
  <c r="F43" i="6"/>
  <c r="E52" i="12"/>
  <c r="AC52" i="5" a="1"/>
  <c r="AC52" i="5" s="1"/>
  <c r="J52" i="6" s="1"/>
  <c r="F52" i="6"/>
  <c r="F82" i="6"/>
  <c r="E82" i="12"/>
  <c r="AC82" i="5" a="1"/>
  <c r="AC82" i="5" s="1"/>
  <c r="J82" i="6" s="1"/>
  <c r="F62" i="12"/>
  <c r="G62" i="6"/>
  <c r="F51" i="12"/>
  <c r="G51" i="6"/>
  <c r="G94" i="6"/>
  <c r="F94" i="12"/>
  <c r="G36" i="6"/>
  <c r="F36" i="12"/>
  <c r="F23" i="12"/>
  <c r="G23" i="6"/>
  <c r="AC21" i="5" a="1"/>
  <c r="AC21" i="5" s="1"/>
  <c r="J21" i="6" s="1"/>
  <c r="E21" i="12"/>
  <c r="F21" i="6"/>
  <c r="F14" i="6"/>
  <c r="E14" i="12"/>
  <c r="AC14" i="5" a="1"/>
  <c r="AC14" i="5" s="1"/>
  <c r="J14" i="6" s="1"/>
  <c r="AC16" i="5" a="1"/>
  <c r="AC16" i="5" s="1"/>
  <c r="F16" i="12"/>
  <c r="G14" i="6"/>
  <c r="F14" i="12"/>
  <c r="F17" i="12"/>
  <c r="AC17" i="5" a="1"/>
  <c r="AC17" i="5" s="1"/>
  <c r="J17" i="6" s="1"/>
  <c r="N11" i="6" l="1"/>
  <c r="F11" i="6"/>
  <c r="I12" i="6"/>
  <c r="AC11" i="5"/>
  <c r="O12" i="5" a="1"/>
  <c r="O12"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2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5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9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<sst xmlns="http://schemas.openxmlformats.org/spreadsheetml/2006/main" count="2296" uniqueCount="1085">
  <si>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</si>
  <si>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</si>
  <si>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</si>
  <si>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</si>
  <si>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</si>
  <si>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</si>
  <si>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</si>
  <si>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</si>
  <si>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</si>
  <si>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</si>
  <si>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</si>
  <si>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</si>
  <si>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</si>
  <si>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</si>
  <si>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</si>
  <si>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</si>
  <si>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</si>
  <si>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</si>
  <si>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</si>
  <si>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</si>
  <si>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</si>
  <si>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</si>
  <si>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</si>
  <si>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</si>
  <si>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</si>
  <si>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</si>
  <si>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</si>
  <si>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</si>
  <si>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</si>
  <si>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</si>
  <si>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</si>
  <si>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</si>
  <si>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</si>
  <si>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</si>
  <si>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</si>
  <si>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</si>
  <si>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</si>
  <si>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</si>
  <si>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</si>
  <si>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</si>
  <si>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</si>
  <si>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</si>
  <si>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</si>
  <si>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</si>
  <si>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</si>
  <si>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</si>
  <si>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</si>
  <si>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</si>
  <si>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</si>
  <si>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</si>
  <si>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</si>
  <si>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</si>
  <si>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</si>
  <si>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</si>
  <si>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</si>
  <si>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</si>
  <si>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</si>
  <si>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</si>
  <si>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</si>
  <si>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</si>
  <si>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</si>
  <si>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</si>
  <si>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</si>
  <si>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</si>
  <si>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</si>
  <si>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</si>
  <si>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</si>
  <si>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</si>
  <si>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</si>
  <si>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</si>
  <si>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</si>
  <si>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</si>
  <si>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</si>
  <si>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</si>
  <si>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</si>
  <si>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</si>
  <si>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</si>
  <si>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</si>
  <si>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</si>
  <si>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</si>
  <si>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</si>
  <si>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</si>
  <si>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</si>
  <si>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</si>
  <si>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</si>
  <si>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</si>
  <si>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</si>
  <si>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</si>
  <si>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</si>
  <si>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</si>
  <si>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</si>
  <si>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</si>
  <si>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</si>
  <si>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</si>
  <si>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</si>
  <si>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</si>
  <si>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</si>
  <si>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</si>
  <si>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</si>
  <si>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</si>
  <si>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</si>
  <si>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</si>
  <si>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</si>
  <si>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</si>
  <si>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</si>
  <si>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</si>
  <si>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</si>
  <si>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</si>
  <si>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</si>
  <si>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</si>
  <si>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</si>
  <si>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</si>
  <si>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</si>
  <si>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</si>
  <si>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</si>
  <si>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</si>
  <si>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</si>
  <si>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</si>
  <si>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</si>
  <si>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</si>
  <si>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</si>
  <si>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</si>
  <si>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</si>
  <si>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</si>
  <si>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</si>
  <si>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</si>
  <si>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</si>
  <si>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</si>
  <si>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</si>
  <si>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</si>
  <si>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</si>
  <si>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</si>
  <si>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</si>
  <si>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</si>
  <si>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</si>
  <si>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</si>
  <si>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</si>
  <si>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</si>
  <si>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</si>
  <si>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</si>
  <si>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</si>
  <si>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</si>
  <si>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</si>
  <si>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</si>
  <si>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</si>
  <si>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</si>
  <si>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</si>
  <si>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</si>
  <si>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</si>
  <si>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</si>
  <si>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</si>
  <si>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</si>
  <si>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</si>
  <si>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</si>
  <si>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</si>
  <si>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</si>
  <si>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</si>
  <si>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</si>
  <si>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</si>
  <si>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</si>
  <si>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</si>
  <si>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</si>
  <si>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</si>
  <si>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</si>
  <si>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</si>
  <si>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</si>
  <si>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</si>
  <si>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</si>
  <si>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</si>
  <si>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</si>
  <si>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</si>
  <si>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</si>
  <si>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</si>
  <si>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</si>
  <si>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</si>
  <si>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</si>
  <si>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</si>
  <si>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</si>
  <si>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</si>
  <si>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</si>
  <si>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</si>
  <si>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</si>
  <si>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</si>
  <si>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</si>
  <si>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</si>
  <si>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</si>
  <si>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</si>
  <si>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</si>
  <si>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</si>
  <si>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</si>
  <si>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</si>
  <si>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</si>
  <si>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</si>
  <si>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</si>
  <si>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</si>
  <si>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</si>
  <si>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</si>
  <si>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</si>
  <si>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</si>
  <si>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</si>
  <si>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</si>
  <si>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</si>
  <si>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</si>
  <si>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</si>
  <si>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</si>
  <si>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</si>
  <si>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</si>
  <si>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</si>
  <si>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</si>
  <si>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</si>
  <si>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</si>
  <si>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</si>
  <si>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</si>
  <si>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</si>
  <si>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</si>
  <si>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</si>
  <si>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</si>
  <si>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</si>
  <si>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</si>
  <si>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</si>
  <si>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</si>
  <si>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</si>
  <si>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</si>
  <si>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</si>
  <si>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</si>
  <si>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</si>
  <si>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</si>
  <si>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</si>
  <si>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</si>
  <si>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</si>
  <si>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</si>
  <si>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</si>
  <si>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</si>
  <si>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</si>
  <si>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</si>
  <si>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</si>
  <si>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</si>
  <si>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</si>
  <si>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</si>
  <si>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</si>
  <si>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</si>
  <si>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</si>
  <si>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</si>
  <si>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</si>
  <si>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</si>
  <si>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</si>
  <si>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</si>
  <si>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</si>
  <si>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</si>
  <si>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</si>
  <si>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</si>
  <si>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</si>
  <si>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</si>
  <si>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</si>
  <si>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</si>
  <si>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</si>
  <si>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</si>
  <si>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</si>
  <si>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</si>
  <si>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</si>
  <si>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</si>
  <si>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</si>
  <si>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</si>
  <si>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</si>
  <si>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</si>
  <si>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TransfereGOV</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</si>
  <si>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</si>
  <si>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</si>
  <si>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</si>
  <si>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</si>
  <si>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</si>
  <si>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</si>
  <si>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</si>
  <si>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</si>
  <si>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</si>
  <si>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</si>
  <si>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</si>
  <si>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</si>
  <si>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</si>
  <si>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</si>
  <si>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</si>
  <si>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</si>
  <si>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</si>
  <si>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</si>
  <si>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</si>
  <si>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</si>
  <si>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</si>
  <si>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</si>
  <si>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</si>
  <si>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</si>
  <si>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</si>
  <si>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</si>
  <si>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</si>
  <si>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</si>
  <si>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</si>
  <si>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</si>
  <si>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</si>
  <si>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</si>
  <si>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</si>
  <si>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</si>
  <si>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</si>
  <si>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</si>
  <si>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</si>
  <si>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</si>
  <si>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</si>
  <si>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</si>
  <si>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</si>
  <si>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</si>
  <si>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</si>
  <si>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</si>
  <si>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</si>
  <si>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</si>
  <si>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</si>
  <si>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</si>
  <si>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</si>
  <si>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</si>
  <si>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</si>
  <si>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</si>
  <si>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</si>
  <si>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</si>
  <si>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</si>
  <si>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</si>
  <si>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</si>
  <si>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</si>
  <si>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</si>
  <si>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</si>
  <si>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</si>
  <si>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</si>
  <si>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</si>
  <si>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</si>
  <si>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</si>
  <si>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</si>
  <si>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</si>
  <si>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</si>
  <si>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</si>
  <si>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</si>
  <si>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</si>
  <si>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</si>
  <si>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</si>
  <si>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</si>
  <si>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</si>
  <si>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</si>
  <si>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</si>
  <si>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</si>
  <si>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</si>
  <si>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</si>
  <si>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</si>
  <si>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</si>
  <si>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</si>
  <si>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</si>
  <si>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</si>
  <si>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</si>
  <si>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</si>
  <si>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</si>
  <si>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</si>
  <si>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</si>
  <si>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</si>
  <si>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</si>
  <si>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</si>
  <si>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</si>
  <si>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</si>
  <si>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</si>
  <si>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</si>
  <si>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</si>
  <si>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</si>
  <si>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</si>
  <si>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</si>
  <si>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</si>
  <si>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</si>
  <si>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</si>
  <si>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</si>
  <si>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</si>
  <si>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</si>
  <si>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</si>
  <si>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</si>
  <si>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</si>
  <si>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</si>
  <si>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</si>
  <si>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</si>
  <si>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</si>
  <si>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</si>
  <si>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</si>
  <si>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</si>
  <si>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</si>
  <si>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</si>
  <si>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</si>
  <si>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</si>
  <si>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</si>
  <si>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</si>
  <si>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</si>
  <si>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</si>
  <si>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</si>
  <si>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</si>
  <si>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</si>
  <si>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</si>
  <si>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</si>
  <si>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</si>
  <si>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</si>
  <si>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</si>
  <si>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</si>
  <si>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</si>
  <si>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</si>
  <si>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</si>
  <si>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</si>
  <si>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</si>
  <si>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</si>
  <si>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</si>
  <si>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</si>
  <si>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</si>
  <si>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</si>
  <si>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</si>
  <si>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</si>
  <si>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</si>
  <si>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</si>
  <si>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</si>
  <si>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</si>
  <si>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</si>
  <si>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</si>
  <si>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</si>
  <si>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</si>
  <si>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</si>
  <si>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</si>
  <si>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</si>
  <si>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</si>
  <si>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</si>
  <si>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</si>
  <si>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</si>
  <si>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</si>
  <si>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</si>
  <si>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</si>
  <si>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</si>
  <si>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</si>
  <si>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</si>
  <si>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</si>
  <si>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</si>
  <si>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</si>
  <si>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</si>
  <si>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</si>
  <si>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</si>
  <si>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</si>
  <si>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</si>
  <si>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</si>
  <si>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</si>
  <si>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</si>
  <si>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</si>
  <si>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</si>
  <si>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</si>
  <si>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</si>
  <si>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</si>
  <si>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</si>
  <si>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</si>
  <si>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</si>
  <si>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</si>
  <si>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</si>
  <si>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</si>
  <si>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</si>
  <si>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</si>
  <si>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</si>
  <si>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</si>
  <si>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</si>
  <si>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</si>
  <si>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</si>
  <si>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</si>
  <si>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</si>
  <si>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</si>
  <si>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</si>
  <si>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</si>
  <si>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</si>
  <si>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</si>
  <si>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</si>
  <si>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</si>
  <si>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</si>
  <si>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</si>
  <si>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</si>
  <si>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</si>
  <si>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</si>
  <si>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</si>
  <si>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</si>
  <si>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</si>
  <si>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</si>
  <si>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</si>
  <si>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</si>
  <si>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</si>
  <si>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</si>
  <si>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</si>
  <si>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</si>
  <si>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</si>
  <si>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</si>
  <si>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</si>
  <si>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</si>
  <si>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</si>
  <si>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</si>
  <si>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</si>
  <si>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</si>
  <si>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</si>
  <si>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</si>
  <si>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</si>
  <si>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</si>
  <si>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</si>
  <si>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</si>
  <si>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</si>
  <si>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</si>
  <si>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</si>
  <si>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</si>
  <si>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</si>
  <si>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</si>
  <si>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</si>
  <si>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</si>
  <si>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</si>
  <si>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</si>
  <si>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</si>
  <si>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</si>
  <si>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</si>
  <si>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</si>
  <si>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</si>
  <si>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</si>
  <si>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</si>
  <si>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</si>
  <si>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</si>
  <si>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</si>
  <si>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</si>
  <si>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</si>
  <si>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</si>
  <si>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</si>
  <si>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</si>
  <si>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</si>
  <si>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</si>
  <si>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</si>
  <si>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</si>
  <si>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</si>
  <si>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</si>
  <si>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</si>
  <si>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</si>
  <si>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</si>
  <si>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</si>
  <si>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</si>
  <si>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</si>
  <si>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</si>
  <si>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</si>
  <si>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</si>
  <si>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</si>
  <si>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</si>
  <si>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</si>
  <si>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</si>
  <si>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</si>
  <si>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</si>
  <si>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</si>
  <si>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</si>
  <si>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</si>
  <si>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</si>
  <si>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</si>
  <si>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</si>
  <si>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</si>
  <si>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</si>
  <si>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</si>
  <si>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</si>
  <si>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</si>
  <si>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</si>
  <si>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</si>
  <si>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</si>
  <si>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</si>
  <si>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</si>
  <si>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</si>
  <si>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</si>
  <si>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</si>
  <si>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</si>
  <si>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</si>
  <si>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</si>
  <si>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</si>
  <si>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</si>
  <si>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</si>
  <si>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</si>
  <si>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</si>
  <si>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</si>
  <si>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</si>
  <si>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</si>
  <si>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</si>
  <si>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</si>
  <si>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</si>
  <si>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</si>
  <si>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</si>
  <si>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</si>
  <si>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</si>
  <si>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</si>
  <si>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</si>
  <si>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</si>
  <si>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</si>
  <si>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</si>
  <si>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</si>
  <si>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</si>
  <si>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</si>
  <si>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</si>
  <si>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</si>
  <si>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</si>
  <si>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</si>
  <si>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</si>
  <si>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</si>
  <si>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</si>
  <si>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</si>
  <si>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</si>
  <si>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</si>
  <si>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</si>
  <si>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</si>
  <si>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</si>
  <si>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</si>
  <si>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</si>
  <si>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</si>
  <si>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</si>
  <si>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</si>
  <si>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</si>
  <si>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</si>
  <si>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</si>
  <si>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</si>
  <si>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</si>
  <si>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</si>
  <si>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</si>
  <si>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</si>
  <si>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</si>
  <si>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</si>
  <si>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</si>
  <si>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</si>
  <si>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</si>
  <si>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</si>
  <si>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</si>
  <si>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</si>
  <si>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</si>
  <si>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</si>
  <si>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</si>
  <si>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</si>
  <si>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</si>
  <si>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</si>
  <si>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</si>
  <si>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</si>
  <si>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</si>
  <si>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</si>
  <si>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</si>
  <si>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</si>
  <si>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</si>
  <si>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</si>
  <si>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</si>
  <si>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</si>
  <si>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</si>
  <si>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</si>
  <si>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</si>
  <si>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</si>
  <si>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</si>
  <si>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</si>
  <si>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</si>
  <si>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</si>
  <si>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</si>
  <si>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</si>
  <si>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</si>
  <si>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</si>
  <si>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</si>
  <si>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</si>
  <si>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</si>
  <si>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</si>
  <si>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</si>
  <si>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</si>
  <si>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</si>
  <si>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</si>
  <si>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</si>
  <si>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</si>
  <si>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</si>
  <si>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</si>
  <si>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</si>
  <si>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</si>
  <si>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</si>
  <si>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</si>
  <si>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</si>
  <si>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</si>
  <si>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</si>
  <si>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</si>
  <si>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</si>
  <si>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</si>
  <si>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</si>
  <si>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</si>
  <si>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</si>
  <si>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</si>
  <si>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</si>
  <si>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</si>
  <si>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</si>
  <si>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</si>
  <si>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</si>
  <si>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</si>
  <si>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</si>
  <si>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</si>
  <si>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</si>
  <si>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</si>
  <si>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</si>
  <si>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</si>
  <si>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</si>
  <si>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</si>
  <si>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</si>
  <si>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</si>
  <si>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</si>
  <si>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</si>
  <si>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</si>
  <si>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</si>
  <si>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</si>
  <si>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</si>
  <si>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</si>
  <si>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</si>
  <si>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</si>
  <si>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</si>
  <si>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</si>
  <si>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</si>
  <si>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</si>
  <si>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</si>
  <si>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</si>
  <si>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</si>
  <si>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</si>
  <si>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</si>
  <si>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</si>
  <si>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</si>
  <si>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</si>
  <si>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</si>
  <si>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</si>
  <si>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</si>
  <si>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</si>
  <si>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</si>
  <si>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</si>
  <si>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</si>
  <si>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</si>
  <si>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</si>
  <si>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</si>
  <si>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</si>
  <si>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</si>
  <si>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</si>
  <si>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</si>
  <si>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</si>
  <si>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</si>
  <si>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</si>
  <si>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</si>
  <si>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</si>
  <si>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</si>
  <si>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</si>
  <si>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</si>
  <si>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</si>
  <si>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</si>
  <si>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</si>
  <si>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</si>
  <si>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</si>
  <si>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</si>
  <si>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</si>
  <si>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</si>
  <si>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</si>
  <si>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</si>
  <si>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</si>
  <si>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</si>
  <si>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</si>
  <si>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</si>
  <si>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</si>
  <si>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</si>
  <si>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</si>
  <si>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</si>
  <si>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</si>
  <si>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</si>
  <si>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</si>
  <si>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</si>
  <si>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</si>
  <si>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</si>
  <si>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</si>
  <si>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</si>
  <si>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</si>
  <si>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</si>
  <si>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</si>
  <si>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</si>
  <si>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</si>
  <si>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</si>
  <si>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</si>
  <si>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</si>
  <si>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</si>
  <si>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</si>
  <si>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</si>
  <si>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</si>
  <si>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</si>
  <si>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</si>
  <si>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</si>
  <si>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</si>
  <si>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</si>
  <si>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</si>
  <si>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</si>
  <si>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</si>
  <si>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</si>
  <si>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</si>
  <si>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</si>
  <si>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</si>
  <si>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</si>
  <si>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</si>
  <si>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</si>
  <si>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</si>
  <si>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</si>
  <si>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</si>
  <si>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</si>
  <si>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</si>
  <si>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</si>
  <si>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</si>
  <si>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</si>
  <si>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</si>
  <si>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</si>
  <si>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</si>
  <si>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</si>
  <si>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</si>
  <si>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</si>
  <si>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</si>
  <si>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</si>
  <si>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</si>
  <si>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</si>
  <si>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</si>
  <si>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</si>
  <si>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</si>
  <si>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</si>
  <si>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</si>
  <si>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</si>
  <si>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</si>
  <si>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</si>
  <si>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</si>
  <si>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</si>
  <si>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</si>
  <si>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</si>
  <si>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</si>
  <si>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</si>
  <si>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</si>
  <si>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</si>
  <si>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</si>
  <si>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</si>
  <si>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</si>
  <si>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</si>
  <si>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</si>
  <si>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</si>
  <si>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</si>
  <si>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</si>
  <si>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</si>
  <si>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</si>
  <si>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</si>
  <si>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</si>
  <si>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</si>
  <si>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</si>
  <si>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</si>
  <si>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</si>
  <si>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</si>
  <si>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</si>
  <si>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</si>
  <si>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</si>
  <si>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</si>
  <si>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</si>
  <si>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</si>
  <si>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</si>
  <si>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</si>
  <si>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</si>
  <si>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</si>
  <si>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</si>
  <si>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</si>
  <si>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</si>
  <si>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</si>
  <si>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</si>
  <si>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</si>
  <si>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</si>
  <si>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</si>
  <si>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</si>
  <si>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</si>
  <si>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</si>
  <si>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</si>
  <si>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</si>
  <si>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</si>
  <si>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</si>
  <si>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</si>
  <si>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</si>
  <si>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</si>
  <si>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</si>
  <si>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</si>
  <si>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</si>
  <si>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</si>
  <si>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</si>
  <si>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</si>
  <si>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</si>
  <si>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</si>
  <si>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</si>
  <si>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</si>
  <si>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</si>
  <si>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</si>
  <si>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</si>
  <si>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</si>
  <si>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</si>
  <si>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</si>
  <si>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</si>
  <si>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</si>
  <si>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</si>
  <si>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</si>
  <si>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</si>
  <si>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</si>
  <si>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</si>
  <si>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</si>
  <si>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</si>
  <si>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</si>
  <si>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</si>
  <si>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</si>
  <si>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</si>
  <si>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</si>
  <si>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</si>
  <si>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</si>
  <si>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</si>
  <si>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</si>
  <si>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</si>
  <si>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</si>
  <si>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</si>
  <si>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</si>
  <si>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</si>
  <si>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</si>
  <si>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</si>
  <si>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</si>
  <si>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</si>
  <si>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</si>
  <si>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</si>
  <si>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</si>
  <si>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</si>
  <si>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</si>
  <si>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</si>
  <si>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</si>
  <si>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</si>
  <si>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</si>
  <si>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</si>
  <si>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</si>
  <si>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</si>
  <si>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</si>
  <si>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</si>
  <si>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</si>
  <si>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</si>
  <si>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</si>
  <si>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</si>
  <si>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</si>
  <si>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</si>
  <si>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</si>
  <si>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</si>
  <si>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</si>
  <si>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</si>
  <si>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</si>
  <si>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</si>
  <si>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</si>
  <si>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</si>
  <si>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</si>
  <si>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</si>
  <si>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</si>
  <si>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</si>
  <si>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</si>
  <si>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</si>
  <si>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</si>
  <si>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v3.12</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</si>
  <si>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</si>
  <si>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</si>
  <si>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</si>
  <si>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OGU</t>
  </si>
  <si>
    <t>DESONERADO</t>
  </si>
  <si>
    <t>0</t>
  </si>
  <si>
    <t>LUIZ CARLOS PINTO RIBEIRO</t>
  </si>
  <si>
    <t>247947</t>
  </si>
  <si>
    <t>Iluminação Publica</t>
  </si>
  <si>
    <t>1. ILUMINAÇÃO</t>
  </si>
  <si>
    <t>SINAPI-I</t>
  </si>
  <si>
    <t>RETIRADO EM PLANTA</t>
  </si>
  <si>
    <t>REFORMA CASA DA CRIANÇA</t>
  </si>
  <si>
    <t>VIVIANE CARBONI TAFFAREL LUCAS</t>
  </si>
  <si>
    <t>TROCA DE ESQUADRIAS</t>
  </si>
  <si>
    <t>88489</t>
  </si>
  <si>
    <t>88415</t>
  </si>
  <si>
    <t xml:space="preserve">LIMPEZA E MANUTENÇÃO DE TELHADO </t>
  </si>
  <si>
    <t>99814</t>
  </si>
  <si>
    <t>88323</t>
  </si>
  <si>
    <t>88261</t>
  </si>
  <si>
    <t>97645</t>
  </si>
  <si>
    <t>103075</t>
  </si>
  <si>
    <t>Cotação</t>
  </si>
  <si>
    <t>01</t>
  </si>
  <si>
    <t>103366</t>
  </si>
  <si>
    <t>5*1,2= 6M²</t>
  </si>
  <si>
    <t>21141</t>
  </si>
  <si>
    <t>METRO QUADRADO X ESPESSURA = 0,5 M³</t>
  </si>
  <si>
    <t xml:space="preserve">PAREDES E MURROS </t>
  </si>
  <si>
    <t>94569</t>
  </si>
  <si>
    <t>88310</t>
  </si>
  <si>
    <t>100301</t>
  </si>
  <si>
    <t>02</t>
  </si>
  <si>
    <t>CONSÓRCIO INTERMUNICIPAL DO MÉDIO ALTO URUGUAI - CIMAU</t>
  </si>
  <si>
    <t>RODEIO BONITO/RS</t>
  </si>
  <si>
    <t>PRESIDENTE CIMAU</t>
  </si>
  <si>
    <t>4914</t>
  </si>
  <si>
    <t>4922</t>
  </si>
  <si>
    <t>94570</t>
  </si>
  <si>
    <t xml:space="preserve">(59,10+28)*1,5+(152,10*3) = 586,95 M² </t>
  </si>
  <si>
    <t>32,5+60,95+21,6= 115,05 M²</t>
  </si>
  <si>
    <t>101166</t>
  </si>
  <si>
    <t>3,60*0,7= 2,53M²*0,15= 0,4 M³</t>
  </si>
  <si>
    <t>4*1,5*0,8= 4,8M²</t>
  </si>
  <si>
    <t>11*1,5*1,2=19,8 M²</t>
  </si>
  <si>
    <t>8*0,6*0,8 = 3,84 M²</t>
  </si>
  <si>
    <t>2,8*2,5 = 7 M²</t>
  </si>
  <si>
    <t>ORÇADO PELO PROJETO</t>
  </si>
  <si>
    <t>altura x largura = 2,66+3,6+11,34+2,94+1,68= 22,22 M³+3,78+3,15+5,04+3,78= 37,97M²</t>
  </si>
  <si>
    <t>0,81*11+0,42*8+0,675*2+0,71*2+0,73*2+0,76*10+0,75*4+1,17+0,96= 20,32 M²</t>
  </si>
  <si>
    <t>0,81*11+0,42*8+0,675*2+0,71*2+0,73*2+0,76*10+0,75*4+1,17+0,96= 20,32 M131</t>
  </si>
  <si>
    <t>93382</t>
  </si>
  <si>
    <t>30,86*1,1+21,36*0,8= 51,05 M³</t>
  </si>
  <si>
    <t>03</t>
  </si>
  <si>
    <t>4,10*2,2+2,2*2,1= 13,64 M²</t>
  </si>
  <si>
    <t>3,9+19,8= 23,7 M²</t>
  </si>
  <si>
    <t>97644</t>
  </si>
  <si>
    <t>38+7+4,62 = 49,62 M²</t>
  </si>
  <si>
    <t>10 DIAS X 8 HORAS = 80 H</t>
  </si>
  <si>
    <t>0,09*2+0,095*2+0,098*2+0,102*10+0,1*4+0,156+0,128+0,108*11+0,056*8= 3,906 M³</t>
  </si>
  <si>
    <t>CORRIMÕES E GRADES - PINTURA</t>
  </si>
  <si>
    <t>100753</t>
  </si>
  <si>
    <t>(3,7+7,25+28+50,21*1,1)+(2,55+2,8+2,8*0,8)= 102,98 M²</t>
  </si>
  <si>
    <t>PISOS E DRENAGEM</t>
  </si>
  <si>
    <t>retirado em planta</t>
  </si>
  <si>
    <t>103005</t>
  </si>
  <si>
    <t>89576</t>
  </si>
  <si>
    <t>READEQUAÇÃO DA FACHADA PRINCIPAL</t>
  </si>
  <si>
    <t>106057</t>
  </si>
  <si>
    <t>92269</t>
  </si>
  <si>
    <t>92270</t>
  </si>
  <si>
    <t>96529</t>
  </si>
  <si>
    <t>áreade laje retirada de projeto</t>
  </si>
  <si>
    <t>14439</t>
  </si>
  <si>
    <t>altura x nº de escora= 3,5*45 = 157,5 m3</t>
  </si>
  <si>
    <t>94971</t>
  </si>
  <si>
    <t>103670</t>
  </si>
  <si>
    <t>92762</t>
  </si>
  <si>
    <t>92759</t>
  </si>
  <si>
    <t>104918</t>
  </si>
  <si>
    <t>43132</t>
  </si>
  <si>
    <t>5075</t>
  </si>
  <si>
    <t>104790</t>
  </si>
  <si>
    <t>0,25+0,25+0,2+0,2*4*3,5= 12,6 m²</t>
  </si>
  <si>
    <t>0,6*4*0,4*4= 3,84 m²</t>
  </si>
  <si>
    <t>(6*0,3+0,2+0,3*4)+(3,7*0,3+0,2+0,3*4)= 31,05m²</t>
  </si>
  <si>
    <t>laje = 22,25*0,07= 1,56 m³ , vigas=6*0,2*0,3*4+3,7*0,2*0,3*4= 2,33 m³ , pilares= 3,5*0,2*0,25*4= 0,7m³, sapatas=0,6*0,6*0,4*4=0,58m³ = 5,17 m³</t>
  </si>
  <si>
    <t>laje = 22,25*0,07= 1,56 m³ , vigas=6*0,2*0,3*4+3,7*0,2*0,3*4= 2,33 m³ , pilares= 3,5*0,2*0,25*4= 0,7m³, sapatas=0,6*0,6*0,4*4=0,58m³ = 5,17 m²</t>
  </si>
  <si>
    <t>6+3,7+3,7*0,7= 9,38m²+(0,65+0,85+1,35*3,2)+(0,75+0,8+2,75*0,4)=20,22 m²</t>
  </si>
  <si>
    <t>4*1,2*0,07= 0,34 m³</t>
  </si>
  <si>
    <t>estimativa</t>
  </si>
  <si>
    <t>metragem de retirada em projeto</t>
  </si>
  <si>
    <t>6*4*4+3,7*4*4+4*4*4,5= 227,2*0,617= 140,18 kg</t>
  </si>
  <si>
    <t>0,6+0,3*12*4= 43,2*0,395= 17,06 kg</t>
  </si>
  <si>
    <t>6*4+3,7*4+4,5*4= 56,8/0,12*0,8*0,154= 58,35 kg</t>
  </si>
  <si>
    <t>88242</t>
  </si>
  <si>
    <t>88309</t>
  </si>
  <si>
    <t>92540</t>
  </si>
  <si>
    <t>retirado em projeto</t>
  </si>
  <si>
    <t>94227</t>
  </si>
  <si>
    <t>25007</t>
  </si>
  <si>
    <t>89578</t>
  </si>
  <si>
    <t>4800</t>
  </si>
  <si>
    <t>4791</t>
  </si>
  <si>
    <t>estimado</t>
  </si>
  <si>
    <t>32,5+64,4+21,6= 118,06 M²</t>
  </si>
  <si>
    <t>MURRO DE ARRIMO</t>
  </si>
  <si>
    <t>101159</t>
  </si>
  <si>
    <t>102722</t>
  </si>
  <si>
    <t>96525</t>
  </si>
  <si>
    <t>20,25*2+12,6+31,10+22,25= 106,45*0,015= 1,56 m³</t>
  </si>
  <si>
    <t>20,25*2+12,6+31,10+22,25= 106,45*0,005= 0,53 m³</t>
  </si>
  <si>
    <t>ESTIMADO</t>
  </si>
  <si>
    <t>44504</t>
  </si>
  <si>
    <t>94306</t>
  </si>
  <si>
    <t>4948</t>
  </si>
  <si>
    <t>1,2*2= 2,4</t>
  </si>
  <si>
    <t>metragem linear x  altura = 16*3+9*2,5=  48 +22,5=  70,5m²</t>
  </si>
  <si>
    <t>metragem quadrada x nº de faces x espessura= 70,5*0,005= 0,40m³</t>
  </si>
  <si>
    <t xml:space="preserve">metragem quadrada x nº de faces x espessura= 70,5*0,015 = 1,1 m³  </t>
  </si>
  <si>
    <t>nº de pilares x nº de faces de forma x altura x largura = 8+5*2*0,3*3= 23,4 m²</t>
  </si>
  <si>
    <t>metragem linear x nº faces x altura = 9+9+9+16+16+16*2*0,3=  45m²</t>
  </si>
  <si>
    <t>lado x lado x nº de sapata x altura= 0,9+0,9+0,9+0,9*13*0,4= 18,72 m²</t>
  </si>
  <si>
    <t>altura x nº pilar + metragem viga x nº de barras x peso linear = (3*13+3*25)*6*0,617= 422,02 kg</t>
  </si>
  <si>
    <t>altura x nº pilar + metragem vigas/ 0,12 x metragem estribo x peso linear = 3*13 + 3*25/0,12*1,2*0,154= 175,5 kg</t>
  </si>
  <si>
    <t>metragem barra x nº barra x nº sapata x peso linear = 1,5*18*13*0,395= 138,65 kg</t>
  </si>
  <si>
    <t>m³ das sapatas + m³ baldrame = 0,9*0,9*0,4*13 + 25*0,3*0,2= 5,75m³</t>
  </si>
  <si>
    <t>metro linear de murro x altura = 25*3 = 75</t>
  </si>
  <si>
    <t>estimado = 3*4*16= 192</t>
  </si>
  <si>
    <t>87289</t>
  </si>
  <si>
    <t>87313</t>
  </si>
  <si>
    <t>103782</t>
  </si>
  <si>
    <t>91927</t>
  </si>
  <si>
    <t>92001</t>
  </si>
  <si>
    <t>92023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</si>
</sst>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0"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auto="1"/>
      </top>
      <bottom style="thin">
        <color auto="1"/>
      </bottom>
      <diagonal/>
    </border>
    <border>
      <left style="thin">
        <color indexed="64"/>
      </left>
      <right style="thin">
        <color indexed="64"/>
      </right>
      <top style="thin">
        <color auto="1"/>
      </top>
      <bottom/>
      <diagonal/>
    </border>
    <border>
      <left style="thin">
        <color indexed="64"/>
      </left>
      <right style="thin">
        <color indexed="64"/>
      </right>
      <top style="thin">
        <color auto="1"/>
      </top>
      <bottom style="thin">
        <color auto="1"/>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56">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10" fontId="0" fillId="0" borderId="0" xfId="0" applyNumberFormat="1"/>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49" fontId="56" fillId="0" borderId="135" xfId="50" applyNumberFormat="1" applyFont="1" applyBorder="1" applyAlignment="1">
      <alignment horizontal="center" vertical="center" wrapText="1"/>
    </xf>
    <xf numFmtId="49" fontId="56" fillId="0" borderId="135" xfId="50" quotePrefix="1" applyNumberFormat="1" applyFont="1" applyBorder="1" applyAlignment="1">
      <alignment horizontal="center" vertical="center" wrapText="1"/>
    </xf>
    <xf numFmtId="4" fontId="56" fillId="28" borderId="135" xfId="50" applyNumberFormat="1" applyFont="1" applyFill="1" applyBorder="1" applyAlignment="1">
      <alignment horizontal="center" vertical="center"/>
    </xf>
    <xf numFmtId="189" fontId="56" fillId="0" borderId="135" xfId="50" applyNumberFormat="1" applyFont="1" applyBorder="1" applyAlignment="1">
      <alignment horizontal="center" vertical="center"/>
    </xf>
    <xf numFmtId="2" fontId="56" fillId="0" borderId="135" xfId="50" applyNumberFormat="1" applyFont="1" applyBorder="1" applyAlignment="1">
      <alignment horizontal="center" vertical="center"/>
    </xf>
    <xf numFmtId="189" fontId="56" fillId="28" borderId="135" xfId="50" applyNumberFormat="1" applyFont="1" applyFill="1" applyBorder="1" applyAlignment="1">
      <alignment horizontal="center" vertical="center"/>
    </xf>
    <xf numFmtId="189" fontId="56" fillId="28" borderId="135" xfId="50" applyNumberFormat="1" applyFont="1" applyFill="1" applyBorder="1" applyAlignment="1">
      <alignment horizontal="center" vertical="center" wrapText="1"/>
    </xf>
    <xf numFmtId="1" fontId="56" fillId="0" borderId="135" xfId="50" applyNumberFormat="1" applyFont="1" applyBorder="1" applyAlignment="1">
      <alignment horizontal="center" vertical="center" wrapText="1"/>
    </xf>
    <xf numFmtId="4" fontId="56" fillId="0" borderId="135" xfId="50" applyNumberFormat="1" applyFont="1" applyBorder="1" applyAlignment="1">
      <alignment horizontal="center" vertical="center"/>
    </xf>
    <xf numFmtId="0" fontId="56" fillId="0" borderId="137" xfId="50" applyFont="1" applyBorder="1" applyAlignment="1">
      <alignment horizontal="center" vertical="center" wrapText="1"/>
    </xf>
    <xf numFmtId="0" fontId="56" fillId="0" borderId="136" xfId="50" applyFont="1" applyBorder="1" applyAlignment="1">
      <alignment horizontal="center" vertical="center" wrapText="1"/>
    </xf>
    <xf numFmtId="0" fontId="79" fillId="0" borderId="0" xfId="0" applyFont="1" applyAlignment="1">
      <alignment vertical="center"/>
    </xf>
    <xf numFmtId="0" fontId="0" fillId="16" borderId="138" xfId="48" applyNumberFormat="1" applyFont="1" applyFill="1" applyBorder="1" applyAlignment="1" applyProtection="1">
      <alignment horizontal="left" vertical="center"/>
      <protection locked="0"/>
    </xf>
    <xf numFmtId="0" fontId="0" fillId="0" borderId="138" xfId="0" applyBorder="1" applyAlignment="1">
      <alignment horizontal="center"/>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167" fontId="0" fillId="0" borderId="29" xfId="0" applyNumberFormat="1" applyBorder="1" applyAlignment="1">
      <alignment horizontal="left"/>
    </xf>
    <xf numFmtId="0" fontId="0" fillId="16" borderId="106" xfId="0" applyFill="1" applyBorder="1" applyAlignment="1" applyProtection="1">
      <alignment horizontal="left" vertical="center"/>
      <protection locked="0"/>
    </xf>
    <xf numFmtId="0" fontId="0" fillId="16" borderId="109"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0" fontId="39" fillId="0" borderId="0" xfId="0" applyFont="1" applyAlignment="1">
      <alignment horizontal="center" textRotation="90"/>
    </xf>
    <xf numFmtId="0" fontId="46" fillId="0" borderId="0" xfId="34" applyFont="1" applyAlignment="1">
      <alignment horizontal="center" wrapText="1"/>
    </xf>
    <xf numFmtId="0" fontId="0" fillId="0" borderId="30" xfId="0" applyBorder="1" applyAlignment="1">
      <alignment horizontal="center"/>
    </xf>
    <xf numFmtId="0" fontId="24" fillId="0" borderId="13" xfId="0" applyFont="1" applyBorder="1" applyAlignment="1">
      <alignment horizontal="center"/>
    </xf>
    <xf numFmtId="0" fontId="46" fillId="0" borderId="45" xfId="34" applyFont="1" applyBorder="1" applyAlignment="1">
      <alignment horizontal="left"/>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0" fontId="24" fillId="0" borderId="30" xfId="35" applyFont="1" applyBorder="1" applyAlignment="1">
      <alignment horizontal="left" vertical="top"/>
    </xf>
    <xf numFmtId="164"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13" xfId="33" applyFont="1" applyBorder="1" applyAlignment="1">
      <alignment horizontal="left" vertical="top" wrapText="1"/>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41" xfId="0" applyBorder="1" applyAlignment="1">
      <alignment horizontal="center"/>
    </xf>
    <xf numFmtId="0" fontId="0" fillId="0" borderId="142" xfId="0" applyBorder="1" applyAlignment="1">
      <alignment horizontal="center"/>
    </xf>
    <xf numFmtId="0" fontId="37" fillId="0" borderId="0" xfId="0" applyFont="1" applyAlignment="1">
      <alignment horizontal="left" vertical="center" indent="10"/>
    </xf>
    <xf numFmtId="0" fontId="24" fillId="0" borderId="139" xfId="0" applyFont="1" applyBorder="1" applyAlignment="1">
      <alignment horizontal="center"/>
    </xf>
    <xf numFmtId="0" fontId="24" fillId="0" borderId="140"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86" fontId="63" fillId="0" borderId="29" xfId="0" applyNumberFormat="1" applyFont="1" applyBorder="1" applyAlignment="1">
      <alignment horizontal="left"/>
    </xf>
    <xf numFmtId="171" fontId="56" fillId="0" borderId="122" xfId="48"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24" fillId="0" borderId="31" xfId="0" applyFont="1" applyBorder="1" applyAlignment="1">
      <alignment horizontal="right" vertical="center"/>
    </xf>
    <xf numFmtId="10" fontId="56" fillId="0" borderId="0" xfId="37" applyNumberFormat="1" applyFill="1" applyBorder="1" applyAlignment="1" applyProtection="1">
      <alignment horizontal="center"/>
    </xf>
    <xf numFmtId="177" fontId="56" fillId="0" borderId="29" xfId="48" applyNumberFormat="1" applyFill="1" applyBorder="1" applyAlignment="1" applyProtection="1">
      <alignment horizontal="center" shrinkToFit="1"/>
    </xf>
    <xf numFmtId="177" fontId="56" fillId="0" borderId="45" xfId="48" applyNumberFormat="1" applyFill="1" applyBorder="1" applyAlignment="1" applyProtection="1">
      <alignment horizontal="center" shrinkToFit="1"/>
    </xf>
    <xf numFmtId="177" fontId="56" fillId="0" borderId="13" xfId="48" applyNumberFormat="1" applyFill="1" applyBorder="1" applyAlignment="1" applyProtection="1">
      <alignment horizontal="center" shrinkToFit="1"/>
    </xf>
    <xf numFmtId="10" fontId="56" fillId="0" borderId="30" xfId="37" applyNumberFormat="1" applyFill="1" applyBorder="1" applyAlignment="1" applyProtection="1">
      <alignment horizontal="center"/>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39" xfId="0" applyBorder="1" applyAlignment="1">
      <alignment horizontal="left"/>
    </xf>
    <xf numFmtId="0" fontId="31" fillId="0" borderId="99" xfId="0" applyFont="1" applyBorder="1" applyAlignment="1">
      <alignment horizontal="center" vertical="top" wrapText="1"/>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0" fillId="18" borderId="39" xfId="0" applyFill="1" applyBorder="1"/>
    <xf numFmtId="14" fontId="0" fillId="6" borderId="46" xfId="0" applyNumberFormat="1" applyFill="1" applyBorder="1" applyAlignment="1" applyProtection="1">
      <alignment horizontal="center"/>
      <protection locked="0"/>
    </xf>
    <xf numFmtId="176" fontId="24" fillId="8" borderId="31" xfId="0" applyNumberFormat="1" applyFont="1" applyFill="1" applyBorder="1" applyAlignment="1">
      <alignment horizontal="center" shrinkToFit="1"/>
    </xf>
    <xf numFmtId="10" fontId="56" fillId="0" borderId="33" xfId="37" applyNumberFormat="1" applyFill="1" applyBorder="1" applyAlignment="1" applyProtection="1">
      <alignment horizontal="center"/>
    </xf>
    <xf numFmtId="14" fontId="0" fillId="6" borderId="36" xfId="0" applyNumberFormat="1" applyFill="1" applyBorder="1" applyAlignment="1" applyProtection="1">
      <alignment horizontal="center"/>
      <protection locked="0"/>
    </xf>
    <xf numFmtId="10" fontId="56" fillId="0" borderId="10" xfId="37" applyNumberFormat="1" applyFill="1" applyBorder="1" applyAlignment="1" applyProtection="1">
      <alignment horizontal="center"/>
    </xf>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00000000-0005-0000-0000-000023000000}"/>
    <cellStyle name="Normal_FICHA DE VERIFICAÇÃO PRELIMINAR - Plano R" xfId="35" xr:uid="{00000000-0005-0000-0000-000024000000}"/>
    <cellStyle name="Nota" xfId="36" builtinId="10" customBuiltin="1"/>
    <cellStyle name="Porcentagem" xfId="37" builtinId="5"/>
    <cellStyle name="Porcentagem 2" xfId="38" xr:uid="{00000000-0005-0000-0000-000027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F000000}"/>
    <cellStyle name="Total" xfId="47" builtinId="25" customBuiltin="1"/>
    <cellStyle name="Vírgula" xfId="48" builtinId="3"/>
    <cellStyle name="Vírgula 2" xfId="49" xr:uid="{00000000-0005-0000-0000-000032000000}"/>
  </cellStyles>
  <dxfs count="913">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bgColor theme="0"/>
        </patternFill>
      </fill>
      <border>
        <right/>
        <top/>
        <bottom/>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1"/>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1"/>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6"/>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6"/>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585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457902" y="1381125"/>
          <a:ext cx="4700058"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457200</xdr:colOff>
          <xdr:row>9</xdr:row>
          <xdr:rowOff>66675</xdr:rowOff>
        </xdr:from>
        <xdr:to>
          <xdr:col>19</xdr:col>
          <xdr:colOff>904875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447675</xdr:colOff>
          <xdr:row>9</xdr:row>
          <xdr:rowOff>66675</xdr:rowOff>
        </xdr:from>
        <xdr:to>
          <xdr:col>20</xdr:col>
          <xdr:colOff>876300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295275</xdr:colOff>
          <xdr:row>9</xdr:row>
          <xdr:rowOff>66675</xdr:rowOff>
        </xdr:from>
        <xdr:to>
          <xdr:col>22</xdr:col>
          <xdr:colOff>0</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371475</xdr:colOff>
          <xdr:row>9</xdr:row>
          <xdr:rowOff>66675</xdr:rowOff>
        </xdr:from>
        <xdr:to>
          <xdr:col>22</xdr:col>
          <xdr:colOff>790575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447675</xdr:colOff>
          <xdr:row>9</xdr:row>
          <xdr:rowOff>47625</xdr:rowOff>
        </xdr:from>
        <xdr:to>
          <xdr:col>23</xdr:col>
          <xdr:colOff>876300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dimension ref="A3:E154"/>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500" t="s">
        <v>3</v>
      </c>
    </row>
    <row r="9" spans="1:4" ht="15" x14ac:dyDescent="0.25">
      <c r="A9" s="4"/>
      <c r="B9" s="47"/>
      <c r="C9" s="48" t="str">
        <f>IF(D9&lt;&gt;"","▪","")</f>
        <v/>
      </c>
      <c r="D9" s="500"/>
    </row>
    <row r="10" spans="1:4" ht="18.75" x14ac:dyDescent="0.3">
      <c r="A10" s="603" t="s">
        <v>4</v>
      </c>
      <c r="B10" s="604"/>
      <c r="C10" s="604"/>
      <c r="D10" s="605"/>
    </row>
    <row r="11" spans="1:4" ht="15" x14ac:dyDescent="0.25">
      <c r="A11" s="4"/>
      <c r="B11" s="47" t="s">
        <v>2</v>
      </c>
      <c r="C11" s="47"/>
      <c r="D11" s="500"/>
    </row>
    <row r="12" spans="1:4" ht="15" x14ac:dyDescent="0.25">
      <c r="A12" s="4"/>
      <c r="B12" s="47"/>
      <c r="C12" s="48" t="str">
        <f>IF(D12&lt;&gt;"","▪","")</f>
        <v>▪</v>
      </c>
      <c r="D12" s="500" t="s">
        <v>5</v>
      </c>
    </row>
    <row r="13" spans="1:4" ht="15" x14ac:dyDescent="0.25">
      <c r="A13" s="4"/>
      <c r="B13" s="47" t="s">
        <v>6</v>
      </c>
      <c r="C13" s="47"/>
      <c r="D13" s="500"/>
    </row>
    <row r="14" spans="1:4" ht="15" x14ac:dyDescent="0.25">
      <c r="A14" s="415"/>
      <c r="B14" s="47"/>
      <c r="C14" s="48" t="str">
        <f>IF(D14&lt;&gt;"","▪","")</f>
        <v>▪</v>
      </c>
      <c r="D14" s="500" t="s">
        <v>7</v>
      </c>
    </row>
    <row r="15" spans="1:4" ht="15" x14ac:dyDescent="0.2">
      <c r="A15" s="415"/>
      <c r="C15" s="48" t="str">
        <f>IF(D15&lt;&gt;"","▪","")</f>
        <v>▪</v>
      </c>
      <c r="D15" s="500" t="s">
        <v>8</v>
      </c>
    </row>
    <row r="16" spans="1:4" x14ac:dyDescent="0.2">
      <c r="A16" s="419"/>
      <c r="D16" s="86"/>
    </row>
    <row r="17" spans="1:4" ht="18.75" x14ac:dyDescent="0.3">
      <c r="A17" s="603" t="s">
        <v>9</v>
      </c>
      <c r="B17" s="604"/>
      <c r="C17" s="604"/>
      <c r="D17" s="605"/>
    </row>
    <row r="18" spans="1:4" ht="15" x14ac:dyDescent="0.25">
      <c r="A18" s="4"/>
      <c r="B18" s="47" t="s">
        <v>2</v>
      </c>
      <c r="C18" s="47"/>
      <c r="D18" s="500"/>
    </row>
    <row r="19" spans="1:4" ht="15" x14ac:dyDescent="0.25">
      <c r="A19" s="4"/>
      <c r="B19" s="47"/>
      <c r="C19" s="48" t="str">
        <f>IF(D19&lt;&gt;"","▪","")</f>
        <v>▪</v>
      </c>
      <c r="D19" s="500" t="s">
        <v>5</v>
      </c>
    </row>
    <row r="20" spans="1:4" ht="15" x14ac:dyDescent="0.25">
      <c r="A20" s="4"/>
      <c r="B20" s="47"/>
      <c r="C20" s="48" t="str">
        <f>IF(D20&lt;&gt;"","▪","")</f>
        <v>▪</v>
      </c>
      <c r="D20" s="500" t="s">
        <v>10</v>
      </c>
    </row>
    <row r="21" spans="1:4" ht="15" x14ac:dyDescent="0.25">
      <c r="A21" s="415"/>
      <c r="B21" s="47" t="s">
        <v>11</v>
      </c>
      <c r="C21" s="47"/>
      <c r="D21" s="500"/>
    </row>
    <row r="22" spans="1:4" ht="15" x14ac:dyDescent="0.25">
      <c r="A22" s="415"/>
      <c r="B22" s="47"/>
      <c r="C22" s="48" t="str">
        <f>IF(D22&lt;&gt;"","▪","")</f>
        <v>▪</v>
      </c>
      <c r="D22" s="500" t="s">
        <v>12</v>
      </c>
    </row>
    <row r="23" spans="1:4" ht="15" x14ac:dyDescent="0.25">
      <c r="A23" s="415"/>
      <c r="B23" s="47" t="s">
        <v>13</v>
      </c>
      <c r="C23" s="47"/>
      <c r="D23" s="500"/>
    </row>
    <row r="24" spans="1:4" ht="15" x14ac:dyDescent="0.25">
      <c r="A24" s="415"/>
      <c r="B24" s="47"/>
      <c r="C24" s="48" t="str">
        <f>IF(D24&lt;&gt;"","▪","")</f>
        <v>▪</v>
      </c>
      <c r="D24" s="500" t="s">
        <v>14</v>
      </c>
    </row>
    <row r="25" spans="1:4" ht="15" x14ac:dyDescent="0.25">
      <c r="A25" s="415"/>
      <c r="B25" s="47" t="s">
        <v>15</v>
      </c>
      <c r="C25" s="47"/>
      <c r="D25" s="500"/>
    </row>
    <row r="26" spans="1:4" ht="15" x14ac:dyDescent="0.25">
      <c r="A26" s="415"/>
      <c r="B26" s="47"/>
      <c r="C26" s="48" t="str">
        <f>IF(D26&lt;&gt;"","▪","")</f>
        <v>▪</v>
      </c>
      <c r="D26" s="500" t="s">
        <v>16</v>
      </c>
    </row>
    <row r="27" spans="1:4" ht="15" x14ac:dyDescent="0.25">
      <c r="A27" s="415"/>
      <c r="B27" s="47" t="s">
        <v>17</v>
      </c>
      <c r="C27" s="47"/>
      <c r="D27" s="500"/>
    </row>
    <row r="28" spans="1:4" ht="15" x14ac:dyDescent="0.25">
      <c r="A28" s="415"/>
      <c r="B28" s="47"/>
      <c r="C28" s="48" t="str">
        <f>IF(D28&lt;&gt;"","▪","")</f>
        <v>▪</v>
      </c>
      <c r="D28" s="500" t="s">
        <v>18</v>
      </c>
    </row>
    <row r="29" spans="1:4" x14ac:dyDescent="0.2">
      <c r="A29" s="419"/>
      <c r="D29" s="86"/>
    </row>
    <row r="30" spans="1:4" ht="18.75" x14ac:dyDescent="0.3">
      <c r="A30" s="603" t="s">
        <v>19</v>
      </c>
      <c r="B30" s="604"/>
      <c r="C30" s="604"/>
      <c r="D30" s="605"/>
    </row>
    <row r="31" spans="1:4" ht="15" x14ac:dyDescent="0.25">
      <c r="A31" s="4"/>
      <c r="B31" s="47" t="s">
        <v>2</v>
      </c>
      <c r="C31" s="47"/>
      <c r="D31" s="500"/>
    </row>
    <row r="32" spans="1:4" ht="15" x14ac:dyDescent="0.25">
      <c r="A32" s="4"/>
      <c r="B32" s="47"/>
      <c r="C32" s="48" t="str">
        <f>IF(D32&lt;&gt;"","▪","")</f>
        <v>▪</v>
      </c>
      <c r="D32" s="500" t="s">
        <v>10</v>
      </c>
    </row>
    <row r="33" spans="1:5" ht="15" x14ac:dyDescent="0.25">
      <c r="A33" s="4"/>
      <c r="B33" s="47" t="s">
        <v>20</v>
      </c>
      <c r="C33" s="48"/>
      <c r="D33" s="500"/>
    </row>
    <row r="34" spans="1:5" ht="15" x14ac:dyDescent="0.25">
      <c r="A34" s="4"/>
      <c r="B34" s="47"/>
      <c r="C34" s="48" t="str">
        <f>IF(D34&lt;&gt;"","▪","")</f>
        <v>▪</v>
      </c>
      <c r="D34" s="500" t="s">
        <v>21</v>
      </c>
    </row>
    <row r="35" spans="1:5" ht="15" x14ac:dyDescent="0.25">
      <c r="A35" s="4"/>
      <c r="B35" s="47"/>
      <c r="C35" s="47"/>
      <c r="D35" s="501"/>
      <c r="E35" s="47"/>
    </row>
    <row r="36" spans="1:5" x14ac:dyDescent="0.2">
      <c r="A36" s="419"/>
      <c r="D36" s="86"/>
    </row>
    <row r="37" spans="1:5" ht="18.75" x14ac:dyDescent="0.3">
      <c r="A37" s="603" t="s">
        <v>22</v>
      </c>
      <c r="B37" s="604"/>
      <c r="C37" s="604"/>
      <c r="D37" s="605"/>
    </row>
    <row r="38" spans="1:5" ht="15" x14ac:dyDescent="0.25">
      <c r="A38" s="4"/>
      <c r="B38" s="47" t="s">
        <v>23</v>
      </c>
      <c r="C38" s="47"/>
      <c r="D38" s="500"/>
    </row>
    <row r="39" spans="1:5" ht="15" x14ac:dyDescent="0.25">
      <c r="A39" s="4"/>
      <c r="B39" s="47"/>
      <c r="C39" s="48" t="str">
        <f>IF(D39&lt;&gt;"","▪","")</f>
        <v>▪</v>
      </c>
      <c r="D39" s="500" t="s">
        <v>24</v>
      </c>
    </row>
    <row r="40" spans="1:5" ht="15" x14ac:dyDescent="0.25">
      <c r="A40" s="4"/>
      <c r="B40" s="47" t="s">
        <v>13</v>
      </c>
      <c r="C40" s="47"/>
      <c r="D40" s="500"/>
    </row>
    <row r="41" spans="1:5" ht="15" x14ac:dyDescent="0.25">
      <c r="A41" s="4"/>
      <c r="B41" s="47"/>
      <c r="C41" s="48" t="str">
        <f>IF(D41&lt;&gt;"","▪","")</f>
        <v>▪</v>
      </c>
      <c r="D41" s="500" t="s">
        <v>25</v>
      </c>
    </row>
    <row r="42" spans="1:5" ht="15" x14ac:dyDescent="0.25">
      <c r="A42" s="4"/>
      <c r="B42" s="47" t="s">
        <v>15</v>
      </c>
      <c r="C42" s="47"/>
      <c r="D42" s="500"/>
      <c r="E42" s="47"/>
    </row>
    <row r="43" spans="1:5" ht="15" x14ac:dyDescent="0.25">
      <c r="A43" s="4"/>
      <c r="B43" s="47"/>
      <c r="C43" s="48" t="str">
        <f>IF(D43&lt;&gt;"","▪","")</f>
        <v>▪</v>
      </c>
      <c r="D43" s="500" t="s">
        <v>26</v>
      </c>
    </row>
    <row r="44" spans="1:5" ht="15" x14ac:dyDescent="0.25">
      <c r="A44" s="4"/>
      <c r="B44" s="47"/>
      <c r="C44" s="47"/>
      <c r="D44" s="501"/>
    </row>
    <row r="45" spans="1:5" ht="18.75" x14ac:dyDescent="0.3">
      <c r="A45" s="603" t="s">
        <v>27</v>
      </c>
      <c r="B45" s="604"/>
      <c r="C45" s="604"/>
      <c r="D45" s="605"/>
    </row>
    <row r="46" spans="1:5" ht="15" x14ac:dyDescent="0.25">
      <c r="A46" s="4"/>
      <c r="B46" s="47" t="s">
        <v>2</v>
      </c>
      <c r="C46" s="47"/>
      <c r="D46" s="500"/>
    </row>
    <row r="47" spans="1:5" ht="15" x14ac:dyDescent="0.25">
      <c r="A47" s="4"/>
      <c r="B47" s="47"/>
      <c r="C47" s="48" t="str">
        <f>IF(D47&lt;&gt;"","▪","")</f>
        <v>▪</v>
      </c>
      <c r="D47" s="500" t="s">
        <v>28</v>
      </c>
    </row>
    <row r="48" spans="1:5" ht="15" x14ac:dyDescent="0.25">
      <c r="A48" s="4"/>
      <c r="B48" s="47"/>
      <c r="C48" s="47"/>
      <c r="D48" s="501"/>
    </row>
    <row r="49" spans="1:4" ht="18.75" x14ac:dyDescent="0.3">
      <c r="A49" s="603" t="s">
        <v>29</v>
      </c>
      <c r="B49" s="604"/>
      <c r="C49" s="604"/>
      <c r="D49" s="605"/>
    </row>
    <row r="50" spans="1:4" ht="15" x14ac:dyDescent="0.25">
      <c r="A50" s="4"/>
      <c r="B50" s="47" t="s">
        <v>2</v>
      </c>
      <c r="C50" s="47"/>
      <c r="D50" s="500"/>
    </row>
    <row r="51" spans="1:4" ht="15" x14ac:dyDescent="0.25">
      <c r="A51" s="4"/>
      <c r="B51" s="47"/>
      <c r="C51" s="48" t="str">
        <f>IF(D51&lt;&gt;"","▪","")</f>
        <v>▪</v>
      </c>
      <c r="D51" s="500" t="s">
        <v>30</v>
      </c>
    </row>
    <row r="52" spans="1:4" ht="15" x14ac:dyDescent="0.25">
      <c r="A52" s="4"/>
      <c r="B52" s="47"/>
      <c r="C52" s="48" t="str">
        <f>IF(D52&lt;&gt;"","▪","")</f>
        <v>▪</v>
      </c>
      <c r="D52" s="500" t="s">
        <v>31</v>
      </c>
    </row>
    <row r="53" spans="1:4" ht="15" x14ac:dyDescent="0.25">
      <c r="A53" s="4"/>
      <c r="B53" s="47"/>
      <c r="C53" s="47"/>
      <c r="D53" s="501"/>
    </row>
    <row r="54" spans="1:4" ht="18.75" x14ac:dyDescent="0.3">
      <c r="A54" s="606" t="s">
        <v>32</v>
      </c>
      <c r="B54" s="604"/>
      <c r="C54" s="604"/>
      <c r="D54" s="605"/>
    </row>
    <row r="55" spans="1:4" ht="15" x14ac:dyDescent="0.25">
      <c r="A55" s="415"/>
      <c r="B55" s="47" t="s">
        <v>2</v>
      </c>
      <c r="C55" s="47"/>
      <c r="D55" s="500"/>
    </row>
    <row r="56" spans="1:4" ht="15" x14ac:dyDescent="0.25">
      <c r="A56" s="415"/>
      <c r="B56" s="47"/>
      <c r="C56" s="48" t="str">
        <f t="shared" ref="C56" si="0">IF(D56&lt;&gt;"","▪","")</f>
        <v>▪</v>
      </c>
      <c r="D56" s="500" t="s">
        <v>33</v>
      </c>
    </row>
    <row r="57" spans="1:4" ht="30" customHeight="1" x14ac:dyDescent="0.25">
      <c r="A57" s="415"/>
      <c r="B57" s="47"/>
      <c r="C57" s="48" t="str">
        <f t="shared" ref="C57:C62" si="1">IF(D57&lt;&gt;"","▪","")</f>
        <v>▪</v>
      </c>
      <c r="D57" s="500" t="s">
        <v>34</v>
      </c>
    </row>
    <row r="58" spans="1:4" ht="30" customHeight="1" x14ac:dyDescent="0.25">
      <c r="A58" s="415"/>
      <c r="B58" s="47"/>
      <c r="C58" s="48" t="str">
        <f t="shared" si="1"/>
        <v>▪</v>
      </c>
      <c r="D58" s="500" t="s">
        <v>35</v>
      </c>
    </row>
    <row r="59" spans="1:4" ht="30" customHeight="1" x14ac:dyDescent="0.25">
      <c r="A59" s="415"/>
      <c r="B59" s="47"/>
      <c r="C59" s="48" t="str">
        <f t="shared" si="1"/>
        <v>▪</v>
      </c>
      <c r="D59" s="500" t="s">
        <v>36</v>
      </c>
    </row>
    <row r="60" spans="1:4" ht="25.5" x14ac:dyDescent="0.25">
      <c r="A60" s="415"/>
      <c r="B60" s="47"/>
      <c r="C60" s="48" t="str">
        <f t="shared" si="1"/>
        <v>▪</v>
      </c>
      <c r="D60" s="500" t="s">
        <v>37</v>
      </c>
    </row>
    <row r="61" spans="1:4" ht="15" x14ac:dyDescent="0.25">
      <c r="A61" s="415"/>
      <c r="B61" s="47"/>
      <c r="C61" s="48" t="str">
        <f t="shared" si="1"/>
        <v>▪</v>
      </c>
      <c r="D61" s="500" t="s">
        <v>38</v>
      </c>
    </row>
    <row r="62" spans="1:4" ht="30" customHeight="1" x14ac:dyDescent="0.25">
      <c r="A62" s="415"/>
      <c r="B62" s="47"/>
      <c r="C62" s="48" t="str">
        <f t="shared" si="1"/>
        <v>▪</v>
      </c>
      <c r="D62" s="500" t="s">
        <v>39</v>
      </c>
    </row>
    <row r="63" spans="1:4" ht="15" x14ac:dyDescent="0.25">
      <c r="A63" s="415"/>
      <c r="B63" s="47" t="s">
        <v>40</v>
      </c>
      <c r="C63" s="47"/>
      <c r="D63" s="500"/>
    </row>
    <row r="64" spans="1:4" ht="15" x14ac:dyDescent="0.25">
      <c r="A64" s="415"/>
      <c r="B64" s="47"/>
      <c r="C64" s="48" t="str">
        <f>IF(D64&lt;&gt;"","▪","")</f>
        <v>▪</v>
      </c>
      <c r="D64" s="500" t="s">
        <v>41</v>
      </c>
    </row>
    <row r="65" spans="1:4" ht="15" x14ac:dyDescent="0.25">
      <c r="A65" s="415"/>
      <c r="B65" s="47"/>
      <c r="C65" s="48" t="str">
        <f>IF(D65&lt;&gt;"","▪","")</f>
        <v>▪</v>
      </c>
      <c r="D65" s="500" t="s">
        <v>42</v>
      </c>
    </row>
    <row r="66" spans="1:4" ht="15" x14ac:dyDescent="0.25">
      <c r="A66" s="415"/>
      <c r="B66" s="47"/>
      <c r="C66" s="48"/>
      <c r="D66" s="502" t="s">
        <v>43</v>
      </c>
    </row>
    <row r="67" spans="1:4" ht="15" x14ac:dyDescent="0.25">
      <c r="A67" s="415"/>
      <c r="B67" s="47"/>
      <c r="C67" s="48" t="str">
        <f>IF(D67&lt;&gt;"","▪","")</f>
        <v>▪</v>
      </c>
      <c r="D67" s="500" t="s">
        <v>44</v>
      </c>
    </row>
    <row r="68" spans="1:4" ht="15" x14ac:dyDescent="0.25">
      <c r="A68" s="415"/>
      <c r="B68" s="47"/>
      <c r="C68" s="48"/>
      <c r="D68" s="502" t="s">
        <v>45</v>
      </c>
    </row>
    <row r="69" spans="1:4" ht="15" x14ac:dyDescent="0.25">
      <c r="A69" s="415"/>
      <c r="B69" s="47"/>
      <c r="C69" s="48" t="str">
        <f>IF(D69&lt;&gt;"","▪","")</f>
        <v>▪</v>
      </c>
      <c r="D69" s="500" t="s">
        <v>46</v>
      </c>
    </row>
    <row r="70" spans="1:4" ht="15" x14ac:dyDescent="0.25">
      <c r="A70" s="415"/>
      <c r="B70" s="47"/>
      <c r="C70" s="48" t="str">
        <f>IF(D70&lt;&gt;"","▪","")</f>
        <v>▪</v>
      </c>
      <c r="D70" s="500" t="s">
        <v>47</v>
      </c>
    </row>
    <row r="71" spans="1:4" ht="15" x14ac:dyDescent="0.25">
      <c r="A71" s="415"/>
      <c r="B71" s="47" t="s">
        <v>23</v>
      </c>
      <c r="C71" s="47"/>
      <c r="D71" s="500"/>
    </row>
    <row r="72" spans="1:4" ht="15" x14ac:dyDescent="0.25">
      <c r="A72" s="415"/>
      <c r="B72" s="47"/>
      <c r="C72" s="48" t="str">
        <f>IF(D72&lt;&gt;"","▪","")</f>
        <v>▪</v>
      </c>
      <c r="D72" s="500" t="s">
        <v>48</v>
      </c>
    </row>
    <row r="73" spans="1:4" ht="15" x14ac:dyDescent="0.25">
      <c r="A73" s="415"/>
      <c r="B73" s="47" t="s">
        <v>49</v>
      </c>
      <c r="C73" s="47"/>
      <c r="D73" s="500"/>
    </row>
    <row r="74" spans="1:4" ht="15" x14ac:dyDescent="0.25">
      <c r="A74" s="415"/>
      <c r="B74" s="47"/>
      <c r="C74" s="48" t="str">
        <f>IF(D74&lt;&gt;"","▪","")</f>
        <v>▪</v>
      </c>
      <c r="D74" s="500" t="s">
        <v>50</v>
      </c>
    </row>
    <row r="75" spans="1:4" ht="15" x14ac:dyDescent="0.25">
      <c r="A75" s="415"/>
      <c r="B75" s="47"/>
      <c r="C75" s="48" t="str">
        <f>IF(D75&lt;&gt;"","▪","")</f>
        <v>▪</v>
      </c>
      <c r="D75" s="500" t="s">
        <v>51</v>
      </c>
    </row>
    <row r="76" spans="1:4" ht="15" x14ac:dyDescent="0.25">
      <c r="A76" s="415"/>
      <c r="B76" s="47"/>
      <c r="C76" s="48" t="str">
        <f>IF(D76&lt;&gt;"","▪","")</f>
        <v>▪</v>
      </c>
      <c r="D76" s="500" t="s">
        <v>52</v>
      </c>
    </row>
    <row r="77" spans="1:4" ht="15" x14ac:dyDescent="0.25">
      <c r="A77" s="415"/>
      <c r="B77" s="47"/>
      <c r="C77" s="48" t="str">
        <f>IF(D77&lt;&gt;"","▪","")</f>
        <v>▪</v>
      </c>
      <c r="D77" s="500" t="s">
        <v>53</v>
      </c>
    </row>
    <row r="78" spans="1:4" ht="15" x14ac:dyDescent="0.25">
      <c r="A78" s="415"/>
      <c r="B78" s="47" t="s">
        <v>54</v>
      </c>
      <c r="C78" s="47"/>
      <c r="D78" s="500"/>
    </row>
    <row r="79" spans="1:4" ht="15" x14ac:dyDescent="0.25">
      <c r="A79" s="415"/>
      <c r="B79" s="47"/>
      <c r="C79" s="48" t="str">
        <f>IF(D79&lt;&gt;"","▪","")</f>
        <v>▪</v>
      </c>
      <c r="D79" s="500" t="s">
        <v>50</v>
      </c>
    </row>
    <row r="80" spans="1:4" ht="15" x14ac:dyDescent="0.25">
      <c r="A80" s="415"/>
      <c r="B80" s="47"/>
      <c r="C80" s="48" t="str">
        <f>IF(D80&lt;&gt;"","▪","")</f>
        <v>▪</v>
      </c>
      <c r="D80" s="500" t="s">
        <v>55</v>
      </c>
    </row>
    <row r="81" spans="1:4" ht="15" x14ac:dyDescent="0.25">
      <c r="A81" s="415"/>
      <c r="B81" s="47"/>
      <c r="C81" s="48" t="str">
        <f>IF(D81&lt;&gt;"","▪","")</f>
        <v>▪</v>
      </c>
      <c r="D81" s="500" t="s">
        <v>52</v>
      </c>
    </row>
    <row r="82" spans="1:4" ht="15" x14ac:dyDescent="0.25">
      <c r="A82" s="415"/>
      <c r="B82" s="47"/>
      <c r="C82" s="48" t="str">
        <f>IF(D82&lt;&gt;"","▪","")</f>
        <v>▪</v>
      </c>
      <c r="D82" s="500" t="s">
        <v>53</v>
      </c>
    </row>
    <row r="83" spans="1:4" ht="15" x14ac:dyDescent="0.25">
      <c r="A83" s="415"/>
      <c r="B83" s="47" t="s">
        <v>17</v>
      </c>
      <c r="C83" s="47"/>
      <c r="D83" s="500"/>
    </row>
    <row r="84" spans="1:4" ht="20.100000000000001" customHeight="1" x14ac:dyDescent="0.25">
      <c r="A84" s="415"/>
      <c r="B84" s="47"/>
      <c r="C84" s="48" t="str">
        <f>IF(D84&lt;&gt;"","▪","")</f>
        <v>▪</v>
      </c>
      <c r="D84" s="500" t="s">
        <v>56</v>
      </c>
    </row>
    <row r="85" spans="1:4" ht="15" x14ac:dyDescent="0.25">
      <c r="A85" s="415"/>
      <c r="B85" s="47" t="s">
        <v>57</v>
      </c>
      <c r="C85" s="47"/>
      <c r="D85" s="500"/>
    </row>
    <row r="86" spans="1:4" ht="20.100000000000001" customHeight="1" x14ac:dyDescent="0.25">
      <c r="A86" s="415"/>
      <c r="B86" s="47"/>
      <c r="C86" s="48" t="str">
        <f>IF(D86&lt;&gt;"","▪","")</f>
        <v>▪</v>
      </c>
      <c r="D86" s="500" t="s">
        <v>58</v>
      </c>
    </row>
    <row r="87" spans="1:4" ht="15" x14ac:dyDescent="0.25">
      <c r="A87" s="419"/>
      <c r="B87" s="478"/>
      <c r="C87" s="478"/>
      <c r="D87" s="503"/>
    </row>
    <row r="88" spans="1:4" ht="18.75" x14ac:dyDescent="0.3">
      <c r="A88" s="603" t="s">
        <v>59</v>
      </c>
      <c r="B88" s="604"/>
      <c r="C88" s="604"/>
      <c r="D88" s="605"/>
    </row>
    <row r="89" spans="1:4" ht="15" x14ac:dyDescent="0.25">
      <c r="A89" s="4"/>
      <c r="B89" s="47" t="s">
        <v>2</v>
      </c>
      <c r="C89" s="47"/>
      <c r="D89" s="500"/>
    </row>
    <row r="90" spans="1:4" ht="15" x14ac:dyDescent="0.25">
      <c r="A90" s="4"/>
      <c r="B90" s="47"/>
      <c r="C90" s="48" t="str">
        <f>IF(D90&lt;&gt;"","▪","")</f>
        <v>▪</v>
      </c>
      <c r="D90" s="500" t="s">
        <v>60</v>
      </c>
    </row>
    <row r="91" spans="1:4" ht="15" x14ac:dyDescent="0.25">
      <c r="A91" s="4"/>
      <c r="B91" s="47" t="s">
        <v>40</v>
      </c>
      <c r="C91" s="47"/>
      <c r="D91" s="500"/>
    </row>
    <row r="92" spans="1:4" ht="15" x14ac:dyDescent="0.25">
      <c r="A92" s="4"/>
      <c r="B92" s="47"/>
      <c r="C92" s="48" t="str">
        <f>IF(D92&lt;&gt;"","▪","")</f>
        <v>▪</v>
      </c>
      <c r="D92" s="500" t="s">
        <v>61</v>
      </c>
    </row>
    <row r="93" spans="1:4" ht="38.25" x14ac:dyDescent="0.25">
      <c r="A93" s="4"/>
      <c r="B93" s="47"/>
      <c r="C93" s="48" t="str">
        <f>IF(D93&lt;&gt;"","▪","")</f>
        <v>▪</v>
      </c>
      <c r="D93" s="500" t="s">
        <v>62</v>
      </c>
    </row>
    <row r="94" spans="1:4" ht="25.5" x14ac:dyDescent="0.25">
      <c r="A94" s="4"/>
      <c r="B94" s="47"/>
      <c r="C94" s="48" t="str">
        <f>IF(D94&lt;&gt;"","▪","")</f>
        <v>▪</v>
      </c>
      <c r="D94" s="500" t="s">
        <v>63</v>
      </c>
    </row>
    <row r="95" spans="1:4" ht="15" x14ac:dyDescent="0.25">
      <c r="A95" s="4"/>
      <c r="B95" s="47" t="s">
        <v>23</v>
      </c>
      <c r="C95" s="47"/>
      <c r="D95" s="500"/>
    </row>
    <row r="96" spans="1:4" ht="15" x14ac:dyDescent="0.25">
      <c r="A96" s="4"/>
      <c r="B96" s="47"/>
      <c r="C96" s="48" t="str">
        <f>IF(D96&lt;&gt;"","▪","")</f>
        <v>▪</v>
      </c>
      <c r="D96" s="500" t="s">
        <v>64</v>
      </c>
    </row>
    <row r="97" spans="1:4" ht="15" x14ac:dyDescent="0.25">
      <c r="A97" s="4"/>
      <c r="B97" s="47" t="s">
        <v>11</v>
      </c>
      <c r="C97" s="47"/>
      <c r="D97" s="500"/>
    </row>
    <row r="98" spans="1:4" ht="15" x14ac:dyDescent="0.25">
      <c r="A98" s="4"/>
      <c r="B98" s="47"/>
      <c r="C98" s="48" t="str">
        <f>IF(D98&lt;&gt;"","▪","")</f>
        <v>▪</v>
      </c>
      <c r="D98" s="500" t="s">
        <v>65</v>
      </c>
    </row>
    <row r="99" spans="1:4" ht="15" x14ac:dyDescent="0.25">
      <c r="A99" s="415"/>
      <c r="B99" s="47" t="s">
        <v>49</v>
      </c>
      <c r="C99" s="47"/>
      <c r="D99" s="500"/>
    </row>
    <row r="100" spans="1:4" ht="25.5" x14ac:dyDescent="0.25">
      <c r="A100" s="415"/>
      <c r="B100" s="47"/>
      <c r="C100" s="48" t="str">
        <f>IF(D100&lt;&gt;"","▪","")</f>
        <v>▪</v>
      </c>
      <c r="D100" s="500" t="s">
        <v>66</v>
      </c>
    </row>
    <row r="101" spans="1:4" ht="15" x14ac:dyDescent="0.25">
      <c r="A101" s="415"/>
      <c r="B101" s="47"/>
      <c r="C101" s="48" t="str">
        <f>IF(D101&lt;&gt;"","▪","")</f>
        <v>▪</v>
      </c>
      <c r="D101" s="500" t="s">
        <v>67</v>
      </c>
    </row>
    <row r="102" spans="1:4" ht="15" x14ac:dyDescent="0.25">
      <c r="A102" s="415"/>
      <c r="B102" s="47" t="s">
        <v>20</v>
      </c>
      <c r="C102" s="47"/>
      <c r="D102" s="500"/>
    </row>
    <row r="103" spans="1:4" ht="15" x14ac:dyDescent="0.25">
      <c r="A103" s="415"/>
      <c r="B103" s="47"/>
      <c r="C103" s="48" t="str">
        <f>IF(D103&lt;&gt;"","▪","")</f>
        <v>▪</v>
      </c>
      <c r="D103" s="500" t="s">
        <v>68</v>
      </c>
    </row>
    <row r="104" spans="1:4" ht="15" x14ac:dyDescent="0.25">
      <c r="A104" s="4"/>
      <c r="B104" s="47" t="s">
        <v>54</v>
      </c>
      <c r="C104" s="47"/>
      <c r="D104" s="500"/>
    </row>
    <row r="105" spans="1:4" ht="15" x14ac:dyDescent="0.25">
      <c r="A105" s="4"/>
      <c r="B105" s="47"/>
      <c r="C105" s="48" t="str">
        <f>IF(D105&lt;&gt;"","▪","")</f>
        <v>▪</v>
      </c>
      <c r="D105" s="500" t="s">
        <v>69</v>
      </c>
    </row>
    <row r="106" spans="1:4" ht="15" x14ac:dyDescent="0.25">
      <c r="A106" s="4"/>
      <c r="B106" s="47"/>
      <c r="C106" s="48" t="str">
        <f>IF(D106&lt;&gt;"","▪","")</f>
        <v>▪</v>
      </c>
      <c r="D106" s="500" t="s">
        <v>70</v>
      </c>
    </row>
    <row r="107" spans="1:4" ht="15" x14ac:dyDescent="0.25">
      <c r="A107" s="4"/>
      <c r="B107" s="47" t="s">
        <v>71</v>
      </c>
      <c r="C107" s="47"/>
      <c r="D107" s="500"/>
    </row>
    <row r="108" spans="1:4" ht="15" x14ac:dyDescent="0.25">
      <c r="A108" s="4"/>
      <c r="B108" s="47"/>
      <c r="C108" s="48" t="str">
        <f>IF(D108&lt;&gt;"","▪","")</f>
        <v>▪</v>
      </c>
      <c r="D108" s="500" t="s">
        <v>72</v>
      </c>
    </row>
    <row r="109" spans="1:4" ht="15" x14ac:dyDescent="0.25">
      <c r="A109" s="4"/>
      <c r="B109" s="47"/>
      <c r="C109" s="48" t="str">
        <f>IF(D109&lt;&gt;"","▪","")</f>
        <v>▪</v>
      </c>
      <c r="D109" s="500" t="s">
        <v>73</v>
      </c>
    </row>
    <row r="110" spans="1:4" ht="15" x14ac:dyDescent="0.25">
      <c r="A110" s="4"/>
      <c r="B110" s="47"/>
      <c r="C110" s="48" t="str">
        <f>IF(D110&lt;&gt;"","▪","")</f>
        <v>▪</v>
      </c>
      <c r="D110" s="500" t="s">
        <v>74</v>
      </c>
    </row>
    <row r="111" spans="1:4" ht="15" x14ac:dyDescent="0.25">
      <c r="A111" s="4"/>
      <c r="B111" s="47" t="s">
        <v>17</v>
      </c>
      <c r="C111" s="47"/>
      <c r="D111" s="500"/>
    </row>
    <row r="112" spans="1:4" ht="15" x14ac:dyDescent="0.25">
      <c r="A112" s="4"/>
      <c r="B112" s="47"/>
      <c r="C112" s="48" t="str">
        <f>IF(D112&lt;&gt;"","▪","")</f>
        <v>▪</v>
      </c>
      <c r="D112" s="500" t="s">
        <v>75</v>
      </c>
    </row>
    <row r="113" spans="1:4" ht="15" x14ac:dyDescent="0.25">
      <c r="A113" s="4"/>
      <c r="B113" s="47" t="s">
        <v>76</v>
      </c>
      <c r="C113" s="47"/>
      <c r="D113" s="500"/>
    </row>
    <row r="114" spans="1:4" ht="15" x14ac:dyDescent="0.25">
      <c r="A114" s="4"/>
      <c r="B114" s="47"/>
      <c r="C114" s="48" t="str">
        <f>IF(D114&lt;&gt;"","▪","")</f>
        <v>▪</v>
      </c>
      <c r="D114" s="500" t="s">
        <v>77</v>
      </c>
    </row>
    <row r="115" spans="1:4" ht="15" x14ac:dyDescent="0.25">
      <c r="A115" s="4"/>
      <c r="B115" s="47" t="s">
        <v>78</v>
      </c>
      <c r="C115" s="47"/>
      <c r="D115" s="500"/>
    </row>
    <row r="116" spans="1:4" ht="15" x14ac:dyDescent="0.25">
      <c r="A116" s="4"/>
      <c r="B116" s="47"/>
      <c r="C116" s="48" t="str">
        <f>IF(D116&lt;&gt;"","▪","")</f>
        <v>▪</v>
      </c>
      <c r="D116" s="500" t="s">
        <v>79</v>
      </c>
    </row>
    <row r="117" spans="1:4" ht="15" x14ac:dyDescent="0.25">
      <c r="A117" s="419"/>
      <c r="B117" s="478"/>
      <c r="C117" s="478"/>
      <c r="D117" s="503"/>
    </row>
    <row r="118" spans="1:4" ht="18.75" x14ac:dyDescent="0.3">
      <c r="A118" s="603" t="s">
        <v>80</v>
      </c>
      <c r="B118" s="604"/>
      <c r="C118" s="604"/>
      <c r="D118" s="605"/>
    </row>
    <row r="119" spans="1:4" ht="15" x14ac:dyDescent="0.25">
      <c r="A119" s="4"/>
      <c r="B119" s="47" t="s">
        <v>40</v>
      </c>
      <c r="C119" s="47"/>
      <c r="D119" s="500"/>
    </row>
    <row r="120" spans="1:4" ht="25.5" x14ac:dyDescent="0.25">
      <c r="A120" s="4"/>
      <c r="B120" s="47"/>
      <c r="C120" s="48" t="str">
        <f>IF(D120&lt;&gt;"","▪","")</f>
        <v>▪</v>
      </c>
      <c r="D120" s="500" t="s">
        <v>81</v>
      </c>
    </row>
    <row r="121" spans="1:4" ht="15" x14ac:dyDescent="0.25">
      <c r="A121" s="4"/>
      <c r="B121" s="47" t="s">
        <v>11</v>
      </c>
      <c r="C121" s="47"/>
      <c r="D121" s="500"/>
    </row>
    <row r="122" spans="1:4" ht="15" x14ac:dyDescent="0.25">
      <c r="A122" s="4"/>
      <c r="B122" s="47"/>
      <c r="C122" s="48" t="str">
        <f>IF(D122&lt;&gt;"","▪","")</f>
        <v>▪</v>
      </c>
      <c r="D122" s="500" t="s">
        <v>82</v>
      </c>
    </row>
    <row r="123" spans="1:4" ht="15" x14ac:dyDescent="0.25">
      <c r="A123" s="4"/>
      <c r="B123" s="47" t="s">
        <v>23</v>
      </c>
      <c r="C123" s="47"/>
      <c r="D123" s="500"/>
    </row>
    <row r="124" spans="1:4" ht="15" x14ac:dyDescent="0.25">
      <c r="A124" s="4"/>
      <c r="B124" s="47"/>
      <c r="C124" s="48" t="str">
        <f>IF(D124&lt;&gt;"","▪","")</f>
        <v>▪</v>
      </c>
      <c r="D124" s="500" t="s">
        <v>83</v>
      </c>
    </row>
    <row r="125" spans="1:4" ht="15" x14ac:dyDescent="0.25">
      <c r="A125" s="419"/>
      <c r="B125" s="478"/>
      <c r="C125" s="478"/>
      <c r="D125" s="503"/>
    </row>
    <row r="126" spans="1:4" ht="18.75" x14ac:dyDescent="0.3">
      <c r="A126" s="603" t="s">
        <v>932</v>
      </c>
      <c r="B126" s="604"/>
      <c r="C126" s="604"/>
      <c r="D126" s="605"/>
    </row>
    <row r="127" spans="1:4" ht="15" x14ac:dyDescent="0.25">
      <c r="A127" s="4"/>
      <c r="B127" s="47" t="s">
        <v>2</v>
      </c>
      <c r="C127" s="47"/>
      <c r="D127" s="500"/>
    </row>
    <row r="128" spans="1:4" ht="15" x14ac:dyDescent="0.25">
      <c r="A128" s="4"/>
      <c r="B128" s="47"/>
      <c r="C128" s="48" t="str">
        <f>IF(D128&lt;&gt;"","▪","")</f>
        <v>▪</v>
      </c>
      <c r="D128" s="500" t="s">
        <v>933</v>
      </c>
    </row>
    <row r="129" spans="1:4" ht="15" x14ac:dyDescent="0.25">
      <c r="A129" s="419"/>
      <c r="B129" s="478"/>
      <c r="C129" s="478"/>
      <c r="D129" s="503"/>
    </row>
    <row r="130" spans="1:4" ht="18.75" x14ac:dyDescent="0.3">
      <c r="A130" s="603" t="s">
        <v>934</v>
      </c>
      <c r="B130" s="604"/>
      <c r="C130" s="604"/>
      <c r="D130" s="605"/>
    </row>
    <row r="131" spans="1:4" ht="15" x14ac:dyDescent="0.25">
      <c r="A131" s="4"/>
      <c r="B131" s="47" t="s">
        <v>40</v>
      </c>
      <c r="C131" s="47"/>
      <c r="D131" s="500"/>
    </row>
    <row r="132" spans="1:4" ht="15" x14ac:dyDescent="0.25">
      <c r="A132" s="4"/>
      <c r="B132" s="47"/>
      <c r="C132" s="48" t="str">
        <f>IF(D132&lt;&gt;"","▪","")</f>
        <v>▪</v>
      </c>
      <c r="D132" s="500" t="s">
        <v>936</v>
      </c>
    </row>
    <row r="133" spans="1:4" ht="15" x14ac:dyDescent="0.25">
      <c r="A133" s="4"/>
      <c r="B133" s="47"/>
      <c r="C133" s="48" t="str">
        <f>IF(D133&lt;&gt;"","▪","")</f>
        <v>▪</v>
      </c>
      <c r="D133" s="500" t="s">
        <v>939</v>
      </c>
    </row>
    <row r="134" spans="1:4" ht="15" x14ac:dyDescent="0.25">
      <c r="A134" s="4"/>
      <c r="B134" s="47" t="s">
        <v>71</v>
      </c>
      <c r="C134" s="47"/>
      <c r="D134" s="500"/>
    </row>
    <row r="135" spans="1:4" ht="15" x14ac:dyDescent="0.25">
      <c r="A135" s="415"/>
      <c r="B135" s="47"/>
      <c r="C135" s="48" t="str">
        <f>IF(D135&lt;&gt;"","▪","")</f>
        <v>▪</v>
      </c>
      <c r="D135" s="500" t="s">
        <v>937</v>
      </c>
    </row>
    <row r="136" spans="1:4" ht="15" x14ac:dyDescent="0.25">
      <c r="A136" s="4"/>
      <c r="B136" s="47" t="s">
        <v>17</v>
      </c>
      <c r="C136" s="47"/>
      <c r="D136" s="500"/>
    </row>
    <row r="137" spans="1:4" ht="15" x14ac:dyDescent="0.2">
      <c r="A137" s="415"/>
      <c r="C137" s="48" t="str">
        <f>IF(D137&lt;&gt;"","▪","")</f>
        <v>▪</v>
      </c>
      <c r="D137" s="500" t="s">
        <v>935</v>
      </c>
    </row>
    <row r="138" spans="1:4" ht="15" x14ac:dyDescent="0.25">
      <c r="A138" s="419"/>
      <c r="B138" s="478"/>
      <c r="C138" s="478"/>
      <c r="D138" s="503"/>
    </row>
    <row r="139" spans="1:4" ht="18.75" x14ac:dyDescent="0.3">
      <c r="A139" s="603" t="s">
        <v>945</v>
      </c>
      <c r="B139" s="604"/>
      <c r="C139" s="604"/>
      <c r="D139" s="605"/>
    </row>
    <row r="140" spans="1:4" ht="15" x14ac:dyDescent="0.25">
      <c r="A140" s="4"/>
      <c r="B140" s="47" t="s">
        <v>40</v>
      </c>
      <c r="C140" s="47"/>
      <c r="D140" s="500"/>
    </row>
    <row r="141" spans="1:4" ht="25.5" x14ac:dyDescent="0.25">
      <c r="A141" s="4"/>
      <c r="B141" s="47"/>
      <c r="C141" s="48" t="str">
        <f>IF(D141&lt;&gt;"","▪","")</f>
        <v>▪</v>
      </c>
      <c r="D141" s="500" t="s">
        <v>951</v>
      </c>
    </row>
    <row r="142" spans="1:4" ht="15" x14ac:dyDescent="0.25">
      <c r="A142" s="4"/>
      <c r="B142" s="47" t="s">
        <v>23</v>
      </c>
      <c r="C142" s="47"/>
      <c r="D142" s="500"/>
    </row>
    <row r="143" spans="1:4" ht="15" x14ac:dyDescent="0.25">
      <c r="A143" s="415"/>
      <c r="B143" s="47"/>
      <c r="C143" s="48" t="str">
        <f>IF(D143&lt;&gt;"","▪","")</f>
        <v>▪</v>
      </c>
      <c r="D143" s="500" t="s">
        <v>946</v>
      </c>
    </row>
    <row r="144" spans="1:4" ht="15" x14ac:dyDescent="0.25">
      <c r="A144" s="4"/>
      <c r="B144" s="47" t="s">
        <v>11</v>
      </c>
      <c r="C144" s="47"/>
      <c r="D144" s="500"/>
    </row>
    <row r="145" spans="1:4" ht="15" x14ac:dyDescent="0.2">
      <c r="A145" s="415"/>
      <c r="C145" s="48" t="str">
        <f>IF(D145&lt;&gt;"","▪","")</f>
        <v>▪</v>
      </c>
      <c r="D145" s="500" t="s">
        <v>946</v>
      </c>
    </row>
    <row r="146" spans="1:4" ht="15" x14ac:dyDescent="0.25">
      <c r="A146" s="4"/>
      <c r="B146" s="47" t="s">
        <v>49</v>
      </c>
      <c r="C146" s="47"/>
      <c r="D146" s="500"/>
    </row>
    <row r="147" spans="1:4" ht="15" x14ac:dyDescent="0.2">
      <c r="A147" s="415"/>
      <c r="C147" s="48" t="str">
        <f>IF(D147&lt;&gt;"","▪","")</f>
        <v>▪</v>
      </c>
      <c r="D147" s="500" t="s">
        <v>947</v>
      </c>
    </row>
    <row r="148" spans="1:4" ht="15" x14ac:dyDescent="0.25">
      <c r="A148" s="4"/>
      <c r="B148" s="47" t="s">
        <v>20</v>
      </c>
      <c r="C148" s="47"/>
      <c r="D148" s="500"/>
    </row>
    <row r="149" spans="1:4" ht="15" x14ac:dyDescent="0.2">
      <c r="A149" s="415"/>
      <c r="C149" s="48" t="str">
        <f>IF(D149&lt;&gt;"","▪","")</f>
        <v>▪</v>
      </c>
      <c r="D149" s="500" t="s">
        <v>946</v>
      </c>
    </row>
    <row r="150" spans="1:4" ht="15" x14ac:dyDescent="0.25">
      <c r="A150" s="4"/>
      <c r="B150" s="47" t="s">
        <v>54</v>
      </c>
      <c r="C150" s="47"/>
      <c r="D150" s="500"/>
    </row>
    <row r="151" spans="1:4" ht="15" x14ac:dyDescent="0.2">
      <c r="A151" s="415"/>
      <c r="C151" s="48" t="str">
        <f>IF(D151&lt;&gt;"","▪","")</f>
        <v>▪</v>
      </c>
      <c r="D151" s="500" t="s">
        <v>949</v>
      </c>
    </row>
    <row r="152" spans="1:4" ht="15" x14ac:dyDescent="0.25">
      <c r="A152" s="4"/>
      <c r="B152" s="47" t="s">
        <v>71</v>
      </c>
      <c r="C152" s="47"/>
      <c r="D152" s="500"/>
    </row>
    <row r="153" spans="1:4" ht="15" x14ac:dyDescent="0.2">
      <c r="A153" s="415"/>
      <c r="C153" s="48" t="str">
        <f>IF(D153&lt;&gt;"","▪","")</f>
        <v>▪</v>
      </c>
      <c r="D153" s="500" t="s">
        <v>950</v>
      </c>
    </row>
    <row r="154" spans="1:4" ht="15" x14ac:dyDescent="0.25">
      <c r="A154" s="419"/>
      <c r="B154" s="478"/>
      <c r="C154" s="478"/>
      <c r="D154" s="503"/>
    </row>
  </sheetData>
  <sheetProtection algorithmName="SHA-512" hashValue="uOmpZIvhF8zQJGKcVLHu5VVQ1HxN86Xi60JySV6JWjQP1j0kRZY2SLy1K/nSqwFCNNb6VMSHYpJ9uCjUQH3QPA==" saltValue="zDVGsQsKuYE7GpUS8GsETQ==" spinCount="100000" sheet="1" objects="1" scenarios="1" autoFilter="0"/>
  <phoneticPr fontId="38" type="noConversion"/>
  <pageMargins left="0.78740157480314998" right="0.78740157480314998" top="0.78740157480314998" bottom="0.78740157480314998" header="5.7086614173228396" footer="0.59055118110236204"/>
  <pageSetup paperSize="9" firstPageNumber="0" orientation="portrait" horizontalDpi="300" verticalDpi="300" r:id="rId1"/>
  <headerFooter alignWithMargins="0">
    <oddHeader>&amp;L_</oddHeader>
    <oddFooter>&amp;LPMv3.12&amp;R&amp;P /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5"/>
      <c r="B1" s="405"/>
      <c r="C1" s="405"/>
      <c r="D1" s="405"/>
      <c r="E1" s="405"/>
      <c r="F1" s="405"/>
      <c r="G1" s="405"/>
      <c r="H1" s="405"/>
      <c r="I1" s="405"/>
      <c r="J1" s="492" t="s">
        <v>84</v>
      </c>
      <c r="K1" s="511" t="b">
        <v>1</v>
      </c>
    </row>
    <row r="2" spans="1:15" ht="22.5" customHeight="1" x14ac:dyDescent="0.2">
      <c r="A2" s="405"/>
      <c r="B2" s="407"/>
      <c r="C2" s="407"/>
      <c r="D2" s="407"/>
      <c r="E2" s="686" t="str">
        <f>CHOOSE(MATCH(Objeto,{"PM","PO"}),"PLANILHA MÚLTIPLA ","PLANILHA ORÇAMENTÁRIA ")&amp; Versao</f>
        <v>PLANILHA MÚLTIPLA v3.12</v>
      </c>
      <c r="F2" s="686"/>
      <c r="G2" s="686"/>
      <c r="H2" s="409"/>
      <c r="I2" s="407"/>
      <c r="J2" s="492" t="s">
        <v>948</v>
      </c>
      <c r="K2" s="511" t="b">
        <v>1</v>
      </c>
    </row>
    <row r="3" spans="1:15" ht="22.5" customHeight="1" x14ac:dyDescent="0.2">
      <c r="A3" s="405"/>
      <c r="B3" s="407"/>
      <c r="C3" s="407"/>
      <c r="D3" s="407"/>
      <c r="E3" s="686"/>
      <c r="F3" s="686"/>
      <c r="G3" s="686"/>
      <c r="H3" s="409"/>
      <c r="I3" s="407"/>
      <c r="O3" s="607">
        <v>1</v>
      </c>
    </row>
    <row r="4" spans="1:15" ht="17.100000000000001" customHeight="1" x14ac:dyDescent="0.2">
      <c r="A4" s="405"/>
      <c r="B4" s="407"/>
      <c r="C4" s="407"/>
      <c r="D4" s="407"/>
      <c r="E4" s="407"/>
      <c r="F4" s="408"/>
      <c r="G4" s="409"/>
      <c r="H4" s="409"/>
      <c r="I4" s="407"/>
      <c r="J4" s="152" t="str">
        <f>IF(VALUE(MENU!$O$4)=2,"BM","PLE")</f>
        <v>PLE</v>
      </c>
      <c r="O4" s="607">
        <v>1</v>
      </c>
    </row>
    <row r="5" spans="1:15" ht="17.100000000000001" customHeight="1" thickBot="1" x14ac:dyDescent="0.25">
      <c r="A5" s="405"/>
      <c r="B5" s="407"/>
      <c r="C5" s="407"/>
      <c r="D5" s="407"/>
      <c r="E5" s="407"/>
      <c r="F5" s="408"/>
      <c r="G5" s="409"/>
      <c r="H5" s="409"/>
      <c r="I5" s="407"/>
      <c r="J5" s="152" t="s">
        <v>85</v>
      </c>
    </row>
    <row r="6" spans="1:15" ht="21" customHeight="1" thickBot="1" x14ac:dyDescent="0.25">
      <c r="A6" s="405"/>
      <c r="B6" s="405"/>
      <c r="C6" s="405"/>
      <c r="D6" s="405"/>
      <c r="E6" s="510" t="s">
        <v>86</v>
      </c>
      <c r="F6" s="406"/>
      <c r="G6" s="510" t="s">
        <v>87</v>
      </c>
      <c r="H6" s="405"/>
      <c r="I6" s="405"/>
      <c r="J6" s="152" t="s">
        <v>88</v>
      </c>
    </row>
    <row r="7" spans="1:15" x14ac:dyDescent="0.2">
      <c r="A7" s="405"/>
      <c r="B7" s="405"/>
      <c r="C7" s="405"/>
      <c r="D7" s="405"/>
      <c r="E7" s="405"/>
      <c r="F7" s="405"/>
      <c r="G7" s="405"/>
      <c r="H7" s="405"/>
      <c r="I7" s="405"/>
      <c r="J7" s="152" t="s">
        <v>76</v>
      </c>
      <c r="K7" s="608"/>
      <c r="L7" s="609"/>
      <c r="M7" s="609"/>
      <c r="N7" s="610"/>
    </row>
    <row r="8" spans="1:15" ht="21" customHeight="1" x14ac:dyDescent="0.2">
      <c r="A8" s="407"/>
      <c r="B8" s="685" t="str">
        <f>IF($O$3&lt;&gt;2,"DOCUMENTAÇÃO DA PROPOSTA","PROPOSTA: Para visualizar/preencher esta seção, altere o TIPO DE ORÇAMENTO para 'Proposto'")</f>
        <v>DOCUMENTAÇÃO DA PROPOSTA</v>
      </c>
      <c r="C8" s="685"/>
      <c r="D8" s="685"/>
      <c r="E8" s="685"/>
      <c r="F8" s="685"/>
      <c r="G8" s="685"/>
      <c r="H8" s="685"/>
      <c r="I8" s="405"/>
      <c r="J8" s="152" t="s">
        <v>78</v>
      </c>
      <c r="K8" s="413"/>
      <c r="L8" s="414" t="s">
        <v>89</v>
      </c>
      <c r="M8" s="414"/>
      <c r="N8" s="415"/>
    </row>
    <row r="9" spans="1:15" ht="13.5" thickBot="1" x14ac:dyDescent="0.25">
      <c r="A9" s="405"/>
      <c r="B9" s="405"/>
      <c r="C9" s="405"/>
      <c r="D9" s="405"/>
      <c r="E9" s="405"/>
      <c r="F9" s="405"/>
      <c r="G9" s="405"/>
      <c r="H9" s="405"/>
      <c r="I9" s="405"/>
      <c r="K9" s="413"/>
      <c r="L9" t="s">
        <v>90</v>
      </c>
      <c r="N9" s="415"/>
    </row>
    <row r="10" spans="1:15" ht="21" customHeight="1" thickBot="1" x14ac:dyDescent="0.25">
      <c r="A10" s="405"/>
      <c r="B10" s="405"/>
      <c r="C10" s="479" t="str">
        <f>IF(TIPOORCAMENTO&lt;&gt;"Proposto","","                    BDI                    ")</f>
        <v xml:space="preserve">                    BDI                    </v>
      </c>
      <c r="D10" s="406"/>
      <c r="E10" s="479" t="str">
        <f>IF(TIPOORCAMENTO&lt;&gt;"Proposto","","             ORÇAMENTO             ")</f>
        <v xml:space="preserve">             ORÇAMENTO             </v>
      </c>
      <c r="F10" s="406"/>
      <c r="G10" s="481" t="str">
        <f>IF(TIPOORCAMENTO&lt;&gt;"Proposto","","MEMÓRIA DE CÁLCULO / PLQ")</f>
        <v>MEMÓRIA DE CÁLCULO / PLQ</v>
      </c>
      <c r="H10" s="405"/>
      <c r="I10" s="405"/>
      <c r="K10" s="413"/>
      <c r="L10" s="5"/>
      <c r="M10" s="3"/>
      <c r="N10" s="416" t="s">
        <v>91</v>
      </c>
    </row>
    <row r="11" spans="1:15" ht="13.5" thickBot="1" x14ac:dyDescent="0.25">
      <c r="A11" s="405"/>
      <c r="B11" s="405"/>
      <c r="C11" s="406"/>
      <c r="D11" s="406"/>
      <c r="E11" s="406"/>
      <c r="F11" s="406"/>
      <c r="G11" s="406"/>
      <c r="H11" s="405"/>
      <c r="I11" s="405"/>
      <c r="K11" s="413"/>
      <c r="N11" s="415"/>
    </row>
    <row r="12" spans="1:15" ht="21" customHeight="1" thickBot="1" x14ac:dyDescent="0.25">
      <c r="A12" s="405"/>
      <c r="B12" s="405"/>
      <c r="C12" s="479" t="str">
        <f>IF(TIPOORCAMENTO&lt;&gt;"Proposto","","                    QCI                    ")</f>
        <v xml:space="preserve">                    QCI                    </v>
      </c>
      <c r="D12" s="406"/>
      <c r="E12" s="480" t="str">
        <f>IF(TIPOORCAMENTO&lt;&gt;"Proposto","","CRONOGRAMA FÍSICO-FINANCEIRO")</f>
        <v>CRONOGRAMA FÍSICO-FINANCEIRO</v>
      </c>
      <c r="F12" s="406"/>
      <c r="G12" s="406"/>
      <c r="H12" s="405"/>
      <c r="I12" s="405"/>
      <c r="K12" s="413"/>
      <c r="L12" s="6"/>
      <c r="M12" s="3"/>
      <c r="N12" s="416" t="s">
        <v>92</v>
      </c>
    </row>
    <row r="13" spans="1:15" x14ac:dyDescent="0.2">
      <c r="A13" s="405"/>
      <c r="B13" s="405"/>
      <c r="C13" s="405"/>
      <c r="D13" s="405"/>
      <c r="E13" s="405"/>
      <c r="F13" s="405"/>
      <c r="G13" s="405"/>
      <c r="H13" s="405"/>
      <c r="I13" s="405"/>
      <c r="K13" s="413"/>
      <c r="N13" s="415"/>
    </row>
    <row r="14" spans="1:15" x14ac:dyDescent="0.2">
      <c r="A14" s="405"/>
      <c r="B14" s="405"/>
      <c r="C14" s="405" t="str">
        <f ca="1">IF(TIPOORCAMENTO&lt;&gt;"Proposto","","Obs: Composições e Cotações devem ser preenchidas diretamente no arquivo Referência "&amp;IF(ISBLANK(Import.DataBase),"mm-aaaa",TEXT(Import.DataBase,"mm-aaaa"))&amp;".xlsm.")</f>
        <v>Obs: Composições e Cotações devem ser preenchidas diretamente no arquivo Referência 07-2026.xlsm.</v>
      </c>
      <c r="D14" s="405"/>
      <c r="E14" s="405"/>
      <c r="F14" s="405"/>
      <c r="G14" s="405"/>
      <c r="H14" s="405"/>
      <c r="I14" s="405"/>
      <c r="K14" s="413"/>
      <c r="N14" s="415"/>
    </row>
    <row r="15" spans="1:15" x14ac:dyDescent="0.2">
      <c r="A15" s="405"/>
      <c r="B15" s="405"/>
      <c r="C15" s="405"/>
      <c r="D15" s="405"/>
      <c r="E15" s="405"/>
      <c r="F15" s="405"/>
      <c r="G15" s="405"/>
      <c r="H15" s="405"/>
      <c r="I15" s="405"/>
      <c r="K15" s="413"/>
      <c r="L15" t="s">
        <v>93</v>
      </c>
      <c r="N15" s="415"/>
    </row>
    <row r="16" spans="1:15" ht="21" customHeight="1" x14ac:dyDescent="0.2">
      <c r="A16" s="405"/>
      <c r="B16" s="685" t="str">
        <f>IF($O$3&lt;&gt;2,"PÓS-LICITADO: Para visualizar/preencher esta seção, altere o TIPO DE ORÇAMENTO para 'Licitado'","RESULTADO DO PROCESSO LICITATÓRIO")</f>
        <v>PÓS-LICITADO: Para visualizar/preencher esta seção, altere o TIPO DE ORÇAMENTO para 'Licitado'</v>
      </c>
      <c r="C16" s="685"/>
      <c r="D16" s="685"/>
      <c r="E16" s="685"/>
      <c r="F16" s="685"/>
      <c r="G16" s="685"/>
      <c r="H16" s="685"/>
      <c r="I16" s="405"/>
      <c r="K16" s="413"/>
      <c r="L16" s="482"/>
      <c r="M16" s="3"/>
      <c r="N16" s="416" t="s">
        <v>94</v>
      </c>
    </row>
    <row r="17" spans="1:14" ht="13.5" thickBot="1" x14ac:dyDescent="0.25">
      <c r="A17" s="405"/>
      <c r="B17" s="405"/>
      <c r="C17" s="405"/>
      <c r="D17" s="405"/>
      <c r="E17" s="405"/>
      <c r="F17" s="405"/>
      <c r="G17" s="405"/>
      <c r="H17" s="405"/>
      <c r="I17" s="405"/>
      <c r="K17" s="413"/>
      <c r="N17" s="415"/>
    </row>
    <row r="18" spans="1:14" ht="21" customHeight="1" thickBot="1" x14ac:dyDescent="0.25">
      <c r="A18" s="405"/>
      <c r="B18" s="405"/>
      <c r="C18" s="479" t="str">
        <f>IF(TIPOORCAMENTO&lt;&gt;"Licitado","","             ORÇAMENTO             ")</f>
        <v/>
      </c>
      <c r="D18" s="406"/>
      <c r="E18" s="479" t="str">
        <f>IF(TIPOORCAMENTO&lt;&gt;"Licitado","","                    QCI                    ")</f>
        <v/>
      </c>
      <c r="F18" s="406"/>
      <c r="G18" s="480" t="str">
        <f>IF(TIPOORCAMENTO&lt;&gt;"Licitado","","CRONOGRAMA FÍSICO-FINANCEIRO")</f>
        <v/>
      </c>
      <c r="H18" s="405"/>
      <c r="I18" s="405"/>
      <c r="K18" s="413"/>
      <c r="L18" s="410"/>
      <c r="M18" s="3"/>
      <c r="N18" s="416" t="s">
        <v>95</v>
      </c>
    </row>
    <row r="19" spans="1:14" x14ac:dyDescent="0.2">
      <c r="A19" s="405"/>
      <c r="B19" s="405"/>
      <c r="C19" s="405"/>
      <c r="D19" s="405"/>
      <c r="E19" s="405"/>
      <c r="F19" s="405"/>
      <c r="G19" s="405"/>
      <c r="H19" s="405"/>
      <c r="I19" s="405"/>
      <c r="K19" s="417"/>
      <c r="L19" s="418"/>
      <c r="M19" s="418"/>
      <c r="N19" s="419"/>
    </row>
    <row r="20" spans="1:14" ht="21" customHeight="1" x14ac:dyDescent="0.2">
      <c r="A20" s="407"/>
      <c r="B20" s="685" t="str">
        <f>IF($O$3&lt;&gt;2,"ACOMPANHAMENTO: Para visualizar/preencher esta seção, altere o TIPO DE ORÇAMENTO para 'Licitado'","ACOMPANHAMENTO DO EMPREENDIMENTO")</f>
        <v>ACOMPANHAMENTO: Para visualizar/preencher esta seção, altere o TIPO DE ORÇAMENTO para 'Licitado'</v>
      </c>
      <c r="C20" s="685"/>
      <c r="D20" s="685"/>
      <c r="E20" s="685"/>
      <c r="F20" s="685"/>
      <c r="G20" s="685"/>
      <c r="H20" s="685"/>
      <c r="I20" s="405"/>
    </row>
    <row r="21" spans="1:14" ht="13.5" thickBot="1" x14ac:dyDescent="0.25">
      <c r="A21" s="405"/>
      <c r="B21" s="405"/>
      <c r="C21" s="405"/>
      <c r="D21" s="405"/>
      <c r="E21" s="405"/>
      <c r="F21" s="405"/>
      <c r="G21" s="405"/>
      <c r="H21" s="405"/>
      <c r="I21" s="405"/>
    </row>
    <row r="22" spans="1:14" ht="21" customHeight="1" thickBot="1" x14ac:dyDescent="0.25">
      <c r="A22" s="405"/>
      <c r="B22" s="405"/>
      <c r="C22" s="483" t="str" cm="1">
        <f t="array" ref="C22">IF(OR(_xlfn.SINGLE(TIPOORCAMENTO)&lt;&gt;"Licitado",ACOMPANHAMENTO&lt;&gt;"PLE"),"","PLAN. DE LEVANT. DE EVENTOS - PLE")</f>
        <v/>
      </c>
      <c r="D22" s="406"/>
      <c r="E22" s="479" t="str">
        <f>IF(TIPOORCAMENTO&lt;&gt;"Licitado","","                    RRE                    ")</f>
        <v/>
      </c>
      <c r="F22" s="406"/>
      <c r="G22" s="481" t="str" cm="1">
        <f t="array" ref="G22">IF(OR(_xlfn.SINGLE(TIPOORCAMENTO)&lt;&gt;"Licitado",ACOMPANHAMENTO&lt;&gt;"BM"),"","  BOLETIM DE MEDIÇÃO - BM  ")</f>
        <v/>
      </c>
      <c r="H22" s="405"/>
      <c r="I22" s="405"/>
    </row>
    <row r="23" spans="1:14" ht="13.5" thickBot="1" x14ac:dyDescent="0.25">
      <c r="A23" s="405"/>
      <c r="B23" s="405"/>
      <c r="C23" s="406"/>
      <c r="D23" s="406"/>
      <c r="E23" s="406"/>
      <c r="F23" s="406"/>
      <c r="G23" s="406"/>
      <c r="H23" s="405"/>
      <c r="I23" s="405"/>
    </row>
    <row r="24" spans="1:14" ht="21" customHeight="1" thickBot="1" x14ac:dyDescent="0.25">
      <c r="A24" s="405"/>
      <c r="B24" s="405"/>
      <c r="C24" s="406"/>
      <c r="D24" s="406"/>
      <c r="E24" s="483" t="str">
        <f>IF(TIPOORCAMENTO&lt;&gt;"Licitado","","OF. DE SOLICITAÇÃO DE DESBLOQUEIO")</f>
        <v/>
      </c>
      <c r="F24" s="406"/>
      <c r="G24" s="406"/>
      <c r="H24" s="405"/>
      <c r="I24" s="405"/>
    </row>
    <row r="25" spans="1:14" x14ac:dyDescent="0.2">
      <c r="A25" s="405"/>
      <c r="B25" s="405"/>
      <c r="C25" s="405"/>
      <c r="D25" s="405"/>
      <c r="E25" s="405"/>
      <c r="F25" s="405"/>
      <c r="G25" s="405"/>
      <c r="H25" s="405"/>
      <c r="I25" s="405"/>
    </row>
  </sheetData>
  <sheetProtection algorithmName="SHA-512" hashValue="fSk1Qe5GMZLAcyMB2ahDBDWid12mpn0DC/XT+7oEwhLM1fu1NepmUAsFxGXafqA1x+zvV9bLlNpFqeKh3slwjA==" saltValue="d/XU+nn4zdIvlTaSaZc3ew==" spinCount="100000" sheet="1" objects="1" scenarios="1" autoFilter="0"/>
  <mergeCells count="4">
    <mergeCell ref="B20:H20"/>
    <mergeCell ref="B8:H8"/>
    <mergeCell ref="E2:G3"/>
    <mergeCell ref="B16:H16"/>
  </mergeCells>
  <phoneticPr fontId="38" type="noConversion"/>
  <conditionalFormatting sqref="C10:G14">
    <cfRule type="expression" dxfId="848" priority="70" stopIfTrue="1">
      <formula>TIPOORCAMENTO="Licitado"</formula>
    </cfRule>
  </conditionalFormatting>
  <conditionalFormatting sqref="C18:G18 E22:E24">
    <cfRule type="expression" dxfId="847" priority="71" stopIfTrue="1">
      <formula>TIPOORCAMENTO&lt;&gt;"Licitado"</formula>
    </cfRule>
  </conditionalFormatting>
  <conditionalFormatting sqref="C22">
    <cfRule type="expression" dxfId="846" priority="73" stopIfTrue="1">
      <formula>OR(TIPOORCAMENTO&lt;&gt;"Licitado",ACOMPANHAMENTO&lt;&gt;"PLE")</formula>
    </cfRule>
  </conditionalFormatting>
  <conditionalFormatting sqref="G22">
    <cfRule type="expression" dxfId="845" priority="74" stopIfTrue="1">
      <formula>OR(TIPOORCAMENTO&lt;&gt;"Licitado",ACOMPANHAMENTO&lt;&gt;"BM")</formula>
    </cfRule>
  </conditionalFormatting>
  <conditionalFormatting sqref="B16:H16 B20:H20">
    <cfRule type="expression" dxfId="844" priority="599" stopIfTrue="1">
      <formula>$O$3&lt;&gt;2</formula>
    </cfRule>
  </conditionalFormatting>
  <conditionalFormatting sqref="B8:H8">
    <cfRule type="expression" dxfId="843" priority="601" stopIfTrue="1">
      <formula>$O$3&lt;&gt;1</formula>
    </cfRule>
  </conditionalFormatting>
  <hyperlinks>
    <hyperlink ref="E6" location="DADOS!E3" display="DADOS DO CONTRATO" xr:uid="{00000000-0004-0000-0100-000000000000}"/>
    <hyperlink ref="G6" location="Novo!A1" display="NOVIDADES DA VERSÃO" xr:uid="{00000000-0004-0000-0100-000001000000}"/>
    <hyperlink ref="C10" location="BDI!Q11" display="BDI!Q11" xr:uid="{00000000-0004-0000-0100-000002000000}"/>
    <hyperlink ref="E10" location="ORÇAMENTO!M13" display="ORÇAMENTO" xr:uid="{00000000-0004-0000-0100-000003000000}"/>
    <hyperlink ref="G10" location="CÁLCULO!D13" display="MEMÓRIA DE CÁLCULO / PLQ" xr:uid="{00000000-0004-0000-0100-000004000000}"/>
    <hyperlink ref="E12" location="CRONO!G12" display="CRONOGRAMA FÍSICO-FINANCEIRO" xr:uid="{00000000-0004-0000-0100-000005000000}"/>
    <hyperlink ref="C18" location="ORÇAMENTO!AM15" display="             ORÇAMENTO             " xr:uid="{00000000-0004-0000-0100-000006000000}"/>
    <hyperlink ref="E18" location="QCI!D13" display="                    QCI                    " xr:uid="{00000000-0004-0000-0100-000007000000}"/>
    <hyperlink ref="G18" location="CRONO!G12" display="CRONOGRAMA FÍSICO-FINANCEIRO" xr:uid="{00000000-0004-0000-0100-000008000000}"/>
    <hyperlink ref="E22" location="RRE!E13" display="                    RRE                    " xr:uid="{00000000-0004-0000-0100-000009000000}"/>
    <hyperlink ref="G22" location="BM!D13" display="BM!D13" xr:uid="{00000000-0004-0000-0100-00000A000000}"/>
    <hyperlink ref="E24" location="Ofício!C6" display="OF. DE SOLICITAÇÃO DE DESBLOQUEIO" xr:uid="{00000000-0004-0000-0100-00000B000000}"/>
    <hyperlink ref="C12" location="QCI!D13" display="QCI!D13" xr:uid="{00000000-0004-0000-0100-00000C000000}"/>
    <hyperlink ref="C22" location="PLE!J8" display="PLAN. DE LEVANT. DE EVENTOS - PLE" xr:uid="{00000000-0004-0000-0100-00000D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&amp;LPMv3.12&amp;R&amp;P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2">
    <pageSetUpPr fitToPage="1"/>
  </sheetPr>
  <dimension ref="B1:AR222"/>
  <sheetViews>
    <sheetView showGridLines="0" zoomScaleNormal="100" workbookViewId="0">
      <pane ySplit="2" topLeftCell="A3" activePane="bottomLeft" state="frozen"/>
      <selection pane="bottomLeft"/>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7" width="14.42578125" hidden="1" customWidth="1"/>
    <col min="8" max="10" width="9.140625" hidden="1" customWidth="1"/>
    <col min="11" max="11" width="9.140625" style="7" hidden="1" customWidth="1"/>
    <col min="12" max="43" width="9.140625" hidden="1" customWidth="1"/>
    <col min="44" max="44" width="15.5703125" hidden="1" customWidth="1"/>
    <col min="45" max="45" width="9.140625" customWidth="1"/>
  </cols>
  <sheetData>
    <row r="1" spans="2:44" ht="15.75" customHeight="1" x14ac:dyDescent="0.25">
      <c r="B1" s="8" t="s">
        <v>96</v>
      </c>
      <c r="C1" s="565"/>
      <c r="D1" s="522"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H1" s="611"/>
      <c r="I1" s="688" t="s">
        <v>97</v>
      </c>
      <c r="J1" s="688"/>
      <c r="K1" s="688"/>
      <c r="L1" s="688"/>
      <c r="M1" s="688"/>
      <c r="N1" s="688"/>
      <c r="O1" s="688"/>
      <c r="P1" s="688"/>
      <c r="Q1" s="688"/>
      <c r="R1" s="688"/>
      <c r="S1" s="688"/>
      <c r="T1" s="688"/>
      <c r="U1" s="688"/>
      <c r="V1" s="688"/>
      <c r="W1" s="688"/>
      <c r="X1" s="688"/>
      <c r="Y1" s="688"/>
      <c r="Z1" s="688"/>
      <c r="AA1" s="688"/>
      <c r="AB1" s="688"/>
      <c r="AC1" s="688"/>
      <c r="AD1" s="688"/>
      <c r="AE1" s="688"/>
      <c r="AF1" s="688"/>
      <c r="AG1" s="688"/>
      <c r="AH1" s="688"/>
      <c r="AI1" s="688"/>
      <c r="AJ1" s="688"/>
      <c r="AK1" s="688"/>
      <c r="AL1" s="688"/>
      <c r="AM1" s="688"/>
      <c r="AN1" s="688"/>
      <c r="AO1" s="688"/>
      <c r="AQ1" s="612" t="s">
        <v>98</v>
      </c>
      <c r="AR1" s="613"/>
    </row>
    <row r="2" spans="2:44" ht="12.75" customHeight="1" thickBot="1" x14ac:dyDescent="0.25">
      <c r="B2" s="8"/>
      <c r="G2" s="9" t="s">
        <v>99</v>
      </c>
      <c r="H2" s="10" t="s">
        <v>100</v>
      </c>
      <c r="I2" s="11">
        <f>COUNTA(H:H)-1</f>
        <v>3</v>
      </c>
      <c r="J2" s="10" t="s">
        <v>101</v>
      </c>
      <c r="K2" s="11">
        <f>COUNTA(J:J)-1</f>
        <v>6</v>
      </c>
      <c r="L2" s="10" t="s">
        <v>102</v>
      </c>
      <c r="M2" s="11">
        <f>COUNTA(L:L)-1</f>
        <v>6</v>
      </c>
      <c r="N2" s="10" t="s">
        <v>103</v>
      </c>
      <c r="O2" s="11">
        <f>COUNTA(N:N)-1</f>
        <v>6</v>
      </c>
      <c r="P2" s="10" t="s">
        <v>104</v>
      </c>
      <c r="Q2" s="11">
        <f>COUNTA(P:P)-1</f>
        <v>11</v>
      </c>
      <c r="R2" s="10" t="s">
        <v>105</v>
      </c>
      <c r="S2" s="11">
        <f>COUNTA(R:R)-1</f>
        <v>8</v>
      </c>
      <c r="T2" s="10" t="s">
        <v>106</v>
      </c>
      <c r="U2" s="11">
        <f>COUNTA(T:T)-1</f>
        <v>4</v>
      </c>
      <c r="V2" s="10" t="s">
        <v>107</v>
      </c>
      <c r="W2" s="11">
        <f>COUNTA(V:V)-1</f>
        <v>6</v>
      </c>
      <c r="X2" s="10" t="s">
        <v>108</v>
      </c>
      <c r="Y2" s="11">
        <f>COUNTA(X:X)-1</f>
        <v>2</v>
      </c>
      <c r="Z2" s="10" t="s">
        <v>109</v>
      </c>
      <c r="AA2" s="11">
        <f>COUNTA(Z:Z)-1</f>
        <v>2</v>
      </c>
      <c r="AB2" s="10" t="s">
        <v>110</v>
      </c>
      <c r="AC2" s="11">
        <f>COUNTA(AB:AB)-1</f>
        <v>2</v>
      </c>
      <c r="AD2" s="10" t="s">
        <v>111</v>
      </c>
      <c r="AE2" s="11">
        <f>COUNTA(AD:AD)-1</f>
        <v>1</v>
      </c>
      <c r="AF2" s="10" t="s">
        <v>112</v>
      </c>
      <c r="AG2" s="11">
        <f>COUNTA(AF:AF)-1</f>
        <v>1</v>
      </c>
      <c r="AH2" s="10" t="s">
        <v>113</v>
      </c>
      <c r="AI2" s="11">
        <f>COUNTA(AH:AH)-1</f>
        <v>1</v>
      </c>
      <c r="AJ2" s="10" t="s">
        <v>114</v>
      </c>
      <c r="AK2" s="11">
        <f>COUNTA(AJ:AJ)-1</f>
        <v>3</v>
      </c>
      <c r="AL2" s="10" t="s">
        <v>115</v>
      </c>
      <c r="AM2" s="11">
        <f>COUNTA(AL:AL)-1</f>
        <v>1</v>
      </c>
      <c r="AN2" s="10" t="s">
        <v>116</v>
      </c>
      <c r="AO2" s="11">
        <f>COUNTA(AN:AN)-1</f>
        <v>4</v>
      </c>
      <c r="AQ2" s="520" t="s">
        <v>117</v>
      </c>
      <c r="AR2" s="84" t="s">
        <v>118</v>
      </c>
    </row>
    <row r="3" spans="2:44" ht="15.75" thickBot="1" x14ac:dyDescent="0.3">
      <c r="B3" s="687" t="s">
        <v>119</v>
      </c>
      <c r="C3" s="687"/>
      <c r="D3" s="563" t="str">
        <f ca="1">IF(COUNTIF(D4:D13,"◄")=0,"","Falta preencher a linha "&amp;MATCH("◄",D4:D13,0)+ROW(D3))</f>
        <v/>
      </c>
      <c r="G3" s="12" t="s">
        <v>100</v>
      </c>
      <c r="H3" t="s">
        <v>120</v>
      </c>
      <c r="I3" s="7" t="s">
        <v>121</v>
      </c>
      <c r="J3" s="12" t="s">
        <v>122</v>
      </c>
      <c r="K3" s="7" t="s">
        <v>123</v>
      </c>
      <c r="L3" t="s">
        <v>124</v>
      </c>
      <c r="M3" s="7" t="s">
        <v>123</v>
      </c>
      <c r="N3" t="s">
        <v>125</v>
      </c>
      <c r="O3" s="7" t="s">
        <v>126</v>
      </c>
      <c r="P3" t="s">
        <v>127</v>
      </c>
      <c r="Q3" s="7" t="s">
        <v>128</v>
      </c>
      <c r="R3" t="s">
        <v>129</v>
      </c>
      <c r="S3" s="7" t="s">
        <v>121</v>
      </c>
      <c r="T3" t="s">
        <v>130</v>
      </c>
      <c r="U3" s="7" t="s">
        <v>121</v>
      </c>
      <c r="V3" t="s">
        <v>131</v>
      </c>
      <c r="W3" s="7" t="s">
        <v>121</v>
      </c>
      <c r="X3" t="s">
        <v>132</v>
      </c>
      <c r="Y3" s="7" t="s">
        <v>123</v>
      </c>
      <c r="Z3" t="s">
        <v>133</v>
      </c>
      <c r="AA3" s="7" t="s">
        <v>123</v>
      </c>
      <c r="AB3" t="s">
        <v>110</v>
      </c>
      <c r="AC3" s="7" t="s">
        <v>123</v>
      </c>
      <c r="AD3" t="s">
        <v>111</v>
      </c>
      <c r="AE3" s="7" t="s">
        <v>121</v>
      </c>
      <c r="AF3" t="s">
        <v>112</v>
      </c>
      <c r="AG3" s="7" t="s">
        <v>121</v>
      </c>
      <c r="AH3" t="s">
        <v>113</v>
      </c>
      <c r="AI3" s="7" t="s">
        <v>121</v>
      </c>
      <c r="AJ3" t="s">
        <v>134</v>
      </c>
      <c r="AK3" s="7" t="s">
        <v>121</v>
      </c>
      <c r="AL3" t="s">
        <v>115</v>
      </c>
      <c r="AM3" s="7" t="s">
        <v>135</v>
      </c>
      <c r="AN3" t="s">
        <v>136</v>
      </c>
      <c r="AO3" s="7" t="s">
        <v>137</v>
      </c>
      <c r="AQ3" t="s">
        <v>135</v>
      </c>
      <c r="AR3" t="s">
        <v>135</v>
      </c>
    </row>
    <row r="4" spans="2:44" x14ac:dyDescent="0.2">
      <c r="B4" s="13" t="s">
        <v>138</v>
      </c>
      <c r="C4" s="14" t="s">
        <v>952</v>
      </c>
      <c r="D4" s="564" t="str">
        <f ca="1">IF(OR(OFFSET(D4,0,-1)="",OFFSET(D4,0,-1)="(SELECIONAR)"),"◄","")</f>
        <v/>
      </c>
      <c r="G4" s="12" t="s">
        <v>101</v>
      </c>
      <c r="H4" t="s">
        <v>140</v>
      </c>
      <c r="I4" s="7" t="s">
        <v>121</v>
      </c>
      <c r="J4" t="s">
        <v>141</v>
      </c>
      <c r="K4" s="7" t="s">
        <v>123</v>
      </c>
      <c r="L4" t="s">
        <v>142</v>
      </c>
      <c r="M4" s="7" t="s">
        <v>123</v>
      </c>
      <c r="N4" t="s">
        <v>143</v>
      </c>
      <c r="O4" s="7" t="s">
        <v>126</v>
      </c>
      <c r="P4" t="s">
        <v>144</v>
      </c>
      <c r="Q4" s="7" t="s">
        <v>128</v>
      </c>
      <c r="R4" t="s">
        <v>145</v>
      </c>
      <c r="S4" s="7" t="s">
        <v>126</v>
      </c>
      <c r="T4" t="s">
        <v>146</v>
      </c>
      <c r="U4" s="7" t="s">
        <v>121</v>
      </c>
      <c r="V4" t="s">
        <v>147</v>
      </c>
      <c r="W4" s="7" t="s">
        <v>148</v>
      </c>
      <c r="X4" t="s">
        <v>149</v>
      </c>
      <c r="Y4" s="7" t="s">
        <v>123</v>
      </c>
      <c r="Z4" t="s">
        <v>150</v>
      </c>
      <c r="AA4" s="7" t="s">
        <v>123</v>
      </c>
      <c r="AB4" t="s">
        <v>151</v>
      </c>
      <c r="AC4" s="7" t="s">
        <v>123</v>
      </c>
      <c r="AE4" s="7"/>
      <c r="AG4" s="7"/>
      <c r="AI4" s="7"/>
      <c r="AJ4" t="s">
        <v>152</v>
      </c>
      <c r="AK4" s="7" t="s">
        <v>121</v>
      </c>
      <c r="AN4" t="s">
        <v>153</v>
      </c>
      <c r="AO4" s="7" t="s">
        <v>137</v>
      </c>
      <c r="AQ4" t="s">
        <v>154</v>
      </c>
      <c r="AR4" t="s">
        <v>155</v>
      </c>
    </row>
    <row r="5" spans="2:44" x14ac:dyDescent="0.2">
      <c r="B5" s="15" t="s">
        <v>156</v>
      </c>
      <c r="C5" s="16" t="s">
        <v>983</v>
      </c>
      <c r="D5" s="564" t="str">
        <f t="shared" ref="D5:D11" ca="1" si="0">IF(OFFSET(D5,0,-1)="","◄","")</f>
        <v/>
      </c>
      <c r="G5" s="12" t="s">
        <v>102</v>
      </c>
      <c r="H5" t="s">
        <v>157</v>
      </c>
      <c r="I5" s="7" t="s">
        <v>121</v>
      </c>
      <c r="J5" t="s">
        <v>158</v>
      </c>
      <c r="K5" s="7" t="s">
        <v>123</v>
      </c>
      <c r="L5" t="s">
        <v>159</v>
      </c>
      <c r="M5" s="7" t="s">
        <v>126</v>
      </c>
      <c r="N5" t="s">
        <v>160</v>
      </c>
      <c r="O5" s="7" t="s">
        <v>126</v>
      </c>
      <c r="P5" t="s">
        <v>161</v>
      </c>
      <c r="Q5" s="7" t="s">
        <v>128</v>
      </c>
      <c r="R5" t="s">
        <v>162</v>
      </c>
      <c r="S5" s="7" t="s">
        <v>126</v>
      </c>
      <c r="T5" t="s">
        <v>163</v>
      </c>
      <c r="U5" s="7" t="s">
        <v>126</v>
      </c>
      <c r="V5" t="s">
        <v>164</v>
      </c>
      <c r="W5" s="7" t="s">
        <v>148</v>
      </c>
      <c r="Y5" s="7"/>
      <c r="AA5" s="7"/>
      <c r="AC5" s="7"/>
      <c r="AE5" s="7"/>
      <c r="AG5" s="7"/>
      <c r="AI5" s="7"/>
      <c r="AJ5" t="s">
        <v>165</v>
      </c>
      <c r="AK5" s="7" t="s">
        <v>121</v>
      </c>
      <c r="AN5" t="s">
        <v>166</v>
      </c>
      <c r="AO5" s="7" t="s">
        <v>137</v>
      </c>
      <c r="AQ5" t="s">
        <v>167</v>
      </c>
      <c r="AR5" t="s">
        <v>168</v>
      </c>
    </row>
    <row r="6" spans="2:44" x14ac:dyDescent="0.2">
      <c r="B6" s="15" t="s">
        <v>169</v>
      </c>
      <c r="C6" s="16" t="s">
        <v>984</v>
      </c>
      <c r="D6" s="564" t="str">
        <f t="shared" ca="1" si="0"/>
        <v/>
      </c>
      <c r="G6" s="12" t="s">
        <v>103</v>
      </c>
      <c r="J6" t="s">
        <v>170</v>
      </c>
      <c r="K6" s="7" t="s">
        <v>123</v>
      </c>
      <c r="L6" t="s">
        <v>171</v>
      </c>
      <c r="M6" s="7" t="s">
        <v>123</v>
      </c>
      <c r="N6" t="s">
        <v>172</v>
      </c>
      <c r="O6" s="7" t="s">
        <v>123</v>
      </c>
      <c r="P6" t="s">
        <v>173</v>
      </c>
      <c r="Q6" s="7" t="s">
        <v>126</v>
      </c>
      <c r="R6" t="s">
        <v>174</v>
      </c>
      <c r="S6" s="7" t="s">
        <v>126</v>
      </c>
      <c r="T6" t="s">
        <v>175</v>
      </c>
      <c r="U6" s="7" t="s">
        <v>126</v>
      </c>
      <c r="V6" t="s">
        <v>176</v>
      </c>
      <c r="W6" s="7" t="s">
        <v>121</v>
      </c>
      <c r="AN6" t="s">
        <v>177</v>
      </c>
      <c r="AO6" s="7" t="s">
        <v>137</v>
      </c>
      <c r="AQ6" t="s">
        <v>178</v>
      </c>
      <c r="AR6" t="s">
        <v>179</v>
      </c>
    </row>
    <row r="7" spans="2:44" x14ac:dyDescent="0.2">
      <c r="B7" s="17" t="s">
        <v>180</v>
      </c>
      <c r="C7" s="18" t="s">
        <v>954</v>
      </c>
      <c r="D7" s="564" t="str">
        <f t="shared" ca="1" si="0"/>
        <v/>
      </c>
      <c r="G7" s="12" t="s">
        <v>104</v>
      </c>
      <c r="J7" t="s">
        <v>181</v>
      </c>
      <c r="K7" s="7" t="s">
        <v>123</v>
      </c>
      <c r="L7" t="s">
        <v>182</v>
      </c>
      <c r="M7" s="7" t="s">
        <v>123</v>
      </c>
      <c r="N7" t="s">
        <v>183</v>
      </c>
      <c r="O7" s="7" t="s">
        <v>148</v>
      </c>
      <c r="P7" t="s">
        <v>184</v>
      </c>
      <c r="Q7" s="7" t="s">
        <v>128</v>
      </c>
      <c r="R7" t="s">
        <v>185</v>
      </c>
      <c r="S7" s="7" t="s">
        <v>128</v>
      </c>
      <c r="V7" t="s">
        <v>186</v>
      </c>
      <c r="W7" s="7" t="s">
        <v>121</v>
      </c>
      <c r="AQ7" t="s">
        <v>187</v>
      </c>
      <c r="AR7" t="s">
        <v>188</v>
      </c>
    </row>
    <row r="8" spans="2:44" x14ac:dyDescent="0.2">
      <c r="B8" s="17" t="s">
        <v>189</v>
      </c>
      <c r="C8" s="18" t="s">
        <v>954</v>
      </c>
      <c r="D8" s="564" t="str">
        <f ca="1">IF(AND(Import.TipoArredondamento="TransfereGOV",OFFSET(D8,0,-1)=""),"◄","")</f>
        <v/>
      </c>
      <c r="G8" s="12" t="s">
        <v>105</v>
      </c>
      <c r="J8" t="s">
        <v>190</v>
      </c>
      <c r="K8" s="7" t="s">
        <v>123</v>
      </c>
      <c r="L8" t="s">
        <v>191</v>
      </c>
      <c r="M8" s="7" t="s">
        <v>123</v>
      </c>
      <c r="N8" t="s">
        <v>192</v>
      </c>
      <c r="O8" s="7" t="s">
        <v>128</v>
      </c>
      <c r="P8" t="s">
        <v>193</v>
      </c>
      <c r="Q8" s="7" t="s">
        <v>128</v>
      </c>
      <c r="R8" t="s">
        <v>194</v>
      </c>
      <c r="S8" s="7" t="s">
        <v>128</v>
      </c>
      <c r="V8" t="s">
        <v>195</v>
      </c>
      <c r="W8" s="7" t="s">
        <v>123</v>
      </c>
      <c r="AQ8" t="s">
        <v>196</v>
      </c>
      <c r="AR8" t="s">
        <v>197</v>
      </c>
    </row>
    <row r="9" spans="2:44" x14ac:dyDescent="0.2">
      <c r="B9" s="17" t="str">
        <f>IF(C4="FGTS","Valor de Financiamento Contratado (R$):","Valor do Repasse Contratado (R$):")</f>
        <v>Valor do Repasse Contratado (R$):</v>
      </c>
      <c r="C9" s="19">
        <v>0</v>
      </c>
      <c r="D9" s="564" t="str">
        <f t="shared" ca="1" si="0"/>
        <v/>
      </c>
      <c r="G9" s="12" t="s">
        <v>106</v>
      </c>
      <c r="P9" t="s">
        <v>198</v>
      </c>
      <c r="Q9" s="7" t="s">
        <v>126</v>
      </c>
      <c r="R9" t="s">
        <v>199</v>
      </c>
      <c r="S9" s="7" t="s">
        <v>128</v>
      </c>
      <c r="AQ9" t="s">
        <v>200</v>
      </c>
      <c r="AR9" t="s">
        <v>201</v>
      </c>
    </row>
    <row r="10" spans="2:44" x14ac:dyDescent="0.2">
      <c r="B10" s="17" t="s">
        <v>202</v>
      </c>
      <c r="C10" s="19">
        <v>0</v>
      </c>
      <c r="D10" s="564" t="str">
        <f t="shared" ca="1" si="0"/>
        <v/>
      </c>
      <c r="G10" s="12" t="s">
        <v>107</v>
      </c>
      <c r="P10" t="s">
        <v>203</v>
      </c>
      <c r="Q10" s="7" t="s">
        <v>148</v>
      </c>
      <c r="R10" t="s">
        <v>204</v>
      </c>
      <c r="S10" s="7" t="s">
        <v>121</v>
      </c>
      <c r="AQ10" t="s">
        <v>205</v>
      </c>
      <c r="AR10" t="s">
        <v>206</v>
      </c>
    </row>
    <row r="11" spans="2:44" x14ac:dyDescent="0.2">
      <c r="B11" s="17" t="s">
        <v>207</v>
      </c>
      <c r="C11" s="20">
        <v>0</v>
      </c>
      <c r="D11" s="564" t="str">
        <f t="shared" ca="1" si="0"/>
        <v/>
      </c>
      <c r="G11" s="12" t="s">
        <v>108</v>
      </c>
      <c r="P11" t="s">
        <v>208</v>
      </c>
      <c r="Q11" s="7" t="s">
        <v>126</v>
      </c>
      <c r="AQ11" t="s">
        <v>209</v>
      </c>
      <c r="AR11" t="s">
        <v>210</v>
      </c>
    </row>
    <row r="12" spans="2:44" x14ac:dyDescent="0.2">
      <c r="B12" s="17" t="s">
        <v>211</v>
      </c>
      <c r="C12" s="19"/>
      <c r="G12" s="12" t="s">
        <v>109</v>
      </c>
      <c r="P12" t="s">
        <v>129</v>
      </c>
      <c r="Q12" s="7" t="s">
        <v>121</v>
      </c>
      <c r="AQ12" t="s">
        <v>212</v>
      </c>
      <c r="AR12" t="s">
        <v>213</v>
      </c>
    </row>
    <row r="13" spans="2:44" ht="13.5" thickBot="1" x14ac:dyDescent="0.25">
      <c r="B13" s="21" t="s">
        <v>214</v>
      </c>
      <c r="C13" s="22"/>
      <c r="G13" s="12" t="s">
        <v>110</v>
      </c>
      <c r="P13" t="s">
        <v>215</v>
      </c>
      <c r="Q13" s="7" t="s">
        <v>126</v>
      </c>
      <c r="AQ13" t="s">
        <v>216</v>
      </c>
      <c r="AR13" t="s">
        <v>217</v>
      </c>
    </row>
    <row r="14" spans="2:44" ht="13.5" thickBot="1" x14ac:dyDescent="0.25">
      <c r="C14" s="23"/>
      <c r="G14" s="12" t="s">
        <v>111</v>
      </c>
      <c r="AQ14" t="s">
        <v>218</v>
      </c>
      <c r="AR14" t="s">
        <v>219</v>
      </c>
    </row>
    <row r="15" spans="2:44" ht="15.75" thickBot="1" x14ac:dyDescent="0.3">
      <c r="B15" s="687" t="s">
        <v>220</v>
      </c>
      <c r="C15" s="687"/>
      <c r="D15" s="563" t="str">
        <f ca="1">IF(COUNTIF(D16:D19,"◄")=0,"","Falta preencher a linha "&amp;MATCH("◄",D16:D19,0)+ROW(D15))</f>
        <v/>
      </c>
      <c r="G15" s="12" t="s">
        <v>112</v>
      </c>
      <c r="AQ15" t="s">
        <v>221</v>
      </c>
      <c r="AR15" t="s">
        <v>222</v>
      </c>
    </row>
    <row r="16" spans="2:44" x14ac:dyDescent="0.2">
      <c r="B16" s="24" t="s">
        <v>223</v>
      </c>
      <c r="C16" s="25" t="s">
        <v>961</v>
      </c>
      <c r="D16" s="564" t="str">
        <f t="shared" ref="D16:D19" ca="1" si="1">IF(OFFSET(D16,0,-1)="","◄","")</f>
        <v/>
      </c>
      <c r="G16" s="12" t="s">
        <v>113</v>
      </c>
      <c r="AQ16" t="s">
        <v>224</v>
      </c>
      <c r="AR16" t="s">
        <v>225</v>
      </c>
    </row>
    <row r="17" spans="2:44" x14ac:dyDescent="0.2">
      <c r="B17" s="17" t="s">
        <v>226</v>
      </c>
      <c r="C17" s="26" t="s">
        <v>961</v>
      </c>
      <c r="D17" s="564" t="str">
        <f t="shared" ca="1" si="1"/>
        <v/>
      </c>
      <c r="G17" s="12" t="s">
        <v>114</v>
      </c>
      <c r="AQ17" t="s">
        <v>227</v>
      </c>
      <c r="AR17" t="s">
        <v>228</v>
      </c>
    </row>
    <row r="18" spans="2:44" x14ac:dyDescent="0.2">
      <c r="B18" s="17" t="s">
        <v>229</v>
      </c>
      <c r="C18" s="27" t="s">
        <v>953</v>
      </c>
      <c r="D18" s="564" t="str">
        <f ca="1">IF(OR(OFFSET(D18,0,-1)="",OFFSET(D18,0,-1)="(SELECIONAR)"),"◄","")</f>
        <v/>
      </c>
      <c r="G18" s="12" t="s">
        <v>115</v>
      </c>
      <c r="AQ18" t="s">
        <v>230</v>
      </c>
      <c r="AR18" t="s">
        <v>231</v>
      </c>
    </row>
    <row r="19" spans="2:44" ht="13.5" thickBot="1" x14ac:dyDescent="0.25">
      <c r="B19" s="28" t="s">
        <v>232</v>
      </c>
      <c r="C19" s="29">
        <v>46204</v>
      </c>
      <c r="D19" s="564" t="str">
        <f t="shared" ca="1" si="1"/>
        <v/>
      </c>
      <c r="G19" s="12" t="s">
        <v>116</v>
      </c>
      <c r="AQ19" t="s">
        <v>233</v>
      </c>
      <c r="AR19" t="s">
        <v>234</v>
      </c>
    </row>
    <row r="20" spans="2:44" ht="13.5" thickBot="1" x14ac:dyDescent="0.25">
      <c r="C20" s="30"/>
      <c r="G20" s="12"/>
      <c r="AQ20" t="s">
        <v>235</v>
      </c>
      <c r="AR20" t="s">
        <v>236</v>
      </c>
    </row>
    <row r="21" spans="2:44" ht="15.75" thickBot="1" x14ac:dyDescent="0.3">
      <c r="B21" s="687" t="s">
        <v>237</v>
      </c>
      <c r="C21" s="687"/>
      <c r="D21" s="563" t="str">
        <f ca="1">IF(COUNTIF(D22:D25,"◄")=0,"","Falta preencher a linha "&amp;MATCH("◄",D22:D25,0)+ROW(D21))</f>
        <v/>
      </c>
      <c r="G21" s="12"/>
      <c r="AQ21" t="s">
        <v>238</v>
      </c>
      <c r="AR21" t="s">
        <v>239</v>
      </c>
    </row>
    <row r="22" spans="2:44" x14ac:dyDescent="0.2">
      <c r="B22" s="15" t="s">
        <v>240</v>
      </c>
      <c r="C22" s="31" t="s">
        <v>962</v>
      </c>
      <c r="D22" s="564" t="str">
        <f t="shared" ref="D22:D24" ca="1" si="2">IF(OFFSET(D22,0,-1)="","◄","")</f>
        <v/>
      </c>
      <c r="AQ22" t="s">
        <v>241</v>
      </c>
      <c r="AR22" t="s">
        <v>242</v>
      </c>
    </row>
    <row r="23" spans="2:44" x14ac:dyDescent="0.2">
      <c r="B23" s="17" t="s">
        <v>243</v>
      </c>
      <c r="C23" s="18" t="s">
        <v>956</v>
      </c>
      <c r="D23" s="564" t="str">
        <f t="shared" ca="1" si="2"/>
        <v/>
      </c>
      <c r="AQ23" t="s">
        <v>244</v>
      </c>
      <c r="AR23" t="s">
        <v>245</v>
      </c>
    </row>
    <row r="24" spans="2:44" x14ac:dyDescent="0.2">
      <c r="B24" s="17" t="s">
        <v>246</v>
      </c>
      <c r="C24" s="18" t="s">
        <v>954</v>
      </c>
      <c r="D24" s="564" t="str">
        <f t="shared" ca="1" si="2"/>
        <v/>
      </c>
      <c r="AQ24" t="s">
        <v>247</v>
      </c>
      <c r="AR24" t="s">
        <v>248</v>
      </c>
    </row>
    <row r="25" spans="2:44" ht="13.5" thickBot="1" x14ac:dyDescent="0.25">
      <c r="B25" s="21" t="s">
        <v>249</v>
      </c>
      <c r="C25" s="32">
        <v>46254</v>
      </c>
      <c r="D25" s="564" t="s">
        <v>250</v>
      </c>
      <c r="AQ25" t="s">
        <v>251</v>
      </c>
      <c r="AR25" t="s">
        <v>252</v>
      </c>
    </row>
    <row r="26" spans="2:44" ht="13.5" thickBot="1" x14ac:dyDescent="0.25">
      <c r="AQ26" t="s">
        <v>253</v>
      </c>
      <c r="AR26" t="s">
        <v>254</v>
      </c>
    </row>
    <row r="27" spans="2:44" ht="15.75" thickBot="1" x14ac:dyDescent="0.3">
      <c r="B27" s="687" t="s">
        <v>255</v>
      </c>
      <c r="C27" s="687"/>
      <c r="D27" s="563" t="str">
        <f ca="1">IF(COUNTIF(D28:D29,"◄")=0,"","Falta preencher a linha "&amp;MATCH("◄",D28:D29,0)+ROW(D27))</f>
        <v/>
      </c>
      <c r="AQ27" t="s">
        <v>256</v>
      </c>
      <c r="AR27" t="s">
        <v>257</v>
      </c>
    </row>
    <row r="28" spans="2:44" x14ac:dyDescent="0.2">
      <c r="B28" s="13" t="s">
        <v>240</v>
      </c>
      <c r="C28" s="33" t="s">
        <v>955</v>
      </c>
      <c r="D28" s="564" t="str">
        <f t="shared" ref="D28:D29" ca="1" si="3">IF(OFFSET(D28,0,-1)="","◄","")</f>
        <v/>
      </c>
      <c r="AQ28" t="s">
        <v>258</v>
      </c>
      <c r="AR28" t="s">
        <v>259</v>
      </c>
    </row>
    <row r="29" spans="2:44" ht="13.5" thickBot="1" x14ac:dyDescent="0.25">
      <c r="B29" s="21" t="s">
        <v>260</v>
      </c>
      <c r="C29" s="34" t="s">
        <v>985</v>
      </c>
      <c r="D29" s="564" t="str">
        <f t="shared" ca="1" si="3"/>
        <v/>
      </c>
      <c r="AQ29" t="s">
        <v>261</v>
      </c>
      <c r="AR29" t="s">
        <v>262</v>
      </c>
    </row>
    <row r="30" spans="2:44" ht="16.5" thickBot="1" x14ac:dyDescent="0.25">
      <c r="B30" s="8"/>
      <c r="AQ30" t="s">
        <v>263</v>
      </c>
      <c r="AR30" t="s">
        <v>262</v>
      </c>
    </row>
    <row r="31" spans="2:44" ht="13.5" thickBot="1" x14ac:dyDescent="0.25">
      <c r="B31" s="475" t="s">
        <v>264</v>
      </c>
      <c r="C31" s="476" t="s">
        <v>265</v>
      </c>
      <c r="D31" s="564" t="str">
        <f ca="1">IF(OFFSET(D31,0,-1)="","◄ Falta definir o método de arredondamento.","")</f>
        <v/>
      </c>
      <c r="AQ31" t="s">
        <v>266</v>
      </c>
      <c r="AR31" t="s">
        <v>267</v>
      </c>
    </row>
    <row r="32" spans="2:44" ht="12.75" customHeight="1" x14ac:dyDescent="0.2">
      <c r="B32" s="8"/>
      <c r="AQ32" t="s">
        <v>268</v>
      </c>
      <c r="AR32" t="s">
        <v>269</v>
      </c>
    </row>
    <row r="33" spans="2:44" ht="12.75" customHeight="1" x14ac:dyDescent="0.2">
      <c r="B33" s="8" t="s">
        <v>270</v>
      </c>
      <c r="AQ33" t="s">
        <v>271</v>
      </c>
      <c r="AR33" t="s">
        <v>272</v>
      </c>
    </row>
    <row r="34" spans="2:44" ht="16.5" thickBot="1" x14ac:dyDescent="0.25">
      <c r="B34" s="8"/>
      <c r="AQ34" t="s">
        <v>273</v>
      </c>
      <c r="AR34" t="s">
        <v>271</v>
      </c>
    </row>
    <row r="35" spans="2:44" ht="12.75" customHeight="1" thickBot="1" x14ac:dyDescent="0.3">
      <c r="B35" s="687" t="s">
        <v>274</v>
      </c>
      <c r="C35" s="687"/>
      <c r="D35" s="563" t="str">
        <f ca="1">IF(COUNTIF(D36:D39,"◄")=0,"","Falta preencher a linha "&amp;MATCH("◄",D36:D39,0)+ROW(D35))</f>
        <v/>
      </c>
      <c r="AQ35" t="s">
        <v>275</v>
      </c>
      <c r="AR35" t="s">
        <v>276</v>
      </c>
    </row>
    <row r="36" spans="2:44" x14ac:dyDescent="0.2">
      <c r="B36" s="13" t="s">
        <v>277</v>
      </c>
      <c r="C36" s="35"/>
      <c r="D36" s="564" t="str">
        <f ca="1">IF(AND(TIPOORCAMENTO="Licitado",OFFSET(D36,0,-1)=""),"◄","")</f>
        <v/>
      </c>
      <c r="AQ36" t="s">
        <v>278</v>
      </c>
      <c r="AR36" t="s">
        <v>279</v>
      </c>
    </row>
    <row r="37" spans="2:44" x14ac:dyDescent="0.2">
      <c r="B37" s="15" t="s">
        <v>280</v>
      </c>
      <c r="C37" s="16"/>
      <c r="D37" s="564" t="str">
        <f ca="1">IF(AND(TIPOORCAMENTO="Licitado",OFFSET(D37,0,-1)=""),"◄","")</f>
        <v/>
      </c>
      <c r="AQ37" t="s">
        <v>281</v>
      </c>
      <c r="AR37" t="s">
        <v>282</v>
      </c>
    </row>
    <row r="38" spans="2:44" x14ac:dyDescent="0.2">
      <c r="B38" s="17" t="s">
        <v>283</v>
      </c>
      <c r="C38" s="18"/>
      <c r="D38" s="564" t="str">
        <f ca="1">IF(AND(TIPOORCAMENTO="Licitado",OFFSET(D38,0,-1)=""),"◄","")</f>
        <v/>
      </c>
      <c r="AQ38" t="s">
        <v>284</v>
      </c>
      <c r="AR38" t="s">
        <v>285</v>
      </c>
    </row>
    <row r="39" spans="2:44" x14ac:dyDescent="0.2">
      <c r="B39" s="17" t="s">
        <v>286</v>
      </c>
      <c r="C39" s="18"/>
      <c r="D39" s="564" t="str">
        <f ca="1">IF(AND(TIPOORCAMENTO="Licitado",OFFSET(D39,0,-1)=""),"◄","")</f>
        <v/>
      </c>
      <c r="AQ39" t="s">
        <v>287</v>
      </c>
      <c r="AR39" t="s">
        <v>288</v>
      </c>
    </row>
    <row r="40" spans="2:44" x14ac:dyDescent="0.2">
      <c r="B40" s="17" t="s">
        <v>289</v>
      </c>
      <c r="C40" s="27" t="s">
        <v>139</v>
      </c>
      <c r="D40" s="564" t="str">
        <f ca="1">IF(AND(TIPOORCAMENTO="Licitado",OR(OFFSET(D40,0,-1)="",OFFSET(D40,0,-1)="(SELECIONAR)")),"◄","")</f>
        <v/>
      </c>
      <c r="AQ40" t="s">
        <v>290</v>
      </c>
      <c r="AR40" t="s">
        <v>291</v>
      </c>
    </row>
    <row r="41" spans="2:44" ht="13.5" thickBot="1" x14ac:dyDescent="0.25">
      <c r="B41" s="28" t="s">
        <v>292</v>
      </c>
      <c r="C41" s="36"/>
      <c r="D41" s="564" t="str">
        <f ca="1">IF(AND(TIPOORCAMENTO="Licitado",OFFSET(D41,0,-1)=""),"◄","")</f>
        <v/>
      </c>
      <c r="AQ41" t="s">
        <v>293</v>
      </c>
      <c r="AR41" t="s">
        <v>294</v>
      </c>
    </row>
    <row r="42" spans="2:44" ht="15.75" x14ac:dyDescent="0.2">
      <c r="B42" s="8"/>
      <c r="AQ42" t="s">
        <v>295</v>
      </c>
      <c r="AR42" t="s">
        <v>296</v>
      </c>
    </row>
    <row r="43" spans="2:44" ht="12.75" customHeight="1" x14ac:dyDescent="0.2">
      <c r="B43" s="8"/>
      <c r="AQ43" t="s">
        <v>297</v>
      </c>
      <c r="AR43" t="s">
        <v>298</v>
      </c>
    </row>
    <row r="44" spans="2:44" ht="12.75" customHeight="1" x14ac:dyDescent="0.2">
      <c r="B44" s="8" t="s">
        <v>299</v>
      </c>
      <c r="AQ44" t="s">
        <v>300</v>
      </c>
      <c r="AR44" t="s">
        <v>301</v>
      </c>
    </row>
    <row r="45" spans="2:44" ht="16.5" thickBot="1" x14ac:dyDescent="0.25">
      <c r="B45" s="8"/>
      <c r="AQ45" t="s">
        <v>302</v>
      </c>
      <c r="AR45" t="s">
        <v>303</v>
      </c>
    </row>
    <row r="46" spans="2:44" ht="12.75" customHeight="1" thickBot="1" x14ac:dyDescent="0.3">
      <c r="B46" s="687" t="s">
        <v>304</v>
      </c>
      <c r="C46" s="687"/>
      <c r="D46" s="563" t="str">
        <f ca="1">IF(COUNTIF(D47:D48,"◄")=0,"","Falta preencher a linha "&amp;MATCH("◄",D47:D48,0)+ROW(D46))</f>
        <v/>
      </c>
      <c r="AQ46" t="s">
        <v>305</v>
      </c>
      <c r="AR46" t="s">
        <v>306</v>
      </c>
    </row>
    <row r="47" spans="2:44" x14ac:dyDescent="0.2">
      <c r="B47" s="13" t="s">
        <v>307</v>
      </c>
      <c r="C47" s="35"/>
      <c r="D47" s="564" t="str">
        <f ca="1">IF(AND(TIPOORCAMENTO="Licitado",OFFSET(D47,0,-1)="",IFERROR(RRE!$O$28,0)&gt;0),"◄","")</f>
        <v/>
      </c>
      <c r="AQ47" t="s">
        <v>308</v>
      </c>
      <c r="AR47" t="s">
        <v>309</v>
      </c>
    </row>
    <row r="48" spans="2:44" ht="13.5" thickBot="1" x14ac:dyDescent="0.25">
      <c r="B48" s="28" t="s">
        <v>310</v>
      </c>
      <c r="C48" s="37"/>
      <c r="D48" s="564" t="str">
        <f ca="1">IF(AND(TIPOORCAMENTO="Licitado",OFFSET(D48,0,-1)="",IFERROR(RRE!$O$28,0)&gt;0),"◄","")</f>
        <v/>
      </c>
      <c r="AQ48" t="s">
        <v>311</v>
      </c>
      <c r="AR48" t="s">
        <v>312</v>
      </c>
    </row>
    <row r="49" spans="2:44" ht="16.5" thickBot="1" x14ac:dyDescent="0.25">
      <c r="B49" s="8"/>
      <c r="AQ49" t="s">
        <v>313</v>
      </c>
      <c r="AR49" t="s">
        <v>314</v>
      </c>
    </row>
    <row r="50" spans="2:44" ht="12.75" customHeight="1" thickBot="1" x14ac:dyDescent="0.3">
      <c r="B50" s="687" t="s">
        <v>315</v>
      </c>
      <c r="C50" s="687"/>
      <c r="D50" s="563" t="str">
        <f ca="1">IF(COUNTIF(D51:D54,"◄")=0,"","Falta preencher a linha "&amp;MATCH("◄",D51:D54,0)+ROW(D50))</f>
        <v/>
      </c>
      <c r="AQ50" t="s">
        <v>316</v>
      </c>
      <c r="AR50" t="s">
        <v>317</v>
      </c>
    </row>
    <row r="51" spans="2:44" x14ac:dyDescent="0.2">
      <c r="B51" s="13" t="s">
        <v>240</v>
      </c>
      <c r="C51" s="38"/>
      <c r="D51" s="564" t="str">
        <f ca="1">IF(AND(TIPOORCAMENTO="Licitado",OFFSET(D51,0,-1)="",IFERROR(RRE!$O$28,0)&gt;0),"◄","")</f>
        <v/>
      </c>
      <c r="AQ51" t="s">
        <v>318</v>
      </c>
      <c r="AR51" t="s">
        <v>319</v>
      </c>
    </row>
    <row r="52" spans="2:44" x14ac:dyDescent="0.2">
      <c r="B52" s="17" t="s">
        <v>320</v>
      </c>
      <c r="C52" s="18"/>
      <c r="D52" s="564" t="str">
        <f ca="1">IF(AND(TIPOORCAMENTO="Licitado",OFFSET(D52,0,-1)="",IFERROR(RRE!$O$28,0)&gt;0),"◄","")</f>
        <v/>
      </c>
      <c r="AQ52" t="s">
        <v>321</v>
      </c>
      <c r="AR52" t="s">
        <v>322</v>
      </c>
    </row>
    <row r="53" spans="2:44" x14ac:dyDescent="0.2">
      <c r="B53" s="17" t="s">
        <v>323</v>
      </c>
      <c r="C53" s="18"/>
      <c r="D53" s="564" t="str">
        <f ca="1">IF(AND(TIPOORCAMENTO="Licitado",OFFSET(D53,0,-1)="",IFERROR(RRE!$O$28,0)&gt;0),"◄","")</f>
        <v/>
      </c>
      <c r="AQ53" t="s">
        <v>324</v>
      </c>
      <c r="AR53" t="s">
        <v>325</v>
      </c>
    </row>
    <row r="54" spans="2:44" ht="13.5" thickBot="1" x14ac:dyDescent="0.25">
      <c r="B54" s="21" t="s">
        <v>326</v>
      </c>
      <c r="C54" s="39"/>
      <c r="D54" s="564" t="str">
        <f ca="1">IF(AND(TIPOORCAMENTO="Licitado",OFFSET(D54,0,-1)="",IFERROR(RRE!$O$28,0)&gt;0),"◄","")</f>
        <v/>
      </c>
      <c r="AQ54" t="s">
        <v>327</v>
      </c>
      <c r="AR54" t="s">
        <v>328</v>
      </c>
    </row>
    <row r="55" spans="2:44" x14ac:dyDescent="0.2">
      <c r="C55" s="30"/>
      <c r="AQ55" t="s">
        <v>329</v>
      </c>
      <c r="AR55" t="s">
        <v>330</v>
      </c>
    </row>
    <row r="56" spans="2:44" x14ac:dyDescent="0.2">
      <c r="AQ56" t="s">
        <v>331</v>
      </c>
      <c r="AR56" t="s">
        <v>332</v>
      </c>
    </row>
    <row r="57" spans="2:44" ht="15.75" x14ac:dyDescent="0.2">
      <c r="B57" s="8" t="s">
        <v>333</v>
      </c>
      <c r="AQ57" t="s">
        <v>334</v>
      </c>
      <c r="AR57" t="s">
        <v>335</v>
      </c>
    </row>
    <row r="58" spans="2:44" ht="16.5" thickBot="1" x14ac:dyDescent="0.25">
      <c r="B58" s="8"/>
      <c r="AQ58" t="s">
        <v>336</v>
      </c>
      <c r="AR58" t="s">
        <v>337</v>
      </c>
    </row>
    <row r="59" spans="2:44" ht="15.75" thickBot="1" x14ac:dyDescent="0.25">
      <c r="B59" s="687" t="s">
        <v>338</v>
      </c>
      <c r="C59" s="687"/>
      <c r="AQ59" t="s">
        <v>339</v>
      </c>
      <c r="AR59" t="s">
        <v>340</v>
      </c>
    </row>
    <row r="60" spans="2:44" x14ac:dyDescent="0.2">
      <c r="B60" s="13" t="s">
        <v>240</v>
      </c>
      <c r="C60" s="38"/>
      <c r="AQ60" t="s">
        <v>341</v>
      </c>
      <c r="AR60" t="s">
        <v>342</v>
      </c>
    </row>
    <row r="61" spans="2:44" ht="13.5" thickBot="1" x14ac:dyDescent="0.25">
      <c r="B61" s="28" t="s">
        <v>343</v>
      </c>
      <c r="C61" s="40"/>
      <c r="AQ61" t="s">
        <v>344</v>
      </c>
      <c r="AR61" t="s">
        <v>345</v>
      </c>
    </row>
    <row r="62" spans="2:44" x14ac:dyDescent="0.2">
      <c r="AQ62" t="s">
        <v>346</v>
      </c>
      <c r="AR62" t="s">
        <v>347</v>
      </c>
    </row>
    <row r="63" spans="2:44" x14ac:dyDescent="0.2">
      <c r="AQ63" t="s">
        <v>348</v>
      </c>
      <c r="AR63" t="s">
        <v>349</v>
      </c>
    </row>
    <row r="64" spans="2:44" x14ac:dyDescent="0.2">
      <c r="AQ64" t="s">
        <v>350</v>
      </c>
      <c r="AR64" t="s">
        <v>351</v>
      </c>
    </row>
    <row r="65" spans="43:44" x14ac:dyDescent="0.2">
      <c r="AQ65" t="s">
        <v>352</v>
      </c>
      <c r="AR65" t="s">
        <v>353</v>
      </c>
    </row>
    <row r="66" spans="43:44" x14ac:dyDescent="0.2">
      <c r="AQ66" t="s">
        <v>354</v>
      </c>
      <c r="AR66" t="s">
        <v>355</v>
      </c>
    </row>
    <row r="67" spans="43:44" x14ac:dyDescent="0.2">
      <c r="AQ67" t="s">
        <v>356</v>
      </c>
      <c r="AR67" t="s">
        <v>357</v>
      </c>
    </row>
    <row r="68" spans="43:44" x14ac:dyDescent="0.2">
      <c r="AQ68" t="s">
        <v>358</v>
      </c>
      <c r="AR68" t="s">
        <v>359</v>
      </c>
    </row>
    <row r="69" spans="43:44" x14ac:dyDescent="0.2">
      <c r="AQ69" t="s">
        <v>360</v>
      </c>
      <c r="AR69" t="s">
        <v>361</v>
      </c>
    </row>
    <row r="70" spans="43:44" x14ac:dyDescent="0.2">
      <c r="AQ70" t="s">
        <v>362</v>
      </c>
      <c r="AR70" t="s">
        <v>363</v>
      </c>
    </row>
    <row r="71" spans="43:44" x14ac:dyDescent="0.2">
      <c r="AQ71" t="s">
        <v>364</v>
      </c>
      <c r="AR71" t="s">
        <v>365</v>
      </c>
    </row>
    <row r="72" spans="43:44" x14ac:dyDescent="0.2">
      <c r="AQ72" t="s">
        <v>366</v>
      </c>
      <c r="AR72" t="s">
        <v>367</v>
      </c>
    </row>
    <row r="73" spans="43:44" x14ac:dyDescent="0.2">
      <c r="AQ73" t="s">
        <v>368</v>
      </c>
      <c r="AR73" t="s">
        <v>369</v>
      </c>
    </row>
    <row r="74" spans="43:44" x14ac:dyDescent="0.2">
      <c r="AQ74" t="s">
        <v>370</v>
      </c>
      <c r="AR74" t="s">
        <v>371</v>
      </c>
    </row>
    <row r="75" spans="43:44" x14ac:dyDescent="0.2">
      <c r="AQ75" t="s">
        <v>372</v>
      </c>
      <c r="AR75" t="s">
        <v>373</v>
      </c>
    </row>
    <row r="76" spans="43:44" x14ac:dyDescent="0.2">
      <c r="AQ76" t="s">
        <v>374</v>
      </c>
      <c r="AR76" t="s">
        <v>375</v>
      </c>
    </row>
    <row r="77" spans="43:44" x14ac:dyDescent="0.2">
      <c r="AQ77" t="s">
        <v>376</v>
      </c>
      <c r="AR77" t="s">
        <v>377</v>
      </c>
    </row>
    <row r="78" spans="43:44" x14ac:dyDescent="0.2">
      <c r="AQ78" t="s">
        <v>378</v>
      </c>
      <c r="AR78" t="s">
        <v>379</v>
      </c>
    </row>
    <row r="79" spans="43:44" x14ac:dyDescent="0.2">
      <c r="AQ79" t="s">
        <v>380</v>
      </c>
      <c r="AR79" t="s">
        <v>381</v>
      </c>
    </row>
    <row r="80" spans="43:44" x14ac:dyDescent="0.2">
      <c r="AQ80" t="s">
        <v>382</v>
      </c>
      <c r="AR80" t="s">
        <v>383</v>
      </c>
    </row>
    <row r="81" spans="43:44" x14ac:dyDescent="0.2">
      <c r="AQ81" t="s">
        <v>384</v>
      </c>
      <c r="AR81" t="s">
        <v>385</v>
      </c>
    </row>
    <row r="82" spans="43:44" x14ac:dyDescent="0.2">
      <c r="AQ82" t="s">
        <v>386</v>
      </c>
      <c r="AR82" t="s">
        <v>387</v>
      </c>
    </row>
    <row r="83" spans="43:44" x14ac:dyDescent="0.2">
      <c r="AQ83" t="s">
        <v>388</v>
      </c>
      <c r="AR83" t="s">
        <v>389</v>
      </c>
    </row>
    <row r="84" spans="43:44" x14ac:dyDescent="0.2">
      <c r="AQ84" t="s">
        <v>390</v>
      </c>
      <c r="AR84" t="s">
        <v>391</v>
      </c>
    </row>
    <row r="85" spans="43:44" x14ac:dyDescent="0.2">
      <c r="AQ85" t="s">
        <v>392</v>
      </c>
      <c r="AR85" t="s">
        <v>393</v>
      </c>
    </row>
    <row r="86" spans="43:44" x14ac:dyDescent="0.2">
      <c r="AQ86" t="s">
        <v>394</v>
      </c>
      <c r="AR86" t="s">
        <v>395</v>
      </c>
    </row>
    <row r="87" spans="43:44" x14ac:dyDescent="0.2">
      <c r="AQ87" t="s">
        <v>396</v>
      </c>
      <c r="AR87" t="s">
        <v>397</v>
      </c>
    </row>
    <row r="88" spans="43:44" x14ac:dyDescent="0.2">
      <c r="AQ88" t="s">
        <v>398</v>
      </c>
      <c r="AR88" t="s">
        <v>399</v>
      </c>
    </row>
    <row r="89" spans="43:44" x14ac:dyDescent="0.2">
      <c r="AQ89" t="s">
        <v>400</v>
      </c>
      <c r="AR89" t="s">
        <v>401</v>
      </c>
    </row>
    <row r="90" spans="43:44" x14ac:dyDescent="0.2">
      <c r="AQ90" t="s">
        <v>402</v>
      </c>
      <c r="AR90" t="s">
        <v>403</v>
      </c>
    </row>
    <row r="91" spans="43:44" x14ac:dyDescent="0.2">
      <c r="AQ91" t="s">
        <v>404</v>
      </c>
      <c r="AR91" t="s">
        <v>405</v>
      </c>
    </row>
    <row r="92" spans="43:44" x14ac:dyDescent="0.2">
      <c r="AQ92" t="s">
        <v>406</v>
      </c>
      <c r="AR92" t="s">
        <v>407</v>
      </c>
    </row>
    <row r="93" spans="43:44" x14ac:dyDescent="0.2">
      <c r="AQ93" t="s">
        <v>408</v>
      </c>
      <c r="AR93" t="s">
        <v>409</v>
      </c>
    </row>
    <row r="94" spans="43:44" x14ac:dyDescent="0.2">
      <c r="AQ94" t="s">
        <v>410</v>
      </c>
      <c r="AR94" t="s">
        <v>411</v>
      </c>
    </row>
    <row r="95" spans="43:44" x14ac:dyDescent="0.2">
      <c r="AQ95" t="s">
        <v>412</v>
      </c>
      <c r="AR95" t="s">
        <v>412</v>
      </c>
    </row>
    <row r="96" spans="43:44" x14ac:dyDescent="0.2">
      <c r="AQ96" t="s">
        <v>413</v>
      </c>
      <c r="AR96" t="s">
        <v>414</v>
      </c>
    </row>
    <row r="97" spans="43:44" x14ac:dyDescent="0.2">
      <c r="AQ97" t="s">
        <v>415</v>
      </c>
      <c r="AR97" t="s">
        <v>416</v>
      </c>
    </row>
    <row r="98" spans="43:44" x14ac:dyDescent="0.2">
      <c r="AQ98" t="s">
        <v>417</v>
      </c>
      <c r="AR98" t="s">
        <v>417</v>
      </c>
    </row>
    <row r="99" spans="43:44" x14ac:dyDescent="0.2">
      <c r="AQ99" t="s">
        <v>418</v>
      </c>
      <c r="AR99" t="s">
        <v>418</v>
      </c>
    </row>
    <row r="100" spans="43:44" x14ac:dyDescent="0.2">
      <c r="AQ100" t="s">
        <v>418</v>
      </c>
      <c r="AR100" t="s">
        <v>418</v>
      </c>
    </row>
    <row r="101" spans="43:44" x14ac:dyDescent="0.2">
      <c r="AQ101" t="s">
        <v>419</v>
      </c>
      <c r="AR101" t="s">
        <v>420</v>
      </c>
    </row>
    <row r="102" spans="43:44" x14ac:dyDescent="0.2">
      <c r="AQ102" t="s">
        <v>421</v>
      </c>
      <c r="AR102" t="s">
        <v>422</v>
      </c>
    </row>
    <row r="103" spans="43:44" x14ac:dyDescent="0.2">
      <c r="AQ103" t="s">
        <v>423</v>
      </c>
      <c r="AR103" t="s">
        <v>424</v>
      </c>
    </row>
    <row r="104" spans="43:44" x14ac:dyDescent="0.2">
      <c r="AQ104" t="s">
        <v>425</v>
      </c>
      <c r="AR104" t="s">
        <v>426</v>
      </c>
    </row>
    <row r="105" spans="43:44" x14ac:dyDescent="0.2">
      <c r="AQ105" t="s">
        <v>427</v>
      </c>
      <c r="AR105" t="s">
        <v>428</v>
      </c>
    </row>
    <row r="106" spans="43:44" x14ac:dyDescent="0.2">
      <c r="AQ106" t="s">
        <v>429</v>
      </c>
      <c r="AR106" t="s">
        <v>430</v>
      </c>
    </row>
    <row r="107" spans="43:44" x14ac:dyDescent="0.2">
      <c r="AQ107" t="s">
        <v>431</v>
      </c>
      <c r="AR107" t="s">
        <v>432</v>
      </c>
    </row>
    <row r="108" spans="43:44" x14ac:dyDescent="0.2">
      <c r="AQ108" t="s">
        <v>433</v>
      </c>
      <c r="AR108" t="s">
        <v>434</v>
      </c>
    </row>
    <row r="109" spans="43:44" x14ac:dyDescent="0.2">
      <c r="AQ109" t="s">
        <v>435</v>
      </c>
      <c r="AR109" t="s">
        <v>436</v>
      </c>
    </row>
    <row r="110" spans="43:44" x14ac:dyDescent="0.2">
      <c r="AQ110" t="s">
        <v>437</v>
      </c>
      <c r="AR110" t="s">
        <v>438</v>
      </c>
    </row>
    <row r="111" spans="43:44" x14ac:dyDescent="0.2">
      <c r="AQ111" t="s">
        <v>439</v>
      </c>
      <c r="AR111" t="s">
        <v>440</v>
      </c>
    </row>
    <row r="112" spans="43:44" x14ac:dyDescent="0.2">
      <c r="AQ112" t="s">
        <v>441</v>
      </c>
      <c r="AR112" t="s">
        <v>442</v>
      </c>
    </row>
    <row r="113" spans="43:44" x14ac:dyDescent="0.2">
      <c r="AQ113" t="s">
        <v>443</v>
      </c>
      <c r="AR113" t="s">
        <v>444</v>
      </c>
    </row>
    <row r="114" spans="43:44" x14ac:dyDescent="0.2">
      <c r="AQ114" t="s">
        <v>445</v>
      </c>
      <c r="AR114" t="s">
        <v>446</v>
      </c>
    </row>
    <row r="115" spans="43:44" x14ac:dyDescent="0.2">
      <c r="AQ115" t="s">
        <v>447</v>
      </c>
      <c r="AR115" t="s">
        <v>448</v>
      </c>
    </row>
    <row r="116" spans="43:44" x14ac:dyDescent="0.2">
      <c r="AQ116" t="s">
        <v>449</v>
      </c>
      <c r="AR116" t="s">
        <v>450</v>
      </c>
    </row>
    <row r="117" spans="43:44" x14ac:dyDescent="0.2">
      <c r="AQ117" t="s">
        <v>451</v>
      </c>
      <c r="AR117" t="s">
        <v>452</v>
      </c>
    </row>
    <row r="118" spans="43:44" x14ac:dyDescent="0.2">
      <c r="AQ118" t="s">
        <v>453</v>
      </c>
      <c r="AR118" t="s">
        <v>454</v>
      </c>
    </row>
    <row r="119" spans="43:44" x14ac:dyDescent="0.2">
      <c r="AQ119" t="s">
        <v>455</v>
      </c>
      <c r="AR119" t="s">
        <v>455</v>
      </c>
    </row>
    <row r="120" spans="43:44" x14ac:dyDescent="0.2">
      <c r="AQ120" t="s">
        <v>456</v>
      </c>
      <c r="AR120" t="s">
        <v>456</v>
      </c>
    </row>
    <row r="121" spans="43:44" x14ac:dyDescent="0.2">
      <c r="AQ121" t="s">
        <v>457</v>
      </c>
      <c r="AR121" t="s">
        <v>458</v>
      </c>
    </row>
    <row r="122" spans="43:44" x14ac:dyDescent="0.2">
      <c r="AQ122" t="s">
        <v>459</v>
      </c>
      <c r="AR122" t="s">
        <v>460</v>
      </c>
    </row>
    <row r="123" spans="43:44" x14ac:dyDescent="0.2">
      <c r="AQ123" t="s">
        <v>461</v>
      </c>
      <c r="AR123" t="s">
        <v>462</v>
      </c>
    </row>
    <row r="124" spans="43:44" x14ac:dyDescent="0.2">
      <c r="AQ124" t="s">
        <v>463</v>
      </c>
      <c r="AR124" t="s">
        <v>464</v>
      </c>
    </row>
    <row r="125" spans="43:44" x14ac:dyDescent="0.2">
      <c r="AQ125" t="s">
        <v>465</v>
      </c>
      <c r="AR125" t="s">
        <v>466</v>
      </c>
    </row>
    <row r="126" spans="43:44" x14ac:dyDescent="0.2">
      <c r="AQ126" t="s">
        <v>467</v>
      </c>
      <c r="AR126" t="s">
        <v>468</v>
      </c>
    </row>
    <row r="127" spans="43:44" x14ac:dyDescent="0.2">
      <c r="AQ127" t="s">
        <v>469</v>
      </c>
      <c r="AR127" t="s">
        <v>470</v>
      </c>
    </row>
    <row r="128" spans="43:44" x14ac:dyDescent="0.2">
      <c r="AQ128" t="s">
        <v>471</v>
      </c>
      <c r="AR128" t="s">
        <v>472</v>
      </c>
    </row>
    <row r="129" spans="43:44" x14ac:dyDescent="0.2">
      <c r="AQ129" t="s">
        <v>473</v>
      </c>
      <c r="AR129" t="s">
        <v>474</v>
      </c>
    </row>
    <row r="130" spans="43:44" x14ac:dyDescent="0.2">
      <c r="AQ130" t="s">
        <v>475</v>
      </c>
      <c r="AR130" t="s">
        <v>476</v>
      </c>
    </row>
    <row r="131" spans="43:44" x14ac:dyDescent="0.2">
      <c r="AQ131" t="s">
        <v>477</v>
      </c>
      <c r="AR131" t="s">
        <v>478</v>
      </c>
    </row>
    <row r="132" spans="43:44" x14ac:dyDescent="0.2">
      <c r="AQ132" t="s">
        <v>479</v>
      </c>
      <c r="AR132" t="s">
        <v>480</v>
      </c>
    </row>
    <row r="133" spans="43:44" x14ac:dyDescent="0.2">
      <c r="AQ133" t="s">
        <v>481</v>
      </c>
      <c r="AR133" t="s">
        <v>482</v>
      </c>
    </row>
    <row r="134" spans="43:44" x14ac:dyDescent="0.2">
      <c r="AQ134" t="s">
        <v>483</v>
      </c>
      <c r="AR134" t="s">
        <v>484</v>
      </c>
    </row>
    <row r="135" spans="43:44" x14ac:dyDescent="0.2">
      <c r="AQ135" t="s">
        <v>485</v>
      </c>
      <c r="AR135" t="s">
        <v>486</v>
      </c>
    </row>
    <row r="136" spans="43:44" x14ac:dyDescent="0.2">
      <c r="AQ136" t="s">
        <v>487</v>
      </c>
      <c r="AR136" t="s">
        <v>488</v>
      </c>
    </row>
    <row r="137" spans="43:44" x14ac:dyDescent="0.2">
      <c r="AQ137" t="s">
        <v>489</v>
      </c>
      <c r="AR137" t="s">
        <v>490</v>
      </c>
    </row>
    <row r="138" spans="43:44" x14ac:dyDescent="0.2">
      <c r="AQ138" t="s">
        <v>491</v>
      </c>
      <c r="AR138" t="s">
        <v>492</v>
      </c>
    </row>
    <row r="139" spans="43:44" x14ac:dyDescent="0.2">
      <c r="AQ139" t="s">
        <v>493</v>
      </c>
      <c r="AR139" t="s">
        <v>494</v>
      </c>
    </row>
    <row r="140" spans="43:44" x14ac:dyDescent="0.2">
      <c r="AQ140" t="s">
        <v>495</v>
      </c>
      <c r="AR140" t="s">
        <v>496</v>
      </c>
    </row>
    <row r="141" spans="43:44" x14ac:dyDescent="0.2">
      <c r="AQ141" t="s">
        <v>497</v>
      </c>
      <c r="AR141" t="s">
        <v>498</v>
      </c>
    </row>
    <row r="142" spans="43:44" x14ac:dyDescent="0.2">
      <c r="AQ142" t="s">
        <v>499</v>
      </c>
      <c r="AR142" t="s">
        <v>500</v>
      </c>
    </row>
    <row r="143" spans="43:44" x14ac:dyDescent="0.2">
      <c r="AQ143" t="s">
        <v>484</v>
      </c>
      <c r="AR143" t="s">
        <v>484</v>
      </c>
    </row>
    <row r="144" spans="43:44" x14ac:dyDescent="0.2">
      <c r="AQ144" t="s">
        <v>501</v>
      </c>
      <c r="AR144" t="s">
        <v>501</v>
      </c>
    </row>
    <row r="145" spans="43:44" x14ac:dyDescent="0.2">
      <c r="AQ145" t="s">
        <v>502</v>
      </c>
      <c r="AR145" t="s">
        <v>502</v>
      </c>
    </row>
    <row r="146" spans="43:44" x14ac:dyDescent="0.2">
      <c r="AQ146" t="s">
        <v>503</v>
      </c>
      <c r="AR146" t="s">
        <v>488</v>
      </c>
    </row>
    <row r="147" spans="43:44" x14ac:dyDescent="0.2">
      <c r="AQ147" t="s">
        <v>504</v>
      </c>
      <c r="AR147" t="s">
        <v>505</v>
      </c>
    </row>
    <row r="148" spans="43:44" x14ac:dyDescent="0.2">
      <c r="AQ148" t="s">
        <v>506</v>
      </c>
      <c r="AR148" t="s">
        <v>507</v>
      </c>
    </row>
    <row r="149" spans="43:44" x14ac:dyDescent="0.2">
      <c r="AQ149" t="s">
        <v>508</v>
      </c>
      <c r="AR149" t="s">
        <v>509</v>
      </c>
    </row>
    <row r="150" spans="43:44" x14ac:dyDescent="0.2">
      <c r="AQ150" t="s">
        <v>508</v>
      </c>
      <c r="AR150" t="s">
        <v>509</v>
      </c>
    </row>
    <row r="151" spans="43:44" x14ac:dyDescent="0.2">
      <c r="AQ151" t="s">
        <v>510</v>
      </c>
      <c r="AR151" t="s">
        <v>510</v>
      </c>
    </row>
    <row r="152" spans="43:44" x14ac:dyDescent="0.2">
      <c r="AQ152" t="s">
        <v>511</v>
      </c>
      <c r="AR152" t="s">
        <v>512</v>
      </c>
    </row>
    <row r="153" spans="43:44" x14ac:dyDescent="0.2">
      <c r="AQ153" t="s">
        <v>513</v>
      </c>
      <c r="AR153" t="s">
        <v>514</v>
      </c>
    </row>
    <row r="154" spans="43:44" x14ac:dyDescent="0.2">
      <c r="AQ154" t="s">
        <v>515</v>
      </c>
      <c r="AR154" t="s">
        <v>516</v>
      </c>
    </row>
    <row r="155" spans="43:44" x14ac:dyDescent="0.2">
      <c r="AQ155" t="s">
        <v>517</v>
      </c>
      <c r="AR155" t="s">
        <v>518</v>
      </c>
    </row>
    <row r="156" spans="43:44" x14ac:dyDescent="0.2">
      <c r="AQ156" t="s">
        <v>519</v>
      </c>
      <c r="AR156" t="s">
        <v>520</v>
      </c>
    </row>
    <row r="157" spans="43:44" x14ac:dyDescent="0.2">
      <c r="AQ157" t="s">
        <v>521</v>
      </c>
      <c r="AR157" t="s">
        <v>522</v>
      </c>
    </row>
    <row r="158" spans="43:44" x14ac:dyDescent="0.2">
      <c r="AQ158" t="s">
        <v>523</v>
      </c>
      <c r="AR158" t="s">
        <v>524</v>
      </c>
    </row>
    <row r="159" spans="43:44" x14ac:dyDescent="0.2">
      <c r="AQ159" t="s">
        <v>525</v>
      </c>
      <c r="AR159" t="s">
        <v>526</v>
      </c>
    </row>
    <row r="160" spans="43:44" x14ac:dyDescent="0.2">
      <c r="AQ160" t="s">
        <v>527</v>
      </c>
      <c r="AR160" t="s">
        <v>528</v>
      </c>
    </row>
    <row r="161" spans="43:44" x14ac:dyDescent="0.2">
      <c r="AQ161" t="s">
        <v>529</v>
      </c>
      <c r="AR161" t="s">
        <v>530</v>
      </c>
    </row>
    <row r="162" spans="43:44" x14ac:dyDescent="0.2">
      <c r="AQ162" t="s">
        <v>531</v>
      </c>
      <c r="AR162" t="s">
        <v>532</v>
      </c>
    </row>
    <row r="163" spans="43:44" x14ac:dyDescent="0.2">
      <c r="AQ163" t="s">
        <v>533</v>
      </c>
      <c r="AR163" t="s">
        <v>534</v>
      </c>
    </row>
    <row r="164" spans="43:44" x14ac:dyDescent="0.2">
      <c r="AQ164" t="s">
        <v>535</v>
      </c>
      <c r="AR164" t="s">
        <v>536</v>
      </c>
    </row>
    <row r="165" spans="43:44" x14ac:dyDescent="0.2">
      <c r="AQ165" t="s">
        <v>537</v>
      </c>
      <c r="AR165" t="s">
        <v>538</v>
      </c>
    </row>
    <row r="166" spans="43:44" x14ac:dyDescent="0.2">
      <c r="AQ166" t="s">
        <v>539</v>
      </c>
      <c r="AR166" t="s">
        <v>539</v>
      </c>
    </row>
    <row r="167" spans="43:44" x14ac:dyDescent="0.2">
      <c r="AQ167" t="s">
        <v>540</v>
      </c>
      <c r="AR167" t="s">
        <v>541</v>
      </c>
    </row>
    <row r="168" spans="43:44" x14ac:dyDescent="0.2">
      <c r="AQ168" t="s">
        <v>542</v>
      </c>
      <c r="AR168" t="s">
        <v>543</v>
      </c>
    </row>
    <row r="169" spans="43:44" x14ac:dyDescent="0.2">
      <c r="AQ169" t="s">
        <v>544</v>
      </c>
      <c r="AR169" t="s">
        <v>545</v>
      </c>
    </row>
    <row r="170" spans="43:44" x14ac:dyDescent="0.2">
      <c r="AQ170" t="s">
        <v>546</v>
      </c>
      <c r="AR170" t="s">
        <v>547</v>
      </c>
    </row>
    <row r="171" spans="43:44" x14ac:dyDescent="0.2">
      <c r="AQ171" t="s">
        <v>548</v>
      </c>
      <c r="AR171" t="s">
        <v>549</v>
      </c>
    </row>
    <row r="172" spans="43:44" x14ac:dyDescent="0.2">
      <c r="AQ172" t="s">
        <v>550</v>
      </c>
      <c r="AR172" t="s">
        <v>551</v>
      </c>
    </row>
    <row r="173" spans="43:44" x14ac:dyDescent="0.2">
      <c r="AQ173" t="s">
        <v>552</v>
      </c>
      <c r="AR173" t="s">
        <v>553</v>
      </c>
    </row>
    <row r="174" spans="43:44" x14ac:dyDescent="0.2">
      <c r="AQ174" t="s">
        <v>554</v>
      </c>
      <c r="AR174" t="s">
        <v>555</v>
      </c>
    </row>
    <row r="175" spans="43:44" x14ac:dyDescent="0.2">
      <c r="AQ175" t="s">
        <v>556</v>
      </c>
      <c r="AR175" t="s">
        <v>557</v>
      </c>
    </row>
    <row r="176" spans="43:44" x14ac:dyDescent="0.2">
      <c r="AQ176" t="s">
        <v>558</v>
      </c>
      <c r="AR176" t="s">
        <v>559</v>
      </c>
    </row>
    <row r="177" spans="43:44" x14ac:dyDescent="0.2">
      <c r="AQ177" t="s">
        <v>560</v>
      </c>
      <c r="AR177" t="s">
        <v>561</v>
      </c>
    </row>
    <row r="178" spans="43:44" x14ac:dyDescent="0.2">
      <c r="AQ178" t="s">
        <v>562</v>
      </c>
      <c r="AR178" t="s">
        <v>563</v>
      </c>
    </row>
    <row r="179" spans="43:44" x14ac:dyDescent="0.2">
      <c r="AQ179" t="s">
        <v>564</v>
      </c>
      <c r="AR179" t="s">
        <v>565</v>
      </c>
    </row>
    <row r="180" spans="43:44" x14ac:dyDescent="0.2">
      <c r="AQ180" t="s">
        <v>566</v>
      </c>
      <c r="AR180" t="s">
        <v>567</v>
      </c>
    </row>
    <row r="181" spans="43:44" x14ac:dyDescent="0.2">
      <c r="AQ181" t="s">
        <v>568</v>
      </c>
      <c r="AR181" t="s">
        <v>569</v>
      </c>
    </row>
    <row r="182" spans="43:44" x14ac:dyDescent="0.2">
      <c r="AQ182" t="s">
        <v>570</v>
      </c>
      <c r="AR182" t="s">
        <v>571</v>
      </c>
    </row>
    <row r="183" spans="43:44" x14ac:dyDescent="0.2">
      <c r="AQ183" t="s">
        <v>572</v>
      </c>
      <c r="AR183" t="s">
        <v>573</v>
      </c>
    </row>
    <row r="184" spans="43:44" x14ac:dyDescent="0.2">
      <c r="AQ184" t="s">
        <v>574</v>
      </c>
      <c r="AR184" t="s">
        <v>575</v>
      </c>
    </row>
    <row r="185" spans="43:44" x14ac:dyDescent="0.2">
      <c r="AQ185" t="s">
        <v>576</v>
      </c>
      <c r="AR185" t="s">
        <v>577</v>
      </c>
    </row>
    <row r="186" spans="43:44" x14ac:dyDescent="0.2">
      <c r="AQ186" t="s">
        <v>578</v>
      </c>
      <c r="AR186" t="s">
        <v>579</v>
      </c>
    </row>
    <row r="187" spans="43:44" x14ac:dyDescent="0.2">
      <c r="AQ187" t="s">
        <v>580</v>
      </c>
      <c r="AR187" t="s">
        <v>581</v>
      </c>
    </row>
    <row r="188" spans="43:44" x14ac:dyDescent="0.2">
      <c r="AQ188" t="s">
        <v>582</v>
      </c>
      <c r="AR188" t="s">
        <v>583</v>
      </c>
    </row>
    <row r="189" spans="43:44" x14ac:dyDescent="0.2">
      <c r="AQ189" t="s">
        <v>584</v>
      </c>
      <c r="AR189" t="s">
        <v>585</v>
      </c>
    </row>
    <row r="190" spans="43:44" x14ac:dyDescent="0.2">
      <c r="AQ190" t="s">
        <v>586</v>
      </c>
      <c r="AR190" t="s">
        <v>587</v>
      </c>
    </row>
    <row r="191" spans="43:44" x14ac:dyDescent="0.2">
      <c r="AQ191" t="s">
        <v>588</v>
      </c>
      <c r="AR191" t="s">
        <v>589</v>
      </c>
    </row>
    <row r="192" spans="43:44" x14ac:dyDescent="0.2">
      <c r="AQ192" t="s">
        <v>590</v>
      </c>
      <c r="AR192" t="s">
        <v>591</v>
      </c>
    </row>
    <row r="193" spans="43:44" x14ac:dyDescent="0.2">
      <c r="AQ193" t="s">
        <v>592</v>
      </c>
      <c r="AR193" t="s">
        <v>593</v>
      </c>
    </row>
    <row r="194" spans="43:44" x14ac:dyDescent="0.2">
      <c r="AQ194" t="s">
        <v>594</v>
      </c>
      <c r="AR194" t="s">
        <v>595</v>
      </c>
    </row>
    <row r="195" spans="43:44" x14ac:dyDescent="0.2">
      <c r="AQ195" t="s">
        <v>596</v>
      </c>
      <c r="AR195" t="s">
        <v>597</v>
      </c>
    </row>
    <row r="196" spans="43:44" x14ac:dyDescent="0.2">
      <c r="AQ196" t="s">
        <v>598</v>
      </c>
      <c r="AR196" t="s">
        <v>599</v>
      </c>
    </row>
    <row r="197" spans="43:44" x14ac:dyDescent="0.2">
      <c r="AQ197" t="s">
        <v>600</v>
      </c>
      <c r="AR197" t="s">
        <v>601</v>
      </c>
    </row>
    <row r="198" spans="43:44" x14ac:dyDescent="0.2">
      <c r="AQ198" t="s">
        <v>602</v>
      </c>
      <c r="AR198" t="s">
        <v>603</v>
      </c>
    </row>
    <row r="199" spans="43:44" x14ac:dyDescent="0.2">
      <c r="AQ199" t="s">
        <v>604</v>
      </c>
      <c r="AR199" t="s">
        <v>605</v>
      </c>
    </row>
    <row r="200" spans="43:44" x14ac:dyDescent="0.2">
      <c r="AQ200" t="s">
        <v>606</v>
      </c>
      <c r="AR200" t="s">
        <v>607</v>
      </c>
    </row>
    <row r="201" spans="43:44" x14ac:dyDescent="0.2">
      <c r="AQ201" t="s">
        <v>608</v>
      </c>
      <c r="AR201" t="s">
        <v>609</v>
      </c>
    </row>
    <row r="202" spans="43:44" x14ac:dyDescent="0.2">
      <c r="AQ202" t="s">
        <v>610</v>
      </c>
      <c r="AR202" t="s">
        <v>611</v>
      </c>
    </row>
    <row r="203" spans="43:44" x14ac:dyDescent="0.2">
      <c r="AQ203" t="s">
        <v>612</v>
      </c>
      <c r="AR203" t="s">
        <v>613</v>
      </c>
    </row>
    <row r="204" spans="43:44" x14ac:dyDescent="0.2">
      <c r="AQ204" t="s">
        <v>614</v>
      </c>
      <c r="AR204" t="s">
        <v>615</v>
      </c>
    </row>
    <row r="205" spans="43:44" x14ac:dyDescent="0.2">
      <c r="AQ205" t="s">
        <v>616</v>
      </c>
      <c r="AR205" t="s">
        <v>617</v>
      </c>
    </row>
    <row r="206" spans="43:44" x14ac:dyDescent="0.2">
      <c r="AQ206" t="s">
        <v>618</v>
      </c>
      <c r="AR206" t="s">
        <v>619</v>
      </c>
    </row>
    <row r="207" spans="43:44" x14ac:dyDescent="0.2">
      <c r="AQ207" t="s">
        <v>620</v>
      </c>
      <c r="AR207" t="s">
        <v>621</v>
      </c>
    </row>
    <row r="208" spans="43:44" x14ac:dyDescent="0.2">
      <c r="AQ208" t="s">
        <v>622</v>
      </c>
      <c r="AR208" t="s">
        <v>623</v>
      </c>
    </row>
    <row r="209" spans="43:44" x14ac:dyDescent="0.2">
      <c r="AQ209" t="s">
        <v>624</v>
      </c>
      <c r="AR209" t="s">
        <v>625</v>
      </c>
    </row>
    <row r="210" spans="43:44" x14ac:dyDescent="0.2">
      <c r="AQ210" t="s">
        <v>626</v>
      </c>
      <c r="AR210" t="s">
        <v>627</v>
      </c>
    </row>
    <row r="211" spans="43:44" x14ac:dyDescent="0.2">
      <c r="AQ211" t="s">
        <v>628</v>
      </c>
      <c r="AR211" t="s">
        <v>628</v>
      </c>
    </row>
    <row r="212" spans="43:44" x14ac:dyDescent="0.2">
      <c r="AQ212" t="s">
        <v>629</v>
      </c>
      <c r="AR212" t="s">
        <v>629</v>
      </c>
    </row>
    <row r="213" spans="43:44" x14ac:dyDescent="0.2">
      <c r="AQ213" t="s">
        <v>630</v>
      </c>
      <c r="AR213" t="s">
        <v>631</v>
      </c>
    </row>
    <row r="214" spans="43:44" x14ac:dyDescent="0.2">
      <c r="AQ214" t="s">
        <v>632</v>
      </c>
      <c r="AR214" t="s">
        <v>631</v>
      </c>
    </row>
    <row r="215" spans="43:44" x14ac:dyDescent="0.2">
      <c r="AQ215" t="s">
        <v>633</v>
      </c>
      <c r="AR215" t="s">
        <v>633</v>
      </c>
    </row>
    <row r="216" spans="43:44" x14ac:dyDescent="0.2">
      <c r="AQ216" t="s">
        <v>634</v>
      </c>
      <c r="AR216" t="s">
        <v>634</v>
      </c>
    </row>
    <row r="217" spans="43:44" x14ac:dyDescent="0.2">
      <c r="AQ217" t="s">
        <v>635</v>
      </c>
      <c r="AR217" t="s">
        <v>636</v>
      </c>
    </row>
    <row r="218" spans="43:44" x14ac:dyDescent="0.2">
      <c r="AQ218" t="s">
        <v>637</v>
      </c>
      <c r="AR218" t="s">
        <v>638</v>
      </c>
    </row>
    <row r="219" spans="43:44" x14ac:dyDescent="0.2">
      <c r="AQ219" t="s">
        <v>639</v>
      </c>
      <c r="AR219" t="s">
        <v>639</v>
      </c>
    </row>
    <row r="220" spans="43:44" x14ac:dyDescent="0.2">
      <c r="AQ220" t="s">
        <v>640</v>
      </c>
      <c r="AR220" t="s">
        <v>641</v>
      </c>
    </row>
    <row r="222" spans="43:44" x14ac:dyDescent="0.2">
      <c r="AQ222" s="520"/>
      <c r="AR222" s="84"/>
    </row>
  </sheetData>
  <sheetProtection algorithmName="SHA-512" hashValue="zbaA9dN5mrcFxu3QO9IjZrQU2QBot4ucalKw4iZ5KW9aOfhpSUlv4UpAWqcruAUg8d4AMVQPRZ2XkqMk+6lIvw==" saltValue="47JtsjguBmcPBRvK/uP4DA==" spinCount="100000" sheet="1" objects="1" scenarios="1" autoFilter="0"/>
  <sortState xmlns:xlrd2="http://schemas.microsoft.com/office/spreadsheetml/2017/richdata2" ref="AQ2:AR220">
    <sortCondition ref="AQ3:AQ220"/>
  </sortState>
  <mergeCells count="9">
    <mergeCell ref="B50:C50"/>
    <mergeCell ref="B59:C59"/>
    <mergeCell ref="I1:AO1"/>
    <mergeCell ref="B3:C3"/>
    <mergeCell ref="B15:C15"/>
    <mergeCell ref="B21:C21"/>
    <mergeCell ref="B27:C27"/>
    <mergeCell ref="B35:C35"/>
    <mergeCell ref="B46:C46"/>
  </mergeCells>
  <phoneticPr fontId="38" type="noConversion"/>
  <conditionalFormatting sqref="B57:C58">
    <cfRule type="expression" dxfId="842" priority="2" stopIfTrue="1">
      <formula>CAIXA.Modo=FALSE</formula>
    </cfRule>
  </conditionalFormatting>
  <conditionalFormatting sqref="B59:C61">
    <cfRule type="expression" dxfId="841"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200-000000000000}">
      <formula1>36526</formula1>
      <formula2>72686</formula2>
    </dataValidation>
    <dataValidation type="list" allowBlank="1" showErrorMessage="1" sqref="C18" xr:uid="{00000000-0002-0000-0200-000001000000}">
      <formula1>"(SELECIONAR),NÃO SE APLICA,DESONERADO,NÃO DESONERADO"</formula1>
      <formula2>0</formula2>
    </dataValidation>
    <dataValidation type="decimal" allowBlank="1" showErrorMessage="1" error="Digite um valor em percentual._x000a__x000a_Ou seja um valor de 0% (zero) até 100% (cem). " sqref="C11 C13:C14" xr:uid="{00000000-0002-0000-0200-000002000000}">
      <formula1>0</formula1>
      <formula2>1</formula2>
    </dataValidation>
    <dataValidation type="list" allowBlank="1" showErrorMessage="1" sqref="C4" xr:uid="{00000000-0002-0000-0200-000003000000}">
      <formula1>"(SELECIONAR),OGU,FGTS"</formula1>
      <formula2>0</formula2>
    </dataValidation>
    <dataValidation type="decimal" operator="greaterThan" allowBlank="1" showErrorMessage="1" error="Digite um valor maior do que 0." sqref="C12" xr:uid="{00000000-0002-0000-0200-000004000000}">
      <formula1>0</formula1>
      <formula2>0</formula2>
    </dataValidation>
    <dataValidation type="list" allowBlank="1" showErrorMessage="1" sqref="C40" xr:uid="{00000000-0002-0000-0200-000005000000}">
      <formula1>"(SELECIONAR),INDEFINIDO / NÃO SE APLICA,EMPREITADA POR PREÇO GLOBAL,EMPREITADA POR PREÇO UNITÁRIO,EMPREITADA INTEGRAL,TAREFA,CONTRATAÇÃO INTEGRADA,ADM. DIRETA"</formula1>
      <formula2>0</formula2>
    </dataValidation>
    <dataValidation type="list" allowBlank="1" showErrorMessage="1" sqref="C31" xr:uid="{00000000-0002-0000-0200-000006000000}">
      <formula1>"Tradicional,TransfereGOV"</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&amp;LPMv3.12&amp;R&amp;P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opLeftCell="H1" zoomScaleNormal="100" zoomScaleSheetLayoutView="100" workbookViewId="0">
      <pane ySplit="11" topLeftCell="A24"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642</v>
      </c>
      <c r="F1" s="50" t="s">
        <v>643</v>
      </c>
      <c r="G1" s="50" t="s">
        <v>644</v>
      </c>
      <c r="O1" s="51" t="str">
        <f>"Quadro de Composição do BDI"</f>
        <v>Quadro de Composição do BDI</v>
      </c>
      <c r="R1" s="682" t="s">
        <v>645</v>
      </c>
      <c r="S1" s="682"/>
    </row>
    <row r="2" spans="1:21" x14ac:dyDescent="0.2">
      <c r="A2" s="49" t="s">
        <v>646</v>
      </c>
      <c r="B2" s="53" t="s">
        <v>647</v>
      </c>
      <c r="C2" s="49" t="str">
        <f t="shared" ref="C2:C49" si="0">CONCATENATE(A2,"-",B2)</f>
        <v>Construção e Reforma de Edifícios-AC</v>
      </c>
      <c r="E2" s="54">
        <v>0.03</v>
      </c>
      <c r="F2" s="54">
        <v>0.04</v>
      </c>
      <c r="G2" s="54">
        <v>5.5E-2</v>
      </c>
      <c r="R2" s="683" t="s">
        <v>648</v>
      </c>
      <c r="S2" s="683"/>
    </row>
    <row r="3" spans="1:21" x14ac:dyDescent="0.2">
      <c r="A3" s="49" t="str">
        <f>A2</f>
        <v>Construção e Reforma de Edifícios</v>
      </c>
      <c r="B3" s="53" t="s">
        <v>649</v>
      </c>
      <c r="C3" s="49" t="str">
        <f t="shared" si="0"/>
        <v>Construção e Reforma de Edifícios-SG</v>
      </c>
      <c r="E3" s="54">
        <v>8.0000000000000002E-3</v>
      </c>
      <c r="F3" s="54">
        <v>8.0000000000000002E-3</v>
      </c>
      <c r="G3" s="54">
        <v>0.01</v>
      </c>
    </row>
    <row r="4" spans="1:21" x14ac:dyDescent="0.2">
      <c r="A4" s="49" t="str">
        <f>A3</f>
        <v>Construção e Reforma de Edifícios</v>
      </c>
      <c r="B4" s="53" t="s">
        <v>650</v>
      </c>
      <c r="C4" s="49" t="str">
        <f t="shared" si="0"/>
        <v>Construção e Reforma de Edifícios-R</v>
      </c>
      <c r="E4" s="54">
        <v>9.7000000000000003E-3</v>
      </c>
      <c r="F4" s="54">
        <v>1.2699999999999999E-2</v>
      </c>
      <c r="G4" s="54">
        <v>1.2699999999999999E-2</v>
      </c>
      <c r="J4" s="708" t="s">
        <v>651</v>
      </c>
      <c r="K4" s="708"/>
      <c r="L4" s="708" t="s">
        <v>652</v>
      </c>
      <c r="M4" s="708"/>
      <c r="N4" s="708" t="s">
        <v>653</v>
      </c>
      <c r="O4" s="708"/>
      <c r="P4" s="708"/>
      <c r="Q4" s="708"/>
      <c r="R4" s="708"/>
      <c r="S4" s="708"/>
    </row>
    <row r="5" spans="1:21" ht="12.75" customHeight="1" x14ac:dyDescent="0.2">
      <c r="A5" s="49" t="str">
        <f>A4</f>
        <v>Construção e Reforma de Edifícios</v>
      </c>
      <c r="B5" s="53" t="s">
        <v>654</v>
      </c>
      <c r="C5" s="49" t="str">
        <f t="shared" si="0"/>
        <v>Construção e Reforma de Edifícios-DF</v>
      </c>
      <c r="E5" s="54">
        <v>5.8999999999999999E-3</v>
      </c>
      <c r="F5" s="54">
        <v>1.23E-2</v>
      </c>
      <c r="G5" s="54">
        <v>1.3899999999999999E-2</v>
      </c>
      <c r="J5" s="711" t="str">
        <f>Import.CR</f>
        <v>0</v>
      </c>
      <c r="K5" s="711"/>
      <c r="L5" s="711" t="str">
        <f>Import.TransfereGOV</f>
        <v>0</v>
      </c>
      <c r="M5" s="711"/>
      <c r="N5" s="711" t="str">
        <f>Import.Proponente</f>
        <v>CONSÓRCIO INTERMUNICIPAL DO MÉDIO ALTO URUGUAI - CIMAU</v>
      </c>
      <c r="O5" s="711"/>
      <c r="P5" s="711"/>
      <c r="Q5" s="711"/>
      <c r="R5" s="711"/>
      <c r="S5" s="711"/>
    </row>
    <row r="6" spans="1:21" x14ac:dyDescent="0.2">
      <c r="A6" s="49" t="str">
        <f>A5</f>
        <v>Construção e Reforma de Edifícios</v>
      </c>
      <c r="B6" s="53" t="s">
        <v>655</v>
      </c>
      <c r="C6" s="49" t="str">
        <f t="shared" si="0"/>
        <v>Construção e Reforma de Edifícios-L</v>
      </c>
      <c r="E6" s="54">
        <v>6.1600000000000002E-2</v>
      </c>
      <c r="F6" s="54">
        <v>7.400000000000001E-2</v>
      </c>
      <c r="G6" s="54">
        <v>8.9600000000000013E-2</v>
      </c>
      <c r="I6" s="680" t="s">
        <v>656</v>
      </c>
      <c r="J6" s="57"/>
      <c r="K6" s="57"/>
      <c r="L6" s="57"/>
      <c r="M6" s="57"/>
      <c r="N6" s="57"/>
      <c r="O6" s="57"/>
      <c r="P6" s="57"/>
      <c r="Q6" s="57"/>
      <c r="R6" s="57"/>
      <c r="S6" s="57"/>
    </row>
    <row r="7" spans="1:21" ht="25.5" x14ac:dyDescent="0.25">
      <c r="A7" s="49" t="str">
        <f>A6</f>
        <v>Construção e Reforma de Edifícios</v>
      </c>
      <c r="B7" s="58" t="s">
        <v>657</v>
      </c>
      <c r="C7" s="49" t="str">
        <f t="shared" si="0"/>
        <v>Construção e Reforma de Edifícios-BDI PAD</v>
      </c>
      <c r="E7" s="54">
        <v>0.2034</v>
      </c>
      <c r="F7" s="54">
        <v>0.22120000000000001</v>
      </c>
      <c r="G7" s="54">
        <v>0.25</v>
      </c>
      <c r="I7" s="680"/>
      <c r="J7" s="708" t="s">
        <v>658</v>
      </c>
      <c r="K7" s="708"/>
      <c r="L7" s="708"/>
      <c r="M7" s="708"/>
      <c r="N7" s="708"/>
      <c r="O7" s="708"/>
      <c r="P7" s="708"/>
      <c r="Q7" s="708"/>
      <c r="R7" s="708"/>
      <c r="S7" s="708"/>
      <c r="U7" s="522" t="str">
        <f ca="1">IF(OR(U10&lt;&gt;"",U11&lt;&gt;""),"Falta preencher os percentuais do ISS",IF(U14&lt;&gt;"","Falta preencher o BDI 1",IF(U54&lt;&gt;"","Falta preencher o BDI 2",IF(U94&lt;&gt;"","Falta preencher o BDI 3",""))))</f>
        <v/>
      </c>
    </row>
    <row r="8" spans="1:21" ht="15.75" x14ac:dyDescent="0.25">
      <c r="A8" s="49" t="s">
        <v>659</v>
      </c>
      <c r="B8" s="53" t="s">
        <v>647</v>
      </c>
      <c r="C8" s="49" t="str">
        <f t="shared" si="0"/>
        <v>Construção de Praças Urbanas, Rodovias, Ferrovias e recapeamento e pavimentação de vias urbanas-AC</v>
      </c>
      <c r="E8" s="54">
        <v>3.7999999999999999E-2</v>
      </c>
      <c r="F8" s="54">
        <v>4.0099999999999997E-2</v>
      </c>
      <c r="G8" s="54">
        <v>4.6699999999999998E-2</v>
      </c>
      <c r="I8" s="680"/>
      <c r="J8" s="714" t="str">
        <f>Import.Apelido&amp;" / "&amp;Import.DescLote</f>
        <v>REFORMA CASA DA CRIANÇA / REFORMA CASA DA CRIANÇA</v>
      </c>
      <c r="K8" s="714"/>
      <c r="L8" s="714"/>
      <c r="M8" s="714"/>
      <c r="N8" s="714"/>
      <c r="O8" s="714"/>
      <c r="P8" s="714"/>
      <c r="Q8" s="714"/>
      <c r="R8" s="714"/>
      <c r="S8" s="714"/>
      <c r="U8" s="522" t="str">
        <f ca="1">IF(U29="FORA DO INTERVALO","BDI 1 fora do intervalo",IF(U69="FORA DO INTERVALO","BDI 2 fora do intervalo",IF(U109="FORA DO INTERVALO","BDI 3 fora do intervalo","")))</f>
        <v/>
      </c>
    </row>
    <row r="9" spans="1:21" x14ac:dyDescent="0.2">
      <c r="A9" s="49" t="s">
        <v>659</v>
      </c>
      <c r="B9" s="53" t="s">
        <v>649</v>
      </c>
      <c r="C9" s="49" t="str">
        <f t="shared" si="0"/>
        <v>Construção de Praças Urbanas, Rodovias, Ferrovias e recapeamento e pavimentação de vias urbanas-SG</v>
      </c>
      <c r="E9" s="54">
        <v>3.2000000000000002E-3</v>
      </c>
      <c r="F9" s="54">
        <v>4.0000000000000001E-3</v>
      </c>
      <c r="G9" s="54">
        <v>7.4000000000000003E-3</v>
      </c>
      <c r="I9" s="680"/>
      <c r="J9" s="57"/>
      <c r="K9" s="57"/>
      <c r="L9" s="57"/>
      <c r="M9" s="57"/>
      <c r="N9" s="57"/>
      <c r="O9" s="57"/>
      <c r="P9" s="57"/>
      <c r="Q9" s="57"/>
      <c r="R9" s="57"/>
      <c r="S9" s="57"/>
    </row>
    <row r="10" spans="1:21" ht="12.75" customHeight="1" x14ac:dyDescent="0.2">
      <c r="A10" s="49" t="s">
        <v>659</v>
      </c>
      <c r="B10" s="53" t="s">
        <v>650</v>
      </c>
      <c r="C10" s="49" t="str">
        <f t="shared" si="0"/>
        <v>Construção de Praças Urbanas, Rodovias, Ferrovias e recapeamento e pavimentação de vias urbanas-R</v>
      </c>
      <c r="E10" s="54">
        <v>5.0000000000000001E-3</v>
      </c>
      <c r="F10" s="54">
        <v>5.6000000000000008E-3</v>
      </c>
      <c r="G10" s="54">
        <v>9.7000000000000003E-3</v>
      </c>
      <c r="I10" s="680"/>
      <c r="J10" s="715" t="s">
        <v>660</v>
      </c>
      <c r="K10" s="715"/>
      <c r="L10" s="715"/>
      <c r="M10" s="715"/>
      <c r="N10" s="715"/>
      <c r="O10" s="715"/>
      <c r="P10" s="715"/>
      <c r="Q10" s="715"/>
      <c r="R10" s="713">
        <v>0.03</v>
      </c>
      <c r="S10" s="713"/>
      <c r="U10" s="572" t="str">
        <f>IF(R10="","Falta definir a base de cálculo para o ISS","")</f>
        <v/>
      </c>
    </row>
    <row r="11" spans="1:21" ht="12.75" customHeight="1" x14ac:dyDescent="0.2">
      <c r="A11" s="49" t="s">
        <v>659</v>
      </c>
      <c r="B11" s="53" t="s">
        <v>654</v>
      </c>
      <c r="C11" s="49" t="str">
        <f t="shared" si="0"/>
        <v>Construção de Praças Urbanas, Rodovias, Ferrovias e recapeamento e pavimentação de vias urbanas-DF</v>
      </c>
      <c r="E11" s="54">
        <v>1.0200000000000001E-2</v>
      </c>
      <c r="F11" s="54">
        <v>1.11E-2</v>
      </c>
      <c r="G11" s="54">
        <v>1.21E-2</v>
      </c>
      <c r="I11" s="107" t="s">
        <v>661</v>
      </c>
      <c r="J11" s="712" t="s">
        <v>662</v>
      </c>
      <c r="K11" s="712"/>
      <c r="L11" s="712"/>
      <c r="M11" s="712"/>
      <c r="N11" s="712"/>
      <c r="O11" s="712"/>
      <c r="P11" s="712"/>
      <c r="Q11" s="712"/>
      <c r="R11" s="713">
        <v>0.03</v>
      </c>
      <c r="S11" s="713"/>
      <c r="U11" s="572" t="str">
        <f>IF(R11="","Falta definir a alíquota do ISS","")</f>
        <v/>
      </c>
    </row>
    <row r="12" spans="1:21" x14ac:dyDescent="0.2">
      <c r="A12" s="49" t="s">
        <v>659</v>
      </c>
      <c r="B12" s="53" t="s">
        <v>655</v>
      </c>
      <c r="C12" s="49" t="str">
        <f t="shared" si="0"/>
        <v>Construção de Praças Urbanas, Rodovias, Ferrovias e recapeamento e pavimentação de vias urbanas-L</v>
      </c>
      <c r="E12" s="54">
        <v>6.6400000000000001E-2</v>
      </c>
      <c r="F12" s="54">
        <v>7.2999999999999995E-2</v>
      </c>
      <c r="G12" s="54">
        <v>8.6899999999999991E-2</v>
      </c>
      <c r="I12" s="7" t="s">
        <v>537</v>
      </c>
      <c r="J12" s="59"/>
      <c r="K12" s="59"/>
      <c r="L12" s="59"/>
      <c r="M12" s="59"/>
      <c r="N12" s="59"/>
      <c r="O12" s="59"/>
      <c r="P12" s="59"/>
      <c r="Q12" s="59"/>
      <c r="R12" s="59"/>
      <c r="S12" s="59"/>
    </row>
    <row r="13" spans="1:21" ht="15" customHeight="1" x14ac:dyDescent="0.2">
      <c r="A13" s="49" t="s">
        <v>659</v>
      </c>
      <c r="B13" s="58" t="s">
        <v>657</v>
      </c>
      <c r="C13" s="49" t="str">
        <f t="shared" si="0"/>
        <v>Construção de Praças Urbanas, Rodovias, Ferrovias e recapeamento e pavimentação de vias urbanas-BDI PAD</v>
      </c>
      <c r="E13" s="54">
        <v>0.19600000000000001</v>
      </c>
      <c r="F13" s="54">
        <v>0.2097</v>
      </c>
      <c r="G13" s="54">
        <v>0.24230000000000002</v>
      </c>
      <c r="I13" s="7" t="s">
        <v>537</v>
      </c>
    </row>
    <row r="14" spans="1:21" ht="15.75" x14ac:dyDescent="0.25">
      <c r="A14" s="49" t="s">
        <v>663</v>
      </c>
      <c r="B14" s="53" t="s">
        <v>647</v>
      </c>
      <c r="C14" s="49" t="str">
        <f t="shared" si="0"/>
        <v>Construção de Redes de Abastecimento de Água, Coleta de Esgoto-AC</v>
      </c>
      <c r="E14" s="54">
        <v>3.4300000000000004E-2</v>
      </c>
      <c r="F14" s="54">
        <v>4.9299999999999997E-2</v>
      </c>
      <c r="G14" s="54">
        <v>6.7099999999999993E-2</v>
      </c>
      <c r="I14" s="7" t="s">
        <v>537</v>
      </c>
      <c r="J14" s="710" t="s">
        <v>664</v>
      </c>
      <c r="K14" s="710"/>
      <c r="L14" s="710"/>
      <c r="M14" s="710"/>
      <c r="N14" s="710"/>
      <c r="O14" s="710"/>
      <c r="P14" s="710"/>
      <c r="Q14" s="710"/>
      <c r="R14" s="710"/>
      <c r="S14" s="710"/>
      <c r="U14" s="522" t="str">
        <f ca="1">IF(COUNTIF(ORÇAMENTO!$V$15:$V$105,BDI_1.Título)=0,"",IF(OR(Import.BDI.Tipo1="(SELECIONAR)",Import.BDI.Tipo1="",U17&lt;&gt;"",AND($J17&lt;&gt;$A$145,OR(S21="",S22="",AND($J17&lt;&gt;$A$146,OR(S23="",S24="")),S25="",S26=""))),"Falta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649</v>
      </c>
      <c r="C15" s="49" t="str">
        <f t="shared" si="0"/>
        <v>Construção de Redes de Abastecimento de Água, Coleta de Esgoto-SG</v>
      </c>
      <c r="E15" s="54">
        <v>2.8000000000000004E-3</v>
      </c>
      <c r="F15" s="54">
        <v>4.8999999999999998E-3</v>
      </c>
      <c r="G15" s="54">
        <v>7.4999999999999997E-3</v>
      </c>
      <c r="I15" s="7" t="s">
        <v>537</v>
      </c>
    </row>
    <row r="16" spans="1:21" x14ac:dyDescent="0.2">
      <c r="A16" s="49" t="str">
        <f>A15</f>
        <v>Construção de Redes de Abastecimento de Água, Coleta de Esgoto</v>
      </c>
      <c r="B16" s="53" t="s">
        <v>650</v>
      </c>
      <c r="C16" s="49" t="str">
        <f t="shared" si="0"/>
        <v>Construção de Redes de Abastecimento de Água, Coleta de Esgoto-R</v>
      </c>
      <c r="E16" s="54">
        <v>0.01</v>
      </c>
      <c r="F16" s="54">
        <v>1.3899999999999999E-2</v>
      </c>
      <c r="G16" s="54">
        <v>1.7399999999999999E-2</v>
      </c>
      <c r="I16" s="7" t="s">
        <v>537</v>
      </c>
      <c r="J16" s="708" t="s">
        <v>665</v>
      </c>
      <c r="K16" s="708"/>
      <c r="L16" s="708"/>
      <c r="M16" s="708"/>
      <c r="N16" s="708"/>
      <c r="O16" s="708"/>
      <c r="P16" s="708"/>
      <c r="Q16" s="708"/>
      <c r="R16" s="708"/>
      <c r="S16" s="708"/>
    </row>
    <row r="17" spans="1:26" ht="15" x14ac:dyDescent="0.25">
      <c r="A17" s="49" t="str">
        <f>A16</f>
        <v>Construção de Redes de Abastecimento de Água, Coleta de Esgoto</v>
      </c>
      <c r="B17" s="53" t="s">
        <v>654</v>
      </c>
      <c r="C17" s="49" t="str">
        <f t="shared" si="0"/>
        <v>Construção de Redes de Abastecimento de Água, Coleta de Esgoto-DF</v>
      </c>
      <c r="E17" s="54">
        <v>9.3999999999999986E-3</v>
      </c>
      <c r="F17" s="54">
        <v>9.8999999999999991E-3</v>
      </c>
      <c r="G17" s="54">
        <v>1.1699999999999999E-2</v>
      </c>
      <c r="I17" s="7" t="s">
        <v>537</v>
      </c>
      <c r="J17" s="709" t="s">
        <v>646</v>
      </c>
      <c r="K17" s="709"/>
      <c r="L17" s="709"/>
      <c r="M17" s="709"/>
      <c r="N17" s="709"/>
      <c r="O17" s="709"/>
      <c r="P17" s="709"/>
      <c r="Q17" s="709"/>
      <c r="R17" s="709"/>
      <c r="S17" s="709"/>
      <c r="T17" s="564" t="str">
        <f ca="1">IF(U17="","","◄")</f>
        <v/>
      </c>
      <c r="U17" s="563" t="str">
        <f ca="1">IF(AND(OR(S29&gt;0,COUNTIF(ORÇAMENTO!$V$15:$V$105,BDI_1.Título)&gt;0),OR(Import.BDI.Tipo1="(SELECIONAR)",Import.BDI.Tipo1="")),"Selecione o Tipo de obra","")</f>
        <v/>
      </c>
    </row>
    <row r="18" spans="1:26" x14ac:dyDescent="0.2">
      <c r="A18" s="49" t="str">
        <f>A17</f>
        <v>Construção de Redes de Abastecimento de Água, Coleta de Esgoto</v>
      </c>
      <c r="B18" s="53" t="s">
        <v>655</v>
      </c>
      <c r="C18" s="49" t="str">
        <f t="shared" si="0"/>
        <v>Construção de Redes de Abastecimento de Água, Coleta de Esgoto-L</v>
      </c>
      <c r="E18" s="54">
        <v>6.7400000000000002E-2</v>
      </c>
      <c r="F18" s="54">
        <v>8.0399999999999985E-2</v>
      </c>
      <c r="G18" s="54">
        <v>9.4E-2</v>
      </c>
      <c r="I18" s="7" t="s">
        <v>537</v>
      </c>
    </row>
    <row r="19" spans="1:26" ht="12.75" customHeight="1" x14ac:dyDescent="0.2">
      <c r="A19" s="49" t="str">
        <f>A18</f>
        <v>Construção de Redes de Abastecimento de Água, Coleta de Esgoto</v>
      </c>
      <c r="B19" s="58" t="s">
        <v>657</v>
      </c>
      <c r="C19" s="49" t="str">
        <f t="shared" si="0"/>
        <v>Construção de Redes de Abastecimento de Água, Coleta de Esgoto-BDI PAD</v>
      </c>
      <c r="E19" s="54">
        <v>0.20760000000000001</v>
      </c>
      <c r="F19" s="54">
        <v>0.24179999999999999</v>
      </c>
      <c r="G19" s="54">
        <v>0.26440000000000002</v>
      </c>
      <c r="I19" s="7" t="s">
        <v>537</v>
      </c>
      <c r="J19" s="707" t="s">
        <v>667</v>
      </c>
      <c r="K19" s="707"/>
      <c r="L19" s="707"/>
      <c r="M19" s="707"/>
      <c r="N19" s="707"/>
      <c r="O19" s="707"/>
      <c r="P19" s="707"/>
      <c r="Q19" s="707"/>
      <c r="R19" s="707" t="s">
        <v>668</v>
      </c>
      <c r="S19" s="699" t="s">
        <v>669</v>
      </c>
      <c r="U19" s="699" t="s">
        <v>670</v>
      </c>
      <c r="V19" s="699"/>
      <c r="W19" s="699"/>
      <c r="X19" s="706" t="s">
        <v>671</v>
      </c>
      <c r="Y19" s="706" t="s">
        <v>672</v>
      </c>
      <c r="Z19" s="706" t="s">
        <v>673</v>
      </c>
    </row>
    <row r="20" spans="1:26" ht="12.75" customHeight="1" x14ac:dyDescent="0.2">
      <c r="A20" s="49" t="s">
        <v>674</v>
      </c>
      <c r="B20" s="53" t="s">
        <v>647</v>
      </c>
      <c r="C20" s="49" t="str">
        <f t="shared" si="0"/>
        <v>Construção e Manutenção de Estações e Redes de Distribuição de Energia Elétrica-AC</v>
      </c>
      <c r="E20" s="54">
        <v>5.2900000000000003E-2</v>
      </c>
      <c r="F20" s="54">
        <v>5.9200000000000003E-2</v>
      </c>
      <c r="G20" s="54">
        <v>7.9299999999999995E-2</v>
      </c>
      <c r="I20" s="7" t="s">
        <v>537</v>
      </c>
      <c r="J20" s="707"/>
      <c r="K20" s="707"/>
      <c r="L20" s="707"/>
      <c r="M20" s="707"/>
      <c r="N20" s="707"/>
      <c r="O20" s="707"/>
      <c r="P20" s="707"/>
      <c r="Q20" s="707"/>
      <c r="R20" s="707"/>
      <c r="S20" s="699"/>
      <c r="U20" s="699"/>
      <c r="V20" s="699"/>
      <c r="W20" s="699"/>
      <c r="X20" s="706"/>
      <c r="Y20" s="706"/>
      <c r="Z20" s="706"/>
    </row>
    <row r="21" spans="1:26" ht="15" customHeight="1" x14ac:dyDescent="0.2">
      <c r="A21" s="49" t="str">
        <f>A20</f>
        <v>Construção e Manutenção de Estações e Redes de Distribuição de Energia Elétrica</v>
      </c>
      <c r="B21" s="53" t="s">
        <v>649</v>
      </c>
      <c r="C21" s="49" t="str">
        <f t="shared" si="0"/>
        <v>Construção e Manutenção de Estações e Redes de Distribuição de Energia Elétrica-SG</v>
      </c>
      <c r="E21" s="54">
        <v>2.5000000000000001E-3</v>
      </c>
      <c r="F21" s="54">
        <v>5.1000000000000004E-3</v>
      </c>
      <c r="G21" s="54">
        <v>5.6000000000000008E-3</v>
      </c>
      <c r="I21" s="7" t="s">
        <v>537</v>
      </c>
      <c r="J21" s="697" t="str">
        <f>IF($J$17=$A$146,"Encargos Sociais incidentes sobre a mão de obra","Administração Central")</f>
        <v>Administração Central</v>
      </c>
      <c r="K21" s="697"/>
      <c r="L21" s="697"/>
      <c r="M21" s="697"/>
      <c r="N21" s="697"/>
      <c r="O21" s="697"/>
      <c r="P21" s="697"/>
      <c r="Q21" s="697"/>
      <c r="R21" s="60" t="str">
        <f>IF($J17=$A$146,"K1","AC")</f>
        <v>AC</v>
      </c>
      <c r="S21" s="61">
        <v>5.5E-2</v>
      </c>
      <c r="T21" s="573" t="str">
        <f ca="1">IF(AND($U$14&lt;&gt;"",$U$17="",R21&lt;&gt;"",S21=""),"◄","")</f>
        <v/>
      </c>
      <c r="U21" s="698" t="str">
        <f ca="1">IFERROR(IF(T21="◄","FALTA PREENCHER",IF(AND(OR(S21&gt;=X21,X21="-"),OR(S21&lt;=Z21,Z21="-")),"OK","FORA DO INTERVALO")),"-")</f>
        <v>OK</v>
      </c>
      <c r="V21" s="698"/>
      <c r="W21" s="698"/>
      <c r="X21" s="62">
        <f>VLOOKUP(CONCATENATE(J17,"-",R21),$C$2:$G$136,3,FALSE)</f>
        <v>0.03</v>
      </c>
      <c r="Y21" s="62">
        <f>VLOOKUP(CONCATENATE(J17,"-",R21),$C$2:$G$136,4,FALSE)</f>
        <v>0.04</v>
      </c>
      <c r="Z21" s="62">
        <f>VLOOKUP(CONCATENATE(J17,"-",R21),$C$2:$G$136,5,FALSE)</f>
        <v>5.5E-2</v>
      </c>
    </row>
    <row r="22" spans="1:26" ht="15" customHeight="1" x14ac:dyDescent="0.2">
      <c r="A22" s="49" t="str">
        <f>A21</f>
        <v>Construção e Manutenção de Estações e Redes de Distribuição de Energia Elétrica</v>
      </c>
      <c r="B22" s="53" t="s">
        <v>650</v>
      </c>
      <c r="C22" s="49" t="str">
        <f t="shared" si="0"/>
        <v>Construção e Manutenção de Estações e Redes de Distribuição de Energia Elétrica-R</v>
      </c>
      <c r="E22" s="54">
        <v>0.01</v>
      </c>
      <c r="F22" s="54">
        <v>1.4800000000000001E-2</v>
      </c>
      <c r="G22" s="54">
        <v>1.9699999999999999E-2</v>
      </c>
      <c r="I22" s="7" t="s">
        <v>537</v>
      </c>
      <c r="J22" s="697" t="str">
        <f>IF($J$17=$A$146,"Administração Central da empresa ou consultoria - overhead","Seguro e Garantia")</f>
        <v>Seguro e Garantia</v>
      </c>
      <c r="K22" s="697"/>
      <c r="L22" s="697"/>
      <c r="M22" s="697"/>
      <c r="N22" s="697"/>
      <c r="O22" s="697"/>
      <c r="P22" s="697"/>
      <c r="Q22" s="697"/>
      <c r="R22" s="60" t="str">
        <f>IF($J17=$A$146,"K2","SG")</f>
        <v>SG</v>
      </c>
      <c r="S22" s="61">
        <v>0.01</v>
      </c>
      <c r="T22" s="573" t="str">
        <f t="shared" ref="T22:T26" ca="1" si="1">IF(AND($U$14&lt;&gt;"",$U$17="",R22&lt;&gt;"",S22=""),"◄","")</f>
        <v/>
      </c>
      <c r="U22" s="698" t="str">
        <f t="shared" ref="U22:U28" ca="1" si="2">IFERROR(IF(T22="◄","FALTA PREENCHER",IF(AND(OR(S22&gt;=X22,X22="-"),OR(S22&lt;=Z22,Z22="-")),"OK","FORA DO INTERVALO")),"-")</f>
        <v>OK</v>
      </c>
      <c r="V22" s="698"/>
      <c r="W22" s="698"/>
      <c r="X22" s="62">
        <f>VLOOKUP(CONCATENATE(J17,"-",R22),$C$2:$G$136,3,FALSE)</f>
        <v>8.0000000000000002E-3</v>
      </c>
      <c r="Y22" s="62">
        <f>VLOOKUP(CONCATENATE(J17,"-",R22),$C$2:$G$136,4,FALSE)</f>
        <v>8.0000000000000002E-3</v>
      </c>
      <c r="Z22" s="62">
        <f>VLOOKUP(CONCATENATE(J17,"-",R22),$C$2:$G$136,5,FALSE)</f>
        <v>0.01</v>
      </c>
    </row>
    <row r="23" spans="1:26" ht="15" customHeight="1" x14ac:dyDescent="0.2">
      <c r="A23" s="49" t="str">
        <f>A22</f>
        <v>Construção e Manutenção de Estações e Redes de Distribuição de Energia Elétrica</v>
      </c>
      <c r="B23" s="53" t="s">
        <v>654</v>
      </c>
      <c r="C23" s="49" t="str">
        <f t="shared" si="0"/>
        <v>Construção e Manutenção de Estações e Redes de Distribuição de Energia Elétrica-DF</v>
      </c>
      <c r="E23" s="54">
        <v>1.01E-2</v>
      </c>
      <c r="F23" s="54">
        <v>1.0700000000000001E-2</v>
      </c>
      <c r="G23" s="54">
        <v>1.11E-2</v>
      </c>
      <c r="I23" s="7" t="s">
        <v>537</v>
      </c>
      <c r="J23" s="697" t="s">
        <v>943</v>
      </c>
      <c r="K23" s="697"/>
      <c r="L23" s="697"/>
      <c r="M23" s="697"/>
      <c r="N23" s="697"/>
      <c r="O23" s="697"/>
      <c r="P23" s="697"/>
      <c r="Q23" s="697"/>
      <c r="R23" s="60" t="str">
        <f>IF($J17=$A$146,"","R")</f>
        <v>R</v>
      </c>
      <c r="S23" s="61">
        <v>1.2699999999999999E-2</v>
      </c>
      <c r="T23" s="573" t="str">
        <f t="shared" ca="1" si="1"/>
        <v/>
      </c>
      <c r="U23" s="698" t="str">
        <f t="shared" ca="1" si="2"/>
        <v>OK</v>
      </c>
      <c r="V23" s="698"/>
      <c r="W23" s="698"/>
      <c r="X23" s="62">
        <f>VLOOKUP(CONCATENATE(J17,"-",R23),$C$2:$G$136,3,FALSE)</f>
        <v>9.7000000000000003E-3</v>
      </c>
      <c r="Y23" s="62">
        <f>VLOOKUP(CONCATENATE(J17,"-",R23),$C$2:$G$136,4,FALSE)</f>
        <v>1.2699999999999999E-2</v>
      </c>
      <c r="Z23" s="62">
        <f>VLOOKUP(CONCATENATE(J17,"-",R23),$C$2:$G$136,5,FALSE)</f>
        <v>1.2699999999999999E-2</v>
      </c>
    </row>
    <row r="24" spans="1:26" ht="15" customHeight="1" x14ac:dyDescent="0.2">
      <c r="A24" s="49" t="str">
        <f>A23</f>
        <v>Construção e Manutenção de Estações e Redes de Distribuição de Energia Elétrica</v>
      </c>
      <c r="B24" s="53" t="s">
        <v>655</v>
      </c>
      <c r="C24" s="49" t="str">
        <f t="shared" si="0"/>
        <v>Construção e Manutenção de Estações e Redes de Distribuição de Energia Elétrica-L</v>
      </c>
      <c r="E24" s="54">
        <v>0.08</v>
      </c>
      <c r="F24" s="54">
        <v>8.3100000000000007E-2</v>
      </c>
      <c r="G24" s="54">
        <v>9.5100000000000004E-2</v>
      </c>
      <c r="I24" s="7" t="s">
        <v>537</v>
      </c>
      <c r="J24" s="697" t="s">
        <v>944</v>
      </c>
      <c r="K24" s="697"/>
      <c r="L24" s="697"/>
      <c r="M24" s="697"/>
      <c r="N24" s="697"/>
      <c r="O24" s="697"/>
      <c r="P24" s="697"/>
      <c r="Q24" s="697"/>
      <c r="R24" s="60" t="str">
        <f>IF($J17=$A$146,"","DF")</f>
        <v>DF</v>
      </c>
      <c r="S24" s="61">
        <v>1.3899999999999999E-2</v>
      </c>
      <c r="T24" s="573" t="str">
        <f t="shared" ca="1" si="1"/>
        <v/>
      </c>
      <c r="U24" s="698" t="str">
        <f t="shared" ca="1" si="2"/>
        <v>OK</v>
      </c>
      <c r="V24" s="698"/>
      <c r="W24" s="698"/>
      <c r="X24" s="62">
        <f>VLOOKUP(CONCATENATE(J17,"-",R24),$C$2:$G$136,3,FALSE)</f>
        <v>5.8999999999999999E-3</v>
      </c>
      <c r="Y24" s="62">
        <f>VLOOKUP(CONCATENATE(J17,"-",R24),$C$2:$G$136,4,FALSE)</f>
        <v>1.23E-2</v>
      </c>
      <c r="Z24" s="62">
        <f>VLOOKUP(CONCATENATE(J17,"-",R24),$C$2:$G$136,5,FALSE)</f>
        <v>1.3899999999999999E-2</v>
      </c>
    </row>
    <row r="25" spans="1:26" ht="15" customHeight="1" x14ac:dyDescent="0.2">
      <c r="A25" s="49" t="str">
        <f>A24</f>
        <v>Construção e Manutenção de Estações e Redes de Distribuição de Energia Elétrica</v>
      </c>
      <c r="B25" s="58" t="s">
        <v>657</v>
      </c>
      <c r="C25" s="49" t="str">
        <f t="shared" si="0"/>
        <v>Construção e Manutenção de Estações e Redes de Distribuição de Energia Elétrica-BDI PAD</v>
      </c>
      <c r="E25" s="54">
        <v>0.24</v>
      </c>
      <c r="F25" s="54">
        <v>0.25840000000000002</v>
      </c>
      <c r="G25" s="54">
        <v>0.27860000000000001</v>
      </c>
      <c r="I25" s="7" t="s">
        <v>537</v>
      </c>
      <c r="J25" s="697" t="str">
        <f>IF($J$17=$A$146,"Margem bruta da empresa de consultoria","Lucro")</f>
        <v>Lucro</v>
      </c>
      <c r="K25" s="697"/>
      <c r="L25" s="697"/>
      <c r="M25" s="697"/>
      <c r="N25" s="697"/>
      <c r="O25" s="697"/>
      <c r="P25" s="697"/>
      <c r="Q25" s="697"/>
      <c r="R25" s="60" t="str">
        <f>IF($J17=$A$146,"K3","L")</f>
        <v>L</v>
      </c>
      <c r="S25" s="61">
        <v>8.9599999999999999E-2</v>
      </c>
      <c r="T25" s="573" t="str">
        <f t="shared" ca="1" si="1"/>
        <v/>
      </c>
      <c r="U25" s="698" t="str">
        <f t="shared" ca="1" si="2"/>
        <v>OK</v>
      </c>
      <c r="V25" s="698"/>
      <c r="W25" s="698"/>
      <c r="X25" s="62">
        <f>VLOOKUP(CONCATENATE(J17,"-",R25),$C$2:$G$136,3,FALSE)</f>
        <v>6.1600000000000002E-2</v>
      </c>
      <c r="Y25" s="62">
        <f>VLOOKUP(CONCATENATE(J17,"-",R25),$C$2:$G$136,4,FALSE)</f>
        <v>7.400000000000001E-2</v>
      </c>
      <c r="Z25" s="62">
        <f>VLOOKUP(CONCATENATE(J17,"-",R25),$C$2:$G$136,5,FALSE)</f>
        <v>8.9600000000000013E-2</v>
      </c>
    </row>
    <row r="26" spans="1:26" ht="15" customHeight="1" x14ac:dyDescent="0.2">
      <c r="A26" s="49" t="s">
        <v>675</v>
      </c>
      <c r="B26" s="53" t="s">
        <v>647</v>
      </c>
      <c r="C26" s="49" t="str">
        <f t="shared" si="0"/>
        <v>Obras Portuárias, Marítimas e Fluviais-AC</v>
      </c>
      <c r="E26" s="54">
        <v>0.04</v>
      </c>
      <c r="F26" s="54">
        <v>5.5199999999999999E-2</v>
      </c>
      <c r="G26" s="54">
        <v>7.85E-2</v>
      </c>
      <c r="I26" s="7" t="s">
        <v>537</v>
      </c>
      <c r="J26" s="697" t="s">
        <v>676</v>
      </c>
      <c r="K26" s="697"/>
      <c r="L26" s="697"/>
      <c r="M26" s="697"/>
      <c r="N26" s="697"/>
      <c r="O26" s="697"/>
      <c r="P26" s="697"/>
      <c r="Q26" s="697"/>
      <c r="R26" s="60" t="s">
        <v>457</v>
      </c>
      <c r="S26" s="61">
        <v>3.6499999999999998E-2</v>
      </c>
      <c r="T26" s="573" t="str">
        <f t="shared" ca="1" si="1"/>
        <v/>
      </c>
      <c r="U26" s="698" t="str">
        <f t="shared" ca="1" si="2"/>
        <v>OK</v>
      </c>
      <c r="V26" s="698"/>
      <c r="W26" s="698"/>
      <c r="X26" s="62">
        <f>Y26</f>
        <v>3.6499999999999998E-2</v>
      </c>
      <c r="Y26" s="62">
        <f>IF($J17=$A$145,"-",3.65%)</f>
        <v>3.6499999999999998E-2</v>
      </c>
      <c r="Z26" s="62">
        <f>Y26</f>
        <v>3.6499999999999998E-2</v>
      </c>
    </row>
    <row r="27" spans="1:26" ht="15" customHeight="1" x14ac:dyDescent="0.2">
      <c r="A27" s="49" t="str">
        <f>A26</f>
        <v>Obras Portuárias, Marítimas e Fluviais</v>
      </c>
      <c r="B27" s="53" t="s">
        <v>649</v>
      </c>
      <c r="C27" s="49" t="str">
        <f t="shared" si="0"/>
        <v>Obras Portuárias, Marítimas e Fluviais-SG</v>
      </c>
      <c r="E27" s="54">
        <v>8.1000000000000013E-3</v>
      </c>
      <c r="F27" s="54">
        <v>1.2199999999999999E-2</v>
      </c>
      <c r="G27" s="54">
        <v>1.9900000000000001E-2</v>
      </c>
      <c r="I27" s="7" t="s">
        <v>537</v>
      </c>
      <c r="J27" s="697" t="s">
        <v>677</v>
      </c>
      <c r="K27" s="697"/>
      <c r="L27" s="697"/>
      <c r="M27" s="697"/>
      <c r="N27" s="697"/>
      <c r="O27" s="697"/>
      <c r="P27" s="697"/>
      <c r="Q27" s="697"/>
      <c r="R27" s="60" t="s">
        <v>678</v>
      </c>
      <c r="S27" s="62">
        <f ca="1">IF(AND($J17&lt;&gt;$A$145,COUNTA(OFFSET(S20,1,0,6))&gt;0),$R$11*$R$10,0)</f>
        <v>8.9999999999999998E-4</v>
      </c>
      <c r="U27" s="698" t="str">
        <f t="shared" ca="1" si="2"/>
        <v>OK</v>
      </c>
      <c r="V27" s="698"/>
      <c r="W27" s="698"/>
      <c r="X27" s="62">
        <v>0</v>
      </c>
      <c r="Y27" s="62">
        <v>2.5000000000000001E-2</v>
      </c>
      <c r="Z27" s="62">
        <v>0.05</v>
      </c>
    </row>
    <row r="28" spans="1:26" ht="15" customHeight="1" x14ac:dyDescent="0.2">
      <c r="A28" s="49" t="str">
        <f>A27</f>
        <v>Obras Portuárias, Marítimas e Fluviais</v>
      </c>
      <c r="B28" s="53" t="s">
        <v>650</v>
      </c>
      <c r="C28" s="49" t="str">
        <f t="shared" si="0"/>
        <v>Obras Portuárias, Marítimas e Fluviais-R</v>
      </c>
      <c r="E28" s="54">
        <v>1.46E-2</v>
      </c>
      <c r="F28" s="54">
        <v>2.3199999999999998E-2</v>
      </c>
      <c r="G28" s="54">
        <v>3.1600000000000003E-2</v>
      </c>
      <c r="I28" s="7" t="s">
        <v>537</v>
      </c>
      <c r="J28" s="697" t="s">
        <v>679</v>
      </c>
      <c r="K28" s="697"/>
      <c r="L28" s="697"/>
      <c r="M28" s="697"/>
      <c r="N28" s="697"/>
      <c r="O28" s="697"/>
      <c r="P28" s="697"/>
      <c r="Q28" s="697"/>
      <c r="R28" s="60" t="s">
        <v>680</v>
      </c>
      <c r="S28" s="62" cm="1">
        <f t="array" aca="1" ref="S28" ca="1">IF(BDI.Opcao&lt;&gt;"Desonerado",0,IF(AND($J17&lt;&gt;$A$145,COUNTA(OFFSET(S20,1,0,6))&gt;0),IF(YEAR(Import.DataBase)&lt;2025,4.5%,IF(YEAR(Import.DataBase)=2025,3.6%,IF(YEAR(Import.DataBase)=2026,2.7%,IF(YEAR(Import.DataBase)=2027,1.8%,0%)))),0%))</f>
        <v>2.7000000000000003E-2</v>
      </c>
      <c r="U28" s="698" t="str">
        <f t="shared" ca="1" si="2"/>
        <v>OK</v>
      </c>
      <c r="V28" s="698"/>
      <c r="W28" s="698"/>
      <c r="X28" s="63">
        <f ca="1">$S28</f>
        <v>2.7000000000000003E-2</v>
      </c>
      <c r="Y28" s="63">
        <f ca="1">$S28</f>
        <v>2.7000000000000003E-2</v>
      </c>
      <c r="Z28" s="63">
        <f ca="1">$S28</f>
        <v>2.7000000000000003E-2</v>
      </c>
    </row>
    <row r="29" spans="1:26" ht="15" customHeight="1" x14ac:dyDescent="0.2">
      <c r="A29" s="49" t="str">
        <f>A28</f>
        <v>Obras Portuárias, Marítimas e Fluviais</v>
      </c>
      <c r="B29" s="53" t="s">
        <v>654</v>
      </c>
      <c r="C29" s="49" t="str">
        <f t="shared" si="0"/>
        <v>Obras Portuárias, Marítimas e Fluviais-DF</v>
      </c>
      <c r="E29" s="54">
        <v>9.3999999999999986E-3</v>
      </c>
      <c r="F29" s="54">
        <v>1.0200000000000001E-2</v>
      </c>
      <c r="G29" s="54">
        <v>1.3300000000000001E-2</v>
      </c>
      <c r="I29" s="7" t="s">
        <v>537</v>
      </c>
      <c r="J29" s="697" t="s">
        <v>681</v>
      </c>
      <c r="K29" s="697"/>
      <c r="L29" s="697"/>
      <c r="M29" s="697"/>
      <c r="N29" s="697"/>
      <c r="O29" s="697"/>
      <c r="P29" s="697"/>
      <c r="Q29" s="697"/>
      <c r="R29" s="64" t="s">
        <v>657</v>
      </c>
      <c r="S29" s="62">
        <f ca="1">IF($J17=$A$145,0,ROUND((((1+S21+S22+S23)*(1+S24)*(1+S25)/(1-(S26+S27)))-1),4))</f>
        <v>0.23680000000000001</v>
      </c>
      <c r="U29" s="699" t="str">
        <f ca="1">IFERROR(IF(AND(OR(S29&gt;=X29,X29="-"),OR(S29&lt;=Z29,Z29="-")),"OK","FORA DO INTERVALO"),IF(S29=0,"OK","Selecione o Tipo de obra"))</f>
        <v>OK</v>
      </c>
      <c r="V29" s="699"/>
      <c r="W29" s="699"/>
      <c r="X29" s="62">
        <f>IF($J17=$A$145,0,VLOOKUP(CONCATENATE($J17,"-",$R29),$C$2:$G$136,3,FALSE))</f>
        <v>0.2034</v>
      </c>
      <c r="Y29" s="62">
        <f>IF($J17=$A$145,0,VLOOKUP(CONCATENATE($J17,"-",$R29),$C$2:$G$136,4,FALSE))</f>
        <v>0.22120000000000001</v>
      </c>
      <c r="Z29" s="62">
        <f>IF($J17=$A$145,0,VLOOKUP(CONCATENATE($J17,"-",$R29),$C$2:$G$136,5,FALSE))</f>
        <v>0.25</v>
      </c>
    </row>
    <row r="30" spans="1:26" ht="15" customHeight="1" x14ac:dyDescent="0.2">
      <c r="A30" s="49" t="str">
        <f>A29</f>
        <v>Obras Portuárias, Marítimas e Fluviais</v>
      </c>
      <c r="B30" s="53" t="s">
        <v>655</v>
      </c>
      <c r="C30" s="49" t="str">
        <f t="shared" si="0"/>
        <v>Obras Portuárias, Marítimas e Fluviais-L</v>
      </c>
      <c r="E30" s="54">
        <v>7.1399999999999991E-2</v>
      </c>
      <c r="F30" s="54">
        <v>8.4000000000000005E-2</v>
      </c>
      <c r="G30" s="54">
        <v>0.1043</v>
      </c>
      <c r="I30" s="7" t="s">
        <v>537</v>
      </c>
      <c r="J30" s="700" t="s">
        <v>682</v>
      </c>
      <c r="K30" s="700"/>
      <c r="L30" s="700"/>
      <c r="M30" s="700"/>
      <c r="N30" s="700"/>
      <c r="O30" s="700"/>
      <c r="P30" s="700"/>
      <c r="Q30" s="700"/>
      <c r="R30" s="65" t="s">
        <v>683</v>
      </c>
      <c r="S30" s="66">
        <f ca="1">IF($J17=$A$145,0,ROUND((((1+S21+S22+S23)*(1+S24)*(1+S25)/(1-(S26+S27+S28)))-1),4))</f>
        <v>0.27250000000000002</v>
      </c>
    </row>
    <row r="31" spans="1:26" ht="15" customHeight="1" x14ac:dyDescent="0.2">
      <c r="A31" s="49" t="str">
        <f>A30</f>
        <v>Obras Portuárias, Marítimas e Fluviais</v>
      </c>
      <c r="B31" s="58" t="s">
        <v>657</v>
      </c>
      <c r="C31" s="49" t="str">
        <f t="shared" si="0"/>
        <v>Obras Portuárias, Marítimas e Fluviais-BDI PAD</v>
      </c>
      <c r="E31" s="54">
        <v>0.22800000000000001</v>
      </c>
      <c r="F31" s="54">
        <v>0.27479999999999999</v>
      </c>
      <c r="G31" s="54">
        <v>0.3095</v>
      </c>
      <c r="I31" s="7" t="s">
        <v>537</v>
      </c>
    </row>
    <row r="32" spans="1:26" ht="15.75" x14ac:dyDescent="0.2">
      <c r="A32" s="49" t="s">
        <v>666</v>
      </c>
      <c r="B32" s="53" t="s">
        <v>647</v>
      </c>
      <c r="C32" s="49" t="str">
        <f t="shared" si="0"/>
        <v>Fornecimento de Materiais e Equipamentos (aquisição indireta - em conjunto com licitação de obras)-AC</v>
      </c>
      <c r="E32" s="54">
        <v>1.4999999999999999E-2</v>
      </c>
      <c r="F32" s="54">
        <v>3.4500000000000003E-2</v>
      </c>
      <c r="G32" s="54">
        <v>4.4900000000000002E-2</v>
      </c>
      <c r="I32" s="7" t="s">
        <v>537</v>
      </c>
      <c r="J32" s="67" t="str">
        <f ca="1">IF(U29&lt;&gt;"ok","X","")</f>
        <v/>
      </c>
      <c r="K32" s="701" t="str">
        <f ca="1">IF(U29&lt;&gt;"ok","Anexo: Relatório Técnico Circunstanciado justificando a adoção do percentual de cada parcela do BDI.","")</f>
        <v/>
      </c>
      <c r="L32" s="701"/>
      <c r="M32" s="701"/>
      <c r="N32" s="701"/>
      <c r="O32" s="701"/>
      <c r="P32" s="701"/>
      <c r="Q32" s="701"/>
      <c r="R32" s="701"/>
      <c r="S32" s="701"/>
    </row>
    <row r="33" spans="1:19" x14ac:dyDescent="0.2">
      <c r="A33" s="49" t="str">
        <f>A32</f>
        <v>Fornecimento de Materiais e Equipamentos (aquisição indireta - em conjunto com licitação de obras)</v>
      </c>
      <c r="B33" s="53" t="s">
        <v>649</v>
      </c>
      <c r="C33" s="49" t="str">
        <f t="shared" si="0"/>
        <v>Fornecimento de Materiais e Equipamentos (aquisição indireta - em conjunto com licitação de obras)-SG</v>
      </c>
      <c r="E33" s="54">
        <v>3.0000000000000001E-3</v>
      </c>
      <c r="F33" s="54">
        <v>4.7999999999999996E-3</v>
      </c>
      <c r="G33" s="54">
        <v>8.199999999999999E-3</v>
      </c>
      <c r="I33" s="7" t="s">
        <v>537</v>
      </c>
    </row>
    <row r="34" spans="1:19" x14ac:dyDescent="0.2">
      <c r="A34" s="49" t="str">
        <f>A33</f>
        <v>Fornecimento de Materiais e Equipamentos (aquisição indireta - em conjunto com licitação de obras)</v>
      </c>
      <c r="B34" s="53" t="s">
        <v>650</v>
      </c>
      <c r="C34" s="49" t="str">
        <f t="shared" si="0"/>
        <v>Fornecimento de Materiais e Equipamentos (aquisição indireta - em conjunto com licitação de obras)-R</v>
      </c>
      <c r="E34" s="54">
        <v>5.6000000000000008E-3</v>
      </c>
      <c r="F34" s="54">
        <v>8.5000000000000006E-3</v>
      </c>
      <c r="G34" s="54">
        <v>8.8999999999999999E-3</v>
      </c>
      <c r="I34" s="7" t="s">
        <v>537</v>
      </c>
      <c r="J34" s="702" t="s">
        <v>684</v>
      </c>
      <c r="K34" s="702"/>
      <c r="L34" s="702"/>
      <c r="M34" s="702"/>
      <c r="N34" s="702"/>
      <c r="O34" s="702"/>
      <c r="P34" s="702"/>
      <c r="Q34" s="702"/>
      <c r="R34" s="702"/>
      <c r="S34" s="702"/>
    </row>
    <row r="35" spans="1:19" ht="15.75" x14ac:dyDescent="0.25">
      <c r="A35" s="49" t="str">
        <f>A34</f>
        <v>Fornecimento de Materiais e Equipamentos (aquisição indireta - em conjunto com licitação de obras)</v>
      </c>
      <c r="B35" s="53" t="s">
        <v>654</v>
      </c>
      <c r="C35" s="49" t="str">
        <f t="shared" si="0"/>
        <v>Fornecimento de Materiais e Equipamentos (aquisição indireta - em conjunto com licitação de obras)-DF</v>
      </c>
      <c r="E35" s="54">
        <v>8.5000000000000006E-3</v>
      </c>
      <c r="F35" s="54">
        <v>8.5000000000000006E-3</v>
      </c>
      <c r="G35" s="54">
        <v>1.11E-2</v>
      </c>
      <c r="I35" s="7" t="s">
        <v>537</v>
      </c>
      <c r="J35" s="68"/>
      <c r="K35" s="68"/>
      <c r="L35" s="68"/>
      <c r="M35" s="703" t="s">
        <v>685</v>
      </c>
      <c r="N35" s="704" t="str">
        <f>IF($J17=$A$146,"(1+K1+K2)*(1+K3)","(1+AC + S + R + G)*(1 + DF)*(1+L)")</f>
        <v>(1+AC + S + R + G)*(1 + DF)*(1+L)</v>
      </c>
      <c r="O35" s="704"/>
      <c r="P35" s="704"/>
      <c r="Q35" s="705" t="s">
        <v>686</v>
      </c>
      <c r="R35" s="68"/>
      <c r="S35" s="68"/>
    </row>
    <row r="36" spans="1:19" ht="15.75" x14ac:dyDescent="0.2">
      <c r="A36" s="49" t="str">
        <f>A35</f>
        <v>Fornecimento de Materiais e Equipamentos (aquisição indireta - em conjunto com licitação de obras)</v>
      </c>
      <c r="B36" s="53" t="s">
        <v>655</v>
      </c>
      <c r="C36" s="49" t="str">
        <f t="shared" si="0"/>
        <v>Fornecimento de Materiais e Equipamentos (aquisição indireta - em conjunto com licitação de obras)-L</v>
      </c>
      <c r="E36" s="54">
        <v>3.5000000000000003E-2</v>
      </c>
      <c r="F36" s="54">
        <v>5.1100000000000007E-2</v>
      </c>
      <c r="G36" s="54">
        <v>6.2199999999999998E-2</v>
      </c>
      <c r="I36" s="7" t="s">
        <v>537</v>
      </c>
      <c r="J36" s="68"/>
      <c r="K36" s="68"/>
      <c r="L36" s="68"/>
      <c r="M36" s="703"/>
      <c r="N36" s="696" t="s">
        <v>687</v>
      </c>
      <c r="O36" s="696"/>
      <c r="P36" s="696"/>
      <c r="Q36" s="705"/>
      <c r="R36" s="68"/>
      <c r="S36" s="68"/>
    </row>
    <row r="37" spans="1:19" ht="15" customHeight="1" x14ac:dyDescent="0.2">
      <c r="A37" s="49" t="str">
        <f>A36</f>
        <v>Fornecimento de Materiais e Equipamentos (aquisição indireta - em conjunto com licitação de obras)</v>
      </c>
      <c r="B37" s="58" t="s">
        <v>657</v>
      </c>
      <c r="C37" s="49" t="str">
        <f t="shared" si="0"/>
        <v>Fornecimento de Materiais e Equipamentos (aquisição indireta - em conjunto com licitação de obras)-BDI PAD</v>
      </c>
      <c r="E37" s="54">
        <v>0.111</v>
      </c>
      <c r="F37" s="54">
        <v>0.14019999999999999</v>
      </c>
      <c r="G37" s="54">
        <v>0.16800000000000001</v>
      </c>
      <c r="I37" s="7" t="s">
        <v>537</v>
      </c>
      <c r="J37" s="72"/>
      <c r="K37" s="72"/>
      <c r="L37" s="72"/>
      <c r="M37" s="72"/>
      <c r="N37" s="72"/>
      <c r="O37" s="72"/>
      <c r="P37" s="72"/>
      <c r="Q37" s="72"/>
      <c r="R37" s="72"/>
      <c r="S37" s="72"/>
    </row>
    <row r="38" spans="1:19" ht="50.1" customHeight="1" x14ac:dyDescent="0.2">
      <c r="A38" s="49" t="s">
        <v>688</v>
      </c>
      <c r="B38" s="58" t="s">
        <v>647</v>
      </c>
      <c r="C38" s="49" t="str">
        <f t="shared" si="0"/>
        <v>Fornecimento de Materiais e Equipamentos (aquisição direta)-AC</v>
      </c>
      <c r="E38" s="54" t="s">
        <v>689</v>
      </c>
      <c r="F38" s="54" t="s">
        <v>689</v>
      </c>
      <c r="G38" s="54" t="s">
        <v>689</v>
      </c>
      <c r="I38" t="s">
        <v>537</v>
      </c>
      <c r="J38" s="690"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3%, com a respectiva alíquota de 3%.</v>
      </c>
      <c r="K38" s="690"/>
      <c r="L38" s="690"/>
      <c r="M38" s="690"/>
      <c r="N38" s="690"/>
      <c r="O38" s="690"/>
      <c r="P38" s="690"/>
      <c r="Q38" s="690"/>
      <c r="R38" s="690"/>
      <c r="S38" s="690"/>
    </row>
    <row r="39" spans="1:19" x14ac:dyDescent="0.2">
      <c r="A39" s="49" t="s">
        <v>688</v>
      </c>
      <c r="B39" s="58" t="s">
        <v>649</v>
      </c>
      <c r="C39" s="49" t="str">
        <f t="shared" si="0"/>
        <v>Fornecimento de Materiais e Equipamentos (aquisição direta)-SG</v>
      </c>
      <c r="E39" s="54" t="s">
        <v>689</v>
      </c>
      <c r="F39" s="54" t="s">
        <v>689</v>
      </c>
      <c r="G39" s="54" t="s">
        <v>689</v>
      </c>
      <c r="I39" t="s">
        <v>537</v>
      </c>
    </row>
    <row r="40" spans="1:19" ht="50.1" customHeight="1" x14ac:dyDescent="0.2">
      <c r="A40" s="49" t="s">
        <v>688</v>
      </c>
      <c r="B40" s="58" t="s">
        <v>650</v>
      </c>
      <c r="C40" s="49" t="str">
        <f t="shared" si="0"/>
        <v>Fornecimento de Materiais e Equipamentos (aquisição direta)-R</v>
      </c>
      <c r="E40" s="54" t="s">
        <v>689</v>
      </c>
      <c r="F40" s="54" t="s">
        <v>689</v>
      </c>
      <c r="G40" s="54" t="s">
        <v>689</v>
      </c>
      <c r="I40" t="s">
        <v>537</v>
      </c>
      <c r="J40" s="690"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40" s="690"/>
      <c r="L40" s="690"/>
      <c r="M40" s="690"/>
      <c r="N40" s="690"/>
      <c r="O40" s="690"/>
      <c r="P40" s="690"/>
      <c r="Q40" s="690"/>
      <c r="R40" s="690"/>
      <c r="S40" s="690"/>
    </row>
    <row r="41" spans="1:19" x14ac:dyDescent="0.2">
      <c r="A41" s="49" t="s">
        <v>688</v>
      </c>
      <c r="B41" s="58" t="s">
        <v>654</v>
      </c>
      <c r="C41" s="49" t="str">
        <f t="shared" si="0"/>
        <v>Fornecimento de Materiais e Equipamentos (aquisição direta)-DF</v>
      </c>
      <c r="E41" s="54" t="s">
        <v>689</v>
      </c>
      <c r="F41" s="54" t="s">
        <v>689</v>
      </c>
      <c r="G41" s="54" t="s">
        <v>689</v>
      </c>
      <c r="I41" t="s">
        <v>537</v>
      </c>
    </row>
    <row r="42" spans="1:19" x14ac:dyDescent="0.2">
      <c r="A42" s="49" t="s">
        <v>688</v>
      </c>
      <c r="B42" s="58" t="s">
        <v>655</v>
      </c>
      <c r="C42" s="49" t="str">
        <f t="shared" si="0"/>
        <v>Fornecimento de Materiais e Equipamentos (aquisição direta)-L</v>
      </c>
      <c r="E42" s="54" t="s">
        <v>689</v>
      </c>
      <c r="F42" s="54" t="s">
        <v>689</v>
      </c>
      <c r="G42" s="54" t="s">
        <v>689</v>
      </c>
      <c r="I42" t="s">
        <v>537</v>
      </c>
      <c r="J42" s="49" t="s">
        <v>690</v>
      </c>
    </row>
    <row r="43" spans="1:19" ht="99.95" customHeight="1" x14ac:dyDescent="0.2">
      <c r="A43" s="49" t="s">
        <v>688</v>
      </c>
      <c r="B43" s="58" t="s">
        <v>657</v>
      </c>
      <c r="C43" s="49" t="str">
        <f t="shared" si="0"/>
        <v>Fornecimento de Materiais e Equipamentos (aquisição direta)-BDI PAD</v>
      </c>
      <c r="E43" s="54" t="s">
        <v>689</v>
      </c>
      <c r="F43" s="54" t="s">
        <v>689</v>
      </c>
      <c r="G43" s="54" t="s">
        <v>689</v>
      </c>
      <c r="I43" t="s">
        <v>537</v>
      </c>
      <c r="J43" s="691"/>
      <c r="K43" s="691"/>
      <c r="L43" s="691"/>
      <c r="M43" s="691"/>
      <c r="N43" s="691"/>
      <c r="O43" s="691"/>
      <c r="P43" s="691"/>
      <c r="Q43" s="691"/>
      <c r="R43" s="691"/>
      <c r="S43" s="691"/>
    </row>
    <row r="44" spans="1:19" x14ac:dyDescent="0.2">
      <c r="A44" s="49" t="s">
        <v>691</v>
      </c>
      <c r="B44" s="53" t="s">
        <v>692</v>
      </c>
      <c r="C44" s="49" t="str">
        <f t="shared" si="0"/>
        <v>Estudos e Projetos, Planos e Gerenciamento e outros correlatos-K1</v>
      </c>
      <c r="E44" s="54" t="s">
        <v>689</v>
      </c>
      <c r="F44" s="54" t="s">
        <v>689</v>
      </c>
      <c r="G44" s="54" t="s">
        <v>689</v>
      </c>
      <c r="I44" t="s">
        <v>537</v>
      </c>
    </row>
    <row r="45" spans="1:19" x14ac:dyDescent="0.2">
      <c r="A45" s="49" t="str">
        <f>A44</f>
        <v>Estudos e Projetos, Planos e Gerenciamento e outros correlatos</v>
      </c>
      <c r="B45" s="53" t="s">
        <v>693</v>
      </c>
      <c r="C45" s="49" t="str">
        <f t="shared" si="0"/>
        <v>Estudos e Projetos, Planos e Gerenciamento e outros correlatos-K2</v>
      </c>
      <c r="E45" s="54" t="s">
        <v>689</v>
      </c>
      <c r="F45" s="54">
        <v>0.2</v>
      </c>
      <c r="G45" s="54" t="s">
        <v>689</v>
      </c>
      <c r="I45" t="s">
        <v>537</v>
      </c>
      <c r="J45" s="692" t="str">
        <f>Import.Município</f>
        <v>RODEIO BONITO/RS</v>
      </c>
      <c r="K45" s="692"/>
      <c r="L45" s="692"/>
      <c r="M45" s="692"/>
      <c r="P45" s="693">
        <f>DADOS!$C$25</f>
        <v>46254</v>
      </c>
      <c r="Q45" s="693"/>
      <c r="R45" s="693"/>
      <c r="S45" s="693"/>
    </row>
    <row r="46" spans="1:19" x14ac:dyDescent="0.2">
      <c r="A46" s="49" t="str">
        <f>A45</f>
        <v>Estudos e Projetos, Planos e Gerenciamento e outros correlatos</v>
      </c>
      <c r="B46" s="53"/>
      <c r="C46" s="49" t="str">
        <f t="shared" si="0"/>
        <v>Estudos e Projetos, Planos e Gerenciamento e outros correlatos-</v>
      </c>
      <c r="E46" s="54" t="s">
        <v>689</v>
      </c>
      <c r="F46" s="54" t="s">
        <v>689</v>
      </c>
      <c r="G46" s="54" t="s">
        <v>689</v>
      </c>
      <c r="I46" t="s">
        <v>537</v>
      </c>
      <c r="J46" s="694" t="s">
        <v>694</v>
      </c>
      <c r="K46" s="694"/>
      <c r="L46" s="694"/>
      <c r="M46" s="694"/>
      <c r="O46" s="73"/>
      <c r="P46" s="74" t="s">
        <v>695</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689</v>
      </c>
      <c r="F47" s="54" t="s">
        <v>689</v>
      </c>
      <c r="G47" s="54" t="s">
        <v>689</v>
      </c>
      <c r="I47" t="s">
        <v>537</v>
      </c>
    </row>
    <row r="48" spans="1:19" ht="15" x14ac:dyDescent="0.2">
      <c r="A48" s="49" t="str">
        <f>A47</f>
        <v>Estudos e Projetos, Planos e Gerenciamento e outros correlatos</v>
      </c>
      <c r="B48" s="53" t="s">
        <v>696</v>
      </c>
      <c r="C48" s="49" t="str">
        <f t="shared" si="0"/>
        <v>Estudos e Projetos, Planos e Gerenciamento e outros correlatos-K3</v>
      </c>
      <c r="E48" s="54" t="s">
        <v>689</v>
      </c>
      <c r="F48" s="54">
        <v>0.12</v>
      </c>
      <c r="G48" s="54" t="s">
        <v>689</v>
      </c>
      <c r="I48" t="s">
        <v>537</v>
      </c>
      <c r="J48" s="695"/>
      <c r="K48" s="695"/>
      <c r="L48" s="695"/>
      <c r="M48" s="695"/>
      <c r="N48" s="76"/>
    </row>
    <row r="49" spans="1:26" ht="12.75" customHeight="1" x14ac:dyDescent="0.2">
      <c r="A49" s="49" t="str">
        <f>A48</f>
        <v>Estudos e Projetos, Planos e Gerenciamento e outros correlatos</v>
      </c>
      <c r="B49" s="58" t="s">
        <v>657</v>
      </c>
      <c r="C49" s="49" t="str">
        <f t="shared" si="0"/>
        <v>Estudos e Projetos, Planos e Gerenciamento e outros correlatos-BDI PAD</v>
      </c>
      <c r="E49" s="54" t="s">
        <v>689</v>
      </c>
      <c r="F49" s="54" t="s">
        <v>689</v>
      </c>
      <c r="G49" s="54" t="s">
        <v>689</v>
      </c>
      <c r="I49" t="s">
        <v>537</v>
      </c>
      <c r="J49" s="689" t="s">
        <v>697</v>
      </c>
      <c r="K49" s="689"/>
      <c r="L49" s="689"/>
      <c r="M49" s="689"/>
    </row>
    <row r="50" spans="1:26" ht="14.25" x14ac:dyDescent="0.2">
      <c r="B50" s="58"/>
      <c r="E50" s="54"/>
      <c r="F50" s="54"/>
      <c r="G50" s="54"/>
      <c r="I50" t="s">
        <v>537</v>
      </c>
      <c r="J50" s="77" t="s">
        <v>240</v>
      </c>
      <c r="K50" s="78" t="str">
        <f t="array" ref="K50:K52">Import.RespOrçamento</f>
        <v>VIVIANE CARBONI TAFFAREL LUCAS</v>
      </c>
      <c r="L50" s="79"/>
      <c r="M50" s="79"/>
      <c r="N50" s="76"/>
    </row>
    <row r="51" spans="1:26" ht="14.25" x14ac:dyDescent="0.2">
      <c r="A51"/>
      <c r="B51"/>
      <c r="C51"/>
      <c r="D51"/>
      <c r="E51"/>
      <c r="F51"/>
      <c r="G51"/>
      <c r="I51" t="s">
        <v>537</v>
      </c>
      <c r="J51" s="77" t="s">
        <v>243</v>
      </c>
      <c r="K51" s="78" t="str">
        <v>247947</v>
      </c>
      <c r="L51" s="79"/>
      <c r="M51" s="79"/>
      <c r="N51" s="76"/>
    </row>
    <row r="52" spans="1:26" ht="14.25" x14ac:dyDescent="0.2">
      <c r="A52"/>
      <c r="B52"/>
      <c r="C52"/>
      <c r="D52"/>
      <c r="E52"/>
      <c r="F52"/>
      <c r="G52"/>
      <c r="I52" t="s">
        <v>537</v>
      </c>
      <c r="J52" s="77" t="s">
        <v>246</v>
      </c>
      <c r="K52" s="78" t="str">
        <v>0</v>
      </c>
      <c r="L52" s="79"/>
      <c r="M52" s="79"/>
      <c r="N52" s="76"/>
    </row>
    <row r="53" spans="1:26" ht="14.25" x14ac:dyDescent="0.2">
      <c r="A53"/>
      <c r="B53"/>
      <c r="C53"/>
      <c r="D53"/>
      <c r="E53"/>
      <c r="F53"/>
      <c r="G53"/>
      <c r="I53" t="s">
        <v>537</v>
      </c>
      <c r="J53" s="77"/>
      <c r="K53" s="80"/>
      <c r="L53" s="79"/>
      <c r="M53" s="79"/>
      <c r="N53" s="76"/>
    </row>
    <row r="54" spans="1:26" ht="15.75" x14ac:dyDescent="0.25">
      <c r="A54"/>
      <c r="B54"/>
      <c r="C54"/>
      <c r="D54"/>
      <c r="E54"/>
      <c r="F54"/>
      <c r="G54"/>
      <c r="I54" t="str">
        <f ca="1">IF($S$69=0,"","F")</f>
        <v/>
      </c>
      <c r="J54" s="710" t="s">
        <v>698</v>
      </c>
      <c r="K54" s="710"/>
      <c r="L54" s="710"/>
      <c r="M54" s="710"/>
      <c r="N54" s="710"/>
      <c r="O54" s="710"/>
      <c r="P54" s="710"/>
      <c r="Q54" s="710"/>
      <c r="R54" s="710"/>
      <c r="S54" s="710"/>
      <c r="U54" s="522" t="str">
        <f>IF(COUNTIF(ORÇAMENTO!$V$15:$V$105,BDI_2.Título)=0,"",IF(OR(Import.BDI.Tipo2="(SELECIONAR)",Import.BDI.Tipo2="",U57&lt;&gt;"",AND($J57&lt;&gt;$A$145,OR(S61="",S62="",AND($J57&lt;&gt;$A$146,OR(S63="",S64="")),S65="",S66=""))),"Falta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708" t="s">
        <v>665</v>
      </c>
      <c r="K56" s="708"/>
      <c r="L56" s="708"/>
      <c r="M56" s="708"/>
      <c r="N56" s="708"/>
      <c r="O56" s="708"/>
      <c r="P56" s="708"/>
      <c r="Q56" s="708"/>
      <c r="R56" s="708"/>
      <c r="S56" s="708"/>
    </row>
    <row r="57" spans="1:26" ht="15" x14ac:dyDescent="0.25">
      <c r="A57"/>
      <c r="B57"/>
      <c r="C57"/>
      <c r="D57"/>
      <c r="E57"/>
      <c r="F57"/>
      <c r="G57"/>
      <c r="I57" t="str">
        <f t="shared" ca="1" si="3"/>
        <v/>
      </c>
      <c r="J57" s="709" t="s">
        <v>139</v>
      </c>
      <c r="K57" s="709"/>
      <c r="L57" s="709"/>
      <c r="M57" s="709"/>
      <c r="N57" s="709"/>
      <c r="O57" s="709"/>
      <c r="P57" s="709"/>
      <c r="Q57" s="709"/>
      <c r="R57" s="709"/>
      <c r="S57" s="709"/>
      <c r="T57" s="564" t="str">
        <f ca="1">IF(U57="","","◄")</f>
        <v/>
      </c>
      <c r="U57" s="563" t="str">
        <f ca="1">IF(AND(OR(S69&gt;0,COUNTIF(ORÇAMENTO!$V$15:$V$105,BDI_2.Título)&gt;0),OR(Import.BDI.Tipo2="(SELECIONAR)",Import.BDI.Tipo2="")),"Selecione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707" t="s">
        <v>667</v>
      </c>
      <c r="K59" s="707"/>
      <c r="L59" s="707"/>
      <c r="M59" s="707"/>
      <c r="N59" s="707"/>
      <c r="O59" s="707"/>
      <c r="P59" s="707"/>
      <c r="Q59" s="707"/>
      <c r="R59" s="707" t="s">
        <v>668</v>
      </c>
      <c r="S59" s="699" t="s">
        <v>669</v>
      </c>
      <c r="U59" s="699" t="s">
        <v>670</v>
      </c>
      <c r="V59" s="699"/>
      <c r="W59" s="699"/>
      <c r="X59" s="706" t="s">
        <v>671</v>
      </c>
      <c r="Y59" s="706" t="s">
        <v>672</v>
      </c>
      <c r="Z59" s="706" t="s">
        <v>673</v>
      </c>
    </row>
    <row r="60" spans="1:26" ht="12.75" customHeight="1" x14ac:dyDescent="0.2">
      <c r="A60"/>
      <c r="B60"/>
      <c r="C60"/>
      <c r="D60"/>
      <c r="E60"/>
      <c r="F60"/>
      <c r="G60"/>
      <c r="I60" t="str">
        <f t="shared" ca="1" si="3"/>
        <v/>
      </c>
      <c r="J60" s="707"/>
      <c r="K60" s="707"/>
      <c r="L60" s="707"/>
      <c r="M60" s="707"/>
      <c r="N60" s="707"/>
      <c r="O60" s="707"/>
      <c r="P60" s="707"/>
      <c r="Q60" s="707"/>
      <c r="R60" s="707"/>
      <c r="S60" s="699"/>
      <c r="U60" s="699"/>
      <c r="V60" s="699"/>
      <c r="W60" s="699"/>
      <c r="X60" s="706"/>
      <c r="Y60" s="706"/>
      <c r="Z60" s="706"/>
    </row>
    <row r="61" spans="1:26" ht="15" customHeight="1" x14ac:dyDescent="0.2">
      <c r="A61"/>
      <c r="B61"/>
      <c r="C61"/>
      <c r="D61"/>
      <c r="E61"/>
      <c r="F61"/>
      <c r="G61"/>
      <c r="I61" t="str">
        <f t="shared" ca="1" si="3"/>
        <v/>
      </c>
      <c r="J61" s="697" t="str">
        <f>IF($J$17=$A$146,"Encargos Sociais incidentes sobre a mão de obra","Administração Central")</f>
        <v>Administração Central</v>
      </c>
      <c r="K61" s="697"/>
      <c r="L61" s="697"/>
      <c r="M61" s="697"/>
      <c r="N61" s="697"/>
      <c r="O61" s="697"/>
      <c r="P61" s="697"/>
      <c r="Q61" s="697"/>
      <c r="R61" s="60" t="str">
        <f>IF($J57=$A$146,"K1","AC")</f>
        <v>AC</v>
      </c>
      <c r="S61" s="61"/>
      <c r="T61" s="573" t="str">
        <f ca="1">IF(AND($U$54&lt;&gt;"",$U$57="",R61&lt;&gt;"",S61=""),"◄","")</f>
        <v/>
      </c>
      <c r="U61" s="698" t="str">
        <f ca="1">IFERROR(IF(T61="◄","FALTA PREENCHER",IF(AND(OR(S61&gt;=X61,X61="-"),OR(S61&lt;=Z61,Z61="-")),"OK","FORA DO INTERVALO")),"-")</f>
        <v>-</v>
      </c>
      <c r="V61" s="698"/>
      <c r="W61" s="698"/>
      <c r="X61" s="62" t="e">
        <f>VLOOKUP(CONCATENATE(J57,"-",R61),$C$2:$G$136,3,FALSE)</f>
        <v>#N/A</v>
      </c>
      <c r="Y61" s="62" t="e">
        <f>VLOOKUP(CONCATENATE(J57,"-",R61),$C$2:$G$136,4,FALSE)</f>
        <v>#N/A</v>
      </c>
      <c r="Z61" s="62" t="e">
        <f>VLOOKUP(CONCATENATE(J57,"-",R61),$C$2:$G$136,5,FALSE)</f>
        <v>#N/A</v>
      </c>
    </row>
    <row r="62" spans="1:26" ht="15" customHeight="1" x14ac:dyDescent="0.2">
      <c r="A62"/>
      <c r="B62"/>
      <c r="C62"/>
      <c r="D62"/>
      <c r="E62"/>
      <c r="F62"/>
      <c r="G62"/>
      <c r="I62" t="str">
        <f t="shared" ca="1" si="3"/>
        <v/>
      </c>
      <c r="J62" s="697" t="str">
        <f>IF($J$17=$A$146,"Administração Central da empresa ou consultoria - overhead","Seguro e Garantia")</f>
        <v>Seguro e Garantia</v>
      </c>
      <c r="K62" s="697"/>
      <c r="L62" s="697"/>
      <c r="M62" s="697"/>
      <c r="N62" s="697"/>
      <c r="O62" s="697"/>
      <c r="P62" s="697"/>
      <c r="Q62" s="697"/>
      <c r="R62" s="60" t="str">
        <f>IF($J57=$A$146,"K2","SG")</f>
        <v>SG</v>
      </c>
      <c r="S62" s="61"/>
      <c r="T62" s="573" t="str">
        <f t="shared" ref="T62:T66" ca="1" si="4">IF(AND($U$54&lt;&gt;"",$U$57="",R62&lt;&gt;"",S62=""),"◄","")</f>
        <v/>
      </c>
      <c r="U62" s="698" t="str">
        <f t="shared" ref="U62:U68" ca="1" si="5">IFERROR(IF(T62="◄","FALTA PREENCHER",IF(AND(OR(S62&gt;=X62,X62="-"),OR(S62&lt;=Z62,Z62="-")),"OK","FORA DO INTERVALO")),"-")</f>
        <v>-</v>
      </c>
      <c r="V62" s="698"/>
      <c r="W62" s="698"/>
      <c r="X62" s="62" t="e">
        <f>VLOOKUP(CONCATENATE(J57,"-",R62),$C$2:$G$136,3,FALSE)</f>
        <v>#N/A</v>
      </c>
      <c r="Y62" s="62" t="e">
        <f>VLOOKUP(CONCATENATE(J57,"-",R62),$C$2:$G$136,4,FALSE)</f>
        <v>#N/A</v>
      </c>
      <c r="Z62" s="62" t="e">
        <f>VLOOKUP(CONCATENATE(J57,"-",R62),$C$2:$G$136,5,FALSE)</f>
        <v>#N/A</v>
      </c>
    </row>
    <row r="63" spans="1:26" ht="15" customHeight="1" x14ac:dyDescent="0.2">
      <c r="A63"/>
      <c r="B63"/>
      <c r="C63"/>
      <c r="D63"/>
      <c r="E63"/>
      <c r="F63"/>
      <c r="G63"/>
      <c r="I63" t="str">
        <f t="shared" ca="1" si="3"/>
        <v/>
      </c>
      <c r="J63" s="697" t="s">
        <v>943</v>
      </c>
      <c r="K63" s="697"/>
      <c r="L63" s="697"/>
      <c r="M63" s="697"/>
      <c r="N63" s="697"/>
      <c r="O63" s="697"/>
      <c r="P63" s="697"/>
      <c r="Q63" s="697"/>
      <c r="R63" s="60" t="str">
        <f>IF($J57=$A$146,"","R")</f>
        <v>R</v>
      </c>
      <c r="S63" s="61"/>
      <c r="T63" s="573" t="str">
        <f t="shared" ca="1" si="4"/>
        <v/>
      </c>
      <c r="U63" s="698" t="str">
        <f t="shared" ca="1" si="5"/>
        <v>-</v>
      </c>
      <c r="V63" s="698"/>
      <c r="W63" s="698"/>
      <c r="X63" s="62" t="e">
        <f>VLOOKUP(CONCATENATE(J57,"-",R63),$C$2:$G$136,3,FALSE)</f>
        <v>#N/A</v>
      </c>
      <c r="Y63" s="62" t="e">
        <f>VLOOKUP(CONCATENATE(J57,"-",R63),$C$2:$G$136,4,FALSE)</f>
        <v>#N/A</v>
      </c>
      <c r="Z63" s="62" t="e">
        <f>VLOOKUP(CONCATENATE(J57,"-",R63),$C$2:$G$136,5,FALSE)</f>
        <v>#N/A</v>
      </c>
    </row>
    <row r="64" spans="1:26" ht="15" customHeight="1" x14ac:dyDescent="0.2">
      <c r="A64"/>
      <c r="B64"/>
      <c r="C64"/>
      <c r="D64"/>
      <c r="E64"/>
      <c r="F64"/>
      <c r="G64"/>
      <c r="I64" t="str">
        <f t="shared" ca="1" si="3"/>
        <v/>
      </c>
      <c r="J64" s="697" t="s">
        <v>944</v>
      </c>
      <c r="K64" s="697"/>
      <c r="L64" s="697"/>
      <c r="M64" s="697"/>
      <c r="N64" s="697"/>
      <c r="O64" s="697"/>
      <c r="P64" s="697"/>
      <c r="Q64" s="697"/>
      <c r="R64" s="60" t="str">
        <f>IF($J57=$A$146,"","DF")</f>
        <v>DF</v>
      </c>
      <c r="S64" s="61"/>
      <c r="T64" s="573" t="str">
        <f t="shared" ca="1" si="4"/>
        <v/>
      </c>
      <c r="U64" s="698" t="str">
        <f t="shared" ca="1" si="5"/>
        <v>-</v>
      </c>
      <c r="V64" s="698"/>
      <c r="W64" s="698"/>
      <c r="X64" s="62" t="e">
        <f>VLOOKUP(CONCATENATE(J57,"-",R64),$C$2:$G$136,3,FALSE)</f>
        <v>#N/A</v>
      </c>
      <c r="Y64" s="62" t="e">
        <f>VLOOKUP(CONCATENATE(J57,"-",R64),$C$2:$G$136,4,FALSE)</f>
        <v>#N/A</v>
      </c>
      <c r="Z64" s="62" t="e">
        <f>VLOOKUP(CONCATENATE(J57,"-",R64),$C$2:$G$136,5,FALSE)</f>
        <v>#N/A</v>
      </c>
    </row>
    <row r="65" spans="1:26" ht="15" customHeight="1" x14ac:dyDescent="0.2">
      <c r="A65"/>
      <c r="B65"/>
      <c r="C65"/>
      <c r="D65"/>
      <c r="E65"/>
      <c r="F65"/>
      <c r="G65"/>
      <c r="I65" t="str">
        <f t="shared" ca="1" si="3"/>
        <v/>
      </c>
      <c r="J65" s="697" t="str">
        <f>IF($J$17=$A$146,"Margem bruta da empresa de consultoria","Lucro")</f>
        <v>Lucro</v>
      </c>
      <c r="K65" s="697"/>
      <c r="L65" s="697"/>
      <c r="M65" s="697"/>
      <c r="N65" s="697"/>
      <c r="O65" s="697"/>
      <c r="P65" s="697"/>
      <c r="Q65" s="697"/>
      <c r="R65" s="60" t="str">
        <f>IF($J57=$A$146,"K3","L")</f>
        <v>L</v>
      </c>
      <c r="S65" s="61"/>
      <c r="T65" s="573" t="str">
        <f t="shared" ca="1" si="4"/>
        <v/>
      </c>
      <c r="U65" s="698" t="str">
        <f t="shared" ca="1" si="5"/>
        <v>-</v>
      </c>
      <c r="V65" s="698"/>
      <c r="W65" s="698"/>
      <c r="X65" s="62" t="e">
        <f>VLOOKUP(CONCATENATE(J57,"-",R65),$C$2:$G$136,3,FALSE)</f>
        <v>#N/A</v>
      </c>
      <c r="Y65" s="62" t="e">
        <f>VLOOKUP(CONCATENATE(J57,"-",R65),$C$2:$G$136,4,FALSE)</f>
        <v>#N/A</v>
      </c>
      <c r="Z65" s="62" t="e">
        <f>VLOOKUP(CONCATENATE(J57,"-",R65),$C$2:$G$136,5,FALSE)</f>
        <v>#N/A</v>
      </c>
    </row>
    <row r="66" spans="1:26" ht="15" customHeight="1" x14ac:dyDescent="0.2">
      <c r="A66"/>
      <c r="B66"/>
      <c r="C66"/>
      <c r="D66"/>
      <c r="E66"/>
      <c r="F66"/>
      <c r="G66"/>
      <c r="I66" t="str">
        <f t="shared" ca="1" si="3"/>
        <v/>
      </c>
      <c r="J66" s="697" t="s">
        <v>676</v>
      </c>
      <c r="K66" s="697"/>
      <c r="L66" s="697"/>
      <c r="M66" s="697"/>
      <c r="N66" s="697"/>
      <c r="O66" s="697"/>
      <c r="P66" s="697"/>
      <c r="Q66" s="697"/>
      <c r="R66" s="60" t="s">
        <v>457</v>
      </c>
      <c r="S66" s="61"/>
      <c r="T66" s="573" t="str">
        <f t="shared" ca="1" si="4"/>
        <v/>
      </c>
      <c r="U66" s="698" t="str">
        <f t="shared" ca="1" si="5"/>
        <v>FORA DO INTERVALO</v>
      </c>
      <c r="V66" s="698"/>
      <c r="W66" s="698"/>
      <c r="X66" s="62">
        <f>Y66</f>
        <v>3.6499999999999998E-2</v>
      </c>
      <c r="Y66" s="62">
        <f>IF($J57=$A$145,"-",3.65%)</f>
        <v>3.6499999999999998E-2</v>
      </c>
      <c r="Z66" s="62">
        <f>Y66</f>
        <v>3.6499999999999998E-2</v>
      </c>
    </row>
    <row r="67" spans="1:26" ht="15" customHeight="1" x14ac:dyDescent="0.2">
      <c r="A67"/>
      <c r="B67"/>
      <c r="C67"/>
      <c r="D67"/>
      <c r="E67"/>
      <c r="F67"/>
      <c r="G67"/>
      <c r="I67" t="str">
        <f t="shared" ca="1" si="3"/>
        <v/>
      </c>
      <c r="J67" s="697" t="s">
        <v>677</v>
      </c>
      <c r="K67" s="697"/>
      <c r="L67" s="697"/>
      <c r="M67" s="697"/>
      <c r="N67" s="697"/>
      <c r="O67" s="697"/>
      <c r="P67" s="697"/>
      <c r="Q67" s="697"/>
      <c r="R67" s="60" t="s">
        <v>678</v>
      </c>
      <c r="S67" s="62">
        <f ca="1">IF(AND($J57&lt;&gt;$A$145,COUNTA(OFFSET(S60,1,0,6))&gt;0),$R$11*$R$10,0)</f>
        <v>0</v>
      </c>
      <c r="U67" s="698" t="str">
        <f t="shared" ca="1" si="5"/>
        <v>OK</v>
      </c>
      <c r="V67" s="698"/>
      <c r="W67" s="698"/>
      <c r="X67" s="62">
        <v>0</v>
      </c>
      <c r="Y67" s="62">
        <v>2.5000000000000001E-2</v>
      </c>
      <c r="Z67" s="62">
        <v>0.05</v>
      </c>
    </row>
    <row r="68" spans="1:26" ht="15" customHeight="1" x14ac:dyDescent="0.2">
      <c r="A68"/>
      <c r="B68"/>
      <c r="C68"/>
      <c r="D68"/>
      <c r="E68"/>
      <c r="F68"/>
      <c r="G68"/>
      <c r="I68" t="str">
        <f t="shared" ca="1" si="3"/>
        <v/>
      </c>
      <c r="J68" s="697" t="s">
        <v>679</v>
      </c>
      <c r="K68" s="697"/>
      <c r="L68" s="697"/>
      <c r="M68" s="697"/>
      <c r="N68" s="697"/>
      <c r="O68" s="697"/>
      <c r="P68" s="697"/>
      <c r="Q68" s="697"/>
      <c r="R68" s="60" t="s">
        <v>680</v>
      </c>
      <c r="S68" s="62" cm="1">
        <f t="array" aca="1" ref="S68" ca="1">IF(BDI.Opcao&lt;&gt;"Desonerado",0,IF(AND($J57&lt;&gt;$A$145,COUNTA(OFFSET(S60,1,0,6))&gt;0),IF(YEAR(Import.DataBase)&lt;2025,4.5%,IF(YEAR(Import.DataBase)=2025,3.6%,IF(YEAR(Import.DataBase)=2026,2.7%,IF(YEAR(Import.DataBase)=2027,1.8%,0%)))),0%))</f>
        <v>0</v>
      </c>
      <c r="U68" s="698" t="str">
        <f t="shared" ca="1" si="5"/>
        <v>OK</v>
      </c>
      <c r="V68" s="698"/>
      <c r="W68" s="698"/>
      <c r="X68" s="63">
        <f ca="1">$S68</f>
        <v>0</v>
      </c>
      <c r="Y68" s="63">
        <f ca="1">$S68</f>
        <v>0</v>
      </c>
      <c r="Z68" s="63">
        <f ca="1">$S68</f>
        <v>0</v>
      </c>
    </row>
    <row r="69" spans="1:26" ht="15" customHeight="1" x14ac:dyDescent="0.2">
      <c r="A69"/>
      <c r="B69"/>
      <c r="C69"/>
      <c r="D69"/>
      <c r="E69"/>
      <c r="F69"/>
      <c r="G69"/>
      <c r="I69" t="str">
        <f t="shared" ca="1" si="3"/>
        <v/>
      </c>
      <c r="J69" s="697" t="s">
        <v>681</v>
      </c>
      <c r="K69" s="697"/>
      <c r="L69" s="697"/>
      <c r="M69" s="697"/>
      <c r="N69" s="697"/>
      <c r="O69" s="697"/>
      <c r="P69" s="697"/>
      <c r="Q69" s="697"/>
      <c r="R69" s="64" t="s">
        <v>657</v>
      </c>
      <c r="S69" s="62">
        <f ca="1">IF($J57=$A$145,0,ROUND((((1+S61+S62+S63)*(1+S64)*(1+S65)/(1-(S66+S67)))-1),4))</f>
        <v>0</v>
      </c>
      <c r="U69" s="699" t="str">
        <f ca="1">IFERROR(IF(AND(OR(S69&gt;=X69,X69="-"),OR(S69&lt;=Z69,Z69="-")),"OK","FORA DO INTERVALO"),IF(S69=0,"OK","Selecione o Tipo de obra"))</f>
        <v>OK</v>
      </c>
      <c r="V69" s="699"/>
      <c r="W69" s="699"/>
      <c r="X69" s="62" t="e">
        <f>IF($J57=$A$145,0,VLOOKUP(CONCATENATE($J57,"-",$R69),$C$2:$G$136,3,FALSE))</f>
        <v>#N/A</v>
      </c>
      <c r="Y69" s="62" t="e">
        <f>IF($J57=$A$145,0,VLOOKUP(CONCATENATE($J57,"-",$R69),$C$2:$G$136,4,FALSE))</f>
        <v>#N/A</v>
      </c>
      <c r="Z69" s="62" t="e">
        <f>IF($J57=$A$145,0,VLOOKUP(CONCATENATE($J57,"-",$R69),$C$2:$G$136,5,FALSE))</f>
        <v>#N/A</v>
      </c>
    </row>
    <row r="70" spans="1:26" ht="15" customHeight="1" x14ac:dyDescent="0.2">
      <c r="A70"/>
      <c r="B70"/>
      <c r="C70"/>
      <c r="D70"/>
      <c r="E70"/>
      <c r="F70"/>
      <c r="G70"/>
      <c r="I70" t="str">
        <f t="shared" ca="1" si="3"/>
        <v/>
      </c>
      <c r="J70" s="700" t="s">
        <v>682</v>
      </c>
      <c r="K70" s="700"/>
      <c r="L70" s="700"/>
      <c r="M70" s="700"/>
      <c r="N70" s="700"/>
      <c r="O70" s="700"/>
      <c r="P70" s="700"/>
      <c r="Q70" s="700"/>
      <c r="R70" s="65" t="s">
        <v>683</v>
      </c>
      <c r="S70" s="66">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67" t="str">
        <f ca="1">IF(U69&lt;&gt;"ok","X","")</f>
        <v/>
      </c>
      <c r="K72" s="701" t="str">
        <f ca="1">IF(U69&lt;&gt;"ok","Anexo: Relatório Técnico Circunstanciado justificando a adoção do percentual de cada parcela do BDI.","")</f>
        <v/>
      </c>
      <c r="L72" s="701"/>
      <c r="M72" s="701"/>
      <c r="N72" s="701"/>
      <c r="O72" s="701"/>
      <c r="P72" s="701"/>
      <c r="Q72" s="701"/>
      <c r="R72" s="701"/>
      <c r="S72" s="701"/>
    </row>
    <row r="73" spans="1:26" x14ac:dyDescent="0.2">
      <c r="A73"/>
      <c r="B73"/>
      <c r="C73"/>
      <c r="D73"/>
      <c r="E73"/>
      <c r="F73"/>
      <c r="G73"/>
      <c r="I73" t="str">
        <f t="shared" ca="1" si="3"/>
        <v/>
      </c>
    </row>
    <row r="74" spans="1:26" x14ac:dyDescent="0.2">
      <c r="A74"/>
      <c r="B74"/>
      <c r="C74"/>
      <c r="D74"/>
      <c r="E74"/>
      <c r="F74"/>
      <c r="G74"/>
      <c r="I74" t="str">
        <f t="shared" ca="1" si="3"/>
        <v/>
      </c>
      <c r="J74" s="702" t="s">
        <v>684</v>
      </c>
      <c r="K74" s="702"/>
      <c r="L74" s="702"/>
      <c r="M74" s="702"/>
      <c r="N74" s="702"/>
      <c r="O74" s="702"/>
      <c r="P74" s="702"/>
      <c r="Q74" s="702"/>
      <c r="R74" s="702"/>
      <c r="S74" s="702"/>
    </row>
    <row r="75" spans="1:26" ht="15.75" x14ac:dyDescent="0.25">
      <c r="A75"/>
      <c r="B75"/>
      <c r="C75"/>
      <c r="D75"/>
      <c r="E75"/>
      <c r="F75"/>
      <c r="G75"/>
      <c r="I75" t="str">
        <f t="shared" ca="1" si="3"/>
        <v/>
      </c>
      <c r="J75" s="68"/>
      <c r="K75" s="68"/>
      <c r="L75" s="68"/>
      <c r="M75" s="703" t="s">
        <v>685</v>
      </c>
      <c r="N75" s="704" t="str">
        <f>IF($J57=$A$146,"(1+K1+K2)*(1+K3)","(1+AC + S + R + G)*(1 + DF)*(1+L)")</f>
        <v>(1+AC + S + R + G)*(1 + DF)*(1+L)</v>
      </c>
      <c r="O75" s="704"/>
      <c r="P75" s="704"/>
      <c r="Q75" s="705" t="s">
        <v>686</v>
      </c>
      <c r="R75" s="68"/>
      <c r="S75" s="68"/>
    </row>
    <row r="76" spans="1:26" ht="15.75" x14ac:dyDescent="0.2">
      <c r="A76"/>
      <c r="B76"/>
      <c r="C76"/>
      <c r="D76"/>
      <c r="E76"/>
      <c r="F76"/>
      <c r="G76"/>
      <c r="I76" t="str">
        <f t="shared" ca="1" si="3"/>
        <v/>
      </c>
      <c r="J76" s="68"/>
      <c r="K76" s="68"/>
      <c r="L76" s="68"/>
      <c r="M76" s="703"/>
      <c r="N76" s="696" t="s">
        <v>687</v>
      </c>
      <c r="O76" s="696"/>
      <c r="P76" s="696"/>
      <c r="Q76" s="705"/>
      <c r="R76" s="68"/>
      <c r="S76" s="68"/>
    </row>
    <row r="77" spans="1:26" ht="15" customHeight="1" x14ac:dyDescent="0.2">
      <c r="A77"/>
      <c r="B77"/>
      <c r="C77"/>
      <c r="D77"/>
      <c r="E77"/>
      <c r="F77"/>
      <c r="G77"/>
      <c r="I77" t="str">
        <f t="shared" ca="1" si="3"/>
        <v/>
      </c>
      <c r="J77" s="68"/>
      <c r="K77" s="68"/>
      <c r="L77" s="68"/>
      <c r="M77" s="69"/>
      <c r="N77" s="71"/>
      <c r="O77" s="71"/>
      <c r="P77" s="71"/>
      <c r="Q77" s="70"/>
      <c r="R77" s="68"/>
      <c r="S77" s="68"/>
    </row>
    <row r="78" spans="1:26" ht="50.1" customHeight="1" x14ac:dyDescent="0.2">
      <c r="A78"/>
      <c r="B78"/>
      <c r="C78"/>
      <c r="D78"/>
      <c r="E78"/>
      <c r="F78"/>
      <c r="G78"/>
      <c r="I78" t="str">
        <f t="shared" ca="1" si="3"/>
        <v/>
      </c>
      <c r="J78" s="690"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3%, com a respectiva alíquota de 3%.</v>
      </c>
      <c r="K78" s="690"/>
      <c r="L78" s="690"/>
      <c r="M78" s="690"/>
      <c r="N78" s="690"/>
      <c r="O78" s="690"/>
      <c r="P78" s="690"/>
      <c r="Q78" s="690"/>
      <c r="R78" s="690"/>
      <c r="S78" s="690"/>
    </row>
    <row r="79" spans="1:26" x14ac:dyDescent="0.2">
      <c r="A79"/>
      <c r="B79"/>
      <c r="C79"/>
      <c r="D79"/>
      <c r="E79"/>
      <c r="F79"/>
      <c r="G79"/>
      <c r="I79" t="str">
        <f t="shared" ca="1" si="3"/>
        <v/>
      </c>
    </row>
    <row r="80" spans="1:26" ht="50.1" customHeight="1" x14ac:dyDescent="0.2">
      <c r="A80"/>
      <c r="B80"/>
      <c r="C80"/>
      <c r="D80"/>
      <c r="E80"/>
      <c r="F80"/>
      <c r="G80"/>
      <c r="I80" t="str">
        <f t="shared" ca="1" si="3"/>
        <v/>
      </c>
      <c r="J80" s="690"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80" s="690"/>
      <c r="L80" s="690"/>
      <c r="M80" s="690"/>
      <c r="N80" s="690"/>
      <c r="O80" s="690"/>
      <c r="P80" s="690"/>
      <c r="Q80" s="690"/>
      <c r="R80" s="690"/>
      <c r="S80" s="690"/>
    </row>
    <row r="81" spans="1:21" x14ac:dyDescent="0.2">
      <c r="A81"/>
      <c r="B81"/>
      <c r="C81"/>
      <c r="D81"/>
      <c r="E81"/>
      <c r="F81"/>
      <c r="G81"/>
      <c r="I81" t="str">
        <f t="shared" ca="1" si="3"/>
        <v/>
      </c>
    </row>
    <row r="82" spans="1:21" x14ac:dyDescent="0.2">
      <c r="A82"/>
      <c r="B82"/>
      <c r="C82"/>
      <c r="D82"/>
      <c r="E82"/>
      <c r="F82"/>
      <c r="G82"/>
      <c r="I82" t="str">
        <f t="shared" ca="1" si="3"/>
        <v/>
      </c>
      <c r="J82" s="49" t="s">
        <v>690</v>
      </c>
    </row>
    <row r="83" spans="1:21" ht="99.95" customHeight="1" x14ac:dyDescent="0.2">
      <c r="A83"/>
      <c r="B83"/>
      <c r="C83"/>
      <c r="D83"/>
      <c r="E83"/>
      <c r="F83"/>
      <c r="G83"/>
      <c r="I83" t="str">
        <f t="shared" ca="1" si="3"/>
        <v/>
      </c>
      <c r="J83" s="691"/>
      <c r="K83" s="691"/>
      <c r="L83" s="691"/>
      <c r="M83" s="691"/>
      <c r="N83" s="691"/>
      <c r="O83" s="691"/>
      <c r="P83" s="691"/>
      <c r="Q83" s="691"/>
      <c r="R83" s="691"/>
      <c r="S83" s="691"/>
    </row>
    <row r="84" spans="1:21" x14ac:dyDescent="0.2">
      <c r="A84"/>
      <c r="B84"/>
      <c r="C84"/>
      <c r="D84"/>
      <c r="E84"/>
      <c r="F84"/>
      <c r="G84"/>
      <c r="I84" t="str">
        <f t="shared" ca="1" si="3"/>
        <v/>
      </c>
    </row>
    <row r="85" spans="1:21" x14ac:dyDescent="0.2">
      <c r="A85"/>
      <c r="B85"/>
      <c r="C85"/>
      <c r="D85"/>
      <c r="E85"/>
      <c r="F85"/>
      <c r="G85"/>
      <c r="I85" t="str">
        <f t="shared" ca="1" si="3"/>
        <v/>
      </c>
      <c r="J85" s="692" t="str">
        <f>Import.Município</f>
        <v>RODEIO BONITO/RS</v>
      </c>
      <c r="K85" s="692"/>
      <c r="L85" s="692"/>
      <c r="M85" s="692"/>
      <c r="P85" s="693">
        <f>DADOS!$C$25</f>
        <v>46254</v>
      </c>
      <c r="Q85" s="693"/>
      <c r="R85" s="693"/>
      <c r="S85" s="693"/>
    </row>
    <row r="86" spans="1:21" x14ac:dyDescent="0.2">
      <c r="A86"/>
      <c r="B86"/>
      <c r="C86"/>
      <c r="D86"/>
      <c r="E86"/>
      <c r="F86"/>
      <c r="G86"/>
      <c r="I86" t="str">
        <f t="shared" ca="1" si="3"/>
        <v/>
      </c>
      <c r="J86" s="694" t="s">
        <v>694</v>
      </c>
      <c r="K86" s="694"/>
      <c r="L86" s="694"/>
      <c r="M86" s="694"/>
      <c r="O86" s="73"/>
      <c r="P86" s="74" t="s">
        <v>695</v>
      </c>
      <c r="Q86" s="75"/>
      <c r="R86" s="75"/>
      <c r="S86" s="75"/>
    </row>
    <row r="87" spans="1:21" ht="30" customHeight="1" x14ac:dyDescent="0.2">
      <c r="A87"/>
      <c r="B87"/>
      <c r="C87"/>
      <c r="D87"/>
      <c r="E87"/>
      <c r="F87"/>
      <c r="G87"/>
      <c r="I87" t="str">
        <f t="shared" ca="1" si="3"/>
        <v/>
      </c>
    </row>
    <row r="88" spans="1:21" ht="15" x14ac:dyDescent="0.2">
      <c r="A88"/>
      <c r="B88"/>
      <c r="C88"/>
      <c r="D88"/>
      <c r="E88"/>
      <c r="F88"/>
      <c r="G88"/>
      <c r="I88" t="str">
        <f t="shared" ca="1" si="3"/>
        <v/>
      </c>
      <c r="J88" s="695"/>
      <c r="K88" s="695"/>
      <c r="L88" s="695"/>
      <c r="M88" s="695"/>
      <c r="N88" s="76"/>
    </row>
    <row r="89" spans="1:21" x14ac:dyDescent="0.2">
      <c r="A89"/>
      <c r="B89"/>
      <c r="C89"/>
      <c r="D89"/>
      <c r="E89"/>
      <c r="F89"/>
      <c r="G89"/>
      <c r="I89" t="str">
        <f t="shared" ca="1" si="3"/>
        <v/>
      </c>
      <c r="J89" s="689" t="s">
        <v>697</v>
      </c>
      <c r="K89" s="689"/>
      <c r="L89" s="689"/>
      <c r="M89" s="689"/>
    </row>
    <row r="90" spans="1:21" ht="14.25" x14ac:dyDescent="0.2">
      <c r="A90"/>
      <c r="B90"/>
      <c r="C90"/>
      <c r="D90"/>
      <c r="E90"/>
      <c r="F90"/>
      <c r="G90"/>
      <c r="I90" t="str">
        <f t="shared" ca="1" si="3"/>
        <v/>
      </c>
      <c r="J90" s="77" t="s">
        <v>240</v>
      </c>
      <c r="K90" s="78" t="str">
        <f t="array" ref="K90:K92">Import.RespOrçamento</f>
        <v>VIVIANE CARBONI TAFFAREL LUCAS</v>
      </c>
      <c r="L90" s="79"/>
      <c r="M90" s="79"/>
      <c r="N90" s="76"/>
    </row>
    <row r="91" spans="1:21" ht="14.25" x14ac:dyDescent="0.2">
      <c r="A91"/>
      <c r="B91"/>
      <c r="C91"/>
      <c r="D91"/>
      <c r="E91"/>
      <c r="F91"/>
      <c r="G91"/>
      <c r="I91" t="str">
        <f t="shared" ca="1" si="3"/>
        <v/>
      </c>
      <c r="J91" s="77" t="s">
        <v>243</v>
      </c>
      <c r="K91" s="78" t="str">
        <v>247947</v>
      </c>
      <c r="L91" s="79"/>
      <c r="M91" s="79"/>
      <c r="N91" s="76"/>
    </row>
    <row r="92" spans="1:21" ht="14.25" x14ac:dyDescent="0.2">
      <c r="A92"/>
      <c r="B92"/>
      <c r="C92"/>
      <c r="D92"/>
      <c r="E92"/>
      <c r="F92"/>
      <c r="G92"/>
      <c r="I92" t="str">
        <f t="shared" ca="1" si="3"/>
        <v/>
      </c>
      <c r="J92" s="77" t="s">
        <v>246</v>
      </c>
      <c r="K92" s="78" t="str">
        <v>0</v>
      </c>
      <c r="L92" s="79"/>
      <c r="M92" s="79"/>
      <c r="N92" s="76"/>
    </row>
    <row r="93" spans="1:21" ht="14.25" x14ac:dyDescent="0.2">
      <c r="A93"/>
      <c r="B93"/>
      <c r="C93"/>
      <c r="D93"/>
      <c r="E93"/>
      <c r="F93"/>
      <c r="G93"/>
      <c r="I93" t="str">
        <f t="shared" ca="1" si="3"/>
        <v/>
      </c>
      <c r="J93" s="77"/>
      <c r="K93" s="80"/>
      <c r="L93" s="79"/>
      <c r="M93" s="79"/>
      <c r="N93" s="76"/>
    </row>
    <row r="94" spans="1:21" ht="15.75" x14ac:dyDescent="0.25">
      <c r="A94"/>
      <c r="B94"/>
      <c r="C94"/>
      <c r="D94"/>
      <c r="E94"/>
      <c r="F94"/>
      <c r="G94"/>
      <c r="I94" t="str">
        <f ca="1">IF($S$109=0,"","F")</f>
        <v/>
      </c>
      <c r="J94" s="710" t="s">
        <v>699</v>
      </c>
      <c r="K94" s="710"/>
      <c r="L94" s="710"/>
      <c r="M94" s="710"/>
      <c r="N94" s="710"/>
      <c r="O94" s="710"/>
      <c r="P94" s="710"/>
      <c r="Q94" s="710"/>
      <c r="R94" s="710"/>
      <c r="S94" s="710"/>
      <c r="U94" s="522" t="str">
        <f>IF(COUNTIF(ORÇAMENTO!$V$15:$V$105,BDI_3.Título)=0,"",IF(OR(Import.BDI.Tipo3="(SELECIONAR)",Import.BDI.Tipo3="",U97&lt;&gt;"",AND($J97&lt;&gt;$A$145,OR(S101="",S102="",AND($J97&lt;&gt;$A$146,OR(S103="",S104="")),S105="",S106=""))),"Falta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708" t="s">
        <v>665</v>
      </c>
      <c r="K96" s="708"/>
      <c r="L96" s="708"/>
      <c r="M96" s="708"/>
      <c r="N96" s="708"/>
      <c r="O96" s="708"/>
      <c r="P96" s="708"/>
      <c r="Q96" s="708"/>
      <c r="R96" s="708"/>
      <c r="S96" s="708"/>
    </row>
    <row r="97" spans="1:26" ht="15" x14ac:dyDescent="0.25">
      <c r="A97"/>
      <c r="B97"/>
      <c r="C97"/>
      <c r="D97"/>
      <c r="E97"/>
      <c r="F97"/>
      <c r="G97"/>
      <c r="I97" t="str">
        <f t="shared" ca="1" si="6"/>
        <v/>
      </c>
      <c r="J97" s="709" t="s">
        <v>139</v>
      </c>
      <c r="K97" s="709"/>
      <c r="L97" s="709"/>
      <c r="M97" s="709"/>
      <c r="N97" s="709"/>
      <c r="O97" s="709"/>
      <c r="P97" s="709"/>
      <c r="Q97" s="709"/>
      <c r="R97" s="709"/>
      <c r="S97" s="709"/>
      <c r="T97" s="564" t="str">
        <f ca="1">IF(U97="","","◄")</f>
        <v/>
      </c>
      <c r="U97" s="563" t="str">
        <f ca="1">IF(AND(OR(S109&gt;0,COUNTIF(ORÇAMENTO!$V$15:$V$105,BDI_3.Título)&gt;0),OR(Import.BDI.Tipo3="(SELECIONAR)",Import.BDI.Tipo3="")),"Selecione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707" t="s">
        <v>667</v>
      </c>
      <c r="K99" s="707"/>
      <c r="L99" s="707"/>
      <c r="M99" s="707"/>
      <c r="N99" s="707"/>
      <c r="O99" s="707"/>
      <c r="P99" s="707"/>
      <c r="Q99" s="707"/>
      <c r="R99" s="707" t="s">
        <v>668</v>
      </c>
      <c r="S99" s="699" t="s">
        <v>669</v>
      </c>
      <c r="U99" s="699" t="s">
        <v>670</v>
      </c>
      <c r="V99" s="699"/>
      <c r="W99" s="699"/>
      <c r="X99" s="706" t="s">
        <v>671</v>
      </c>
      <c r="Y99" s="706" t="s">
        <v>672</v>
      </c>
      <c r="Z99" s="706" t="s">
        <v>673</v>
      </c>
    </row>
    <row r="100" spans="1:26" ht="12.75" customHeight="1" x14ac:dyDescent="0.2">
      <c r="A100"/>
      <c r="B100"/>
      <c r="C100"/>
      <c r="D100"/>
      <c r="E100"/>
      <c r="F100"/>
      <c r="G100"/>
      <c r="I100" t="str">
        <f t="shared" ca="1" si="6"/>
        <v/>
      </c>
      <c r="J100" s="707"/>
      <c r="K100" s="707"/>
      <c r="L100" s="707"/>
      <c r="M100" s="707"/>
      <c r="N100" s="707"/>
      <c r="O100" s="707"/>
      <c r="P100" s="707"/>
      <c r="Q100" s="707"/>
      <c r="R100" s="707"/>
      <c r="S100" s="699"/>
      <c r="U100" s="699"/>
      <c r="V100" s="699"/>
      <c r="W100" s="699"/>
      <c r="X100" s="706"/>
      <c r="Y100" s="706"/>
      <c r="Z100" s="706"/>
    </row>
    <row r="101" spans="1:26" ht="15" customHeight="1" x14ac:dyDescent="0.2">
      <c r="A101"/>
      <c r="B101"/>
      <c r="C101"/>
      <c r="D101"/>
      <c r="E101"/>
      <c r="F101"/>
      <c r="G101"/>
      <c r="I101" t="str">
        <f t="shared" ca="1" si="6"/>
        <v/>
      </c>
      <c r="J101" s="697" t="str">
        <f>IF($J$17=$A$146,"Encargos Sociais incidentes sobre a mão de obra","Administração Central")</f>
        <v>Administração Central</v>
      </c>
      <c r="K101" s="697"/>
      <c r="L101" s="697"/>
      <c r="M101" s="697"/>
      <c r="N101" s="697"/>
      <c r="O101" s="697"/>
      <c r="P101" s="697"/>
      <c r="Q101" s="697"/>
      <c r="R101" s="60" t="str">
        <f>IF($J97=$A$146,"K1","AC")</f>
        <v>AC</v>
      </c>
      <c r="S101" s="61"/>
      <c r="T101" s="573" t="str">
        <f ca="1">IF(AND($U$94&lt;&gt;"",$U$97="",R101&lt;&gt;"",S101=""),"◄","")</f>
        <v/>
      </c>
      <c r="U101" s="698" t="str">
        <f ca="1">IFERROR(IF(T101="◄","FALTA PREENCHER",IF(AND(OR(S101&gt;=X101,X101="-"),OR(S101&lt;=Z101,Z101="-")),"OK","FORA DO INTERVALO")),"-")</f>
        <v>-</v>
      </c>
      <c r="V101" s="698"/>
      <c r="W101" s="698"/>
      <c r="X101" s="62" t="e">
        <f>VLOOKUP(CONCATENATE(J97,"-",R101),$C$2:$G$136,3,FALSE)</f>
        <v>#N/A</v>
      </c>
      <c r="Y101" s="62" t="e">
        <f>VLOOKUP(CONCATENATE(J97,"-",R101),$C$2:$G$136,4,FALSE)</f>
        <v>#N/A</v>
      </c>
      <c r="Z101" s="62" t="e">
        <f>VLOOKUP(CONCATENATE(J97,"-",R101),$C$2:$G$136,5,FALSE)</f>
        <v>#N/A</v>
      </c>
    </row>
    <row r="102" spans="1:26" ht="15" customHeight="1" x14ac:dyDescent="0.2">
      <c r="A102"/>
      <c r="B102"/>
      <c r="C102"/>
      <c r="D102"/>
      <c r="E102"/>
      <c r="F102"/>
      <c r="G102"/>
      <c r="I102" t="str">
        <f t="shared" ca="1" si="6"/>
        <v/>
      </c>
      <c r="J102" s="697" t="str">
        <f>IF($J$17=$A$146,"Administração Central da empresa ou consultoria - overhead","Seguro e Garantia")</f>
        <v>Seguro e Garantia</v>
      </c>
      <c r="K102" s="697"/>
      <c r="L102" s="697"/>
      <c r="M102" s="697"/>
      <c r="N102" s="697"/>
      <c r="O102" s="697"/>
      <c r="P102" s="697"/>
      <c r="Q102" s="697"/>
      <c r="R102" s="60" t="str">
        <f>IF($J97=$A$146,"K2","SG")</f>
        <v>SG</v>
      </c>
      <c r="S102" s="61"/>
      <c r="T102" s="573" t="str">
        <f t="shared" ref="T102:T106" ca="1" si="7">IF(AND($U$94&lt;&gt;"",$U$97="",R102&lt;&gt;"",S102=""),"◄","")</f>
        <v/>
      </c>
      <c r="U102" s="698" t="str">
        <f t="shared" ref="U102:U108" ca="1" si="8">IFERROR(IF(T102="◄","FALTA PREENCHER",IF(AND(OR(S102&gt;=X102,X102="-"),OR(S102&lt;=Z102,Z102="-")),"OK","FORA DO INTERVALO")),"-")</f>
        <v>-</v>
      </c>
      <c r="V102" s="698"/>
      <c r="W102" s="698"/>
      <c r="X102" s="62" t="e">
        <f>VLOOKUP(CONCATENATE(J97,"-",R102),$C$2:$G$136,3,FALSE)</f>
        <v>#N/A</v>
      </c>
      <c r="Y102" s="62" t="e">
        <f>VLOOKUP(CONCATENATE(J97,"-",R102),$C$2:$G$136,4,FALSE)</f>
        <v>#N/A</v>
      </c>
      <c r="Z102" s="62" t="e">
        <f>VLOOKUP(CONCATENATE(J97,"-",R102),$C$2:$G$136,5,FALSE)</f>
        <v>#N/A</v>
      </c>
    </row>
    <row r="103" spans="1:26" ht="15" customHeight="1" x14ac:dyDescent="0.2">
      <c r="A103"/>
      <c r="B103"/>
      <c r="C103"/>
      <c r="D103"/>
      <c r="E103"/>
      <c r="F103"/>
      <c r="G103"/>
      <c r="I103" t="str">
        <f t="shared" ca="1" si="6"/>
        <v/>
      </c>
      <c r="J103" s="697" t="s">
        <v>943</v>
      </c>
      <c r="K103" s="697"/>
      <c r="L103" s="697"/>
      <c r="M103" s="697"/>
      <c r="N103" s="697"/>
      <c r="O103" s="697"/>
      <c r="P103" s="697"/>
      <c r="Q103" s="697"/>
      <c r="R103" s="60" t="str">
        <f>IF($J97=$A$146,"","R")</f>
        <v>R</v>
      </c>
      <c r="S103" s="61"/>
      <c r="T103" s="573" t="str">
        <f t="shared" ca="1" si="7"/>
        <v/>
      </c>
      <c r="U103" s="698" t="str">
        <f t="shared" ca="1" si="8"/>
        <v>-</v>
      </c>
      <c r="V103" s="698"/>
      <c r="W103" s="698"/>
      <c r="X103" s="62" t="e">
        <f>VLOOKUP(CONCATENATE(J97,"-",R103),$C$2:$G$136,3,FALSE)</f>
        <v>#N/A</v>
      </c>
      <c r="Y103" s="62" t="e">
        <f>VLOOKUP(CONCATENATE(J97,"-",R103),$C$2:$G$136,4,FALSE)</f>
        <v>#N/A</v>
      </c>
      <c r="Z103" s="62" t="e">
        <f>VLOOKUP(CONCATENATE(J97,"-",R103),$C$2:$G$136,5,FALSE)</f>
        <v>#N/A</v>
      </c>
    </row>
    <row r="104" spans="1:26" ht="15" customHeight="1" x14ac:dyDescent="0.2">
      <c r="A104"/>
      <c r="B104"/>
      <c r="C104"/>
      <c r="D104"/>
      <c r="E104"/>
      <c r="F104"/>
      <c r="G104"/>
      <c r="I104" t="str">
        <f t="shared" ca="1" si="6"/>
        <v/>
      </c>
      <c r="J104" s="697" t="s">
        <v>944</v>
      </c>
      <c r="K104" s="697"/>
      <c r="L104" s="697"/>
      <c r="M104" s="697"/>
      <c r="N104" s="697"/>
      <c r="O104" s="697"/>
      <c r="P104" s="697"/>
      <c r="Q104" s="697"/>
      <c r="R104" s="60" t="str">
        <f>IF($J97=$A$146,"","DF")</f>
        <v>DF</v>
      </c>
      <c r="S104" s="61"/>
      <c r="T104" s="573" t="str">
        <f t="shared" ca="1" si="7"/>
        <v/>
      </c>
      <c r="U104" s="698" t="str">
        <f t="shared" ca="1" si="8"/>
        <v>-</v>
      </c>
      <c r="V104" s="698"/>
      <c r="W104" s="698"/>
      <c r="X104" s="62" t="e">
        <f>VLOOKUP(CONCATENATE(J97,"-",R104),$C$2:$G$136,3,FALSE)</f>
        <v>#N/A</v>
      </c>
      <c r="Y104" s="62" t="e">
        <f>VLOOKUP(CONCATENATE(J97,"-",R104),$C$2:$G$136,4,FALSE)</f>
        <v>#N/A</v>
      </c>
      <c r="Z104" s="62" t="e">
        <f>VLOOKUP(CONCATENATE(J97,"-",R104),$C$2:$G$136,5,FALSE)</f>
        <v>#N/A</v>
      </c>
    </row>
    <row r="105" spans="1:26" ht="15" customHeight="1" x14ac:dyDescent="0.2">
      <c r="A105"/>
      <c r="B105"/>
      <c r="C105"/>
      <c r="D105"/>
      <c r="E105"/>
      <c r="F105"/>
      <c r="G105"/>
      <c r="I105" t="str">
        <f t="shared" ca="1" si="6"/>
        <v/>
      </c>
      <c r="J105" s="697" t="str">
        <f>IF($J$17=$A$146,"Margem bruta da empresa de consultoria","Lucro")</f>
        <v>Lucro</v>
      </c>
      <c r="K105" s="697"/>
      <c r="L105" s="697"/>
      <c r="M105" s="697"/>
      <c r="N105" s="697"/>
      <c r="O105" s="697"/>
      <c r="P105" s="697"/>
      <c r="Q105" s="697"/>
      <c r="R105" s="60" t="str">
        <f>IF($J97=$A$146,"K3","L")</f>
        <v>L</v>
      </c>
      <c r="S105" s="61"/>
      <c r="T105" s="573" t="str">
        <f t="shared" ca="1" si="7"/>
        <v/>
      </c>
      <c r="U105" s="698" t="str">
        <f t="shared" ca="1" si="8"/>
        <v>-</v>
      </c>
      <c r="V105" s="698"/>
      <c r="W105" s="698"/>
      <c r="X105" s="62" t="e">
        <f>VLOOKUP(CONCATENATE(J97,"-",R105),$C$2:$G$136,3,FALSE)</f>
        <v>#N/A</v>
      </c>
      <c r="Y105" s="62" t="e">
        <f>VLOOKUP(CONCATENATE(J97,"-",R105),$C$2:$G$136,4,FALSE)</f>
        <v>#N/A</v>
      </c>
      <c r="Z105" s="62" t="e">
        <f>VLOOKUP(CONCATENATE(J97,"-",R105),$C$2:$G$136,5,FALSE)</f>
        <v>#N/A</v>
      </c>
    </row>
    <row r="106" spans="1:26" ht="15" customHeight="1" x14ac:dyDescent="0.2">
      <c r="A106"/>
      <c r="B106"/>
      <c r="C106"/>
      <c r="D106"/>
      <c r="E106"/>
      <c r="F106"/>
      <c r="G106"/>
      <c r="I106" t="str">
        <f t="shared" ca="1" si="6"/>
        <v/>
      </c>
      <c r="J106" s="697" t="s">
        <v>676</v>
      </c>
      <c r="K106" s="697"/>
      <c r="L106" s="697"/>
      <c r="M106" s="697"/>
      <c r="N106" s="697"/>
      <c r="O106" s="697"/>
      <c r="P106" s="697"/>
      <c r="Q106" s="697"/>
      <c r="R106" s="60" t="s">
        <v>457</v>
      </c>
      <c r="S106" s="61"/>
      <c r="T106" s="573" t="str">
        <f t="shared" ca="1" si="7"/>
        <v/>
      </c>
      <c r="U106" s="698" t="str">
        <f t="shared" ca="1" si="8"/>
        <v>FORA DO INTERVALO</v>
      </c>
      <c r="V106" s="698"/>
      <c r="W106" s="698"/>
      <c r="X106" s="62">
        <f>Y106</f>
        <v>3.6499999999999998E-2</v>
      </c>
      <c r="Y106" s="62">
        <f>IF($J97=$A$145,"-",3.65%)</f>
        <v>3.6499999999999998E-2</v>
      </c>
      <c r="Z106" s="62">
        <f>Y106</f>
        <v>3.6499999999999998E-2</v>
      </c>
    </row>
    <row r="107" spans="1:26" ht="15" customHeight="1" x14ac:dyDescent="0.2">
      <c r="A107"/>
      <c r="B107"/>
      <c r="C107"/>
      <c r="D107"/>
      <c r="E107"/>
      <c r="F107"/>
      <c r="G107"/>
      <c r="I107" t="str">
        <f t="shared" ca="1" si="6"/>
        <v/>
      </c>
      <c r="J107" s="697" t="s">
        <v>677</v>
      </c>
      <c r="K107" s="697"/>
      <c r="L107" s="697"/>
      <c r="M107" s="697"/>
      <c r="N107" s="697"/>
      <c r="O107" s="697"/>
      <c r="P107" s="697"/>
      <c r="Q107" s="697"/>
      <c r="R107" s="60" t="s">
        <v>678</v>
      </c>
      <c r="S107" s="62">
        <f ca="1">IF(AND($J97&lt;&gt;$A$145,COUNTA(OFFSET(S100,1,0,6))&gt;0),$R$11*$R$10,0)</f>
        <v>0</v>
      </c>
      <c r="U107" s="698" t="str">
        <f t="shared" ca="1" si="8"/>
        <v>OK</v>
      </c>
      <c r="V107" s="698"/>
      <c r="W107" s="698"/>
      <c r="X107" s="62">
        <v>0</v>
      </c>
      <c r="Y107" s="62">
        <v>2.5000000000000001E-2</v>
      </c>
      <c r="Z107" s="62">
        <v>0.05</v>
      </c>
    </row>
    <row r="108" spans="1:26" ht="15" customHeight="1" x14ac:dyDescent="0.2">
      <c r="A108"/>
      <c r="B108"/>
      <c r="C108"/>
      <c r="D108"/>
      <c r="E108"/>
      <c r="F108"/>
      <c r="G108"/>
      <c r="I108" t="str">
        <f t="shared" ca="1" si="6"/>
        <v/>
      </c>
      <c r="J108" s="697" t="s">
        <v>679</v>
      </c>
      <c r="K108" s="697"/>
      <c r="L108" s="697"/>
      <c r="M108" s="697"/>
      <c r="N108" s="697"/>
      <c r="O108" s="697"/>
      <c r="P108" s="697"/>
      <c r="Q108" s="697"/>
      <c r="R108" s="60" t="s">
        <v>680</v>
      </c>
      <c r="S108" s="62" cm="1">
        <f t="array" aca="1" ref="S108" ca="1">IF(BDI.Opcao&lt;&gt;"Desonerado",0,IF(AND($J97&lt;&gt;$A$145,COUNTA(OFFSET(S100,1,0,6))&gt;0),IF(YEAR(Import.DataBase)&lt;2025,4.5%,IF(YEAR(Import.DataBase)=2025,3.6%,IF(YEAR(Import.DataBase)=2026,2.7%,IF(YEAR(Import.DataBase)=2027,1.8%,0%)))),0%))</f>
        <v>0</v>
      </c>
      <c r="U108" s="698" t="str">
        <f t="shared" ca="1" si="8"/>
        <v>OK</v>
      </c>
      <c r="V108" s="698"/>
      <c r="W108" s="698"/>
      <c r="X108" s="63">
        <f ca="1">$S108</f>
        <v>0</v>
      </c>
      <c r="Y108" s="63">
        <f ca="1">$S108</f>
        <v>0</v>
      </c>
      <c r="Z108" s="63">
        <f ca="1">$S108</f>
        <v>0</v>
      </c>
    </row>
    <row r="109" spans="1:26" ht="15" customHeight="1" x14ac:dyDescent="0.2">
      <c r="A109"/>
      <c r="B109"/>
      <c r="C109"/>
      <c r="D109"/>
      <c r="E109"/>
      <c r="F109"/>
      <c r="G109"/>
      <c r="I109" t="str">
        <f t="shared" ca="1" si="6"/>
        <v/>
      </c>
      <c r="J109" s="697" t="s">
        <v>681</v>
      </c>
      <c r="K109" s="697"/>
      <c r="L109" s="697"/>
      <c r="M109" s="697"/>
      <c r="N109" s="697"/>
      <c r="O109" s="697"/>
      <c r="P109" s="697"/>
      <c r="Q109" s="697"/>
      <c r="R109" s="64" t="s">
        <v>657</v>
      </c>
      <c r="S109" s="62">
        <f ca="1">IF($J97=$A$145,0,ROUND((((1+S101+S102+S103)*(1+S104)*(1+S105)/(1-(S106+S107)))-1),4))</f>
        <v>0</v>
      </c>
      <c r="U109" s="699" t="str">
        <f ca="1">IFERROR(IF(AND(OR(S109&gt;=X109,X109="-"),OR(S109&lt;=Z109,Z109="-")),"OK","FORA DO INTERVALO"),IF(S109=0,"OK","Selecione o Tipo de obra"))</f>
        <v>OK</v>
      </c>
      <c r="V109" s="699"/>
      <c r="W109" s="699"/>
      <c r="X109" s="62" t="e">
        <f>IF($J97=$A$145,0,VLOOKUP(CONCATENATE($J97,"-",$R109),$C$2:$G$136,3,FALSE))</f>
        <v>#N/A</v>
      </c>
      <c r="Y109" s="62" t="e">
        <f>IF($J97=$A$145,0,VLOOKUP(CONCATENATE($J97,"-",$R109),$C$2:$G$136,4,FALSE))</f>
        <v>#N/A</v>
      </c>
      <c r="Z109" s="62" t="e">
        <f>IF($J97=$A$145,0,VLOOKUP(CONCATENATE($J97,"-",$R109),$C$2:$G$136,5,FALSE))</f>
        <v>#N/A</v>
      </c>
    </row>
    <row r="110" spans="1:26" ht="15" customHeight="1" x14ac:dyDescent="0.2">
      <c r="A110"/>
      <c r="B110"/>
      <c r="C110"/>
      <c r="D110"/>
      <c r="E110"/>
      <c r="F110"/>
      <c r="G110"/>
      <c r="I110" t="str">
        <f t="shared" ca="1" si="6"/>
        <v/>
      </c>
      <c r="J110" s="700" t="s">
        <v>682</v>
      </c>
      <c r="K110" s="700"/>
      <c r="L110" s="700"/>
      <c r="M110" s="700"/>
      <c r="N110" s="700"/>
      <c r="O110" s="700"/>
      <c r="P110" s="700"/>
      <c r="Q110" s="700"/>
      <c r="R110" s="65" t="s">
        <v>683</v>
      </c>
      <c r="S110" s="66">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7" t="str">
        <f ca="1">IF(U109&lt;&gt;"ok","X","")</f>
        <v/>
      </c>
      <c r="K112" s="701" t="str">
        <f ca="1">IF(U109&lt;&gt;"ok","Anexo: Relatório Técnico Circunstanciado justificando a adoção do percentual de cada parcela do BDI.","")</f>
        <v/>
      </c>
      <c r="L112" s="701"/>
      <c r="M112" s="701"/>
      <c r="N112" s="701"/>
      <c r="O112" s="701"/>
      <c r="P112" s="701"/>
      <c r="Q112" s="701"/>
      <c r="R112" s="701"/>
      <c r="S112" s="701"/>
    </row>
    <row r="113" spans="1:19" x14ac:dyDescent="0.2">
      <c r="A113"/>
      <c r="B113"/>
      <c r="C113"/>
      <c r="D113"/>
      <c r="E113"/>
      <c r="F113"/>
      <c r="G113"/>
      <c r="I113" t="str">
        <f t="shared" ca="1" si="6"/>
        <v/>
      </c>
    </row>
    <row r="114" spans="1:19" x14ac:dyDescent="0.2">
      <c r="A114"/>
      <c r="B114"/>
      <c r="C114"/>
      <c r="D114"/>
      <c r="E114"/>
      <c r="F114"/>
      <c r="G114"/>
      <c r="I114" t="str">
        <f t="shared" ca="1" si="6"/>
        <v/>
      </c>
      <c r="J114" s="702" t="s">
        <v>684</v>
      </c>
      <c r="K114" s="702"/>
      <c r="L114" s="702"/>
      <c r="M114" s="702"/>
      <c r="N114" s="702"/>
      <c r="O114" s="702"/>
      <c r="P114" s="702"/>
      <c r="Q114" s="702"/>
      <c r="R114" s="702"/>
      <c r="S114" s="702"/>
    </row>
    <row r="115" spans="1:19" ht="15.75" x14ac:dyDescent="0.25">
      <c r="A115"/>
      <c r="B115"/>
      <c r="C115"/>
      <c r="D115"/>
      <c r="E115"/>
      <c r="F115"/>
      <c r="G115"/>
      <c r="I115" t="str">
        <f t="shared" ca="1" si="6"/>
        <v/>
      </c>
      <c r="J115" s="68"/>
      <c r="K115" s="68"/>
      <c r="L115" s="68"/>
      <c r="M115" s="703" t="s">
        <v>685</v>
      </c>
      <c r="N115" s="704" t="str">
        <f>IF($J97=$A$146,"(1+K1+K2)*(1+K3)","(1+AC + S + R + G)*(1 + DF)*(1+L)")</f>
        <v>(1+AC + S + R + G)*(1 + DF)*(1+L)</v>
      </c>
      <c r="O115" s="704"/>
      <c r="P115" s="704"/>
      <c r="Q115" s="705" t="s">
        <v>686</v>
      </c>
      <c r="R115" s="68"/>
      <c r="S115" s="68"/>
    </row>
    <row r="116" spans="1:19" ht="15.75" x14ac:dyDescent="0.2">
      <c r="A116"/>
      <c r="B116"/>
      <c r="C116"/>
      <c r="D116"/>
      <c r="E116"/>
      <c r="F116"/>
      <c r="G116"/>
      <c r="I116" t="str">
        <f t="shared" ca="1" si="6"/>
        <v/>
      </c>
      <c r="J116" s="68"/>
      <c r="K116" s="68"/>
      <c r="L116" s="68"/>
      <c r="M116" s="703"/>
      <c r="N116" s="696" t="s">
        <v>687</v>
      </c>
      <c r="O116" s="696"/>
      <c r="P116" s="696"/>
      <c r="Q116" s="705"/>
      <c r="R116" s="68"/>
      <c r="S116" s="68"/>
    </row>
    <row r="117" spans="1:19" ht="15" customHeight="1" x14ac:dyDescent="0.2">
      <c r="A117"/>
      <c r="B117"/>
      <c r="C117"/>
      <c r="D117"/>
      <c r="E117"/>
      <c r="F117"/>
      <c r="G117"/>
      <c r="I117" t="str">
        <f t="shared" ca="1" si="6"/>
        <v/>
      </c>
      <c r="J117" s="68"/>
      <c r="K117" s="68"/>
      <c r="L117" s="68"/>
      <c r="M117" s="69"/>
      <c r="N117" s="71"/>
      <c r="O117" s="71"/>
      <c r="P117" s="71"/>
      <c r="Q117" s="70"/>
      <c r="R117" s="68"/>
      <c r="S117" s="68"/>
    </row>
    <row r="118" spans="1:19" ht="50.1" customHeight="1" x14ac:dyDescent="0.2">
      <c r="A118"/>
      <c r="B118"/>
      <c r="C118"/>
      <c r="D118"/>
      <c r="E118"/>
      <c r="F118"/>
      <c r="G118"/>
      <c r="I118" t="str">
        <f t="shared" ca="1" si="6"/>
        <v/>
      </c>
      <c r="J118" s="690"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3%, com a respectiva alíquota de 3%.</v>
      </c>
      <c r="K118" s="690"/>
      <c r="L118" s="690"/>
      <c r="M118" s="690"/>
      <c r="N118" s="690"/>
      <c r="O118" s="690"/>
      <c r="P118" s="690"/>
      <c r="Q118" s="690"/>
      <c r="R118" s="690"/>
      <c r="S118" s="690"/>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690"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120" s="690"/>
      <c r="L120" s="690"/>
      <c r="M120" s="690"/>
      <c r="N120" s="690"/>
      <c r="O120" s="690"/>
      <c r="P120" s="690"/>
      <c r="Q120" s="690"/>
      <c r="R120" s="690"/>
      <c r="S120" s="690"/>
    </row>
    <row r="121" spans="1:19" x14ac:dyDescent="0.2">
      <c r="A121"/>
      <c r="B121"/>
      <c r="C121"/>
      <c r="D121"/>
      <c r="E121"/>
      <c r="F121"/>
      <c r="G121"/>
      <c r="I121" t="str">
        <f t="shared" ca="1" si="6"/>
        <v/>
      </c>
    </row>
    <row r="122" spans="1:19" x14ac:dyDescent="0.2">
      <c r="A122"/>
      <c r="B122"/>
      <c r="C122"/>
      <c r="D122"/>
      <c r="E122"/>
      <c r="F122"/>
      <c r="G122"/>
      <c r="I122" t="str">
        <f t="shared" ca="1" si="6"/>
        <v/>
      </c>
      <c r="J122" s="49" t="s">
        <v>690</v>
      </c>
    </row>
    <row r="123" spans="1:19" ht="110.1" customHeight="1" x14ac:dyDescent="0.2">
      <c r="A123"/>
      <c r="B123"/>
      <c r="C123"/>
      <c r="D123"/>
      <c r="E123"/>
      <c r="F123"/>
      <c r="G123"/>
      <c r="I123" t="str">
        <f t="shared" ca="1" si="6"/>
        <v/>
      </c>
      <c r="J123" s="691"/>
      <c r="K123" s="691"/>
      <c r="L123" s="691"/>
      <c r="M123" s="691"/>
      <c r="N123" s="691"/>
      <c r="O123" s="691"/>
      <c r="P123" s="691"/>
      <c r="Q123" s="691"/>
      <c r="R123" s="691"/>
      <c r="S123" s="691"/>
    </row>
    <row r="124" spans="1:19" x14ac:dyDescent="0.2">
      <c r="A124"/>
      <c r="B124"/>
      <c r="C124"/>
      <c r="D124"/>
      <c r="E124"/>
      <c r="F124"/>
      <c r="G124"/>
      <c r="I124" t="str">
        <f t="shared" ca="1" si="6"/>
        <v/>
      </c>
    </row>
    <row r="125" spans="1:19" x14ac:dyDescent="0.2">
      <c r="A125"/>
      <c r="B125"/>
      <c r="C125"/>
      <c r="D125"/>
      <c r="E125"/>
      <c r="F125"/>
      <c r="G125"/>
      <c r="I125" t="str">
        <f t="shared" ca="1" si="6"/>
        <v/>
      </c>
      <c r="J125" s="692" t="str">
        <f>Import.Município</f>
        <v>RODEIO BONITO/RS</v>
      </c>
      <c r="K125" s="692"/>
      <c r="L125" s="692"/>
      <c r="M125" s="692"/>
      <c r="P125" s="693">
        <f>DADOS!$C$25</f>
        <v>46254</v>
      </c>
      <c r="Q125" s="693"/>
      <c r="R125" s="693"/>
      <c r="S125" s="693"/>
    </row>
    <row r="126" spans="1:19" x14ac:dyDescent="0.2">
      <c r="A126"/>
      <c r="B126"/>
      <c r="C126"/>
      <c r="D126"/>
      <c r="E126"/>
      <c r="F126"/>
      <c r="G126"/>
      <c r="I126" t="str">
        <f t="shared" ca="1" si="6"/>
        <v/>
      </c>
      <c r="J126" s="694" t="s">
        <v>694</v>
      </c>
      <c r="K126" s="694"/>
      <c r="L126" s="694"/>
      <c r="M126" s="694"/>
      <c r="O126" s="73"/>
      <c r="P126" s="74" t="s">
        <v>695</v>
      </c>
      <c r="Q126" s="75"/>
      <c r="R126" s="75"/>
      <c r="S126" s="75"/>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695"/>
      <c r="K128" s="695"/>
      <c r="L128" s="695"/>
      <c r="M128" s="695"/>
      <c r="N128" s="76"/>
    </row>
    <row r="129" spans="1:14" x14ac:dyDescent="0.2">
      <c r="A129"/>
      <c r="B129"/>
      <c r="C129"/>
      <c r="D129"/>
      <c r="E129"/>
      <c r="F129"/>
      <c r="G129"/>
      <c r="I129" t="str">
        <f t="shared" ca="1" si="6"/>
        <v/>
      </c>
      <c r="J129" s="689" t="s">
        <v>697</v>
      </c>
      <c r="K129" s="689"/>
      <c r="L129" s="689"/>
      <c r="M129" s="689"/>
    </row>
    <row r="130" spans="1:14" ht="14.25" x14ac:dyDescent="0.2">
      <c r="A130"/>
      <c r="B130"/>
      <c r="C130"/>
      <c r="D130"/>
      <c r="E130"/>
      <c r="F130"/>
      <c r="G130"/>
      <c r="I130" t="str">
        <f t="shared" ca="1" si="6"/>
        <v/>
      </c>
      <c r="J130" s="77" t="s">
        <v>240</v>
      </c>
      <c r="K130" s="78" t="str">
        <f t="array" ref="K130:K132">Import.RespOrçamento</f>
        <v>VIVIANE CARBONI TAFFAREL LUCAS</v>
      </c>
      <c r="L130" s="79"/>
      <c r="M130" s="79"/>
      <c r="N130" s="76"/>
    </row>
    <row r="131" spans="1:14" ht="14.25" x14ac:dyDescent="0.2">
      <c r="A131"/>
      <c r="B131"/>
      <c r="C131"/>
      <c r="D131"/>
      <c r="E131"/>
      <c r="F131"/>
      <c r="G131"/>
      <c r="I131" t="str">
        <f t="shared" ca="1" si="6"/>
        <v/>
      </c>
      <c r="J131" s="77" t="s">
        <v>243</v>
      </c>
      <c r="K131" s="78" t="str">
        <v>247947</v>
      </c>
      <c r="L131" s="79"/>
      <c r="M131" s="79"/>
      <c r="N131" s="76"/>
    </row>
    <row r="132" spans="1:14" ht="14.25" x14ac:dyDescent="0.2">
      <c r="A132"/>
      <c r="B132"/>
      <c r="C132"/>
      <c r="D132"/>
      <c r="E132"/>
      <c r="F132"/>
      <c r="G132"/>
      <c r="I132" t="str">
        <f t="shared" ca="1" si="6"/>
        <v/>
      </c>
      <c r="J132" s="77" t="s">
        <v>246</v>
      </c>
      <c r="K132" s="78" t="str">
        <v>0</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646</v>
      </c>
    </row>
    <row r="140" spans="1:14" x14ac:dyDescent="0.2">
      <c r="A140" s="49" t="s">
        <v>659</v>
      </c>
    </row>
    <row r="141" spans="1:14" x14ac:dyDescent="0.2">
      <c r="A141" s="49" t="s">
        <v>663</v>
      </c>
    </row>
    <row r="142" spans="1:14" x14ac:dyDescent="0.2">
      <c r="A142" s="49" t="s">
        <v>674</v>
      </c>
    </row>
    <row r="143" spans="1:14" x14ac:dyDescent="0.2">
      <c r="A143" s="49" t="s">
        <v>675</v>
      </c>
    </row>
    <row r="144" spans="1:14" x14ac:dyDescent="0.2">
      <c r="A144" s="49" t="s">
        <v>666</v>
      </c>
    </row>
    <row r="145" spans="1:1" x14ac:dyDescent="0.2">
      <c r="A145" s="49" t="s">
        <v>688</v>
      </c>
    </row>
    <row r="146" spans="1:1" x14ac:dyDescent="0.2">
      <c r="A146" s="49" t="s">
        <v>691</v>
      </c>
    </row>
  </sheetData>
  <sheetProtection algorithmName="SHA-512" hashValue="U2aKxiNp6C/eWaqaohEmHmGsFyqMXQQnQPYRLfVf1ee2QBF3L7PCcJORSeVrsZDc0kgplIg0Bchl/E9Y7dMjHg==" saltValue="nkvRO3hgqFQ4M8UFO5DTmA==" spinCount="100000" sheet="1" objects="1" scenarios="1" autoFilter="0"/>
  <autoFilter ref="I11:I132" xr:uid="{00000000-0009-0000-0000-000003000000}"/>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840" priority="11" stopIfTrue="1">
      <formula>DESONERACAO="não"</formula>
    </cfRule>
  </conditionalFormatting>
  <conditionalFormatting sqref="U69:W69 U29:W29 U109:W109">
    <cfRule type="expression" dxfId="839" priority="12" stopIfTrue="1">
      <formula>AND(U29&lt;&gt;"OK",U29&lt;&gt;"-",U29&lt;&gt;"")</formula>
    </cfRule>
    <cfRule type="cellIs" dxfId="838" priority="13" stopIfTrue="1" operator="equal">
      <formula>"OK"</formula>
    </cfRule>
  </conditionalFormatting>
  <conditionalFormatting sqref="S29 S69 S109">
    <cfRule type="expression" dxfId="837" priority="14" stopIfTrue="1">
      <formula>DESONERACAO="não"</formula>
    </cfRule>
  </conditionalFormatting>
  <conditionalFormatting sqref="J23:S24">
    <cfRule type="expression" dxfId="836" priority="9">
      <formula>$J$17=$A$146</formula>
    </cfRule>
  </conditionalFormatting>
  <conditionalFormatting sqref="S21:S26">
    <cfRule type="expression" dxfId="835" priority="8">
      <formula>$J$17=$A$145</formula>
    </cfRule>
  </conditionalFormatting>
  <conditionalFormatting sqref="J63:S64">
    <cfRule type="expression" dxfId="834" priority="7">
      <formula>$J$57=$A$146</formula>
    </cfRule>
  </conditionalFormatting>
  <conditionalFormatting sqref="S61:S66">
    <cfRule type="expression" dxfId="833" priority="6">
      <formula>$J$57=$A$145</formula>
    </cfRule>
  </conditionalFormatting>
  <conditionalFormatting sqref="J103:S104">
    <cfRule type="expression" dxfId="832" priority="5">
      <formula>$J$97=$A$146</formula>
    </cfRule>
  </conditionalFormatting>
  <conditionalFormatting sqref="S101:S106">
    <cfRule type="expression" dxfId="831" priority="4">
      <formula>$J$97=$A$145</formula>
    </cfRule>
  </conditionalFormatting>
  <conditionalFormatting sqref="U21:W28">
    <cfRule type="cellIs" dxfId="830" priority="3" operator="notEqual">
      <formula>"OK"</formula>
    </cfRule>
  </conditionalFormatting>
  <conditionalFormatting sqref="U61:W68">
    <cfRule type="cellIs" dxfId="829" priority="2" operator="notEqual">
      <formula>"OK"</formula>
    </cfRule>
  </conditionalFormatting>
  <conditionalFormatting sqref="U101:W108">
    <cfRule type="cellIs" dxfId="828"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&amp;LPMv3.12&amp;R&amp;P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122"/>
  <sheetViews>
    <sheetView showGridLines="0" zoomScale="90" zoomScaleNormal="90" zoomScaleSheetLayoutView="90" workbookViewId="0">
      <pane xSplit="19" ySplit="15" topLeftCell="T16" activePane="bottomRight" state="frozen"/>
      <selection pane="topRight" activeCell="T1" sqref="T1"/>
      <selection pane="bottomLeft" activeCell="L16" sqref="L16"/>
      <selection pane="bottomRight"/>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700</v>
      </c>
      <c r="T1" s="82"/>
      <c r="X1" s="52" t="s">
        <v>645</v>
      </c>
      <c r="Y1" s="7"/>
      <c r="Z1" s="7"/>
      <c r="AA1" s="7"/>
      <c r="AB1" s="7"/>
    </row>
    <row r="2" spans="1:40" ht="15" x14ac:dyDescent="0.2">
      <c r="D2" t="s">
        <v>701</v>
      </c>
      <c r="E2" t="s">
        <v>702</v>
      </c>
      <c r="F2" t="s">
        <v>703</v>
      </c>
      <c r="G2" t="s">
        <v>704</v>
      </c>
      <c r="H2" t="s">
        <v>705</v>
      </c>
      <c r="I2" t="s">
        <v>706</v>
      </c>
      <c r="R2" s="83" t="str" cm="1">
        <f t="array" ref="R2">IF(TIPOORCAMENTO="licitado","Orçamento Licitado","Orçamento Base para Licitação")&amp;" - "&amp;import.recurso</f>
        <v>Orçamento Base para Licitação - OGU</v>
      </c>
      <c r="X2" s="11" t="s">
        <v>648</v>
      </c>
      <c r="Y2" s="84"/>
      <c r="Z2" s="84"/>
      <c r="AA2" s="84"/>
      <c r="AB2" s="84"/>
    </row>
    <row r="3" spans="1:40" x14ac:dyDescent="0.2">
      <c r="H3" s="85"/>
      <c r="R3" s="86"/>
    </row>
    <row r="4" spans="1:40" x14ac:dyDescent="0.2">
      <c r="A4" t="s">
        <v>707</v>
      </c>
      <c r="F4" t="s">
        <v>664</v>
      </c>
      <c r="G4" t="s">
        <v>698</v>
      </c>
      <c r="H4" t="s">
        <v>699</v>
      </c>
      <c r="I4" s="87">
        <v>0</v>
      </c>
      <c r="O4" s="708" t="s">
        <v>651</v>
      </c>
      <c r="P4" s="708"/>
      <c r="Q4" s="88" t="s">
        <v>708</v>
      </c>
      <c r="R4" s="88" t="s">
        <v>653</v>
      </c>
      <c r="S4" s="708" t="s">
        <v>709</v>
      </c>
      <c r="T4" s="708"/>
      <c r="U4" s="708"/>
      <c r="V4" s="708"/>
      <c r="W4" s="708"/>
      <c r="X4" s="708"/>
      <c r="Y4" s="77"/>
      <c r="Z4" s="77"/>
      <c r="AA4" s="77"/>
      <c r="AB4" s="77"/>
    </row>
    <row r="5" spans="1:40" ht="12.75" customHeight="1" x14ac:dyDescent="0.2">
      <c r="A5" s="7">
        <f ca="1">MAX($C$15:$C$105)</f>
        <v>2</v>
      </c>
      <c r="B5" s="7"/>
      <c r="C5" s="7"/>
      <c r="F5" s="87">
        <f ca="1">IF(BDI.Opcao="DESONERADO",BDI!$S$30,BDI!$S$29)</f>
        <v>0.27250000000000002</v>
      </c>
      <c r="G5" s="87">
        <f ca="1">IF(BDI.Opcao="DESONERADO",BDI!$S$70,BDI!$S$69)</f>
        <v>0</v>
      </c>
      <c r="H5" s="87">
        <f ca="1">IF(BDI.Opcao="DESONERADO",BDI!$S$110,BDI!$S$109)</f>
        <v>0</v>
      </c>
      <c r="O5" s="711" t="str">
        <f>Import.CR</f>
        <v>0</v>
      </c>
      <c r="P5" s="711"/>
      <c r="Q5" s="91" t="str" cm="1">
        <f t="array" ref="Q5">Import.TransfereGOV</f>
        <v>0</v>
      </c>
      <c r="R5" s="92" t="str">
        <f>Import.Proponente</f>
        <v>CONSÓRCIO INTERMUNICIPAL DO MÉDIO ALTO URUGUAI - CIMAU</v>
      </c>
      <c r="S5" s="711" t="str">
        <f>Import.Apelido</f>
        <v>REFORMA CASA DA CRIANÇA</v>
      </c>
      <c r="T5" s="711"/>
      <c r="U5" s="711"/>
      <c r="V5" s="711"/>
      <c r="W5" s="711"/>
      <c r="X5" s="711"/>
      <c r="Y5" s="93"/>
      <c r="Z5" s="93"/>
      <c r="AA5" s="93"/>
      <c r="AB5" s="93"/>
      <c r="AE5" s="716" t="s">
        <v>710</v>
      </c>
      <c r="AF5" s="716"/>
    </row>
    <row r="6" spans="1:40" ht="5.0999999999999996" customHeight="1" x14ac:dyDescent="0.2">
      <c r="A6" s="7"/>
      <c r="B6" s="7"/>
      <c r="C6" s="7"/>
      <c r="H6" s="85"/>
      <c r="O6" s="94"/>
      <c r="P6" s="94"/>
      <c r="Q6" s="95"/>
      <c r="R6" s="95"/>
      <c r="S6" s="94"/>
      <c r="T6" s="94"/>
      <c r="U6" s="94"/>
      <c r="V6" s="94"/>
      <c r="W6" s="94"/>
      <c r="X6" s="94"/>
      <c r="Y6" s="93"/>
      <c r="Z6" s="93"/>
      <c r="AA6" s="93"/>
      <c r="AB6" s="93"/>
      <c r="AC6" s="96"/>
      <c r="AE6" s="89"/>
      <c r="AF6" s="90"/>
    </row>
    <row r="7" spans="1:40" ht="12.75" customHeight="1" x14ac:dyDescent="0.2">
      <c r="H7" s="85"/>
      <c r="O7" s="708" t="s">
        <v>711</v>
      </c>
      <c r="P7" s="708"/>
      <c r="Q7" s="88" t="s">
        <v>712</v>
      </c>
      <c r="R7" s="88" t="str" cm="1">
        <f t="array" ref="R7">IF(TIPOORCAMENTO="Licitado","NOME DA EMPRESA","DESCRIÇÃO DO LOTE")</f>
        <v>DESCRIÇÃO DO LOTE</v>
      </c>
      <c r="S7" s="717" t="str" cm="1">
        <f t="array" ref="S7">IF(TIPOORCAMENTO="Licitado","REGIME DE EXECUÇÃO","MUNICÍPIO / UF")</f>
        <v>MUNICÍPIO / UF</v>
      </c>
      <c r="T7" s="717"/>
      <c r="U7" s="717"/>
      <c r="V7" s="98" t="str" cm="1">
        <f t="array" ref="V7">IF(TIPOORCAMENTO="Licitado","","BDI 1")</f>
        <v>BDI 1</v>
      </c>
      <c r="W7" s="98" t="str" cm="1">
        <f t="array" ref="W7">IF(TIPOORCAMENTO="Licitado","","BDI 2")</f>
        <v>BDI 2</v>
      </c>
      <c r="X7" s="99" t="str" cm="1">
        <f t="array" ref="X7">IF(TIPOORCAMENTO="Licitado","Nº CTEF","BDI 3")</f>
        <v>BDI 3</v>
      </c>
      <c r="Y7" s="98"/>
      <c r="Z7" s="98"/>
      <c r="AE7" s="89" t="s">
        <v>713</v>
      </c>
      <c r="AF7" s="90" t="b">
        <v>1</v>
      </c>
      <c r="AJ7" s="720" t="s">
        <v>714</v>
      </c>
      <c r="AL7" s="718" t="s">
        <v>715</v>
      </c>
    </row>
    <row r="8" spans="1:40" ht="12.75" customHeight="1" x14ac:dyDescent="0.2">
      <c r="A8" s="7"/>
      <c r="B8" s="7"/>
      <c r="C8" s="7"/>
      <c r="F8" s="721" t="str">
        <f ca="1">IF(LEN(INFO("release"))&gt;5,"'Referência "&amp;Excel_BuiltIn_Database&amp;".xlsm'#Banco.$a5:$a$65536","'[Referência "&amp;Excel_BuiltIn_Database&amp;".xlsm]Banco'!$a5:$a$65536")</f>
        <v>'[Referência 07-2026.xlsm]Banco'!$a5:$a$65536</v>
      </c>
      <c r="G8" s="721"/>
      <c r="H8" s="721"/>
      <c r="I8" s="721"/>
      <c r="J8" s="721"/>
      <c r="K8" s="721"/>
      <c r="L8" s="680" t="s">
        <v>656</v>
      </c>
      <c r="O8" s="711" t="str">
        <f ca="1">IF(ISERROR(INDIRECT($F$9)),"(N/D: 'Referência "&amp;Excel_BuiltIn_Database&amp;".xlsm)",INDIRECT($F$9))</f>
        <v>PORTO ALEGRE</v>
      </c>
      <c r="P8" s="711"/>
      <c r="Q8" s="100" t="str" cm="1">
        <f t="array" aca="1" ref="Q8" ca="1">TEXT(Import.DataBase,"mm-aa")&amp;IF(DESONERACAO="Sim"," (DES.)"," (N DES.)")</f>
        <v>07-26 (DES.)</v>
      </c>
      <c r="R8" s="92" t="str" cm="1">
        <f t="array" ref="R8">IF(TIPOORCAMENTO="Licitado",Import.empresa,Import.DescLote)</f>
        <v>REFORMA CASA DA CRIANÇA</v>
      </c>
      <c r="S8" s="722" t="str" cm="1">
        <f t="array" ref="S8">IF(TIPOORCAMENTO="Licitado",Import.RegimeExecução,Import.Município)</f>
        <v>RODEIO BONITO/RS</v>
      </c>
      <c r="T8" s="722"/>
      <c r="U8" s="722"/>
      <c r="V8" s="101" t="str" cm="1">
        <f t="array" aca="1" ref="V8" ca="1">IF(TIPOORCAMENTO="Licitado","",TEXT(F5,"0,00%"))</f>
        <v>27,25%</v>
      </c>
      <c r="W8" s="101" t="str" cm="1">
        <f t="array" aca="1" ref="W8" ca="1">IF(TIPOORCAMENTO="Licitado","",TEXT(G5,"0,00%"))</f>
        <v>0,00%</v>
      </c>
      <c r="X8" s="102" t="str" cm="1">
        <f t="array" aca="1" ref="X8" ca="1">IF(TIPOORCAMENTO="Licitado",Import.CTEF,TEXT(H5,"0,00%"))</f>
        <v>0,00%</v>
      </c>
      <c r="Y8" s="680" t="s">
        <v>716</v>
      </c>
      <c r="Z8" s="680" t="s">
        <v>717</v>
      </c>
      <c r="AA8" s="103"/>
      <c r="AB8" s="103"/>
      <c r="AE8" s="89" t="s">
        <v>718</v>
      </c>
      <c r="AF8" s="90" t="b">
        <v>1</v>
      </c>
      <c r="AJ8" s="720"/>
      <c r="AL8" s="718"/>
    </row>
    <row r="9" spans="1:40" ht="12.75" customHeight="1" x14ac:dyDescent="0.2">
      <c r="F9" s="721" t="str">
        <f ca="1">IF(LEN(INFO("release"))&gt;5,"'Referência "&amp;Excel_BuiltIn_Database&amp;".xlsm'#Banco.$d$3","'[Referência "&amp;Excel_BuiltIn_Database&amp;".xlsm]Banco'!$d$3")</f>
        <v>'[Referência 07-2026.xlsm]Banco'!$d$3</v>
      </c>
      <c r="G9" s="721"/>
      <c r="H9" s="721"/>
      <c r="I9" s="721"/>
      <c r="J9" s="721"/>
      <c r="K9" s="721"/>
      <c r="L9" s="680"/>
      <c r="Y9" s="680"/>
      <c r="Z9" s="680"/>
      <c r="AE9" s="89" t="s">
        <v>23</v>
      </c>
      <c r="AF9" s="90" t="b">
        <v>1</v>
      </c>
      <c r="AJ9" s="720"/>
      <c r="AL9" s="718"/>
    </row>
    <row r="10" spans="1:40" x14ac:dyDescent="0.2">
      <c r="G10" s="85"/>
      <c r="H10" s="85"/>
      <c r="L10" s="680"/>
      <c r="Y10" s="680"/>
      <c r="Z10" s="680"/>
      <c r="AC10" s="104" t="s">
        <v>719</v>
      </c>
      <c r="AE10" s="89" t="s">
        <v>720</v>
      </c>
      <c r="AF10" s="90" t="b">
        <v>1</v>
      </c>
      <c r="AJ10" s="720"/>
      <c r="AL10" s="718"/>
    </row>
    <row r="11" spans="1:40" x14ac:dyDescent="0.2">
      <c r="G11" s="85"/>
      <c r="H11" s="105"/>
      <c r="L11" s="680"/>
      <c r="Y11" s="680"/>
      <c r="Z11" s="680"/>
      <c r="AC11" s="106" t="str">
        <f ca="1">IF(COUNTIFS($L$15:$L$105,"F",$AC$15:$AC$105,"&lt;&gt;"&amp;" ")&gt;0,"NÃO OK","OK")</f>
        <v>OK</v>
      </c>
      <c r="AE11" s="89" t="s">
        <v>721</v>
      </c>
      <c r="AF11" s="90" t="b">
        <v>1</v>
      </c>
      <c r="AJ11" s="720"/>
      <c r="AL11" s="718"/>
    </row>
    <row r="12" spans="1:40" ht="20.100000000000001" customHeight="1" x14ac:dyDescent="0.2">
      <c r="G12" s="85"/>
      <c r="H12" s="85"/>
      <c r="L12" s="680"/>
      <c r="O12" s="598" t="str" cm="1">
        <f t="array" aca="1" ref="O12" ca="1">IF(COUNTIF($AC$15:$AC$105,"FONTE")&gt;0,"Falta preencher a Fonte (coluna P) na Linha "&amp;(14+MATCH("FONTE",$AC$15:$AC$105,0)),
 IF(COUNTIF($AC$15:$AC$105,"CÓDIGO")&gt;0,"Falta preencher o Código (coluna Q) na Linha "&amp;(14+MATCH("CÓDIGO",$AC$15:$AC$105,0)),
 IF(COUNTIF($AC$15:$AC$105,"CÓDIGO N/ID")&gt;0,"Código (coluna Q) não identificado na Linha "&amp;(14+MATCH("CÓDIGO N/ID",$AC$15:$AC$105,0))&amp;". Verifique se o código está correto ou busque outro código",
 IF(COUNTIF($AC$15:$AC$105,"DESCRIÇÃO")&gt;0,"Falta preencher a Descrição (coluna R) na Linha "&amp;(14+MATCH("DESCRIÇÃO",$AC$15:$AC$105,0)),
 IF(COUNTIF($AC$15:$AC$105,"UNIDADE")&gt;0,"Falta preencher a Unidade (coluna S) na Linha "&amp;(14+MATCH("UNIDADE",$AC$15:$AC$105,0)),
 IF(COUNTIF($AC$15:$AC$105,"SEM CUSTO")&gt;0,"Falta preencher o Custo Unitário (coluna U) na Linha "&amp;(14+MATCH("SEM CUSTO",$AC$15:$AC$105,0)),
 IF(COUNTIF($AC$15:$AC$105,"SEM PREÇO")&gt;0,"Falta preencher o Preço Unitário licitado (coluna AL) na Linha "&amp;(14+MATCH("SEM CUSTO",$AC$15:$AC$105,0)),
 IF(COUNTIF($AC$15:$AC$105,"BDI")&gt;0,"Falta definir o BDI (coluna V) na Linha "&amp;(14+MATCH("BDI",$AC$15:$AC$105,0)),
 IF(COUNTIF($AC$15:$AC$105,"ACIMA REF.")&gt;0,
         IF(TIPOORCAMENTO="Proposto","O custo unitário (coluna U) na Linha "&amp;(14+MATCH("ACIMA REF.",$AC$15:$AC$105,0))&amp;" está acima do custo referencial (coluna AG)",
            "O preço unitário licitado (coluna AL) na Linha "&amp;(14+MATCH("ACIMA REF.",$AC$15:$AC$105,0))&amp;" está acima do preço referencial do edital (coluna AN)"),
 IF(COUNTIF($AC$15:$AC$105,"QUANT.")&gt;0,"Falta a Quantidade do serviço na Linha "&amp;(14+MATCH("QUANT.",$AC$15:$AC$105,0))&amp;IF(ACOMPANHAMENTO="PLE",". Preencher na aba CÁLCULO",". Preencher na coluna AJ"),
 IF(COUNTIF($AC$15:$AC$105,"Código &gt;13")&gt;0,"O tamanho do código do serviço no TransfereGOV é limitado a 13 caracteres. Resuma o código (coluna Q) na Linha "&amp;(14+MATCH("Código &gt;13",$AC$15:$AC$105,0)),
 IF(COUNTIF($AC$15:$AC$105,"Descrição &gt;100")&gt;0,"O tamanho da descrição de macrosserviço no TransfereGOV é limitado a 100 caracteres. Resuma a descrição (coluna R) na Linha "&amp;(14+MATCH("Descrição &gt;100",$AC$15:$AC$105,0)),
 IF(COUNTIF($AC$15:$AC$105,"Descrição &gt;500")&gt;0,"O tamanho da descrição de serviço no TransfereGOV é limitado a 500 caracteres. Resuma a descrição (coluna R) na Linha "&amp;(14+MATCH("Descrição &gt;500",$AC$15:$AC$105,0)),
 IF(COUNTIF($AC$15:$AC$105,"Unid. Não Disp")&gt;0,"Unidade não disponível na lista do TransfereGOV. Reveja a unidade (coluna S) na Linha "&amp;(14+MATCH("Unid. Não Disp",$AC$15:$AC$105,0)),
 IF(AND(TIPOORCAMENTO="Proposto",LEFT($O$8,5)="(N/D:"),"Abra o arquivo Referência "&amp;_xlfn.SINGLE(Excel_BuiltIn_Database)&amp;".xlsm","")))))))))))))))</f>
        <v/>
      </c>
      <c r="Y12" s="680"/>
      <c r="Z12" s="680"/>
      <c r="AA12" s="719" t="s">
        <v>722</v>
      </c>
      <c r="AB12" s="719"/>
      <c r="AJ12" s="107" t="s">
        <v>661</v>
      </c>
      <c r="AL12" s="459" t="s">
        <v>661</v>
      </c>
    </row>
    <row r="13" spans="1:40" ht="35.1" customHeight="1" x14ac:dyDescent="0.2">
      <c r="A13" s="108" t="s">
        <v>723</v>
      </c>
      <c r="B13" s="108" t="s">
        <v>724</v>
      </c>
      <c r="C13" s="108" t="s">
        <v>725</v>
      </c>
      <c r="D13" s="108" t="s">
        <v>726</v>
      </c>
      <c r="E13" s="108" t="s">
        <v>727</v>
      </c>
      <c r="F13" s="108" t="s">
        <v>728</v>
      </c>
      <c r="G13" s="108" t="s">
        <v>729</v>
      </c>
      <c r="H13" s="108" t="s">
        <v>730</v>
      </c>
      <c r="I13" s="108" t="s">
        <v>731</v>
      </c>
      <c r="J13" s="108" t="s">
        <v>732</v>
      </c>
      <c r="K13" s="108" t="s">
        <v>733</v>
      </c>
      <c r="L13" s="107" t="s">
        <v>661</v>
      </c>
      <c r="M13" s="108" t="s">
        <v>734</v>
      </c>
      <c r="N13" s="109" t="s">
        <v>735</v>
      </c>
      <c r="O13" s="108" t="s">
        <v>736</v>
      </c>
      <c r="P13" s="108" t="s">
        <v>737</v>
      </c>
      <c r="Q13" s="108" t="s">
        <v>738</v>
      </c>
      <c r="R13" s="108" t="s">
        <v>118</v>
      </c>
      <c r="S13" s="110" t="s">
        <v>739</v>
      </c>
      <c r="T13" s="108" t="s">
        <v>713</v>
      </c>
      <c r="U13" s="108" t="str" cm="1">
        <f t="array" ref="U13">IF(TIPOORCAMENTO="Licitado","","Custo Unitário (sem BDI) (R$)")</f>
        <v>Custo Unitário (sem BDI) (R$)</v>
      </c>
      <c r="V13" s="108" t="str" cm="1">
        <f t="array" ref="V13">IF(TIPOORCAMENTO="Licitado","","BDI
(%)")</f>
        <v>BDI
(%)</v>
      </c>
      <c r="W13" s="108" t="s">
        <v>740</v>
      </c>
      <c r="X13" s="108" t="s">
        <v>741</v>
      </c>
      <c r="Y13" s="107" t="s">
        <v>661</v>
      </c>
      <c r="Z13" s="107" t="s">
        <v>661</v>
      </c>
      <c r="AA13" s="111" t="s">
        <v>742</v>
      </c>
      <c r="AB13" s="112" t="s">
        <v>743</v>
      </c>
      <c r="AC13" s="108" t="s">
        <v>744</v>
      </c>
      <c r="AD13" s="113" t="s">
        <v>745</v>
      </c>
      <c r="AE13" s="113" t="s">
        <v>746</v>
      </c>
      <c r="AF13" s="113" t="s">
        <v>747</v>
      </c>
      <c r="AG13" s="160" t="s">
        <v>748</v>
      </c>
      <c r="AH13" s="428" t="str" cm="1">
        <f t="array" ref="AH13">IF(TIPOORCAMENTO="LICITADO","Valor BDI Edital","Valor BDI")</f>
        <v>Valor BDI</v>
      </c>
      <c r="AJ13" s="293" t="s">
        <v>713</v>
      </c>
      <c r="AL13" s="293" t="s">
        <v>740</v>
      </c>
      <c r="AM13" s="160" t="s">
        <v>749</v>
      </c>
      <c r="AN13" s="161" t="s">
        <v>750</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IF(OR($C14="S",$C14=0),0,MATCH(0,OFFSET($D14,1,$C14,ROW($C$105)-ROW($C14)),0))</f>
        <v>0</v>
      </c>
      <c r="K14">
        <f ca="1">IF(OR($C14="S",$C14=0),0,MATCH(OFFSET($D14,0,$C14)+IF($C14&lt;&gt;1,1,COUNTIF(QCI!$A$13:$A$24,ORÇAMENTO!E14)),OFFSET($D14,1,$C14,ROW($C$105)-ROW($C14)),0))</f>
        <v>0</v>
      </c>
      <c r="L14" s="115" t="str">
        <f ca="1">IF(OR($X14&gt;0,$C14=1,$C14=2,$C14=3,$C14=4),"F","")</f>
        <v/>
      </c>
      <c r="M14" s="116" t="s">
        <v>706</v>
      </c>
      <c r="N14" s="117" t="str">
        <f ca="1">CHOOSE(1+LOG(1+2*(C14=1)+4*(C14=2)+8*(C14=3)+16*(C14=4)+32*(C14="S"),2),"","Meta","Nível 2","Nível 3","Nível 4","Serviço")</f>
        <v>Serviço</v>
      </c>
      <c r="O14" s="118" t="str">
        <f ca="1">IF(OR($C14=0,$L14=""),"-",CONCATENATE(E14&amp;".",IF(AND($A$5&gt;=2,$C14&gt;=2),F14&amp;".",""),IF(AND($A$5&gt;=3,$C14&gt;=3),G14&amp;".",""),IF(AND($A$5&gt;=4,$C14&gt;=4),H14&amp;".",""),IF($C14="S",I14&amp;".","")))</f>
        <v>-</v>
      </c>
      <c r="P14" s="119" t="s">
        <v>751</v>
      </c>
      <c r="Q14" s="120"/>
      <c r="R14" s="121" t="str">
        <f ca="1">IF($C14="S",REFERENCIA.Descricao,"(digite a descrição aqui)")</f>
        <v>(Sem Código)</v>
      </c>
      <c r="S14" s="122" t="str">
        <f ca="1">REFERENCIA.Unidade</f>
        <v>-</v>
      </c>
      <c r="T14" s="123">
        <f ca="1">OFFSET(CÁLCULO!H$15,ROW($T14)-ROW(T$15),0)</f>
        <v>0</v>
      </c>
      <c r="U14" s="124"/>
      <c r="V14" s="125" t="s">
        <v>664</v>
      </c>
      <c r="W14" s="123">
        <f ca="1">IF($C14="S",ROUND(IF(TIPOORCAMENTO="Proposto",ORÇAMENTO.CustoUnitario*(1+$AH14),ORÇAMENTO.PrecoUnitarioLicitado),15-13*$AF$10),0)</f>
        <v>0</v>
      </c>
      <c r="X14" s="126" cm="1">
        <f t="array" aca="1" ref="X14" ca="1">IF($C14="S",IF(OR(Import.TipoArredondamento&lt;&gt;"TransfereGOV",ACOMPANHAMENTO="BM"),VTOTAL1,SUM(OFFSET(CÁLCULO!$AA$15,ROW($X14)-ROW($X$15),1):OFFSET(CÁLCULO!$AL$15,ROW($X14)-ROW($X$15),-1))),IF($C14=0,0,ROUND(SomaAgrup,15-13*$AF$11)))</f>
        <v>0</v>
      </c>
      <c r="Y14" s="127" t="s">
        <v>752</v>
      </c>
      <c r="Z14" t="str">
        <f ca="1">IF(AND($C14="S",$X14&gt;0),IF(ISBLANK($Y14),"RA",LEFT($Y14,2)),"")</f>
        <v/>
      </c>
      <c r="AA14" s="128">
        <f ca="1">IF($C14="S",IF($Z14="CP",$X14,IF($Z14="RA",(($X14)*QCI!$AA$3),0)),SomaAgrup)</f>
        <v>0</v>
      </c>
      <c r="AB14" s="129">
        <f ca="1">IF($C14="S",IF($Z14="OU",ROUND($X14,2),0),SomaAgrup)</f>
        <v>0</v>
      </c>
      <c r="AC14" s="566"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IF(AND(_xlfn.SINGLE(TIPOORCAMENTO)="Licitado",$AL14=0,$AN14&gt;0),"SEM PREÇO",
IF(AND($C14="S",$P14&lt;&gt;"",$Q14&lt;&gt;"",$U14&gt;0,$V14=0),"BDI",
IF(OR(AND(TIPOORCAMENTO="Proposto",LEFT($O$8,5)&lt;&gt;"(N/D:",$AG14&lt;&gt;"",ORÇAMENTO.CustoUnitario&gt;$AG14),AND(TIPOORCAMENTO="LICITADO",ORÇAMENTO.PrecoUnitarioLicitado&gt;$AN14)),"ACIMA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f ca="1">IF(AND($C14="S",ORÇAMENTO.CodBarra&lt;&gt;""),IF(ORÇAMENTO.Fonte="",ORÇAMENTO.CodBarra,CONCATENATE(ORÇAMENTO.Fonte," ",ORÇAMENTO.CodBarra)))</f>
        <v>0</v>
      </c>
      <c r="AF14" s="12" t="str">
        <f ca="1">IF(ISERROR(INDIRECT(ORÇAMENTO.BancoRef)),"(abra o arquivo 'Referência "&amp;Excel_BuiltIn_Database&amp;".xlsm)",IF(OR($C14&lt;&gt;"S",ORÇAMENTO.CodBarra=""),"(Sem Código)",IF(ISERROR(MATCH($AE14,INDIRECT(ORÇAMENTO.BancoRef),0)),"(Código não identificado nas referências)",MATCH($AE14,INDIRECT(ORÇAMENTO.BancoRef),0))))</f>
        <v>(Sem Código)</v>
      </c>
      <c r="AG14" s="429">
        <f ca="1">ROUND(IF(DESONERACAO="sim",REFERENCIA.Desonerado,REFERENCIA.NaoDesonerado),2)</f>
        <v>0</v>
      </c>
      <c r="AH14" s="430">
        <f ca="1">ROUND(IF(ISNUMBER(ORÇAMENTO.OpcaoBDI),ORÇAMENTO.OpcaoBDI,IF(LEFT(ORÇAMENTO.OpcaoBDI,3)="BDI",HLOOKUP(ORÇAMENTO.OpcaoBDI,$F$4:$H$5,2,FALSE),0)),15-11*$AF$9)</f>
        <v>0.27250000000000002</v>
      </c>
      <c r="AJ14" s="432"/>
      <c r="AL14" s="440"/>
      <c r="AM14" s="337">
        <f t="shared" ref="AM14:AM104" ca="1" si="0">$X14</f>
        <v>0</v>
      </c>
      <c r="AN14" s="471">
        <f ca="1">ROUND(ORÇAMENTO.CustoUnitario*(1+$AH14),2)</f>
        <v>0</v>
      </c>
    </row>
    <row r="15" spans="1:40" ht="12.75" customHeight="1" x14ac:dyDescent="0.2">
      <c r="A15">
        <v>0</v>
      </c>
      <c r="C15" t="s">
        <v>655</v>
      </c>
      <c r="D15">
        <f ca="1">COUNTA(OFFSET(D15,1,0):D$105)</f>
        <v>89</v>
      </c>
      <c r="E15">
        <v>0</v>
      </c>
      <c r="L15" s="115" t="s">
        <v>537</v>
      </c>
      <c r="M15" s="131" t="str">
        <f>IF(TIPOORCAMENTO="LICITADO","CTEF","LOTE")</f>
        <v>LOTE</v>
      </c>
      <c r="N15" s="131" t="str">
        <f>IF(TIPOORCAMENTO="LICITADO","CTEF","LOTE")</f>
        <v>LOTE</v>
      </c>
      <c r="O15" s="724" t="str">
        <f>Import.DescLote</f>
        <v>REFORMA CASA DA CRIANÇA</v>
      </c>
      <c r="P15" s="725"/>
      <c r="Q15" s="725"/>
      <c r="R15" s="725"/>
      <c r="S15" s="614"/>
      <c r="T15" s="615"/>
      <c r="U15" s="615"/>
      <c r="V15" s="616"/>
      <c r="W15" s="615"/>
      <c r="X15" s="132">
        <f ca="1">SUMIF(OFFSET($C15,1,0,ROW(X105)-ROW(X15)-1),"S",OFFSET(X15,1,0,ROW(X105)-ROW(X15)-1))</f>
        <v>290574.24000000005</v>
      </c>
      <c r="Y15" s="7"/>
      <c r="Z15" t="str">
        <f ca="1">IF(AND($C15="S",$X15&gt;0),LEFT($Y15,2),"")</f>
        <v/>
      </c>
      <c r="AA15" s="427">
        <f ca="1">SUMIF(OFFSET($C15,1,0,ROW(AA105)-ROW(AA15)-1),"S",OFFSET(AA15,1,0,ROW(AA105)-ROW(AA15)-1))</f>
        <v>290574.24000000005</v>
      </c>
      <c r="AB15" s="133">
        <f ca="1">SUMIF(OFFSET($C15,1,0,ROW(AB105)-ROW(AB15)-1),"S",OFFSET(AB15,1,0,ROW(AB105)-ROW(AB15)-1))</f>
        <v>0</v>
      </c>
      <c r="AC15" s="130" t="s">
        <v>753</v>
      </c>
      <c r="AG15" s="442"/>
      <c r="AH15" s="443"/>
      <c r="AJ15" s="431"/>
      <c r="AL15" s="441"/>
      <c r="AM15" s="472">
        <f t="shared" ca="1" si="0"/>
        <v>290574.24000000005</v>
      </c>
      <c r="AN15" s="473"/>
    </row>
    <row r="16" spans="1:40" x14ac:dyDescent="0.2">
      <c r="A16">
        <f t="shared" ref="A16:A32" si="1">CHOOSE(1+LOG(1+2*(ORÇAMENTO.Nivel="Meta")+4*(ORÇAMENTO.Nivel="Nível 2")+8*(ORÇAMENTO.Nivel="Nível 3")+16*(ORÇAMENTO.Nivel="Nível 4")+32*(ORÇAMENTO.Nivel="Serviço"),2),0,1,2,3,4,"S")</f>
        <v>1</v>
      </c>
      <c r="B16">
        <f t="shared" ref="B16:B32" ca="1" si="2">IF(OR(C16="s",C16=0),OFFSET(B16,-1,0),C16)</f>
        <v>1</v>
      </c>
      <c r="C16">
        <f t="shared" ref="C16:C32" ca="1" si="3">IF(OFFSET(C16,-1,0)="L",1,IF(OFFSET(C16,-1,0)=1,2,IF(OR(A16="s",A16=0),"S",IF(AND(OFFSET(C16,-1,0)=2,A16=4),3,IF(AND(OR(OFFSET(C16,-1,0)="s",OFFSET(C16,-1,0)=0),A16&lt;&gt;"s",A16&gt;OFFSET(B16,-1,0)),OFFSET(B16,-1,0),A16)))))</f>
        <v>1</v>
      </c>
      <c r="D16">
        <f t="shared" ref="D16:D32" ca="1" si="4">IF(OR(C16="S",C16=0),0,IF(ISERROR(K16),J16,SMALL(J16:K16,1)))</f>
        <v>89</v>
      </c>
      <c r="E16">
        <f ca="1">IF($C16=1,OFFSET(E16,-1,0)+MAX(1,COUNTIF(QCI!$A$13:$A$24,OFFSET(ORÇAMENTO!E16,-1,0))),OFFSET(E16,-1,0))</f>
        <v>1</v>
      </c>
      <c r="F16">
        <f t="shared" ref="F16:F32" ca="1" si="5">IF($C16=1,0,IF($C16=2,OFFSET(F16,-1,0)+1,OFFSET(F16,-1,0)))</f>
        <v>0</v>
      </c>
      <c r="G16">
        <f t="shared" ref="G16:G32" ca="1" si="6">IF(AND($C16&lt;=2,$C16&lt;&gt;0),0,IF($C16=3,OFFSET(G16,-1,0)+1,OFFSET(G16,-1,0)))</f>
        <v>0</v>
      </c>
      <c r="H16">
        <f t="shared" ref="H16:H32" ca="1" si="7">IF(AND($C16&lt;=3,$C16&lt;&gt;0),0,IF($C16=4,OFFSET(H16,-1,0)+1,OFFSET(H16,-1,0)))</f>
        <v>0</v>
      </c>
      <c r="I16">
        <f t="shared" ref="I16:I32" ca="1" si="8">IF(AND($C16&lt;=4,$C16&lt;&gt;0),0,IF(AND($C16="S",$X16&gt;0),OFFSET(I16,-1,0)+1,OFFSET(I16,-1,0)))</f>
        <v>0</v>
      </c>
      <c r="J16">
        <f t="shared" ref="J16:J47" ca="1" si="9">IF(OR($C16="S",$C16=0),0,MATCH(0,OFFSET($D16,1,$C16,ROW($C$105)-ROW($C16)),0))</f>
        <v>89</v>
      </c>
      <c r="K16" t="e">
        <f ca="1">IF(OR($C16="S",$C16=0),0,MATCH(OFFSET($D16,0,$C16)+IF($C16&lt;&gt;1,1,COUNTIF(QCI!$A$13:$A$24,ORÇAMENTO!E16)),OFFSET($D16,1,$C16,ROW($C$105)-ROW($C16)),0))</f>
        <v>#N/A</v>
      </c>
      <c r="L16" s="115" t="str">
        <f t="shared" ref="L16:L32" ca="1" si="10">IF(OR($X16&gt;0,$C16=1,$C16=2,$C16=3,$C16=4),"F","")</f>
        <v>F</v>
      </c>
      <c r="M16" s="116" t="s">
        <v>702</v>
      </c>
      <c r="N16" s="117" t="str">
        <f t="shared" ref="N16:N32" ca="1" si="11">CHOOSE(1+LOG(1+2*(C16=1)+4*(C16=2)+8*(C16=3)+16*(C16=4)+32*(C16="S"),2),"","Meta","Nível 2","Nível 3","Nível 4","Serviço")</f>
        <v>Meta</v>
      </c>
      <c r="O16" s="118" t="str">
        <f t="shared" ref="O16:O32" ca="1" si="12">IF(OR($C16=0,$L16=""),"-",CONCATENATE(E16&amp;".",IF(AND($A$5&gt;=2,$C16&gt;=2),F16&amp;".",""),IF(AND($A$5&gt;=3,$C16&gt;=3),G16&amp;".",""),IF(AND($A$5&gt;=4,$C16&gt;=4),H16&amp;".",""),IF($C16="S",I16&amp;".","")))</f>
        <v>1.</v>
      </c>
      <c r="P16" s="119" t="s">
        <v>751</v>
      </c>
      <c r="Q16" s="120"/>
      <c r="R16" s="121" t="s">
        <v>961</v>
      </c>
      <c r="S16" s="122" t="str">
        <f ca="1">REFERENCIA.Unidade</f>
        <v>-</v>
      </c>
      <c r="T16" s="123">
        <f ca="1">OFFSET(CÁLCULO!H$15,ROW($T16)-ROW(T$15),0)</f>
        <v>0</v>
      </c>
      <c r="U16" s="124"/>
      <c r="V16" s="125" t="s">
        <v>664</v>
      </c>
      <c r="W16" s="123">
        <f ca="1">IF($C16="S",ROUND(IF(TIPOORCAMENTO="Proposto",ORÇAMENTO.CustoUnitario*(1+$AH16),ORÇAMENTO.PrecoUnitarioLicitado),15-13*$AF$10),0)</f>
        <v>0</v>
      </c>
      <c r="X16" s="126" cm="1">
        <f t="array" aca="1" ref="X16" ca="1">IF($C16="S",IF(OR(Import.TipoArredondamento&lt;&gt;"TransfereGOV",ACOMPANHAMENTO="BM"),VTOTAL1,SUM(OFFSET(CÁLCULO!$AA$15,ROW($X16)-ROW($X$15),1):OFFSET(CÁLCULO!$AL$15,ROW($X16)-ROW($X$15),-1))),IF($C16=0,0,ROUND(SomaAgrup,15-13*$AF$11)))</f>
        <v>290574.24</v>
      </c>
      <c r="Y16" s="127" t="s">
        <v>752</v>
      </c>
      <c r="Z16" t="str">
        <f t="shared" ref="Z16:Z32" ca="1" si="13">IF(AND($C16="S",$X16&gt;0),IF(ISBLANK($Y16),"RA",LEFT($Y16,2)),"")</f>
        <v/>
      </c>
      <c r="AA16" s="128">
        <f ca="1">IF($C16="S",IF($Z16="CP",$X16,IF($Z16="RA",(($X16)*QCI!$AA$3),0)),SomaAgrup)</f>
        <v>290574.24000000005</v>
      </c>
      <c r="AB16" s="129">
        <f t="shared" ref="AB16:AB32" ca="1" si="14">IF($C16="S",IF($Z16="OU",ROUND($X16,2),0),SomaAgrup)</f>
        <v>0</v>
      </c>
      <c r="AC16" s="566"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IF(AND(_xlfn.SINGLE(TIPOORCAMENTO)="Licitado",$AL16=0,$AN16&gt;0),"SEM PREÇO",
IF(AND($C16="S",$P16&lt;&gt;"",$Q16&lt;&gt;"",$U16&gt;0,$V16=0),"BDI",
IF(OR(AND(TIPOORCAMENTO="Proposto",LEFT($O$8,5)&lt;&gt;"(N/D:",$AG16&lt;&gt;"",ORÇAMENTO.CustoUnitario&gt;$AG16),AND(TIPOORCAMENTO="LICITADO",ORÇAMENTO.PrecoUnitarioLicitado&gt;$AN16)),"ACIMA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f ca="1">IF(AND($C16="S",ORÇAMENTO.CodBarra&lt;&gt;""),IF(ORÇAMENTO.Fonte="",ORÇAMENTO.CodBarra,CONCATENATE(ORÇAMENTO.Fonte," ",ORÇAMENTO.CodBarra)))</f>
        <v>0</v>
      </c>
      <c r="AF16" s="12" t="str">
        <f ca="1">IF(ISERROR(INDIRECT(ORÇAMENTO.BancoRef)),"(abra o arquivo 'Referência "&amp;Excel_BuiltIn_Database&amp;".xlsm)",IF(OR($C16&lt;&gt;"S",ORÇAMENTO.CodBarra=""),"(Sem Código)",IF(ISERROR(MATCH($AE16,INDIRECT(ORÇAMENTO.BancoRef),0)),"(Código não identificado nas referências)",MATCH($AE16,INDIRECT(ORÇAMENTO.BancoRef),0))))</f>
        <v>(Sem Código)</v>
      </c>
      <c r="AG16" s="429">
        <f ca="1">ROUND(IF(DESONERACAO="sim",REFERENCIA.Desonerado,REFERENCIA.NaoDesonerado),2)</f>
        <v>0</v>
      </c>
      <c r="AH16" s="430">
        <f t="shared" ref="AH16:AH32" ca="1" si="15">ROUND(IF(ISNUMBER(ORÇAMENTO.OpcaoBDI),ORÇAMENTO.OpcaoBDI,IF(LEFT(ORÇAMENTO.OpcaoBDI,3)="BDI",HLOOKUP(ORÇAMENTO.OpcaoBDI,$F$4:$H$5,2,FALSE),0)),15-11*$AF$9)</f>
        <v>0.27250000000000002</v>
      </c>
      <c r="AJ16" s="432"/>
      <c r="AL16" s="440"/>
      <c r="AM16" s="337">
        <f t="shared" ca="1" si="0"/>
        <v>290574.24</v>
      </c>
      <c r="AN16" s="471">
        <f t="shared" ref="AN16:AN32" ca="1" si="16">ROUND(ORÇAMENTO.CustoUnitario*(1+$AH16),2)</f>
        <v>0</v>
      </c>
    </row>
    <row r="17" spans="1:40" x14ac:dyDescent="0.2">
      <c r="A17">
        <f t="shared" si="1"/>
        <v>2</v>
      </c>
      <c r="B17">
        <f t="shared" ca="1" si="2"/>
        <v>2</v>
      </c>
      <c r="C17">
        <f t="shared" ca="1" si="3"/>
        <v>2</v>
      </c>
      <c r="D17">
        <f t="shared" ca="1" si="4"/>
        <v>13</v>
      </c>
      <c r="E17">
        <f ca="1">IF($C17=1,OFFSET(E17,-1,0)+MAX(1,COUNTIF(QCI!$A$13:$A$24,OFFSET(ORÇAMENTO!E17,-1,0))),OFFSET(E17,-1,0))</f>
        <v>1</v>
      </c>
      <c r="F17">
        <f t="shared" ca="1" si="5"/>
        <v>1</v>
      </c>
      <c r="G17">
        <f t="shared" ca="1" si="6"/>
        <v>0</v>
      </c>
      <c r="H17">
        <f t="shared" ca="1" si="7"/>
        <v>0</v>
      </c>
      <c r="I17">
        <f t="shared" ca="1" si="8"/>
        <v>0</v>
      </c>
      <c r="J17">
        <f t="shared" ca="1" si="9"/>
        <v>88</v>
      </c>
      <c r="K17">
        <f ca="1">IF(OR($C17="S",$C17=0),0,MATCH(OFFSET($D17,0,$C17)+IF($C17&lt;&gt;1,1,COUNTIF(QCI!$A$13:$A$24,ORÇAMENTO!E17)),OFFSET($D17,1,$C17,ROW($C$105)-ROW($C17)),0))</f>
        <v>13</v>
      </c>
      <c r="L17" s="115" t="str">
        <f t="shared" ca="1" si="10"/>
        <v>F</v>
      </c>
      <c r="M17" s="116" t="s">
        <v>703</v>
      </c>
      <c r="N17" s="117" t="str">
        <f t="shared" ca="1" si="11"/>
        <v>Nível 2</v>
      </c>
      <c r="O17" s="118" t="str">
        <f t="shared" ca="1" si="12"/>
        <v>1.1.</v>
      </c>
      <c r="P17" s="119" t="s">
        <v>751</v>
      </c>
      <c r="Q17" s="120"/>
      <c r="R17" s="121" t="s">
        <v>963</v>
      </c>
      <c r="S17" s="122" t="str">
        <f ca="1">REFERENCIA.Unidade</f>
        <v>-</v>
      </c>
      <c r="T17" s="123">
        <f ca="1">OFFSET(CÁLCULO!H$15,ROW($T17)-ROW(T$15),0)</f>
        <v>0</v>
      </c>
      <c r="U17" s="124"/>
      <c r="V17" s="125" t="s">
        <v>664</v>
      </c>
      <c r="W17" s="123">
        <f ca="1">IF($C17="S",ROUND(IF(TIPOORCAMENTO="Proposto",ORÇAMENTO.CustoUnitario*(1+$AH17),ORÇAMENTO.PrecoUnitarioLicitado),15-13*$AF$10),0)</f>
        <v>0</v>
      </c>
      <c r="X17" s="126" cm="1">
        <f t="array" aca="1" ref="X17" ca="1">IF($C17="S",IF(OR(Import.TipoArredondamento&lt;&gt;"TransfereGOV",ACOMPANHAMENTO="BM"),VTOTAL1,SUM(OFFSET(CÁLCULO!$AA$15,ROW($X17)-ROW($X$15),1):OFFSET(CÁLCULO!$AL$15,ROW($X17)-ROW($X$15),-1))),IF($C17=0,0,ROUND(SomaAgrup,15-13*$AF$11)))</f>
        <v>87533.86</v>
      </c>
      <c r="Y17" s="127" t="s">
        <v>752</v>
      </c>
      <c r="Z17" t="str">
        <f t="shared" ca="1" si="13"/>
        <v/>
      </c>
      <c r="AA17" s="128">
        <f ca="1">IF($C17="S",IF($Z17="CP",$X17,IF($Z17="RA",(($X17)*QCI!$AA$3),0)),SomaAgrup)</f>
        <v>87533.86</v>
      </c>
      <c r="AB17" s="129">
        <f t="shared" ca="1" si="14"/>
        <v>0</v>
      </c>
      <c r="AC17" s="566"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IF(AND(_xlfn.SINGLE(TIPOORCAMENTO)="Licitado",$AL17=0,$AN17&gt;0),"SEM PREÇO",
IF(AND($C17="S",$P17&lt;&gt;"",$Q17&lt;&gt;"",$U17&gt;0,$V17=0),"BDI",
IF(OR(AND(TIPOORCAMENTO="Proposto",LEFT($O$8,5)&lt;&gt;"(N/D:",$AG17&lt;&gt;"",ORÇAMENTO.CustoUnitario&gt;$AG17),AND(TIPOORCAMENTO="LICITADO",ORÇAMENTO.PrecoUnitarioLicitado&gt;$AN17)),"ACIMA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f ca="1">IF(AND($C17="S",ORÇAMENTO.CodBarra&lt;&gt;""),IF(ORÇAMENTO.Fonte="",ORÇAMENTO.CodBarra,CONCATENATE(ORÇAMENTO.Fonte," ",ORÇAMENTO.CodBarra)))</f>
        <v>0</v>
      </c>
      <c r="AF17" s="12" t="str">
        <f ca="1">IF(ISERROR(INDIRECT(ORÇAMENTO.BancoRef)),"(abra o arquivo 'Referência "&amp;Excel_BuiltIn_Database&amp;".xlsm)",IF(OR($C17&lt;&gt;"S",ORÇAMENTO.CodBarra=""),"(Sem Código)",IF(ISERROR(MATCH($AE17,INDIRECT(ORÇAMENTO.BancoRef),0)),"(Código não identificado nas referências)",MATCH($AE17,INDIRECT(ORÇAMENTO.BancoRef),0))))</f>
        <v>(Sem Código)</v>
      </c>
      <c r="AG17" s="429">
        <f ca="1">ROUND(IF(DESONERACAO="sim",REFERENCIA.Desonerado,REFERENCIA.NaoDesonerado),2)</f>
        <v>0</v>
      </c>
      <c r="AH17" s="430">
        <f t="shared" ca="1" si="15"/>
        <v>0.27250000000000002</v>
      </c>
      <c r="AJ17" s="432"/>
      <c r="AL17" s="440"/>
      <c r="AM17" s="337">
        <f t="shared" ca="1" si="0"/>
        <v>87533.86</v>
      </c>
      <c r="AN17" s="471">
        <f t="shared" ca="1" si="16"/>
        <v>0</v>
      </c>
    </row>
    <row r="18" spans="1:40" ht="51"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1</v>
      </c>
      <c r="J18">
        <f t="shared" ca="1" si="9"/>
        <v>0</v>
      </c>
      <c r="K18">
        <f ca="1">IF(OR($C18="S",$C18=0),0,MATCH(OFFSET($D18,0,$C18)+IF($C18&lt;&gt;1,1,COUNTIF(QCI!$A$13:$A$24,ORÇAMENTO!E18)),OFFSET($D18,1,$C18,ROW($C$105)-ROW($C18)),0))</f>
        <v>0</v>
      </c>
      <c r="L18" s="115" t="str">
        <f t="shared" ca="1" si="10"/>
        <v>F</v>
      </c>
      <c r="M18" s="116" t="s">
        <v>706</v>
      </c>
      <c r="N18" s="117" t="str">
        <f t="shared" ca="1" si="11"/>
        <v>Serviço</v>
      </c>
      <c r="O18" s="118" t="str">
        <f t="shared" ca="1" si="12"/>
        <v>1.1.1.</v>
      </c>
      <c r="P18" s="119" t="s">
        <v>751</v>
      </c>
      <c r="Q18" s="120" t="s">
        <v>1079</v>
      </c>
      <c r="R18" s="121" t="str">
        <f ca="1">IF($C18="S",REFERENCIA.Descricao,"(digite a descrição aqui)")</f>
        <v>ARGAMASSA TRAÇO 1:1,5:7,5 (EM VOLUME DE CIMENTO, CAL E AREIA MÉDIA ÚMIDA) PARA EMBOÇO/MASSA ÚNICA/ASSENTAMENTO DE ALVENARIA DE VEDAÇÃO, PREPARO MECÂNICO COM BETONEIRA ATÉ 600 L. AF_07/2026</v>
      </c>
      <c r="S18" s="122" t="str">
        <f ca="1">REFERENCIA.Unidade</f>
        <v>M3</v>
      </c>
      <c r="T18" s="123">
        <f ca="1">OFFSET(CÁLCULO!H$15,ROW($T18)-ROW(T$15),0)</f>
        <v>3.95</v>
      </c>
      <c r="U18" s="124">
        <v>562.29999999999995</v>
      </c>
      <c r="V18" s="125" t="s">
        <v>664</v>
      </c>
      <c r="W18" s="123">
        <f ca="1">IF($C18="S",ROUND(IF(TIPOORCAMENTO="Proposto",ORÇAMENTO.CustoUnitario*(1+$AH18),ORÇAMENTO.PrecoUnitarioLicitado),15-13*$AF$10),0)</f>
        <v>715.53</v>
      </c>
      <c r="X18" s="126" cm="1">
        <f t="array" aca="1" ref="X18" ca="1">IF($C18="S",IF(OR(Import.TipoArredondamento&lt;&gt;"TransfereGOV",ACOMPANHAMENTO="BM"),VTOTAL1,SUM(OFFSET(CÁLCULO!$AA$15,ROW($X18)-ROW($X$15),1):OFFSET(CÁLCULO!$AL$15,ROW($X18)-ROW($X$15),-1))),IF($C18=0,0,ROUND(SomaAgrup,15-13*$AF$11)))</f>
        <v>2826.34</v>
      </c>
      <c r="Y18" s="127" t="s">
        <v>752</v>
      </c>
      <c r="Z18" t="str">
        <f t="shared" ca="1" si="13"/>
        <v>RA</v>
      </c>
      <c r="AA18" s="128">
        <f ca="1">IF($C18="S",IF($Z18="CP",$X18,IF($Z18="RA",(($X18)*QCI!$AA$3),0)),SomaAgrup)</f>
        <v>2826.34</v>
      </c>
      <c r="AB18" s="129">
        <f t="shared" ca="1" si="14"/>
        <v>0</v>
      </c>
      <c r="AC18" s="566"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IF(AND(_xlfn.SINGLE(TIPOORCAMENTO)="Licitado",$AL18=0,$AN18&gt;0),"SEM PREÇO",
IF(AND($C18="S",$P18&lt;&gt;"",$Q18&lt;&gt;"",$U18&gt;0,$V18=0),"BDI",
IF(OR(AND(TIPOORCAMENTO="Proposto",LEFT($O$8,5)&lt;&gt;"(N/D:",$AG18&lt;&gt;"",ORÇAMENTO.CustoUnitario&gt;$AG18),AND(TIPOORCAMENTO="LICITADO",ORÇAMENTO.PrecoUnitarioLicitado&gt;$AN18)),"ACIMA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IF(C18&lt;=CRONO.NivelExibicao,MAX($AD$15:OFFSET(AD18,-1,0))+IF($C18&lt;&gt;1,1,MAX(1,COUNTIF(QCI!$A$13:$A$24,OFFSET($E18,-1,0)))),"")</f>
        <v/>
      </c>
      <c r="AE18" s="7" t="str">
        <f ca="1">IF(AND($C18="S",ORÇAMENTO.CodBarra&lt;&gt;""),IF(ORÇAMENTO.Fonte="",ORÇAMENTO.CodBarra,CONCATENATE(ORÇAMENTO.Fonte," ",ORÇAMENTO.CodBarra)))</f>
        <v>SINAPI 87289</v>
      </c>
      <c r="AF18" s="12">
        <f ca="1">IF(ISERROR(INDIRECT(ORÇAMENTO.BancoRef)),"(abra o arquivo 'Referência "&amp;Excel_BuiltIn_Database&amp;".xlsm)",IF(OR($C18&lt;&gt;"S",ORÇAMENTO.CodBarra=""),"(Sem Código)",IF(ISERROR(MATCH($AE18,INDIRECT(ORÇAMENTO.BancoRef),0)),"(Código não identificado nas referências)",MATCH($AE18,INDIRECT(ORÇAMENTO.BancoRef),0))))</f>
        <v>6323</v>
      </c>
      <c r="AG18" s="429">
        <f ca="1">ROUND(IF(DESONERACAO="sim",REFERENCIA.Desonerado,REFERENCIA.NaoDesonerado),2)</f>
        <v>624.78</v>
      </c>
      <c r="AH18" s="430">
        <f t="shared" ca="1" si="15"/>
        <v>0.27250000000000002</v>
      </c>
      <c r="AJ18" s="432"/>
      <c r="AL18" s="440"/>
      <c r="AM18" s="337">
        <f t="shared" ca="1" si="0"/>
        <v>2826.34</v>
      </c>
      <c r="AN18" s="471">
        <f t="shared" ca="1" si="16"/>
        <v>715.53</v>
      </c>
    </row>
    <row r="19" spans="1:40" ht="25.5" x14ac:dyDescent="0.2">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2</v>
      </c>
      <c r="J19">
        <f t="shared" ca="1" si="9"/>
        <v>0</v>
      </c>
      <c r="K19">
        <f ca="1">IF(OR($C19="S",$C19=0),0,MATCH(OFFSET($D19,0,$C19)+IF($C19&lt;&gt;1,1,COUNTIF(QCI!$A$13:$A$24,ORÇAMENTO!E19)),OFFSET($D19,1,$C19,ROW($C$105)-ROW($C19)),0))</f>
        <v>0</v>
      </c>
      <c r="L19" s="115" t="str">
        <f t="shared" ca="1" si="10"/>
        <v>F</v>
      </c>
      <c r="M19" s="116" t="s">
        <v>706</v>
      </c>
      <c r="N19" s="117" t="str">
        <f t="shared" ca="1" si="11"/>
        <v>Serviço</v>
      </c>
      <c r="O19" s="118" t="str">
        <f t="shared" ca="1" si="12"/>
        <v>1.1.2.</v>
      </c>
      <c r="P19" s="119" t="s">
        <v>751</v>
      </c>
      <c r="Q19" s="120" t="s">
        <v>969</v>
      </c>
      <c r="R19" s="121" t="str">
        <f ca="1">IF($C19="S",REFERENCIA.Descricao,"(digite a descrição aqui)")</f>
        <v>CARPINTEIRO DE ESQUADRIAS COM ENCARGOS COMPLEMENTARES</v>
      </c>
      <c r="S19" s="122" t="str">
        <f ca="1">REFERENCIA.Unidade</f>
        <v>H</v>
      </c>
      <c r="T19" s="123">
        <f ca="1">OFFSET(CÁLCULO!H$15,ROW($T19)-ROW(T$15),0)</f>
        <v>80</v>
      </c>
      <c r="U19" s="124">
        <v>24.65</v>
      </c>
      <c r="V19" s="125" t="s">
        <v>664</v>
      </c>
      <c r="W19" s="123">
        <f ca="1">IF($C19="S",ROUND(IF(TIPOORCAMENTO="Proposto",ORÇAMENTO.CustoUnitario*(1+$AH19),ORÇAMENTO.PrecoUnitarioLicitado),15-13*$AF$10),0)</f>
        <v>31.37</v>
      </c>
      <c r="X19" s="126" cm="1">
        <f t="array" aca="1" ref="X19" ca="1">IF($C19="S",IF(OR(Import.TipoArredondamento&lt;&gt;"TransfereGOV",ACOMPANHAMENTO="BM"),VTOTAL1,SUM(OFFSET(CÁLCULO!$AA$15,ROW($X19)-ROW($X$15),1):OFFSET(CÁLCULO!$AL$15,ROW($X19)-ROW($X$15),-1))),IF($C19=0,0,ROUND(SomaAgrup,15-13*$AF$11)))</f>
        <v>2509.6</v>
      </c>
      <c r="Y19" s="127" t="s">
        <v>752</v>
      </c>
      <c r="Z19" t="str">
        <f t="shared" ca="1" si="13"/>
        <v>RA</v>
      </c>
      <c r="AA19" s="128">
        <f ca="1">IF($C19="S",IF($Z19="CP",$X19,IF($Z19="RA",(($X19)*QCI!$AA$3),0)),SomaAgrup)</f>
        <v>2509.6</v>
      </c>
      <c r="AB19" s="129">
        <f t="shared" ca="1" si="14"/>
        <v>0</v>
      </c>
      <c r="AC19" s="566"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IF(AND(_xlfn.SINGLE(TIPOORCAMENTO)="Licitado",$AL19=0,$AN19&gt;0),"SEM PREÇO",
IF(AND($C19="S",$P19&lt;&gt;"",$Q19&lt;&gt;"",$U19&gt;0,$V19=0),"BDI",
IF(OR(AND(TIPOORCAMENTO="Proposto",LEFT($O$8,5)&lt;&gt;"(N/D:",$AG19&lt;&gt;"",ORÇAMENTO.CustoUnitario&gt;$AG19),AND(TIPOORCAMENTO="LICITADO",ORÇAMENTO.PrecoUnitarioLicitado&gt;$AN19)),"ACIMA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t="str">
        <f ca="1">IF(C19&lt;=CRONO.NivelExibicao,MAX($AD$15:OFFSET(AD19,-1,0))+IF($C19&lt;&gt;1,1,MAX(1,COUNTIF(QCI!$A$13:$A$24,OFFSET($E19,-1,0)))),"")</f>
        <v/>
      </c>
      <c r="AE19" s="7" t="str">
        <f ca="1">IF(AND($C19="S",ORÇAMENTO.CodBarra&lt;&gt;""),IF(ORÇAMENTO.Fonte="",ORÇAMENTO.CodBarra,CONCATENATE(ORÇAMENTO.Fonte," ",ORÇAMENTO.CodBarra)))</f>
        <v>SINAPI 88261</v>
      </c>
      <c r="AF19" s="12">
        <f ca="1">IF(ISERROR(INDIRECT(ORÇAMENTO.BancoRef)),"(abra o arquivo 'Referência "&amp;Excel_BuiltIn_Database&amp;".xlsm)",IF(OR($C19&lt;&gt;"S",ORÇAMENTO.CodBarra=""),"(Sem Código)",IF(ISERROR(MATCH($AE19,INDIRECT(ORÇAMENTO.BancoRef),0)),"(Código não identificado nas referências)",MATCH($AE19,INDIRECT(ORÇAMENTO.BancoRef),0))))</f>
        <v>13374</v>
      </c>
      <c r="AG19" s="429">
        <f ca="1">ROUND(IF(DESONERACAO="sim",REFERENCIA.Desonerado,REFERENCIA.NaoDesonerado),2)</f>
        <v>27.39</v>
      </c>
      <c r="AH19" s="430">
        <f t="shared" ca="1" si="15"/>
        <v>0.27250000000000002</v>
      </c>
      <c r="AJ19" s="432"/>
      <c r="AL19" s="440"/>
      <c r="AM19" s="337">
        <f t="shared" ca="1" si="0"/>
        <v>2509.6</v>
      </c>
      <c r="AN19" s="471">
        <f t="shared" ca="1" si="16"/>
        <v>31.37</v>
      </c>
    </row>
    <row r="20" spans="1:40" ht="25.5" x14ac:dyDescent="0.2">
      <c r="A20" t="str">
        <f t="shared" ref="A20:A29" si="17">CHOOSE(1+LOG(1+2*(ORÇAMENTO.Nivel="Meta")+4*(ORÇAMENTO.Nivel="Nível 2")+8*(ORÇAMENTO.Nivel="Nível 3")+16*(ORÇAMENTO.Nivel="Nível 4")+32*(ORÇAMENTO.Nivel="Serviço"),2),0,1,2,3,4,"S")</f>
        <v>S</v>
      </c>
      <c r="B20">
        <f ca="1">IF(OR(C20="s",C20=0),OFFSET(B20,-1,0),C20)</f>
        <v>2</v>
      </c>
      <c r="C20" t="str">
        <f ca="1">IF(OFFSET(C20,-1,0)="L",1,IF(OFFSET(C20,-1,0)=1,2,IF(OR(A20="s",A20=0),"S",IF(AND(OFFSET(C20,-1,0)=2,A20=4),3,IF(AND(OR(OFFSET(C20,-1,0)="s",OFFSET(C20,-1,0)=0),A20&lt;&gt;"s",A20&gt;OFFSET(B20,-1,0)),OFFSET(B20,-1,0),A20)))))</f>
        <v>S</v>
      </c>
      <c r="D20">
        <f ca="1">IF(OR(C20="S",C20=0),0,IF(ISERROR(K20),J20,SMALL(J20:K20,1)))</f>
        <v>0</v>
      </c>
      <c r="E20">
        <f ca="1">IF($C20=1,OFFSET(E20,-1,0)+MAX(1,COUNTIF(QCI!$A$13:$A$24,OFFSET(ORÇAMENTO!E20,-1,0))),OFFSET(E20,-1,0))</f>
        <v>1</v>
      </c>
      <c r="F20">
        <f ca="1">IF($C20=1,0,IF($C20=2,OFFSET(F20,-1,0)+1,OFFSET(F20,-1,0)))</f>
        <v>1</v>
      </c>
      <c r="G20">
        <f ca="1">IF(AND($C20&lt;=2,$C20&lt;&gt;0),0,IF($C20=3,OFFSET(G20,-1,0)+1,OFFSET(G20,-1,0)))</f>
        <v>0</v>
      </c>
      <c r="H20">
        <f ca="1">IF(AND($C20&lt;=3,$C20&lt;&gt;0),0,IF($C20=4,OFFSET(H20,-1,0)+1,OFFSET(H20,-1,0)))</f>
        <v>0</v>
      </c>
      <c r="I20">
        <f ca="1">IF(AND($C20&lt;=4,$C20&lt;&gt;0),0,IF(AND($C20="S",$X20&gt;0),OFFSET(I20,-1,0)+1,OFFSET(I20,-1,0)))</f>
        <v>3</v>
      </c>
      <c r="J20">
        <f t="shared" ca="1" si="9"/>
        <v>0</v>
      </c>
      <c r="K20">
        <f ca="1">IF(OR($C20="S",$C20=0),0,MATCH(OFFSET($D20,0,$C20)+IF($C20&lt;&gt;1,1,COUNTIF(QCI!$A$13:$A$24,ORÇAMENTO!E20)),OFFSET($D20,1,$C20,ROW($C$105)-ROW($C20)),0))</f>
        <v>0</v>
      </c>
      <c r="L20" s="115" t="str">
        <f ca="1">IF(OR($X20&gt;0,$C20=1,$C20=2,$C20=3,$C20=4),"F","")</f>
        <v>F</v>
      </c>
      <c r="M20" s="116" t="s">
        <v>706</v>
      </c>
      <c r="N20" s="117" t="str">
        <f ca="1">CHOOSE(1+LOG(1+2*(C20=1)+4*(C20=2)+8*(C20=3)+16*(C20=4)+32*(C20="S"),2),"","Meta","Nível 2","Nível 3","Nível 4","Serviço")</f>
        <v>Serviço</v>
      </c>
      <c r="O20" s="118" t="str">
        <f ca="1">IF(OR($C20=0,$L20=""),"-",CONCATENATE(E20&amp;".",IF(AND($A$5&gt;=2,$C20&gt;=2),F20&amp;".",""),IF(AND($A$5&gt;=3,$C20&gt;=3),G20&amp;".",""),IF(AND($A$5&gt;=4,$C20&gt;=4),H20&amp;".",""),IF($C20="S",I20&amp;".","")))</f>
        <v>1.1.3.</v>
      </c>
      <c r="P20" s="119" t="s">
        <v>751</v>
      </c>
      <c r="Q20" s="120" t="s">
        <v>970</v>
      </c>
      <c r="R20" s="121" t="str">
        <f ca="1">IF($C20="S",REFERENCIA.Descricao,"(digite a descrição aqui)")</f>
        <v>REMOÇÃO DE JANELAS, DE FORMA MANUAL, SEM REAPROVEITAMENTO. AF_09/2023</v>
      </c>
      <c r="S20" s="122" t="str">
        <f ca="1">REFERENCIA.Unidade</f>
        <v>M2</v>
      </c>
      <c r="T20" s="123">
        <f ca="1">OFFSET(CÁLCULO!H$15,ROW($T20)-ROW(T$15),0)</f>
        <v>24</v>
      </c>
      <c r="U20" s="124">
        <v>24.8</v>
      </c>
      <c r="V20" s="125" t="s">
        <v>664</v>
      </c>
      <c r="W20" s="123">
        <f ca="1">IF($C20="S",ROUND(IF(TIPOORCAMENTO="Proposto",ORÇAMENTO.CustoUnitario*(1+$AH20),ORÇAMENTO.PrecoUnitarioLicitado),15-13*$AF$10),0)</f>
        <v>31.56</v>
      </c>
      <c r="X20" s="126" cm="1">
        <f t="array" aca="1" ref="X20" ca="1">IF($C20="S",IF(OR(Import.TipoArredondamento&lt;&gt;"TransfereGOV",ACOMPANHAMENTO="BM"),VTOTAL1,SUM(OFFSET(CÁLCULO!$AA$15,ROW($X20)-ROW($X$15),1):OFFSET(CÁLCULO!$AL$15,ROW($X20)-ROW($X$15),-1))),IF($C20=0,0,ROUND(SomaAgrup,15-13*$AF$11)))</f>
        <v>757.44</v>
      </c>
      <c r="Y20" s="127" t="s">
        <v>752</v>
      </c>
      <c r="Z20" t="str">
        <f ca="1">IF(AND($C20="S",$X20&gt;0),IF(ISBLANK($Y20),"RA",LEFT($Y20,2)),"")</f>
        <v>RA</v>
      </c>
      <c r="AA20" s="128">
        <f ca="1">IF($C20="S",IF($Z20="CP",$X20,IF($Z20="RA",(($X20)*QCI!$AA$3),0)),SomaAgrup)</f>
        <v>757.44</v>
      </c>
      <c r="AB20" s="129">
        <f t="shared" ref="AB20:AB29" ca="1" si="18">IF($C20="S",IF($Z20="OU",ROUND($X20,2),0),SomaAgrup)</f>
        <v>0</v>
      </c>
      <c r="AC20" s="566"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IF(AND(_xlfn.SINGLE(TIPOORCAMENTO)="Licitado",$AL20=0,$AN20&gt;0),"SEM PREÇO",
IF(AND($C20="S",$P20&lt;&gt;"",$Q20&lt;&gt;"",$U20&gt;0,$V20=0),"BDI",
IF(OR(AND(TIPOORCAMENTO="Proposto",LEFT($O$8,5)&lt;&gt;"(N/D:",$AG20&lt;&gt;"",ORÇAMENTO.CustoUnitario&gt;$AG20),AND(TIPOORCAMENTO="LICITADO",ORÇAMENTO.PrecoUnitarioLicitado&gt;$AN20)),"ACIMA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t="str">
        <f ca="1">IF(C20&lt;=CRONO.NivelExibicao,MAX($AD$15:OFFSET(AD20,-1,0))+IF($C20&lt;&gt;1,1,MAX(1,COUNTIF(QCI!$A$13:$A$24,OFFSET($E20,-1,0)))),"")</f>
        <v/>
      </c>
      <c r="AE20" s="7" t="str">
        <f ca="1">IF(AND($C20="S",ORÇAMENTO.CodBarra&lt;&gt;""),IF(ORÇAMENTO.Fonte="",ORÇAMENTO.CodBarra,CONCATENATE(ORÇAMENTO.Fonte," ",ORÇAMENTO.CodBarra)))</f>
        <v>SINAPI 97645</v>
      </c>
      <c r="AF20" s="12">
        <f ca="1">IF(ISERROR(INDIRECT(ORÇAMENTO.BancoRef)),"(abra o arquivo 'Referência "&amp;Excel_BuiltIn_Database&amp;".xlsm)",IF(OR($C20&lt;&gt;"S",ORÇAMENTO.CodBarra=""),"(Sem Código)",IF(ISERROR(MATCH($AE20,INDIRECT(ORÇAMENTO.BancoRef),0)),"(Código não identificado nas referências)",MATCH($AE20,INDIRECT(ORÇAMENTO.BancoRef),0))))</f>
        <v>8128</v>
      </c>
      <c r="AG20" s="429">
        <f ca="1">ROUND(IF(DESONERACAO="sim",REFERENCIA.Desonerado,REFERENCIA.NaoDesonerado),2)</f>
        <v>27.56</v>
      </c>
      <c r="AH20" s="430">
        <f t="shared" ref="AH20:AH29" ca="1" si="19">ROUND(IF(ISNUMBER(ORÇAMENTO.OpcaoBDI),ORÇAMENTO.OpcaoBDI,IF(LEFT(ORÇAMENTO.OpcaoBDI,3)="BDI",HLOOKUP(ORÇAMENTO.OpcaoBDI,$F$4:$H$5,2,FALSE),0)),15-11*$AF$9)</f>
        <v>0.27250000000000002</v>
      </c>
      <c r="AJ20" s="432"/>
      <c r="AL20" s="440"/>
      <c r="AM20" s="337">
        <f t="shared" ca="1" si="0"/>
        <v>757.44</v>
      </c>
      <c r="AN20" s="471">
        <f t="shared" ref="AN20:AN29" ca="1" si="20">ROUND(ORÇAMENTO.CustoUnitario*(1+$AH20),2)</f>
        <v>31.56</v>
      </c>
    </row>
    <row r="21" spans="1:40" ht="25.5" x14ac:dyDescent="0.2">
      <c r="A21" t="str">
        <f>CHOOSE(1+LOG(1+2*(ORÇAMENTO.Nivel="Meta")+4*(ORÇAMENTO.Nivel="Nível 2")+8*(ORÇAMENTO.Nivel="Nível 3")+16*(ORÇAMENTO.Nivel="Nível 4")+32*(ORÇAMENTO.Nivel="Serviço"),2),0,1,2,3,4,"S")</f>
        <v>S</v>
      </c>
      <c r="B21">
        <f ca="1">IF(OR(C21="s",C21=0),OFFSET(B21,-1,0),C21)</f>
        <v>2</v>
      </c>
      <c r="C21" t="str">
        <f ca="1">IF(OFFSET(C21,-1,0)="L",1,IF(OFFSET(C21,-1,0)=1,2,IF(OR(A21="s",A21=0),"S",IF(AND(OFFSET(C21,-1,0)=2,A21=4),3,IF(AND(OR(OFFSET(C21,-1,0)="s",OFFSET(C21,-1,0)=0),A21&lt;&gt;"s",A21&gt;OFFSET(B21,-1,0)),OFFSET(B21,-1,0),A21)))))</f>
        <v>S</v>
      </c>
      <c r="D21">
        <f ca="1">IF(OR(C21="S",C21=0),0,IF(ISERROR(K21),J21,SMALL(J21:K21,1)))</f>
        <v>0</v>
      </c>
      <c r="E21">
        <f ca="1">IF($C21=1,OFFSET(E21,-1,0)+MAX(1,COUNTIF(QCI!$A$13:$A$24,OFFSET(ORÇAMENTO!E21,-1,0))),OFFSET(E21,-1,0))</f>
        <v>1</v>
      </c>
      <c r="F21">
        <f ca="1">IF($C21=1,0,IF($C21=2,OFFSET(F21,-1,0)+1,OFFSET(F21,-1,0)))</f>
        <v>1</v>
      </c>
      <c r="G21">
        <f ca="1">IF(AND($C21&lt;=2,$C21&lt;&gt;0),0,IF($C21=3,OFFSET(G21,-1,0)+1,OFFSET(G21,-1,0)))</f>
        <v>0</v>
      </c>
      <c r="H21">
        <f ca="1">IF(AND($C21&lt;=3,$C21&lt;&gt;0),0,IF($C21=4,OFFSET(H21,-1,0)+1,OFFSET(H21,-1,0)))</f>
        <v>0</v>
      </c>
      <c r="I21">
        <f ca="1">IF(AND($C21&lt;=4,$C21&lt;&gt;0),0,IF(AND($C21="S",$X21&gt;0),OFFSET(I21,-1,0)+1,OFFSET(I21,-1,0)))</f>
        <v>4</v>
      </c>
      <c r="J21">
        <f t="shared" ca="1" si="9"/>
        <v>0</v>
      </c>
      <c r="K21">
        <f ca="1">IF(OR($C21="S",$C21=0),0,MATCH(OFFSET($D21,0,$C21)+IF($C21&lt;&gt;1,1,COUNTIF(QCI!$A$13:$A$24,ORÇAMENTO!E21)),OFFSET($D21,1,$C21,ROW($C$105)-ROW($C21)),0))</f>
        <v>0</v>
      </c>
      <c r="L21" s="115" t="str">
        <f ca="1">IF(OR($X21&gt;0,$C21=1,$C21=2,$C21=3,$C21=4),"F","")</f>
        <v>F</v>
      </c>
      <c r="M21" s="116" t="s">
        <v>706</v>
      </c>
      <c r="N21" s="117" t="str">
        <f ca="1">CHOOSE(1+LOG(1+2*(C21=1)+4*(C21=2)+8*(C21=3)+16*(C21=4)+32*(C21="S"),2),"","Meta","Nível 2","Nível 3","Nível 4","Serviço")</f>
        <v>Serviço</v>
      </c>
      <c r="O21" s="118" t="str">
        <f ca="1">IF(OR($C21=0,$L21=""),"-",CONCATENATE(E21&amp;".",IF(AND($A$5&gt;=2,$C21&gt;=2),F21&amp;".",""),IF(AND($A$5&gt;=3,$C21&gt;=3),G21&amp;".",""),IF(AND($A$5&gt;=4,$C21&gt;=4),H21&amp;".",""),IF($C21="S",I21&amp;".","")))</f>
        <v>1.1.4.</v>
      </c>
      <c r="P21" s="119" t="s">
        <v>751</v>
      </c>
      <c r="Q21" s="120" t="s">
        <v>1006</v>
      </c>
      <c r="R21" s="121" t="str">
        <f ca="1">IF($C21="S",REFERENCIA.Descricao,"(digite a descrição aqui)")</f>
        <v>REMOÇÃO DE PORTAS, DE FORMA MANUAL, SEM REAPROVEITAMENTO. AF_09/2023</v>
      </c>
      <c r="S21" s="122" t="str">
        <f ca="1">REFERENCIA.Unidade</f>
        <v>M2</v>
      </c>
      <c r="T21" s="123">
        <f ca="1">OFFSET(CÁLCULO!H$15,ROW($T21)-ROW(T$15),0)</f>
        <v>49.65</v>
      </c>
      <c r="U21" s="124">
        <v>9.6</v>
      </c>
      <c r="V21" s="125" t="s">
        <v>664</v>
      </c>
      <c r="W21" s="123">
        <f ca="1">IF($C21="S",ROUND(IF(TIPOORCAMENTO="Proposto",ORÇAMENTO.CustoUnitario*(1+$AH21),ORÇAMENTO.PrecoUnitarioLicitado),15-13*$AF$10),0)</f>
        <v>12.22</v>
      </c>
      <c r="X21" s="126" cm="1">
        <f t="array" aca="1" ref="X21" ca="1">IF($C21="S",IF(OR(Import.TipoArredondamento&lt;&gt;"TransfereGOV",ACOMPANHAMENTO="BM"),VTOTAL1,SUM(OFFSET(CÁLCULO!$AA$15,ROW($X21)-ROW($X$15),1):OFFSET(CÁLCULO!$AL$15,ROW($X21)-ROW($X$15),-1))),IF($C21=0,0,ROUND(SomaAgrup,15-13*$AF$11)))</f>
        <v>606.72</v>
      </c>
      <c r="Y21" s="127" t="s">
        <v>752</v>
      </c>
      <c r="Z21" t="str">
        <f ca="1">IF(AND($C21="S",$X21&gt;0),IF(ISBLANK($Y21),"RA",LEFT($Y21,2)),"")</f>
        <v>RA</v>
      </c>
      <c r="AA21" s="128">
        <f ca="1">IF($C21="S",IF($Z21="CP",$X21,IF($Z21="RA",(($X21)*QCI!$AA$3),0)),SomaAgrup)</f>
        <v>606.72</v>
      </c>
      <c r="AB21" s="129">
        <f ca="1">IF($C21="S",IF($Z21="OU",ROUND($X21,2),0),SomaAgrup)</f>
        <v>0</v>
      </c>
      <c r="AC21" s="566"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IF(AND(_xlfn.SINGLE(TIPOORCAMENTO)="Licitado",$AL21=0,$AN21&gt;0),"SEM PREÇO",
IF(AND($C21="S",$P21&lt;&gt;"",$Q21&lt;&gt;"",$U21&gt;0,$V21=0),"BDI",
IF(OR(AND(TIPOORCAMENTO="Proposto",LEFT($O$8,5)&lt;&gt;"(N/D:",$AG21&lt;&gt;"",ORÇAMENTO.CustoUnitario&gt;$AG21),AND(TIPOORCAMENTO="LICITADO",ORÇAMENTO.PrecoUnitarioLicitado&gt;$AN21)),"ACIMA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t="str">
        <f ca="1">IF(C21&lt;=CRONO.NivelExibicao,MAX($AD$15:OFFSET(AD21,-1,0))+IF($C21&lt;&gt;1,1,MAX(1,COUNTIF(QCI!$A$13:$A$24,OFFSET($E21,-1,0)))),"")</f>
        <v/>
      </c>
      <c r="AE21" s="7" t="str">
        <f ca="1">IF(AND($C21="S",ORÇAMENTO.CodBarra&lt;&gt;""),IF(ORÇAMENTO.Fonte="",ORÇAMENTO.CodBarra,CONCATENATE(ORÇAMENTO.Fonte," ",ORÇAMENTO.CodBarra)))</f>
        <v>SINAPI 97644</v>
      </c>
      <c r="AF21" s="12">
        <f ca="1">IF(ISERROR(INDIRECT(ORÇAMENTO.BancoRef)),"(abra o arquivo 'Referência "&amp;Excel_BuiltIn_Database&amp;".xlsm)",IF(OR($C21&lt;&gt;"S",ORÇAMENTO.CodBarra=""),"(Sem Código)",IF(ISERROR(MATCH($AE21,INDIRECT(ORÇAMENTO.BancoRef),0)),"(Código não identificado nas referências)",MATCH($AE21,INDIRECT(ORÇAMENTO.BancoRef),0))))</f>
        <v>8136</v>
      </c>
      <c r="AG21" s="429">
        <f ca="1">ROUND(IF(DESONERACAO="sim",REFERENCIA.Desonerado,REFERENCIA.NaoDesonerado),2)</f>
        <v>10.67</v>
      </c>
      <c r="AH21" s="430">
        <f ca="1">ROUND(IF(ISNUMBER(ORÇAMENTO.OpcaoBDI),ORÇAMENTO.OpcaoBDI,IF(LEFT(ORÇAMENTO.OpcaoBDI,3)="BDI",HLOOKUP(ORÇAMENTO.OpcaoBDI,$F$4:$H$5,2,FALSE),0)),15-11*$AF$9)</f>
        <v>0.27250000000000002</v>
      </c>
      <c r="AJ21" s="432"/>
      <c r="AL21" s="440"/>
      <c r="AM21" s="337">
        <f t="shared" ca="1" si="0"/>
        <v>606.72</v>
      </c>
      <c r="AN21" s="471">
        <f ca="1">ROUND(ORÇAMENTO.CustoUnitario*(1+$AH21),2)</f>
        <v>12.22</v>
      </c>
    </row>
    <row r="22" spans="1:40" ht="63.75" x14ac:dyDescent="0.2">
      <c r="A22" t="str">
        <f t="shared" si="17"/>
        <v>S</v>
      </c>
      <c r="B22">
        <f t="shared" ref="B22:B23" ca="1" si="21">IF(OR(C22="s",C22=0),OFFSET(B22,-1,0),C22)</f>
        <v>2</v>
      </c>
      <c r="C22" t="str">
        <f t="shared" ref="C22:C23" ca="1" si="22">IF(OFFSET(C22,-1,0)="L",1,IF(OFFSET(C22,-1,0)=1,2,IF(OR(A22="s",A22=0),"S",IF(AND(OFFSET(C22,-1,0)=2,A22=4),3,IF(AND(OR(OFFSET(C22,-1,0)="s",OFFSET(C22,-1,0)=0),A22&lt;&gt;"s",A22&gt;OFFSET(B22,-1,0)),OFFSET(B22,-1,0),A22)))))</f>
        <v>S</v>
      </c>
      <c r="D22">
        <f t="shared" ref="D22:D23" ca="1" si="23">IF(OR(C22="S",C22=0),0,IF(ISERROR(K22),J22,SMALL(J22:K22,1)))</f>
        <v>0</v>
      </c>
      <c r="E22">
        <f ca="1">IF($C22=1,OFFSET(E22,-1,0)+MAX(1,COUNTIF(QCI!$A$13:$A$24,OFFSET(ORÇAMENTO!E22,-1,0))),OFFSET(E22,-1,0))</f>
        <v>1</v>
      </c>
      <c r="F22">
        <f t="shared" ref="F22:F23" ca="1" si="24">IF($C22=1,0,IF($C22=2,OFFSET(F22,-1,0)+1,OFFSET(F22,-1,0)))</f>
        <v>1</v>
      </c>
      <c r="G22">
        <f t="shared" ref="G22:G23" ca="1" si="25">IF(AND($C22&lt;=2,$C22&lt;&gt;0),0,IF($C22=3,OFFSET(G22,-1,0)+1,OFFSET(G22,-1,0)))</f>
        <v>0</v>
      </c>
      <c r="H22">
        <f t="shared" ref="H22:H23" ca="1" si="26">IF(AND($C22&lt;=3,$C22&lt;&gt;0),0,IF($C22=4,OFFSET(H22,-1,0)+1,OFFSET(H22,-1,0)))</f>
        <v>0</v>
      </c>
      <c r="I22">
        <f t="shared" ref="I22:I23" ca="1" si="27">IF(AND($C22&lt;=4,$C22&lt;&gt;0),0,IF(AND($C22="S",$X22&gt;0),OFFSET(I22,-1,0)+1,OFFSET(I22,-1,0)))</f>
        <v>5</v>
      </c>
      <c r="J22">
        <f t="shared" ca="1" si="9"/>
        <v>0</v>
      </c>
      <c r="K22">
        <f ca="1">IF(OR($C22="S",$C22=0),0,MATCH(OFFSET($D22,0,$C22)+IF($C22&lt;&gt;1,1,COUNTIF(QCI!$A$13:$A$24,ORÇAMENTO!E22)),OFFSET($D22,1,$C22,ROW($C$105)-ROW($C22)),0))</f>
        <v>0</v>
      </c>
      <c r="L22" s="115" t="str">
        <f t="shared" ref="L22:L23" ca="1" si="28">IF(OR($X22&gt;0,$C22=1,$C22=2,$C22=3,$C22=4),"F","")</f>
        <v>F</v>
      </c>
      <c r="M22" s="116" t="s">
        <v>706</v>
      </c>
      <c r="N22" s="117" t="str">
        <f t="shared" ref="N22:N23" ca="1" si="29">CHOOSE(1+LOG(1+2*(C22=1)+4*(C22=2)+8*(C22=3)+16*(C22=4)+32*(C22="S"),2),"","Meta","Nível 2","Nível 3","Nível 4","Serviço")</f>
        <v>Serviço</v>
      </c>
      <c r="O22" s="118" t="str">
        <f t="shared" ref="O22:O23" ca="1" si="30">IF(OR($C22=0,$L22=""),"-",CONCATENATE(E22&amp;".",IF(AND($A$5&gt;=2,$C22&gt;=2),F22&amp;".",""),IF(AND($A$5&gt;=3,$C22&gt;=3),G22&amp;".",""),IF(AND($A$5&gt;=4,$C22&gt;=4),H22&amp;".",""),IF($C22="S",I22&amp;".","")))</f>
        <v>1.1.5.</v>
      </c>
      <c r="P22" s="119" t="s">
        <v>751</v>
      </c>
      <c r="Q22" s="120" t="s">
        <v>979</v>
      </c>
      <c r="R22" s="121" t="str">
        <f ca="1">IF($C22="S",REFERENCIA.Descricao,"(digite a descrição aqui)")</f>
        <v>JANELA DE ALUMÍNIO TIPO MAXIM-AR, BATENTE/ REQUADRO 3 A 14 CM, VIDRO INCLUSO, FIXAÇÃO COM PARAFUSO, SEM GUARNIÇÃO/ ALIZAR, DIMENSÕES 60X80 (A X L) CM, SEM ACABAMENTO, VEDAÇÃO COM SILICONE, EXCLUSIVE CONTRAMARCO - FORNECIMENTO E INSTALAÇÃO. AF_11/2024</v>
      </c>
      <c r="S22" s="122" t="str">
        <f ca="1">REFERENCIA.Unidade</f>
        <v>M2</v>
      </c>
      <c r="T22" s="123">
        <f ca="1">OFFSET(CÁLCULO!H$15,ROW($T22)-ROW(T$15),0)</f>
        <v>3.9</v>
      </c>
      <c r="U22" s="124">
        <v>743.05</v>
      </c>
      <c r="V22" s="125" t="s">
        <v>664</v>
      </c>
      <c r="W22" s="123">
        <f ca="1">IF($C22="S",ROUND(IF(TIPOORCAMENTO="Proposto",ORÇAMENTO.CustoUnitario*(1+$AH22),ORÇAMENTO.PrecoUnitarioLicitado),15-13*$AF$10),0)</f>
        <v>945.53</v>
      </c>
      <c r="X22" s="126" cm="1">
        <f t="array" aca="1" ref="X22" ca="1">IF($C22="S",IF(OR(Import.TipoArredondamento&lt;&gt;"TransfereGOV",ACOMPANHAMENTO="BM"),VTOTAL1,SUM(OFFSET(CÁLCULO!$AA$15,ROW($X22)-ROW($X$15),1):OFFSET(CÁLCULO!$AL$15,ROW($X22)-ROW($X$15),-1))),IF($C22=0,0,ROUND(SomaAgrup,15-13*$AF$11)))</f>
        <v>3687.57</v>
      </c>
      <c r="Y22" s="127" t="s">
        <v>752</v>
      </c>
      <c r="Z22" t="str">
        <f t="shared" ref="Z22:Z23" ca="1" si="31">IF(AND($C22="S",$X22&gt;0),IF(ISBLANK($Y22),"RA",LEFT($Y22,2)),"")</f>
        <v>RA</v>
      </c>
      <c r="AA22" s="128">
        <f ca="1">IF($C22="S",IF($Z22="CP",$X22,IF($Z22="RA",(($X22)*QCI!$AA$3),0)),SomaAgrup)</f>
        <v>3687.57</v>
      </c>
      <c r="AB22" s="129">
        <f t="shared" ca="1" si="18"/>
        <v>0</v>
      </c>
      <c r="AC22" s="566"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IF(AND(_xlfn.SINGLE(TIPOORCAMENTO)="Licitado",$AL22=0,$AN22&gt;0),"SEM PREÇO",
IF(AND($C22="S",$P22&lt;&gt;"",$Q22&lt;&gt;"",$U22&gt;0,$V22=0),"BDI",
IF(OR(AND(TIPOORCAMENTO="Proposto",LEFT($O$8,5)&lt;&gt;"(N/D:",$AG22&lt;&gt;"",ORÇAMENTO.CustoUnitario&gt;$AG22),AND(TIPOORCAMENTO="LICITADO",ORÇAMENTO.PrecoUnitarioLicitado&gt;$AN22)),"ACIMA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t="str">
        <f ca="1">IF(C22&lt;=CRONO.NivelExibicao,MAX($AD$15:OFFSET(AD22,-1,0))+IF($C22&lt;&gt;1,1,MAX(1,COUNTIF(QCI!$A$13:$A$24,OFFSET($E22,-1,0)))),"")</f>
        <v/>
      </c>
      <c r="AE22" s="7" t="str">
        <f ca="1">IF(AND($C22="S",ORÇAMENTO.CodBarra&lt;&gt;""),IF(ORÇAMENTO.Fonte="",ORÇAMENTO.CodBarra,CONCATENATE(ORÇAMENTO.Fonte," ",ORÇAMENTO.CodBarra)))</f>
        <v>SINAPI 94569</v>
      </c>
      <c r="AF22" s="12">
        <f ca="1">IF(ISERROR(INDIRECT(ORÇAMENTO.BancoRef)),"(abra o arquivo 'Referência "&amp;Excel_BuiltIn_Database&amp;".xlsm)",IF(OR($C22&lt;&gt;"S",ORÇAMENTO.CodBarra=""),"(Sem Código)",IF(ISERROR(MATCH($AE22,INDIRECT(ORÇAMENTO.BancoRef),0)),"(Código não identificado nas referências)",MATCH($AE22,INDIRECT(ORÇAMENTO.BancoRef),0))))</f>
        <v>9828</v>
      </c>
      <c r="AG22" s="429">
        <f ca="1">ROUND(IF(DESONERACAO="sim",REFERENCIA.Desonerado,REFERENCIA.NaoDesonerado),2)</f>
        <v>825.61</v>
      </c>
      <c r="AH22" s="430">
        <f t="shared" ca="1" si="19"/>
        <v>0.27250000000000002</v>
      </c>
      <c r="AJ22" s="432"/>
      <c r="AL22" s="440"/>
      <c r="AM22" s="337">
        <f t="shared" ca="1" si="0"/>
        <v>3687.57</v>
      </c>
      <c r="AN22" s="471">
        <f t="shared" ca="1" si="20"/>
        <v>945.53</v>
      </c>
    </row>
    <row r="23" spans="1:40" ht="51" x14ac:dyDescent="0.2">
      <c r="A23" t="str">
        <f t="shared" si="17"/>
        <v>S</v>
      </c>
      <c r="B23">
        <f t="shared" ca="1" si="21"/>
        <v>2</v>
      </c>
      <c r="C23" t="str">
        <f t="shared" ca="1" si="22"/>
        <v>S</v>
      </c>
      <c r="D23">
        <f t="shared" ca="1" si="23"/>
        <v>0</v>
      </c>
      <c r="E23">
        <f ca="1">IF($C23=1,OFFSET(E23,-1,0)+MAX(1,COUNTIF(QCI!$A$13:$A$24,OFFSET(ORÇAMENTO!E23,-1,0))),OFFSET(E23,-1,0))</f>
        <v>1</v>
      </c>
      <c r="F23">
        <f t="shared" ca="1" si="24"/>
        <v>1</v>
      </c>
      <c r="G23">
        <f t="shared" ca="1" si="25"/>
        <v>0</v>
      </c>
      <c r="H23">
        <f t="shared" ca="1" si="26"/>
        <v>0</v>
      </c>
      <c r="I23">
        <f t="shared" ca="1" si="27"/>
        <v>6</v>
      </c>
      <c r="J23">
        <f t="shared" ca="1" si="9"/>
        <v>0</v>
      </c>
      <c r="K23">
        <f ca="1">IF(OR($C23="S",$C23=0),0,MATCH(OFFSET($D23,0,$C23)+IF($C23&lt;&gt;1,1,COUNTIF(QCI!$A$13:$A$24,ORÇAMENTO!E23)),OFFSET($D23,1,$C23,ROW($C$105)-ROW($C23)),0))</f>
        <v>0</v>
      </c>
      <c r="L23" s="115" t="str">
        <f t="shared" ca="1" si="28"/>
        <v>F</v>
      </c>
      <c r="M23" s="116" t="s">
        <v>706</v>
      </c>
      <c r="N23" s="117" t="str">
        <f t="shared" ca="1" si="29"/>
        <v>Serviço</v>
      </c>
      <c r="O23" s="118" t="str">
        <f t="shared" ca="1" si="30"/>
        <v>1.1.6.</v>
      </c>
      <c r="P23" s="119" t="s">
        <v>972</v>
      </c>
      <c r="Q23" s="120" t="s">
        <v>982</v>
      </c>
      <c r="R23" s="121" t="str">
        <f ca="1">IF($C23="S",REFERENCIA.Descricao,"(digite a descrição aqui)")</f>
        <v>JANELA DE CORRER COM DUAS FOLHAS PARA VIDROS (VIDROS INCLUSOS), EM ALUMÍNIO BRANCO COM PERSIANA EMBUTIDA, DIMENSÃO 150X120 E VEDAÇÃO EM SILICONE - FORNECIMENTO E INSTALAÇÃO</v>
      </c>
      <c r="S23" s="122" t="str">
        <f ca="1">REFERENCIA.Unidade</f>
        <v>M2</v>
      </c>
      <c r="T23" s="123">
        <f ca="1">OFFSET(CÁLCULO!H$15,ROW($T23)-ROW(T$15),0)</f>
        <v>19.8</v>
      </c>
      <c r="U23" s="124">
        <v>990</v>
      </c>
      <c r="V23" s="125" t="s">
        <v>664</v>
      </c>
      <c r="W23" s="123">
        <f ca="1">IF($C23="S",ROUND(IF(TIPOORCAMENTO="Proposto",ORÇAMENTO.CustoUnitario*(1+$AH23),ORÇAMENTO.PrecoUnitarioLicitado),15-13*$AF$10),0)</f>
        <v>1259.78</v>
      </c>
      <c r="X23" s="126" cm="1">
        <f t="array" aca="1" ref="X23" ca="1">IF($C23="S",IF(OR(Import.TipoArredondamento&lt;&gt;"TransfereGOV",ACOMPANHAMENTO="BM"),VTOTAL1,SUM(OFFSET(CÁLCULO!$AA$15,ROW($X23)-ROW($X$15),1):OFFSET(CÁLCULO!$AL$15,ROW($X23)-ROW($X$15),-1))),IF($C23=0,0,ROUND(SomaAgrup,15-13*$AF$11)))</f>
        <v>24943.64</v>
      </c>
      <c r="Y23" s="127" t="s">
        <v>752</v>
      </c>
      <c r="Z23" t="str">
        <f t="shared" ca="1" si="31"/>
        <v>RA</v>
      </c>
      <c r="AA23" s="128">
        <f ca="1">IF($C23="S",IF($Z23="CP",$X23,IF($Z23="RA",(($X23)*QCI!$AA$3),0)),SomaAgrup)</f>
        <v>24943.64</v>
      </c>
      <c r="AB23" s="129">
        <f t="shared" ca="1" si="18"/>
        <v>0</v>
      </c>
      <c r="AC23" s="566"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IF(AND(_xlfn.SINGLE(TIPOORCAMENTO)="Licitado",$AL23=0,$AN23&gt;0),"SEM PREÇO",
IF(AND($C23="S",$P23&lt;&gt;"",$Q23&lt;&gt;"",$U23&gt;0,$V23=0),"BDI",
IF(OR(AND(TIPOORCAMENTO="Proposto",LEFT($O$8,5)&lt;&gt;"(N/D:",$AG23&lt;&gt;"",ORÇAMENTO.CustoUnitario&gt;$AG23),AND(TIPOORCAMENTO="LICITADO",ORÇAMENTO.PrecoUnitarioLicitado&gt;$AN23)),"ACIMA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t="str">
        <f ca="1">IF(C23&lt;=CRONO.NivelExibicao,MAX($AD$15:OFFSET(AD23,-1,0))+IF($C23&lt;&gt;1,1,MAX(1,COUNTIF(QCI!$A$13:$A$24,OFFSET($E23,-1,0)))),"")</f>
        <v/>
      </c>
      <c r="AE23" s="7" t="str">
        <f ca="1">IF(AND($C23="S",ORÇAMENTO.CodBarra&lt;&gt;""),IF(ORÇAMENTO.Fonte="",ORÇAMENTO.CodBarra,CONCATENATE(ORÇAMENTO.Fonte," ",ORÇAMENTO.CodBarra)))</f>
        <v>Cotação 02</v>
      </c>
      <c r="AF23" s="12">
        <f ca="1">IF(ISERROR(INDIRECT(ORÇAMENTO.BancoRef)),"(abra o arquivo 'Referência "&amp;Excel_BuiltIn_Database&amp;".xlsm)",IF(OR($C23&lt;&gt;"S",ORÇAMENTO.CodBarra=""),"(Sem Código)",IF(ISERROR(MATCH($AE23,INDIRECT(ORÇAMENTO.BancoRef),0)),"(Código não identificado nas referências)",MATCH($AE23,INDIRECT(ORÇAMENTO.BancoRef),0))))</f>
        <v>14</v>
      </c>
      <c r="AG23" s="429">
        <f ca="1">ROUND(IF(DESONERACAO="sim",REFERENCIA.Desonerado,REFERENCIA.NaoDesonerado),2)</f>
        <v>1100</v>
      </c>
      <c r="AH23" s="430">
        <f t="shared" ca="1" si="19"/>
        <v>0.27250000000000002</v>
      </c>
      <c r="AJ23" s="432"/>
      <c r="AL23" s="440"/>
      <c r="AM23" s="337">
        <f t="shared" ca="1" si="0"/>
        <v>24943.64</v>
      </c>
      <c r="AN23" s="471">
        <f t="shared" ca="1" si="20"/>
        <v>1259.78</v>
      </c>
    </row>
    <row r="24" spans="1:40" ht="76.5" x14ac:dyDescent="0.2">
      <c r="A24" t="str">
        <f t="shared" si="17"/>
        <v>S</v>
      </c>
      <c r="B24">
        <f ca="1">IF(OR(C24="s",C24=0),OFFSET(B24,-1,0),C24)</f>
        <v>2</v>
      </c>
      <c r="C24" t="str">
        <f ca="1">IF(OFFSET(C24,-1,0)="L",1,IF(OFFSET(C24,-1,0)=1,2,IF(OR(A24="s",A24=0),"S",IF(AND(OFFSET(C24,-1,0)=2,A24=4),3,IF(AND(OR(OFFSET(C24,-1,0)="s",OFFSET(C24,-1,0)=0),A24&lt;&gt;"s",A24&gt;OFFSET(B24,-1,0)),OFFSET(B24,-1,0),A24)))))</f>
        <v>S</v>
      </c>
      <c r="D24">
        <f ca="1">IF(OR(C24="S",C24=0),0,IF(ISERROR(K24),J24,SMALL(J24:K24,1)))</f>
        <v>0</v>
      </c>
      <c r="E24">
        <f ca="1">IF($C24=1,OFFSET(E24,-1,0)+MAX(1,COUNTIF(QCI!$A$13:$A$24,OFFSET(ORÇAMENTO!E24,-1,0))),OFFSET(E24,-1,0))</f>
        <v>1</v>
      </c>
      <c r="F24">
        <f ca="1">IF($C24=1,0,IF($C24=2,OFFSET(F24,-1,0)+1,OFFSET(F24,-1,0)))</f>
        <v>1</v>
      </c>
      <c r="G24">
        <f ca="1">IF(AND($C24&lt;=2,$C24&lt;&gt;0),0,IF($C24=3,OFFSET(G24,-1,0)+1,OFFSET(G24,-1,0)))</f>
        <v>0</v>
      </c>
      <c r="H24">
        <f ca="1">IF(AND($C24&lt;=3,$C24&lt;&gt;0),0,IF($C24=4,OFFSET(H24,-1,0)+1,OFFSET(H24,-1,0)))</f>
        <v>0</v>
      </c>
      <c r="I24">
        <f ca="1">IF(AND($C24&lt;=4,$C24&lt;&gt;0),0,IF(AND($C24="S",$X24&gt;0),OFFSET(I24,-1,0)+1,OFFSET(I24,-1,0)))</f>
        <v>7</v>
      </c>
      <c r="J24">
        <f t="shared" ca="1" si="9"/>
        <v>0</v>
      </c>
      <c r="K24">
        <f ca="1">IF(OR($C24="S",$C24=0),0,MATCH(OFFSET($D24,0,$C24)+IF($C24&lt;&gt;1,1,COUNTIF(QCI!$A$13:$A$24,ORÇAMENTO!E24)),OFFSET($D24,1,$C24,ROW($C$105)-ROW($C24)),0))</f>
        <v>0</v>
      </c>
      <c r="L24" s="115" t="str">
        <f ca="1">IF(OR($X24&gt;0,$C24=1,$C24=2,$C24=3,$C24=4),"F","")</f>
        <v>F</v>
      </c>
      <c r="M24" s="116" t="s">
        <v>706</v>
      </c>
      <c r="N24" s="117" t="str">
        <f ca="1">CHOOSE(1+LOG(1+2*(C24=1)+4*(C24=2)+8*(C24=3)+16*(C24=4)+32*(C24="S"),2),"","Meta","Nível 2","Nível 3","Nível 4","Serviço")</f>
        <v>Serviço</v>
      </c>
      <c r="O24" s="118" t="str">
        <f ca="1">IF(OR($C24=0,$L24=""),"-",CONCATENATE(E24&amp;".",IF(AND($A$5&gt;=2,$C24&gt;=2),F24&amp;".",""),IF(AND($A$5&gt;=3,$C24&gt;=3),G24&amp;".",""),IF(AND($A$5&gt;=4,$C24&gt;=4),H24&amp;".",""),IF($C24="S",I24&amp;".","")))</f>
        <v>1.1.7.</v>
      </c>
      <c r="P24" s="119" t="s">
        <v>751</v>
      </c>
      <c r="Q24" s="120" t="s">
        <v>988</v>
      </c>
      <c r="R24" s="121" t="str">
        <f ca="1">IF($C24="S",REFERENCIA.Descricao,"(digite a descrição aqui)")</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S24" s="122" t="str">
        <f ca="1">REFERENCIA.Unidade</f>
        <v>M2</v>
      </c>
      <c r="T24" s="123">
        <f ca="1">OFFSET(CÁLCULO!H$15,ROW($T24)-ROW(T$15),0)</f>
        <v>4.8</v>
      </c>
      <c r="U24" s="124">
        <v>394.85</v>
      </c>
      <c r="V24" s="125" t="s">
        <v>664</v>
      </c>
      <c r="W24" s="123">
        <f ca="1">IF($C24="S",ROUND(IF(TIPOORCAMENTO="Proposto",ORÇAMENTO.CustoUnitario*(1+$AH24),ORÇAMENTO.PrecoUnitarioLicitado),15-13*$AF$10),0)</f>
        <v>502.45</v>
      </c>
      <c r="X24" s="126" cm="1">
        <f t="array" aca="1" ref="X24" ca="1">IF($C24="S",IF(OR(Import.TipoArredondamento&lt;&gt;"TransfereGOV",ACOMPANHAMENTO="BM"),VTOTAL1,SUM(OFFSET(CÁLCULO!$AA$15,ROW($X24)-ROW($X$15),1):OFFSET(CÁLCULO!$AL$15,ROW($X24)-ROW($X$15),-1))),IF($C24=0,0,ROUND(SomaAgrup,15-13*$AF$11)))</f>
        <v>2411.7600000000002</v>
      </c>
      <c r="Y24" s="127" t="s">
        <v>752</v>
      </c>
      <c r="Z24" t="str">
        <f ca="1">IF(AND($C24="S",$X24&gt;0),IF(ISBLANK($Y24),"RA",LEFT($Y24,2)),"")</f>
        <v>RA</v>
      </c>
      <c r="AA24" s="128">
        <f ca="1">IF($C24="S",IF($Z24="CP",$X24,IF($Z24="RA",(($X24)*QCI!$AA$3),0)),SomaAgrup)</f>
        <v>2411.7600000000002</v>
      </c>
      <c r="AB24" s="129">
        <f t="shared" ca="1" si="18"/>
        <v>0</v>
      </c>
      <c r="AC24" s="566"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IF(AND(_xlfn.SINGLE(TIPOORCAMENTO)="Licitado",$AL24=0,$AN24&gt;0),"SEM PREÇO",
IF(AND($C24="S",$P24&lt;&gt;"",$Q24&lt;&gt;"",$U24&gt;0,$V24=0),"BDI",
IF(OR(AND(TIPOORCAMENTO="Proposto",LEFT($O$8,5)&lt;&gt;"(N/D:",$AG24&lt;&gt;"",ORÇAMENTO.CustoUnitario&gt;$AG24),AND(TIPOORCAMENTO="LICITADO",ORÇAMENTO.PrecoUnitarioLicitado&gt;$AN24)),"ACIMA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t="str">
        <f ca="1">IF(C24&lt;=CRONO.NivelExibicao,MAX($AD$15:OFFSET(AD24,-1,0))+IF($C24&lt;&gt;1,1,MAX(1,COUNTIF(QCI!$A$13:$A$24,OFFSET($E24,-1,0)))),"")</f>
        <v/>
      </c>
      <c r="AE24" s="7" t="str">
        <f ca="1">IF(AND($C24="S",ORÇAMENTO.CodBarra&lt;&gt;""),IF(ORÇAMENTO.Fonte="",ORÇAMENTO.CodBarra,CONCATENATE(ORÇAMENTO.Fonte," ",ORÇAMENTO.CodBarra)))</f>
        <v>SINAPI 94570</v>
      </c>
      <c r="AF24" s="12">
        <f ca="1">IF(ISERROR(INDIRECT(ORÇAMENTO.BancoRef)),"(abra o arquivo 'Referência "&amp;Excel_BuiltIn_Database&amp;".xlsm)",IF(OR($C24&lt;&gt;"S",ORÇAMENTO.CodBarra=""),"(Sem Código)",IF(ISERROR(MATCH($AE24,INDIRECT(ORÇAMENTO.BancoRef),0)),"(Código não identificado nas referências)",MATCH($AE24,INDIRECT(ORÇAMENTO.BancoRef),0))))</f>
        <v>9823</v>
      </c>
      <c r="AG24" s="429">
        <f ca="1">ROUND(IF(DESONERACAO="sim",REFERENCIA.Desonerado,REFERENCIA.NaoDesonerado),2)</f>
        <v>438.76</v>
      </c>
      <c r="AH24" s="430">
        <f t="shared" ca="1" si="19"/>
        <v>0.27250000000000002</v>
      </c>
      <c r="AJ24" s="432"/>
      <c r="AL24" s="440"/>
      <c r="AM24" s="337">
        <f t="shared" ca="1" si="0"/>
        <v>2411.7600000000002</v>
      </c>
      <c r="AN24" s="471">
        <f t="shared" ca="1" si="20"/>
        <v>502.45</v>
      </c>
    </row>
    <row r="25" spans="1:40" ht="38.25" x14ac:dyDescent="0.2">
      <c r="A25" t="str">
        <f t="shared" si="17"/>
        <v>S</v>
      </c>
      <c r="B25">
        <f ca="1">IF(OR(C25="s",C25=0),OFFSET(B25,-1,0),C25)</f>
        <v>2</v>
      </c>
      <c r="C25" t="str">
        <f ca="1">IF(OFFSET(C25,-1,0)="L",1,IF(OFFSET(C25,-1,0)=1,2,IF(OR(A25="s",A25=0),"S",IF(AND(OFFSET(C25,-1,0)=2,A25=4),3,IF(AND(OR(OFFSET(C25,-1,0)="s",OFFSET(C25,-1,0)=0),A25&lt;&gt;"s",A25&gt;OFFSET(B25,-1,0)),OFFSET(B25,-1,0),A25)))))</f>
        <v>S</v>
      </c>
      <c r="D25">
        <f ca="1">IF(OR(C25="S",C25=0),0,IF(ISERROR(K25),J25,SMALL(J25:K25,1)))</f>
        <v>0</v>
      </c>
      <c r="E25">
        <f ca="1">IF($C25=1,OFFSET(E25,-1,0)+MAX(1,COUNTIF(QCI!$A$13:$A$24,OFFSET(ORÇAMENTO!E25,-1,0))),OFFSET(E25,-1,0))</f>
        <v>1</v>
      </c>
      <c r="F25">
        <f ca="1">IF($C25=1,0,IF($C25=2,OFFSET(F25,-1,0)+1,OFFSET(F25,-1,0)))</f>
        <v>1</v>
      </c>
      <c r="G25">
        <f ca="1">IF(AND($C25&lt;=2,$C25&lt;&gt;0),0,IF($C25=3,OFFSET(G25,-1,0)+1,OFFSET(G25,-1,0)))</f>
        <v>0</v>
      </c>
      <c r="H25">
        <f ca="1">IF(AND($C25&lt;=3,$C25&lt;&gt;0),0,IF($C25=4,OFFSET(H25,-1,0)+1,OFFSET(H25,-1,0)))</f>
        <v>0</v>
      </c>
      <c r="I25">
        <f ca="1">IF(AND($C25&lt;=4,$C25&lt;&gt;0),0,IF(AND($C25="S",$X25&gt;0),OFFSET(I25,-1,0)+1,OFFSET(I25,-1,0)))</f>
        <v>8</v>
      </c>
      <c r="J25">
        <f t="shared" ca="1" si="9"/>
        <v>0</v>
      </c>
      <c r="K25">
        <f ca="1">IF(OR($C25="S",$C25=0),0,MATCH(OFFSET($D25,0,$C25)+IF($C25&lt;&gt;1,1,COUNTIF(QCI!$A$13:$A$24,ORÇAMENTO!E25)),OFFSET($D25,1,$C25,ROW($C$105)-ROW($C25)),0))</f>
        <v>0</v>
      </c>
      <c r="L25" s="115" t="str">
        <f ca="1">IF(OR($X25&gt;0,$C25=1,$C25=2,$C25=3,$C25=4),"F","")</f>
        <v>F</v>
      </c>
      <c r="M25" s="116" t="s">
        <v>706</v>
      </c>
      <c r="N25" s="117" t="str">
        <f ca="1">CHOOSE(1+LOG(1+2*(C25=1)+4*(C25=2)+8*(C25=3)+16*(C25=4)+32*(C25="S"),2),"","Meta","Nível 2","Nível 3","Nível 4","Serviço")</f>
        <v>Serviço</v>
      </c>
      <c r="O25" s="118" t="str">
        <f ca="1">IF(OR($C25=0,$L25=""),"-",CONCATENATE(E25&amp;".",IF(AND($A$5&gt;=2,$C25&gt;=2),F25&amp;".",""),IF(AND($A$5&gt;=3,$C25&gt;=3),G25&amp;".",""),IF(AND($A$5&gt;=4,$C25&gt;=4),H25&amp;".",""),IF($C25="S",I25&amp;".","")))</f>
        <v>1.1.8.</v>
      </c>
      <c r="P25" s="119" t="s">
        <v>959</v>
      </c>
      <c r="Q25" s="120" t="s">
        <v>986</v>
      </c>
      <c r="R25" s="121" t="str">
        <f ca="1">IF($C25="S",REFERENCIA.Descricao,"(digite a descrição aqui)")</f>
        <v>PORTA DE ABRIR EM ALUMINIO COM LAMBRI HORIZONTAL/LAMINADA, ACABAMENTO ANODIZADO NATURAL, SEM GUARNICAO/ALIZAR/VISTA</v>
      </c>
      <c r="S25" s="122" t="str">
        <f ca="1">REFERENCIA.Unidade</f>
        <v>M2</v>
      </c>
      <c r="T25" s="123">
        <f ca="1">OFFSET(CÁLCULO!H$15,ROW($T25)-ROW(T$15),0)</f>
        <v>38</v>
      </c>
      <c r="U25" s="124">
        <v>739.45</v>
      </c>
      <c r="V25" s="125" t="s">
        <v>664</v>
      </c>
      <c r="W25" s="123">
        <f ca="1">IF($C25="S",ROUND(IF(TIPOORCAMENTO="Proposto",ORÇAMENTO.CustoUnitario*(1+$AH25),ORÇAMENTO.PrecoUnitarioLicitado),15-13*$AF$10),0)</f>
        <v>940.95</v>
      </c>
      <c r="X25" s="126" cm="1">
        <f t="array" aca="1" ref="X25" ca="1">IF($C25="S",IF(OR(Import.TipoArredondamento&lt;&gt;"TransfereGOV",ACOMPANHAMENTO="BM"),VTOTAL1,SUM(OFFSET(CÁLCULO!$AA$15,ROW($X25)-ROW($X$15),1):OFFSET(CÁLCULO!$AL$15,ROW($X25)-ROW($X$15),-1))),IF($C25=0,0,ROUND(SomaAgrup,15-13*$AF$11)))</f>
        <v>35756.1</v>
      </c>
      <c r="Y25" s="127" t="s">
        <v>752</v>
      </c>
      <c r="Z25" t="str">
        <f ca="1">IF(AND($C25="S",$X25&gt;0),IF(ISBLANK($Y25),"RA",LEFT($Y25,2)),"")</f>
        <v>RA</v>
      </c>
      <c r="AA25" s="128">
        <f ca="1">IF($C25="S",IF($Z25="CP",$X25,IF($Z25="RA",(($X25)*QCI!$AA$3),0)),SomaAgrup)</f>
        <v>35756.1</v>
      </c>
      <c r="AB25" s="129">
        <f t="shared" ca="1" si="18"/>
        <v>0</v>
      </c>
      <c r="AC25" s="566"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IF(AND(_xlfn.SINGLE(TIPOORCAMENTO)="Licitado",$AL25=0,$AN25&gt;0),"SEM PREÇO",
IF(AND($C25="S",$P25&lt;&gt;"",$Q25&lt;&gt;"",$U25&gt;0,$V25=0),"BDI",
IF(OR(AND(TIPOORCAMENTO="Proposto",LEFT($O$8,5)&lt;&gt;"(N/D:",$AG25&lt;&gt;"",ORÇAMENTO.CustoUnitario&gt;$AG25),AND(TIPOORCAMENTO="LICITADO",ORÇAMENTO.PrecoUnitarioLicitado&gt;$AN25)),"ACIMA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t="str">
        <f ca="1">IF(C25&lt;=CRONO.NivelExibicao,MAX($AD$15:OFFSET(AD25,-1,0))+IF($C25&lt;&gt;1,1,MAX(1,COUNTIF(QCI!$A$13:$A$24,OFFSET($E25,-1,0)))),"")</f>
        <v/>
      </c>
      <c r="AE25" s="7" t="str">
        <f ca="1">IF(AND($C25="S",ORÇAMENTO.CodBarra&lt;&gt;""),IF(ORÇAMENTO.Fonte="",ORÇAMENTO.CodBarra,CONCATENATE(ORÇAMENTO.Fonte," ",ORÇAMENTO.CodBarra)))</f>
        <v>SINAPI-I 4914</v>
      </c>
      <c r="AF25" s="12">
        <f ca="1">IF(ISERROR(INDIRECT(ORÇAMENTO.BancoRef)),"(abra o arquivo 'Referência "&amp;Excel_BuiltIn_Database&amp;".xlsm)",IF(OR($C25&lt;&gt;"S",ORÇAMENTO.CodBarra=""),"(Sem Código)",IF(ISERROR(MATCH($AE25,INDIRECT(ORÇAMENTO.BancoRef),0)),"(Código não identificado nas referências)",MATCH($AE25,INDIRECT(ORÇAMENTO.BancoRef),0))))</f>
        <v>3487</v>
      </c>
      <c r="AG25" s="429">
        <f ca="1">ROUND(IF(DESONERACAO="sim",REFERENCIA.Desonerado,REFERENCIA.NaoDesonerado),2)</f>
        <v>821.64</v>
      </c>
      <c r="AH25" s="430">
        <f t="shared" ca="1" si="19"/>
        <v>0.27250000000000002</v>
      </c>
      <c r="AJ25" s="432"/>
      <c r="AL25" s="440"/>
      <c r="AM25" s="337">
        <f t="shared" ca="1" si="0"/>
        <v>35756.1</v>
      </c>
      <c r="AN25" s="471">
        <f t="shared" ca="1" si="20"/>
        <v>940.95</v>
      </c>
    </row>
    <row r="26" spans="1:40" ht="38.25" x14ac:dyDescent="0.2">
      <c r="A26" t="str">
        <f t="shared" si="17"/>
        <v>S</v>
      </c>
      <c r="B26">
        <f t="shared" ref="B26:B29" ca="1" si="32">IF(OR(C26="s",C26=0),OFFSET(B26,-1,0),C26)</f>
        <v>2</v>
      </c>
      <c r="C26" t="str">
        <f t="shared" ref="C26:C29" ca="1" si="33">IF(OFFSET(C26,-1,0)="L",1,IF(OFFSET(C26,-1,0)=1,2,IF(OR(A26="s",A26=0),"S",IF(AND(OFFSET(C26,-1,0)=2,A26=4),3,IF(AND(OR(OFFSET(C26,-1,0)="s",OFFSET(C26,-1,0)=0),A26&lt;&gt;"s",A26&gt;OFFSET(B26,-1,0)),OFFSET(B26,-1,0),A26)))))</f>
        <v>S</v>
      </c>
      <c r="D26">
        <f t="shared" ref="D26:D29" ca="1" si="34">IF(OR(C26="S",C26=0),0,IF(ISERROR(K26),J26,SMALL(J26:K26,1)))</f>
        <v>0</v>
      </c>
      <c r="E26">
        <f ca="1">IF($C26=1,OFFSET(E26,-1,0)+MAX(1,COUNTIF(QCI!$A$13:$A$24,OFFSET(ORÇAMENTO!E26,-1,0))),OFFSET(E26,-1,0))</f>
        <v>1</v>
      </c>
      <c r="F26">
        <f t="shared" ref="F26:F29" ca="1" si="35">IF($C26=1,0,IF($C26=2,OFFSET(F26,-1,0)+1,OFFSET(F26,-1,0)))</f>
        <v>1</v>
      </c>
      <c r="G26">
        <f t="shared" ref="G26:G29" ca="1" si="36">IF(AND($C26&lt;=2,$C26&lt;&gt;0),0,IF($C26=3,OFFSET(G26,-1,0)+1,OFFSET(G26,-1,0)))</f>
        <v>0</v>
      </c>
      <c r="H26">
        <f t="shared" ref="H26:H29" ca="1" si="37">IF(AND($C26&lt;=3,$C26&lt;&gt;0),0,IF($C26=4,OFFSET(H26,-1,0)+1,OFFSET(H26,-1,0)))</f>
        <v>0</v>
      </c>
      <c r="I26">
        <f t="shared" ref="I26:I29" ca="1" si="38">IF(AND($C26&lt;=4,$C26&lt;&gt;0),0,IF(AND($C26="S",$X26&gt;0),OFFSET(I26,-1,0)+1,OFFSET(I26,-1,0)))</f>
        <v>9</v>
      </c>
      <c r="J26">
        <f t="shared" ca="1" si="9"/>
        <v>0</v>
      </c>
      <c r="K26">
        <f ca="1">IF(OR($C26="S",$C26=0),0,MATCH(OFFSET($D26,0,$C26)+IF($C26&lt;&gt;1,1,COUNTIF(QCI!$A$13:$A$24,ORÇAMENTO!E26)),OFFSET($D26,1,$C26,ROW($C$105)-ROW($C26)),0))</f>
        <v>0</v>
      </c>
      <c r="L26" s="115" t="str">
        <f t="shared" ref="L26:L29" ca="1" si="39">IF(OR($X26&gt;0,$C26=1,$C26=2,$C26=3,$C26=4),"F","")</f>
        <v>F</v>
      </c>
      <c r="M26" s="116" t="s">
        <v>706</v>
      </c>
      <c r="N26" s="117" t="str">
        <f t="shared" ref="N26:N29" ca="1" si="40">CHOOSE(1+LOG(1+2*(C26=1)+4*(C26=2)+8*(C26=3)+16*(C26=4)+32*(C26="S"),2),"","Meta","Nível 2","Nível 3","Nível 4","Serviço")</f>
        <v>Serviço</v>
      </c>
      <c r="O26" s="118" t="str">
        <f t="shared" ref="O26:O29" ca="1" si="41">IF(OR($C26=0,$L26=""),"-",CONCATENATE(E26&amp;".",IF(AND($A$5&gt;=2,$C26&gt;=2),F26&amp;".",""),IF(AND($A$5&gt;=3,$C26&gt;=3),G26&amp;".",""),IF(AND($A$5&gt;=4,$C26&gt;=4),H26&amp;".",""),IF($C26="S",I26&amp;".","")))</f>
        <v>1.1.9.</v>
      </c>
      <c r="P26" s="119" t="s">
        <v>959</v>
      </c>
      <c r="Q26" s="120" t="s">
        <v>987</v>
      </c>
      <c r="R26" s="121" t="str">
        <f ca="1">IF($C26="S",REFERENCIA.Descricao,"(digite a descrição aqui)")</f>
        <v>PORTA DE CORRER EM ALUMINIO, DUAS FOLHAS MOVEIS COM VIDRO, FECHADURA E PUXADOR EMBUTIDO, ACABAMENTO ANODIZADO NATURAL, SEM GUARNICAO/ALIZAR/VISTA</v>
      </c>
      <c r="S26" s="122" t="str">
        <f ca="1">REFERENCIA.Unidade</f>
        <v>M2</v>
      </c>
      <c r="T26" s="123">
        <f ca="1">OFFSET(CÁLCULO!H$15,ROW($T26)-ROW(T$15),0)</f>
        <v>7</v>
      </c>
      <c r="U26" s="124">
        <v>473.7</v>
      </c>
      <c r="V26" s="125" t="s">
        <v>664</v>
      </c>
      <c r="W26" s="123">
        <f ca="1">IF($C26="S",ROUND(IF(TIPOORCAMENTO="Proposto",ORÇAMENTO.CustoUnitario*(1+$AH26),ORÇAMENTO.PrecoUnitarioLicitado),15-13*$AF$10),0)</f>
        <v>602.78</v>
      </c>
      <c r="X26" s="126" cm="1">
        <f t="array" aca="1" ref="X26" ca="1">IF($C26="S",IF(OR(Import.TipoArredondamento&lt;&gt;"TransfereGOV",ACOMPANHAMENTO="BM"),VTOTAL1,SUM(OFFSET(CÁLCULO!$AA$15,ROW($X26)-ROW($X$15),1):OFFSET(CÁLCULO!$AL$15,ROW($X26)-ROW($X$15),-1))),IF($C26=0,0,ROUND(SomaAgrup,15-13*$AF$11)))</f>
        <v>4219.46</v>
      </c>
      <c r="Y26" s="127" t="s">
        <v>752</v>
      </c>
      <c r="Z26" t="str">
        <f t="shared" ref="Z26:Z29" ca="1" si="42">IF(AND($C26="S",$X26&gt;0),IF(ISBLANK($Y26),"RA",LEFT($Y26,2)),"")</f>
        <v>RA</v>
      </c>
      <c r="AA26" s="128">
        <f ca="1">IF($C26="S",IF($Z26="CP",$X26,IF($Z26="RA",(($X26)*QCI!$AA$3),0)),SomaAgrup)</f>
        <v>4219.46</v>
      </c>
      <c r="AB26" s="129">
        <f t="shared" ca="1" si="18"/>
        <v>0</v>
      </c>
      <c r="AC26" s="566"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IF(AND(_xlfn.SINGLE(TIPOORCAMENTO)="Licitado",$AL26=0,$AN26&gt;0),"SEM PREÇO",
IF(AND($C26="S",$P26&lt;&gt;"",$Q26&lt;&gt;"",$U26&gt;0,$V26=0),"BDI",
IF(OR(AND(TIPOORCAMENTO="Proposto",LEFT($O$8,5)&lt;&gt;"(N/D:",$AG26&lt;&gt;"",ORÇAMENTO.CustoUnitario&gt;$AG26),AND(TIPOORCAMENTO="LICITADO",ORÇAMENTO.PrecoUnitarioLicitado&gt;$AN26)),"ACIMA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t="str">
        <f ca="1">IF(C26&lt;=CRONO.NivelExibicao,MAX($AD$15:OFFSET(AD26,-1,0))+IF($C26&lt;&gt;1,1,MAX(1,COUNTIF(QCI!$A$13:$A$24,OFFSET($E26,-1,0)))),"")</f>
        <v/>
      </c>
      <c r="AE26" s="7" t="str">
        <f ca="1">IF(AND($C26="S",ORÇAMENTO.CodBarra&lt;&gt;""),IF(ORÇAMENTO.Fonte="",ORÇAMENTO.CodBarra,CONCATENATE(ORÇAMENTO.Fonte," ",ORÇAMENTO.CodBarra)))</f>
        <v>SINAPI-I 4922</v>
      </c>
      <c r="AF26" s="12">
        <f ca="1">IF(ISERROR(INDIRECT(ORÇAMENTO.BancoRef)),"(abra o arquivo 'Referência "&amp;Excel_BuiltIn_Database&amp;".xlsm)",IF(OR($C26&lt;&gt;"S",ORÇAMENTO.CodBarra=""),"(Sem Código)",IF(ISERROR(MATCH($AE26,INDIRECT(ORÇAMENTO.BancoRef),0)),"(Código não identificado nas referências)",MATCH($AE26,INDIRECT(ORÇAMENTO.BancoRef),0))))</f>
        <v>3490</v>
      </c>
      <c r="AG26" s="429">
        <f ca="1">ROUND(IF(DESONERACAO="sim",REFERENCIA.Desonerado,REFERENCIA.NaoDesonerado),2)</f>
        <v>526.34</v>
      </c>
      <c r="AH26" s="430">
        <f t="shared" ca="1" si="19"/>
        <v>0.27250000000000002</v>
      </c>
      <c r="AJ26" s="432"/>
      <c r="AL26" s="440"/>
      <c r="AM26" s="337">
        <f t="shared" ca="1" si="0"/>
        <v>4219.46</v>
      </c>
      <c r="AN26" s="471">
        <f t="shared" ca="1" si="20"/>
        <v>602.78</v>
      </c>
    </row>
    <row r="27" spans="1:40" ht="25.5" x14ac:dyDescent="0.2">
      <c r="A27" t="str">
        <f t="shared" si="17"/>
        <v>S</v>
      </c>
      <c r="B27">
        <f t="shared" ca="1" si="32"/>
        <v>2</v>
      </c>
      <c r="C27" t="str">
        <f t="shared" ca="1" si="33"/>
        <v>S</v>
      </c>
      <c r="D27">
        <f t="shared" ca="1" si="34"/>
        <v>0</v>
      </c>
      <c r="E27">
        <f ca="1">IF($C27=1,OFFSET(E27,-1,0)+MAX(1,COUNTIF(QCI!$A$13:$A$24,OFFSET(ORÇAMENTO!E27,-1,0))),OFFSET(E27,-1,0))</f>
        <v>1</v>
      </c>
      <c r="F27">
        <f t="shared" ca="1" si="35"/>
        <v>1</v>
      </c>
      <c r="G27">
        <f t="shared" ca="1" si="36"/>
        <v>0</v>
      </c>
      <c r="H27">
        <f t="shared" ca="1" si="37"/>
        <v>0</v>
      </c>
      <c r="I27">
        <f t="shared" ca="1" si="38"/>
        <v>10</v>
      </c>
      <c r="J27">
        <f t="shared" ca="1" si="9"/>
        <v>0</v>
      </c>
      <c r="K27">
        <f ca="1">IF(OR($C27="S",$C27=0),0,MATCH(OFFSET($D27,0,$C27)+IF($C27&lt;&gt;1,1,COUNTIF(QCI!$A$13:$A$24,ORÇAMENTO!E27)),OFFSET($D27,1,$C27,ROW($C$105)-ROW($C27)),0))</f>
        <v>0</v>
      </c>
      <c r="L27" s="115" t="str">
        <f t="shared" ca="1" si="39"/>
        <v>F</v>
      </c>
      <c r="M27" s="116" t="s">
        <v>706</v>
      </c>
      <c r="N27" s="117" t="str">
        <f t="shared" ca="1" si="40"/>
        <v>Serviço</v>
      </c>
      <c r="O27" s="118" t="str">
        <f t="shared" ca="1" si="41"/>
        <v>1.1.10.</v>
      </c>
      <c r="P27" s="119" t="s">
        <v>972</v>
      </c>
      <c r="Q27" s="120" t="s">
        <v>1003</v>
      </c>
      <c r="R27" s="121" t="str">
        <f ca="1">IF($C27="S",REFERENCIA.Descricao,"(digite a descrição aqui)")</f>
        <v>PORTA EXTERNA DE CORRER EM VIDRO 10 MM EM TRILHO COM SISTEMA MÃO AMIGA  - FORNECIMENTO E INSTALAÇÃO</v>
      </c>
      <c r="S27" s="122" t="str">
        <f ca="1">REFERENCIA.Unidade</f>
        <v>M2</v>
      </c>
      <c r="T27" s="123">
        <f ca="1">OFFSET(CÁLCULO!H$15,ROW($T27)-ROW(T$15),0)</f>
        <v>13.65</v>
      </c>
      <c r="U27" s="124">
        <v>540</v>
      </c>
      <c r="V27" s="125" t="s">
        <v>664</v>
      </c>
      <c r="W27" s="123">
        <f ca="1">IF($C27="S",ROUND(IF(TIPOORCAMENTO="Proposto",ORÇAMENTO.CustoUnitario*(1+$AH27),ORÇAMENTO.PrecoUnitarioLicitado),15-13*$AF$10),0)</f>
        <v>687.15</v>
      </c>
      <c r="X27" s="126" cm="1">
        <f t="array" aca="1" ref="X27" ca="1">IF($C27="S",IF(OR(Import.TipoArredondamento&lt;&gt;"TransfereGOV",ACOMPANHAMENTO="BM"),VTOTAL1,SUM(OFFSET(CÁLCULO!$AA$15,ROW($X27)-ROW($X$15),1):OFFSET(CÁLCULO!$AL$15,ROW($X27)-ROW($X$15),-1))),IF($C27=0,0,ROUND(SomaAgrup,15-13*$AF$11)))</f>
        <v>9379.6</v>
      </c>
      <c r="Y27" s="127" t="s">
        <v>752</v>
      </c>
      <c r="Z27" t="str">
        <f t="shared" ca="1" si="42"/>
        <v>RA</v>
      </c>
      <c r="AA27" s="128">
        <f ca="1">IF($C27="S",IF($Z27="CP",$X27,IF($Z27="RA",(($X27)*QCI!$AA$3),0)),SomaAgrup)</f>
        <v>9379.6</v>
      </c>
      <c r="AB27" s="129">
        <f t="shared" ca="1" si="18"/>
        <v>0</v>
      </c>
      <c r="AC27" s="566"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IF(AND(_xlfn.SINGLE(TIPOORCAMENTO)="Licitado",$AL27=0,$AN27&gt;0),"SEM PREÇO",
IF(AND($C27="S",$P27&lt;&gt;"",$Q27&lt;&gt;"",$U27&gt;0,$V27=0),"BDI",
IF(OR(AND(TIPOORCAMENTO="Proposto",LEFT($O$8,5)&lt;&gt;"(N/D:",$AG27&lt;&gt;"",ORÇAMENTO.CustoUnitario&gt;$AG27),AND(TIPOORCAMENTO="LICITADO",ORÇAMENTO.PrecoUnitarioLicitado&gt;$AN27)),"ACIMA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t="str">
        <f ca="1">IF(C27&lt;=CRONO.NivelExibicao,MAX($AD$15:OFFSET(AD27,-1,0))+IF($C27&lt;&gt;1,1,MAX(1,COUNTIF(QCI!$A$13:$A$24,OFFSET($E27,-1,0)))),"")</f>
        <v/>
      </c>
      <c r="AE27" s="7" t="str">
        <f ca="1">IF(AND($C27="S",ORÇAMENTO.CodBarra&lt;&gt;""),IF(ORÇAMENTO.Fonte="",ORÇAMENTO.CodBarra,CONCATENATE(ORÇAMENTO.Fonte," ",ORÇAMENTO.CodBarra)))</f>
        <v>Cotação 03</v>
      </c>
      <c r="AF27" s="12">
        <f ca="1">IF(ISERROR(INDIRECT(ORÇAMENTO.BancoRef)),"(abra o arquivo 'Referência "&amp;Excel_BuiltIn_Database&amp;".xlsm)",IF(OR($C27&lt;&gt;"S",ORÇAMENTO.CodBarra=""),"(Sem Código)",IF(ISERROR(MATCH($AE27,INDIRECT(ORÇAMENTO.BancoRef),0)),"(Código não identificado nas referências)",MATCH($AE27,INDIRECT(ORÇAMENTO.BancoRef),0))))</f>
        <v>15</v>
      </c>
      <c r="AG27" s="429">
        <f ca="1">ROUND(IF(DESONERACAO="sim",REFERENCIA.Desonerado,REFERENCIA.NaoDesonerado),2)</f>
        <v>600</v>
      </c>
      <c r="AH27" s="430">
        <f t="shared" ca="1" si="19"/>
        <v>0.27250000000000002</v>
      </c>
      <c r="AJ27" s="432"/>
      <c r="AL27" s="440"/>
      <c r="AM27" s="337">
        <f t="shared" ca="1" si="0"/>
        <v>9379.6</v>
      </c>
      <c r="AN27" s="471">
        <f t="shared" ca="1" si="20"/>
        <v>687.15</v>
      </c>
    </row>
    <row r="28" spans="1:40" ht="25.5" x14ac:dyDescent="0.2">
      <c r="A28" t="str">
        <f t="shared" si="17"/>
        <v>S</v>
      </c>
      <c r="B28">
        <f t="shared" ca="1" si="32"/>
        <v>2</v>
      </c>
      <c r="C28" t="str">
        <f t="shared" ca="1" si="33"/>
        <v>S</v>
      </c>
      <c r="D28">
        <f t="shared" ca="1" si="34"/>
        <v>0</v>
      </c>
      <c r="E28">
        <f ca="1">IF($C28=1,OFFSET(E28,-1,0)+MAX(1,COUNTIF(QCI!$A$13:$A$24,OFFSET(ORÇAMENTO!E28,-1,0))),OFFSET(E28,-1,0))</f>
        <v>1</v>
      </c>
      <c r="F28">
        <f t="shared" ca="1" si="35"/>
        <v>1</v>
      </c>
      <c r="G28">
        <f t="shared" ca="1" si="36"/>
        <v>0</v>
      </c>
      <c r="H28">
        <f t="shared" ca="1" si="37"/>
        <v>0</v>
      </c>
      <c r="I28">
        <f t="shared" ca="1" si="38"/>
        <v>11</v>
      </c>
      <c r="J28">
        <f t="shared" ca="1" si="9"/>
        <v>0</v>
      </c>
      <c r="K28">
        <f ca="1">IF(OR($C28="S",$C28=0),0,MATCH(OFFSET($D28,0,$C28)+IF($C28&lt;&gt;1,1,COUNTIF(QCI!$A$13:$A$24,ORÇAMENTO!E28)),OFFSET($D28,1,$C28,ROW($C$105)-ROW($C28)),0))</f>
        <v>0</v>
      </c>
      <c r="L28" s="115" t="str">
        <f t="shared" ca="1" si="39"/>
        <v>F</v>
      </c>
      <c r="M28" s="116" t="s">
        <v>706</v>
      </c>
      <c r="N28" s="117" t="str">
        <f t="shared" ca="1" si="40"/>
        <v>Serviço</v>
      </c>
      <c r="O28" s="118" t="str">
        <f t="shared" ca="1" si="41"/>
        <v>1.1.11.</v>
      </c>
      <c r="P28" s="119" t="s">
        <v>751</v>
      </c>
      <c r="Q28" s="120" t="s">
        <v>964</v>
      </c>
      <c r="R28" s="121" t="str">
        <f ca="1">IF($C28="S",REFERENCIA.Descricao,"(digite a descrição aqui)")</f>
        <v>PINTURA LÁTEX ACRÍLICA PREMIUM, APLICAÇÃO MANUAL EM PAREDES, DUAS DEMÃOS. AF_04/2023</v>
      </c>
      <c r="S28" s="122" t="str">
        <f ca="1">REFERENCIA.Unidade</f>
        <v>M2</v>
      </c>
      <c r="T28" s="123">
        <f ca="1">OFFSET(CÁLCULO!H$15,ROW($T28)-ROW(T$15),0)</f>
        <v>20.5</v>
      </c>
      <c r="U28" s="124">
        <v>12.6</v>
      </c>
      <c r="V28" s="125" t="s">
        <v>664</v>
      </c>
      <c r="W28" s="123">
        <f ca="1">IF($C28="S",ROUND(IF(TIPOORCAMENTO="Proposto",ORÇAMENTO.CustoUnitario*(1+$AH28),ORÇAMENTO.PrecoUnitarioLicitado),15-13*$AF$10),0)</f>
        <v>16.03</v>
      </c>
      <c r="X28" s="126" cm="1">
        <f t="array" aca="1" ref="X28" ca="1">IF($C28="S",IF(OR(Import.TipoArredondamento&lt;&gt;"TransfereGOV",ACOMPANHAMENTO="BM"),VTOTAL1,SUM(OFFSET(CÁLCULO!$AA$15,ROW($X28)-ROW($X$15),1):OFFSET(CÁLCULO!$AL$15,ROW($X28)-ROW($X$15),-1))),IF($C28=0,0,ROUND(SomaAgrup,15-13*$AF$11)))</f>
        <v>328.62</v>
      </c>
      <c r="Y28" s="127" t="s">
        <v>752</v>
      </c>
      <c r="Z28" t="str">
        <f t="shared" ca="1" si="42"/>
        <v>RA</v>
      </c>
      <c r="AA28" s="128">
        <f ca="1">IF($C28="S",IF($Z28="CP",$X28,IF($Z28="RA",(($X28)*QCI!$AA$3),0)),SomaAgrup)</f>
        <v>328.62</v>
      </c>
      <c r="AB28" s="129">
        <f t="shared" ca="1" si="18"/>
        <v>0</v>
      </c>
      <c r="AC28" s="566"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IF(AND(_xlfn.SINGLE(TIPOORCAMENTO)="Licitado",$AL28=0,$AN28&gt;0),"SEM PREÇO",
IF(AND($C28="S",$P28&lt;&gt;"",$Q28&lt;&gt;"",$U28&gt;0,$V28=0),"BDI",
IF(OR(AND(TIPOORCAMENTO="Proposto",LEFT($O$8,5)&lt;&gt;"(N/D:",$AG28&lt;&gt;"",ORÇAMENTO.CustoUnitario&gt;$AG28),AND(TIPOORCAMENTO="LICITADO",ORÇAMENTO.PrecoUnitarioLicitado&gt;$AN28)),"ACIMA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t="str">
        <f ca="1">IF(C28&lt;=CRONO.NivelExibicao,MAX($AD$15:OFFSET(AD28,-1,0))+IF($C28&lt;&gt;1,1,MAX(1,COUNTIF(QCI!$A$13:$A$24,OFFSET($E28,-1,0)))),"")</f>
        <v/>
      </c>
      <c r="AE28" s="7" t="str">
        <f ca="1">IF(AND($C28="S",ORÇAMENTO.CodBarra&lt;&gt;""),IF(ORÇAMENTO.Fonte="",ORÇAMENTO.CodBarra,CONCATENATE(ORÇAMENTO.Fonte," ",ORÇAMENTO.CodBarra)))</f>
        <v>SINAPI 88489</v>
      </c>
      <c r="AF28" s="12">
        <f ca="1">IF(ISERROR(INDIRECT(ORÇAMENTO.BancoRef)),"(abra o arquivo 'Referência "&amp;Excel_BuiltIn_Database&amp;".xlsm)",IF(OR($C28&lt;&gt;"S",ORÇAMENTO.CodBarra=""),"(Sem Código)",IF(ISERROR(MATCH($AE28,INDIRECT(ORÇAMENTO.BancoRef),0)),"(Código não identificado nas referências)",MATCH($AE28,INDIRECT(ORÇAMENTO.BancoRef),0))))</f>
        <v>14517</v>
      </c>
      <c r="AG28" s="429">
        <f ca="1">ROUND(IF(DESONERACAO="sim",REFERENCIA.Desonerado,REFERENCIA.NaoDesonerado),2)</f>
        <v>13.96</v>
      </c>
      <c r="AH28" s="430">
        <f t="shared" ca="1" si="19"/>
        <v>0.27250000000000002</v>
      </c>
      <c r="AJ28" s="432"/>
      <c r="AL28" s="440"/>
      <c r="AM28" s="337">
        <f t="shared" ca="1" si="0"/>
        <v>328.62</v>
      </c>
      <c r="AN28" s="471">
        <f t="shared" ca="1" si="20"/>
        <v>16.03</v>
      </c>
    </row>
    <row r="29" spans="1:40" ht="25.5" x14ac:dyDescent="0.2">
      <c r="A29" t="str">
        <f t="shared" si="17"/>
        <v>S</v>
      </c>
      <c r="B29">
        <f t="shared" ca="1" si="32"/>
        <v>2</v>
      </c>
      <c r="C29" t="str">
        <f t="shared" ca="1" si="33"/>
        <v>S</v>
      </c>
      <c r="D29">
        <f t="shared" ca="1" si="34"/>
        <v>0</v>
      </c>
      <c r="E29">
        <f ca="1">IF($C29=1,OFFSET(E29,-1,0)+MAX(1,COUNTIF(QCI!$A$13:$A$24,OFFSET(ORÇAMENTO!E29,-1,0))),OFFSET(E29,-1,0))</f>
        <v>1</v>
      </c>
      <c r="F29">
        <f t="shared" ca="1" si="35"/>
        <v>1</v>
      </c>
      <c r="G29">
        <f t="shared" ca="1" si="36"/>
        <v>0</v>
      </c>
      <c r="H29">
        <f t="shared" ca="1" si="37"/>
        <v>0</v>
      </c>
      <c r="I29">
        <f t="shared" ca="1" si="38"/>
        <v>12</v>
      </c>
      <c r="J29">
        <f t="shared" ca="1" si="9"/>
        <v>0</v>
      </c>
      <c r="K29">
        <f ca="1">IF(OR($C29="S",$C29=0),0,MATCH(OFFSET($D29,0,$C29)+IF($C29&lt;&gt;1,1,COUNTIF(QCI!$A$13:$A$24,ORÇAMENTO!E29)),OFFSET($D29,1,$C29,ROW($C$105)-ROW($C29)),0))</f>
        <v>0</v>
      </c>
      <c r="L29" s="115" t="str">
        <f t="shared" ca="1" si="39"/>
        <v>F</v>
      </c>
      <c r="M29" s="116" t="s">
        <v>706</v>
      </c>
      <c r="N29" s="117" t="str">
        <f t="shared" ca="1" si="40"/>
        <v>Serviço</v>
      </c>
      <c r="O29" s="118" t="str">
        <f t="shared" ca="1" si="41"/>
        <v>1.1.12.</v>
      </c>
      <c r="P29" s="119" t="s">
        <v>751</v>
      </c>
      <c r="Q29" s="120" t="s">
        <v>965</v>
      </c>
      <c r="R29" s="121" t="str">
        <f ca="1">IF($C29="S",REFERENCIA.Descricao,"(digite a descrição aqui)")</f>
        <v>APLICAÇÃO MANUAL DE FUNDO SELADOR ACRÍLICO EM PAREDES EXTERNAS DE CASAS. AF_03/2024</v>
      </c>
      <c r="S29" s="122" t="str">
        <f ca="1">REFERENCIA.Unidade</f>
        <v>M2</v>
      </c>
      <c r="T29" s="123">
        <f ca="1">OFFSET(CÁLCULO!H$15,ROW($T29)-ROW(T$15),0)</f>
        <v>20.5</v>
      </c>
      <c r="U29" s="124">
        <v>4.0999999999999996</v>
      </c>
      <c r="V29" s="125" t="s">
        <v>664</v>
      </c>
      <c r="W29" s="123">
        <f ca="1">IF($C29="S",ROUND(IF(TIPOORCAMENTO="Proposto",ORÇAMENTO.CustoUnitario*(1+$AH29),ORÇAMENTO.PrecoUnitarioLicitado),15-13*$AF$10),0)</f>
        <v>5.22</v>
      </c>
      <c r="X29" s="126" cm="1">
        <f t="array" aca="1" ref="X29" ca="1">IF($C29="S",IF(OR(Import.TipoArredondamento&lt;&gt;"TransfereGOV",ACOMPANHAMENTO="BM"),VTOTAL1,SUM(OFFSET(CÁLCULO!$AA$15,ROW($X29)-ROW($X$15),1):OFFSET(CÁLCULO!$AL$15,ROW($X29)-ROW($X$15),-1))),IF($C29=0,0,ROUND(SomaAgrup,15-13*$AF$11)))</f>
        <v>107.01</v>
      </c>
      <c r="Y29" s="127" t="s">
        <v>752</v>
      </c>
      <c r="Z29" t="str">
        <f t="shared" ca="1" si="42"/>
        <v>RA</v>
      </c>
      <c r="AA29" s="128">
        <f ca="1">IF($C29="S",IF($Z29="CP",$X29,IF($Z29="RA",(($X29)*QCI!$AA$3),0)),SomaAgrup)</f>
        <v>107.01</v>
      </c>
      <c r="AB29" s="129">
        <f t="shared" ca="1" si="18"/>
        <v>0</v>
      </c>
      <c r="AC29" s="566"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IF(AND(_xlfn.SINGLE(TIPOORCAMENTO)="Licitado",$AL29=0,$AN29&gt;0),"SEM PREÇO",
IF(AND($C29="S",$P29&lt;&gt;"",$Q29&lt;&gt;"",$U29&gt;0,$V29=0),"BDI",
IF(OR(AND(TIPOORCAMENTO="Proposto",LEFT($O$8,5)&lt;&gt;"(N/D:",$AG29&lt;&gt;"",ORÇAMENTO.CustoUnitario&gt;$AG29),AND(TIPOORCAMENTO="LICITADO",ORÇAMENTO.PrecoUnitarioLicitado&gt;$AN29)),"ACIMA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IF(C29&lt;=CRONO.NivelExibicao,MAX($AD$15:OFFSET(AD29,-1,0))+IF($C29&lt;&gt;1,1,MAX(1,COUNTIF(QCI!$A$13:$A$24,OFFSET($E29,-1,0)))),"")</f>
        <v/>
      </c>
      <c r="AE29" s="7" t="str">
        <f ca="1">IF(AND($C29="S",ORÇAMENTO.CodBarra&lt;&gt;""),IF(ORÇAMENTO.Fonte="",ORÇAMENTO.CodBarra,CONCATENATE(ORÇAMENTO.Fonte," ",ORÇAMENTO.CodBarra)))</f>
        <v>SINAPI 88415</v>
      </c>
      <c r="AF29" s="12">
        <f ca="1">IF(ISERROR(INDIRECT(ORÇAMENTO.BancoRef)),"(abra o arquivo 'Referência "&amp;Excel_BuiltIn_Database&amp;".xlsm)",IF(OR($C29&lt;&gt;"S",ORÇAMENTO.CodBarra=""),"(Sem Código)",IF(ISERROR(MATCH($AE29,INDIRECT(ORÇAMENTO.BancoRef),0)),"(Código não identificado nas referências)",MATCH($AE29,INDIRECT(ORÇAMENTO.BancoRef),0))))</f>
        <v>14472</v>
      </c>
      <c r="AG29" s="429">
        <f ca="1">ROUND(IF(DESONERACAO="sim",REFERENCIA.Desonerado,REFERENCIA.NaoDesonerado),2)</f>
        <v>4.57</v>
      </c>
      <c r="AH29" s="430">
        <f t="shared" ca="1" si="19"/>
        <v>0.27250000000000002</v>
      </c>
      <c r="AJ29" s="432"/>
      <c r="AL29" s="440"/>
      <c r="AM29" s="337">
        <f t="shared" ca="1" si="0"/>
        <v>107.01</v>
      </c>
      <c r="AN29" s="471">
        <f t="shared" ca="1" si="20"/>
        <v>5.22</v>
      </c>
    </row>
    <row r="30" spans="1:40" x14ac:dyDescent="0.2">
      <c r="A30">
        <f t="shared" si="1"/>
        <v>2</v>
      </c>
      <c r="B30">
        <f t="shared" ca="1" si="2"/>
        <v>2</v>
      </c>
      <c r="C30">
        <f t="shared" ca="1" si="3"/>
        <v>2</v>
      </c>
      <c r="D30">
        <f t="shared" ca="1" si="4"/>
        <v>3</v>
      </c>
      <c r="E30">
        <f ca="1">IF($C30=1,OFFSET(E30,-1,0)+MAX(1,COUNTIF(QCI!$A$13:$A$24,OFFSET(ORÇAMENTO!E30,-1,0))),OFFSET(E30,-1,0))</f>
        <v>1</v>
      </c>
      <c r="F30">
        <f t="shared" ca="1" si="5"/>
        <v>2</v>
      </c>
      <c r="G30">
        <f t="shared" ca="1" si="6"/>
        <v>0</v>
      </c>
      <c r="H30">
        <f t="shared" ca="1" si="7"/>
        <v>0</v>
      </c>
      <c r="I30">
        <f t="shared" ca="1" si="8"/>
        <v>0</v>
      </c>
      <c r="J30">
        <f t="shared" ca="1" si="9"/>
        <v>75</v>
      </c>
      <c r="K30">
        <f ca="1">IF(OR($C30="S",$C30=0),0,MATCH(OFFSET($D30,0,$C30)+IF($C30&lt;&gt;1,1,COUNTIF(QCI!$A$13:$A$24,ORÇAMENTO!E30)),OFFSET($D30,1,$C30,ROW($C$105)-ROW($C30)),0))</f>
        <v>3</v>
      </c>
      <c r="L30" s="115" t="str">
        <f t="shared" ca="1" si="10"/>
        <v>F</v>
      </c>
      <c r="M30" s="116" t="s">
        <v>703</v>
      </c>
      <c r="N30" s="117" t="str">
        <f t="shared" ca="1" si="11"/>
        <v>Nível 2</v>
      </c>
      <c r="O30" s="118" t="str">
        <f t="shared" ca="1" si="12"/>
        <v>1.2.</v>
      </c>
      <c r="P30" s="119" t="s">
        <v>751</v>
      </c>
      <c r="Q30" s="120"/>
      <c r="R30" s="121" t="s">
        <v>966</v>
      </c>
      <c r="S30" s="122" t="str">
        <f ca="1">REFERENCIA.Unidade</f>
        <v>-</v>
      </c>
      <c r="T30" s="123">
        <f ca="1">OFFSET(CÁLCULO!H$15,ROW($T30)-ROW(T$15),0)</f>
        <v>0</v>
      </c>
      <c r="U30" s="124"/>
      <c r="V30" s="125" t="s">
        <v>664</v>
      </c>
      <c r="W30" s="123">
        <f ca="1">IF($C30="S",ROUND(IF(TIPOORCAMENTO="Proposto",ORÇAMENTO.CustoUnitario*(1+$AH30),ORÇAMENTO.PrecoUnitarioLicitado),15-13*$AF$10),0)</f>
        <v>0</v>
      </c>
      <c r="X30" s="126" cm="1">
        <f t="array" aca="1" ref="X30" ca="1">IF($C30="S",IF(OR(Import.TipoArredondamento&lt;&gt;"TransfereGOV",ACOMPANHAMENTO="BM"),VTOTAL1,SUM(OFFSET(CÁLCULO!$AA$15,ROW($X30)-ROW($X$15),1):OFFSET(CÁLCULO!$AL$15,ROW($X30)-ROW($X$15),-1))),IF($C30=0,0,ROUND(SomaAgrup,15-13*$AF$11)))</f>
        <v>3589.2</v>
      </c>
      <c r="Y30" s="127" t="s">
        <v>752</v>
      </c>
      <c r="Z30" t="str">
        <f t="shared" ca="1" si="13"/>
        <v/>
      </c>
      <c r="AA30" s="128">
        <f ca="1">IF($C30="S",IF($Z30="CP",$X30,IF($Z30="RA",(($X30)*QCI!$AA$3),0)),SomaAgrup)</f>
        <v>3589.2</v>
      </c>
      <c r="AB30" s="129">
        <f t="shared" ca="1" si="14"/>
        <v>0</v>
      </c>
      <c r="AC30" s="566"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IF(AND(_xlfn.SINGLE(TIPOORCAMENTO)="Licitado",$AL30=0,$AN30&gt;0),"SEM PREÇO",
IF(AND($C30="S",$P30&lt;&gt;"",$Q30&lt;&gt;"",$U30&gt;0,$V30=0),"BDI",
IF(OR(AND(TIPOORCAMENTO="Proposto",LEFT($O$8,5)&lt;&gt;"(N/D:",$AG30&lt;&gt;"",ORÇAMENTO.CustoUnitario&gt;$AG30),AND(TIPOORCAMENTO="LICITADO",ORÇAMENTO.PrecoUnitarioLicitado&gt;$AN30)),"ACIMA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f ca="1">IF(C30&lt;=CRONO.NivelExibicao,MAX($AD$15:OFFSET(AD30,-1,0))+IF($C30&lt;&gt;1,1,MAX(1,COUNTIF(QCI!$A$13:$A$24,OFFSET($E30,-1,0)))),"")</f>
        <v>3</v>
      </c>
      <c r="AE30" s="7" t="b">
        <f ca="1">IF(AND($C30="S",ORÇAMENTO.CodBarra&lt;&gt;""),IF(ORÇAMENTO.Fonte="",ORÇAMENTO.CodBarra,CONCATENATE(ORÇAMENTO.Fonte," ",ORÇAMENTO.CodBarra)))</f>
        <v>0</v>
      </c>
      <c r="AF30" s="12" t="str">
        <f ca="1">IF(ISERROR(INDIRECT(ORÇAMENTO.BancoRef)),"(abra o arquivo 'Referência "&amp;Excel_BuiltIn_Database&amp;".xlsm)",IF(OR($C30&lt;&gt;"S",ORÇAMENTO.CodBarra=""),"(Sem Código)",IF(ISERROR(MATCH($AE30,INDIRECT(ORÇAMENTO.BancoRef),0)),"(Código não identificado nas referências)",MATCH($AE30,INDIRECT(ORÇAMENTO.BancoRef),0))))</f>
        <v>(Sem Código)</v>
      </c>
      <c r="AG30" s="429">
        <f ca="1">ROUND(IF(DESONERACAO="sim",REFERENCIA.Desonerado,REFERENCIA.NaoDesonerado),2)</f>
        <v>0</v>
      </c>
      <c r="AH30" s="430">
        <f t="shared" ca="1" si="15"/>
        <v>0.27250000000000002</v>
      </c>
      <c r="AJ30" s="432"/>
      <c r="AL30" s="440"/>
      <c r="AM30" s="337">
        <f t="shared" ca="1" si="0"/>
        <v>3589.2</v>
      </c>
      <c r="AN30" s="471">
        <f t="shared" ca="1" si="16"/>
        <v>0</v>
      </c>
    </row>
    <row r="31" spans="1:40" ht="25.5" x14ac:dyDescent="0.2">
      <c r="A31" t="str">
        <f t="shared" si="1"/>
        <v>S</v>
      </c>
      <c r="B31">
        <f t="shared" ca="1" si="2"/>
        <v>2</v>
      </c>
      <c r="C31" t="str">
        <f t="shared" ca="1" si="3"/>
        <v>S</v>
      </c>
      <c r="D31">
        <f t="shared" ca="1" si="4"/>
        <v>0</v>
      </c>
      <c r="E31">
        <f ca="1">IF($C31=1,OFFSET(E31,-1,0)+MAX(1,COUNTIF(QCI!$A$13:$A$24,OFFSET(ORÇAMENTO!E31,-1,0))),OFFSET(E31,-1,0))</f>
        <v>1</v>
      </c>
      <c r="F31">
        <f t="shared" ca="1" si="5"/>
        <v>2</v>
      </c>
      <c r="G31">
        <f t="shared" ca="1" si="6"/>
        <v>0</v>
      </c>
      <c r="H31">
        <f t="shared" ca="1" si="7"/>
        <v>0</v>
      </c>
      <c r="I31">
        <f t="shared" ca="1" si="8"/>
        <v>1</v>
      </c>
      <c r="J31">
        <f t="shared" ca="1" si="9"/>
        <v>0</v>
      </c>
      <c r="K31">
        <f ca="1">IF(OR($C31="S",$C31=0),0,MATCH(OFFSET($D31,0,$C31)+IF($C31&lt;&gt;1,1,COUNTIF(QCI!$A$13:$A$24,ORÇAMENTO!E31)),OFFSET($D31,1,$C31,ROW($C$105)-ROW($C31)),0))</f>
        <v>0</v>
      </c>
      <c r="L31" s="115" t="str">
        <f t="shared" ca="1" si="10"/>
        <v>F</v>
      </c>
      <c r="M31" s="116" t="s">
        <v>706</v>
      </c>
      <c r="N31" s="117" t="str">
        <f t="shared" ca="1" si="11"/>
        <v>Serviço</v>
      </c>
      <c r="O31" s="118" t="str">
        <f t="shared" ca="1" si="12"/>
        <v>1.2.1.</v>
      </c>
      <c r="P31" s="119" t="s">
        <v>751</v>
      </c>
      <c r="Q31" s="120" t="s">
        <v>967</v>
      </c>
      <c r="R31" s="121" t="str">
        <f ca="1">IF($C31="S",REFERENCIA.Descricao,"(digite a descrição aqui)")</f>
        <v>LIMPEZA DE SUPERFÍCIE PISO OU PAREDE COM JATO DE ALTA PRESSÃO. AF_10/2025</v>
      </c>
      <c r="S31" s="122" t="str">
        <f ca="1">REFERENCIA.Unidade</f>
        <v>M2</v>
      </c>
      <c r="T31" s="123">
        <f ca="1">OFFSET(CÁLCULO!H$15,ROW($T31)-ROW(T$15),0)</f>
        <v>520</v>
      </c>
      <c r="U31" s="124">
        <v>1.5</v>
      </c>
      <c r="V31" s="125" t="s">
        <v>664</v>
      </c>
      <c r="W31" s="123">
        <f ca="1">IF($C31="S",ROUND(IF(TIPOORCAMENTO="Proposto",ORÇAMENTO.CustoUnitario*(1+$AH31),ORÇAMENTO.PrecoUnitarioLicitado),15-13*$AF$10),0)</f>
        <v>1.91</v>
      </c>
      <c r="X31" s="126" cm="1">
        <f t="array" aca="1" ref="X31" ca="1">IF($C31="S",IF(OR(Import.TipoArredondamento&lt;&gt;"TransfereGOV",ACOMPANHAMENTO="BM"),VTOTAL1,SUM(OFFSET(CÁLCULO!$AA$15,ROW($X31)-ROW($X$15),1):OFFSET(CÁLCULO!$AL$15,ROW($X31)-ROW($X$15),-1))),IF($C31=0,0,ROUND(SomaAgrup,15-13*$AF$11)))</f>
        <v>993.2</v>
      </c>
      <c r="Y31" s="127" t="s">
        <v>752</v>
      </c>
      <c r="Z31" t="str">
        <f t="shared" ca="1" si="13"/>
        <v>RA</v>
      </c>
      <c r="AA31" s="128">
        <f ca="1">IF($C31="S",IF($Z31="CP",$X31,IF($Z31="RA",(($X31)*QCI!$AA$3),0)),SomaAgrup)</f>
        <v>993.2</v>
      </c>
      <c r="AB31" s="129">
        <f t="shared" ca="1" si="14"/>
        <v>0</v>
      </c>
      <c r="AC31" s="566"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IF(AND(_xlfn.SINGLE(TIPOORCAMENTO)="Licitado",$AL31=0,$AN31&gt;0),"SEM PREÇO",
IF(AND($C31="S",$P31&lt;&gt;"",$Q31&lt;&gt;"",$U31&gt;0,$V31=0),"BDI",
IF(OR(AND(TIPOORCAMENTO="Proposto",LEFT($O$8,5)&lt;&gt;"(N/D:",$AG31&lt;&gt;"",ORÇAMENTO.CustoUnitario&gt;$AG31),AND(TIPOORCAMENTO="LICITADO",ORÇAMENTO.PrecoUnitarioLicitado&gt;$AN31)),"ACIMA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t="str">
        <f ca="1">IF(C31&lt;=CRONO.NivelExibicao,MAX($AD$15:OFFSET(AD31,-1,0))+IF($C31&lt;&gt;1,1,MAX(1,COUNTIF(QCI!$A$13:$A$24,OFFSET($E31,-1,0)))),"")</f>
        <v/>
      </c>
      <c r="AE31" s="7" t="str">
        <f ca="1">IF(AND($C31="S",ORÇAMENTO.CodBarra&lt;&gt;""),IF(ORÇAMENTO.Fonte="",ORÇAMENTO.CodBarra,CONCATENATE(ORÇAMENTO.Fonte," ",ORÇAMENTO.CodBarra)))</f>
        <v>SINAPI 99814</v>
      </c>
      <c r="AF31" s="12">
        <f ca="1">IF(ISERROR(INDIRECT(ORÇAMENTO.BancoRef)),"(abra o arquivo 'Referência "&amp;Excel_BuiltIn_Database&amp;".xlsm)",IF(OR($C31&lt;&gt;"S",ORÇAMENTO.CodBarra=""),"(Sem Código)",IF(ISERROR(MATCH($AE31,INDIRECT(ORÇAMENTO.BancoRef),0)),"(Código não identificado nas referências)",MATCH($AE31,INDIRECT(ORÇAMENTO.BancoRef),0))))</f>
        <v>13317</v>
      </c>
      <c r="AG31" s="429">
        <f ca="1">ROUND(IF(DESONERACAO="sim",REFERENCIA.Desonerado,REFERENCIA.NaoDesonerado),2)</f>
        <v>1.71</v>
      </c>
      <c r="AH31" s="430">
        <f t="shared" ca="1" si="15"/>
        <v>0.27250000000000002</v>
      </c>
      <c r="AJ31" s="432"/>
      <c r="AL31" s="440"/>
      <c r="AM31" s="337">
        <f t="shared" ca="1" si="0"/>
        <v>993.2</v>
      </c>
      <c r="AN31" s="471">
        <f t="shared" ca="1" si="16"/>
        <v>1.91</v>
      </c>
    </row>
    <row r="32" spans="1:40" x14ac:dyDescent="0.2">
      <c r="A32" t="str">
        <f t="shared" si="1"/>
        <v>S</v>
      </c>
      <c r="B32">
        <f t="shared" ca="1" si="2"/>
        <v>2</v>
      </c>
      <c r="C32" t="str">
        <f t="shared" ca="1" si="3"/>
        <v>S</v>
      </c>
      <c r="D32">
        <f t="shared" ca="1" si="4"/>
        <v>0</v>
      </c>
      <c r="E32">
        <f ca="1">IF($C32=1,OFFSET(E32,-1,0)+MAX(1,COUNTIF(QCI!$A$13:$A$24,OFFSET(ORÇAMENTO!E32,-1,0))),OFFSET(E32,-1,0))</f>
        <v>1</v>
      </c>
      <c r="F32">
        <f t="shared" ca="1" si="5"/>
        <v>2</v>
      </c>
      <c r="G32">
        <f t="shared" ca="1" si="6"/>
        <v>0</v>
      </c>
      <c r="H32">
        <f t="shared" ca="1" si="7"/>
        <v>0</v>
      </c>
      <c r="I32">
        <f t="shared" ca="1" si="8"/>
        <v>2</v>
      </c>
      <c r="J32">
        <f t="shared" ca="1" si="9"/>
        <v>0</v>
      </c>
      <c r="K32">
        <f ca="1">IF(OR($C32="S",$C32=0),0,MATCH(OFFSET($D32,0,$C32)+IF($C32&lt;&gt;1,1,COUNTIF(QCI!$A$13:$A$24,ORÇAMENTO!E32)),OFFSET($D32,1,$C32,ROW($C$105)-ROW($C32)),0))</f>
        <v>0</v>
      </c>
      <c r="L32" s="115" t="str">
        <f t="shared" ca="1" si="10"/>
        <v>F</v>
      </c>
      <c r="M32" s="116" t="s">
        <v>706</v>
      </c>
      <c r="N32" s="117" t="str">
        <f t="shared" ca="1" si="11"/>
        <v>Serviço</v>
      </c>
      <c r="O32" s="118" t="str">
        <f t="shared" ca="1" si="12"/>
        <v>1.2.2.</v>
      </c>
      <c r="P32" s="119" t="s">
        <v>751</v>
      </c>
      <c r="Q32" s="120" t="s">
        <v>968</v>
      </c>
      <c r="R32" s="121" t="str">
        <f ca="1">IF($C32="S",REFERENCIA.Descricao,"(digite a descrição aqui)")</f>
        <v>TELHADISTA COM ENCARGOS COMPLEMENTARES</v>
      </c>
      <c r="S32" s="122" t="str">
        <f ca="1">REFERENCIA.Unidade</f>
        <v>H</v>
      </c>
      <c r="T32" s="123">
        <f ca="1">OFFSET(CÁLCULO!H$15,ROW($T32)-ROW(T$15),0)</f>
        <v>80</v>
      </c>
      <c r="U32" s="124">
        <v>25.5</v>
      </c>
      <c r="V32" s="125" t="s">
        <v>664</v>
      </c>
      <c r="W32" s="123">
        <f ca="1">IF($C32="S",ROUND(IF(TIPOORCAMENTO="Proposto",ORÇAMENTO.CustoUnitario*(1+$AH32),ORÇAMENTO.PrecoUnitarioLicitado),15-13*$AF$10),0)</f>
        <v>32.450000000000003</v>
      </c>
      <c r="X32" s="126" cm="1">
        <f t="array" aca="1" ref="X32" ca="1">IF($C32="S",IF(OR(Import.TipoArredondamento&lt;&gt;"TransfereGOV",ACOMPANHAMENTO="BM"),VTOTAL1,SUM(OFFSET(CÁLCULO!$AA$15,ROW($X32)-ROW($X$15),1):OFFSET(CÁLCULO!$AL$15,ROW($X32)-ROW($X$15),-1))),IF($C32=0,0,ROUND(SomaAgrup,15-13*$AF$11)))</f>
        <v>2596</v>
      </c>
      <c r="Y32" s="127" t="s">
        <v>752</v>
      </c>
      <c r="Z32" t="str">
        <f t="shared" ca="1" si="13"/>
        <v>RA</v>
      </c>
      <c r="AA32" s="128">
        <f ca="1">IF($C32="S",IF($Z32="CP",$X32,IF($Z32="RA",(($X32)*QCI!$AA$3),0)),SomaAgrup)</f>
        <v>2596</v>
      </c>
      <c r="AB32" s="129">
        <f t="shared" ca="1" si="14"/>
        <v>0</v>
      </c>
      <c r="AC32" s="566"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IF(AND(_xlfn.SINGLE(TIPOORCAMENTO)="Licitado",$AL32=0,$AN32&gt;0),"SEM PREÇO",
IF(AND($C32="S",$P32&lt;&gt;"",$Q32&lt;&gt;"",$U32&gt;0,$V32=0),"BDI",
IF(OR(AND(TIPOORCAMENTO="Proposto",LEFT($O$8,5)&lt;&gt;"(N/D:",$AG32&lt;&gt;"",ORÇAMENTO.CustoUnitario&gt;$AG32),AND(TIPOORCAMENTO="LICITADO",ORÇAMENTO.PrecoUnitarioLicitado&gt;$AN32)),"ACIMA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t="str">
        <f ca="1">IF(C32&lt;=CRONO.NivelExibicao,MAX($AD$15:OFFSET(AD32,-1,0))+IF($C32&lt;&gt;1,1,MAX(1,COUNTIF(QCI!$A$13:$A$24,OFFSET($E32,-1,0)))),"")</f>
        <v/>
      </c>
      <c r="AE32" s="7" t="str">
        <f ca="1">IF(AND($C32="S",ORÇAMENTO.CodBarra&lt;&gt;""),IF(ORÇAMENTO.Fonte="",ORÇAMENTO.CodBarra,CONCATENATE(ORÇAMENTO.Fonte," ",ORÇAMENTO.CodBarra)))</f>
        <v>SINAPI 88323</v>
      </c>
      <c r="AF32" s="12">
        <f ca="1">IF(ISERROR(INDIRECT(ORÇAMENTO.BancoRef)),"(abra o arquivo 'Referência "&amp;Excel_BuiltIn_Database&amp;".xlsm)",IF(OR($C32&lt;&gt;"S",ORÇAMENTO.CodBarra=""),"(Sem Código)",IF(ISERROR(MATCH($AE32,INDIRECT(ORÇAMENTO.BancoRef),0)),"(Código não identificado nas referências)",MATCH($AE32,INDIRECT(ORÇAMENTO.BancoRef),0))))</f>
        <v>13681</v>
      </c>
      <c r="AG32" s="429">
        <f ca="1">ROUND(IF(DESONERACAO="sim",REFERENCIA.Desonerado,REFERENCIA.NaoDesonerado),2)</f>
        <v>28.36</v>
      </c>
      <c r="AH32" s="430">
        <f t="shared" ca="1" si="15"/>
        <v>0.27250000000000002</v>
      </c>
      <c r="AJ32" s="432"/>
      <c r="AL32" s="440"/>
      <c r="AM32" s="337">
        <f t="shared" ca="1" si="0"/>
        <v>2596</v>
      </c>
      <c r="AN32" s="471">
        <f t="shared" ca="1" si="16"/>
        <v>32.450000000000003</v>
      </c>
    </row>
    <row r="33" spans="1:40" x14ac:dyDescent="0.2">
      <c r="A33">
        <f t="shared" ref="A33:A56" si="43">CHOOSE(1+LOG(1+2*(ORÇAMENTO.Nivel="Meta")+4*(ORÇAMENTO.Nivel="Nível 2")+8*(ORÇAMENTO.Nivel="Nível 3")+16*(ORÇAMENTO.Nivel="Nível 4")+32*(ORÇAMENTO.Nivel="Serviço"),2),0,1,2,3,4,"S")</f>
        <v>2</v>
      </c>
      <c r="B33">
        <f t="shared" ref="B33:B36" ca="1" si="44">IF(OR(C33="s",C33=0),OFFSET(B33,-1,0),C33)</f>
        <v>2</v>
      </c>
      <c r="C33">
        <f t="shared" ref="C33:C36" ca="1" si="45">IF(OFFSET(C33,-1,0)="L",1,IF(OFFSET(C33,-1,0)=1,2,IF(OR(A33="s",A33=0),"S",IF(AND(OFFSET(C33,-1,0)=2,A33=4),3,IF(AND(OR(OFFSET(C33,-1,0)="s",OFFSET(C33,-1,0)=0),A33&lt;&gt;"s",A33&gt;OFFSET(B33,-1,0)),OFFSET(B33,-1,0),A33)))))</f>
        <v>2</v>
      </c>
      <c r="D33">
        <f t="shared" ref="D33:D36" ca="1" si="46">IF(OR(C33="S",C33=0),0,IF(ISERROR(K33),J33,SMALL(J33:K33,1)))</f>
        <v>8</v>
      </c>
      <c r="E33">
        <f ca="1">IF($C33=1,OFFSET(E33,-1,0)+MAX(1,COUNTIF(QCI!$A$13:$A$24,OFFSET(ORÇAMENTO!E33,-1,0))),OFFSET(E33,-1,0))</f>
        <v>1</v>
      </c>
      <c r="F33">
        <f t="shared" ref="F33:F36" ca="1" si="47">IF($C33=1,0,IF($C33=2,OFFSET(F33,-1,0)+1,OFFSET(F33,-1,0)))</f>
        <v>3</v>
      </c>
      <c r="G33">
        <f t="shared" ref="G33:G36" ca="1" si="48">IF(AND($C33&lt;=2,$C33&lt;&gt;0),0,IF($C33=3,OFFSET(G33,-1,0)+1,OFFSET(G33,-1,0)))</f>
        <v>0</v>
      </c>
      <c r="H33">
        <f t="shared" ref="H33:H36" ca="1" si="49">IF(AND($C33&lt;=3,$C33&lt;&gt;0),0,IF($C33=4,OFFSET(H33,-1,0)+1,OFFSET(H33,-1,0)))</f>
        <v>0</v>
      </c>
      <c r="I33">
        <f t="shared" ref="I33:I36" ca="1" si="50">IF(AND($C33&lt;=4,$C33&lt;&gt;0),0,IF(AND($C33="S",$X33&gt;0),OFFSET(I33,-1,0)+1,OFFSET(I33,-1,0)))</f>
        <v>0</v>
      </c>
      <c r="J33">
        <f t="shared" ca="1" si="9"/>
        <v>72</v>
      </c>
      <c r="K33">
        <f ca="1">IF(OR($C33="S",$C33=0),0,MATCH(OFFSET($D33,0,$C33)+IF($C33&lt;&gt;1,1,COUNTIF(QCI!$A$13:$A$24,ORÇAMENTO!E33)),OFFSET($D33,1,$C33,ROW($C$105)-ROW($C33)),0))</f>
        <v>8</v>
      </c>
      <c r="L33" s="115" t="str">
        <f t="shared" ref="L33:L36" ca="1" si="51">IF(OR($X33&gt;0,$C33=1,$C33=2,$C33=3,$C33=4),"F","")</f>
        <v>F</v>
      </c>
      <c r="M33" s="116" t="s">
        <v>703</v>
      </c>
      <c r="N33" s="117" t="str">
        <f t="shared" ref="N33:N36" ca="1" si="52">CHOOSE(1+LOG(1+2*(C33=1)+4*(C33=2)+8*(C33=3)+16*(C33=4)+32*(C33="S"),2),"","Meta","Nível 2","Nível 3","Nível 4","Serviço")</f>
        <v>Nível 2</v>
      </c>
      <c r="O33" s="118" t="str">
        <f t="shared" ref="O33:O36" ca="1" si="53">IF(OR($C33=0,$L33=""),"-",CONCATENATE(E33&amp;".",IF(AND($A$5&gt;=2,$C33&gt;=2),F33&amp;".",""),IF(AND($A$5&gt;=3,$C33&gt;=3),G33&amp;".",""),IF(AND($A$5&gt;=4,$C33&gt;=4),H33&amp;".",""),IF($C33="S",I33&amp;".","")))</f>
        <v>1.3.</v>
      </c>
      <c r="P33" s="119" t="s">
        <v>751</v>
      </c>
      <c r="Q33" s="120"/>
      <c r="R33" s="121" t="s">
        <v>1013</v>
      </c>
      <c r="S33" s="122" t="str">
        <f ca="1">REFERENCIA.Unidade</f>
        <v>-</v>
      </c>
      <c r="T33" s="123">
        <f ca="1">OFFSET(CÁLCULO!H$15,ROW($T33)-ROW(T$15),0)</f>
        <v>0</v>
      </c>
      <c r="U33" s="124"/>
      <c r="V33" s="125" t="s">
        <v>664</v>
      </c>
      <c r="W33" s="123">
        <f ca="1">IF($C33="S",ROUND(IF(TIPOORCAMENTO="Proposto",ORÇAMENTO.CustoUnitario*(1+$AH33),ORÇAMENTO.PrecoUnitarioLicitado),15-13*$AF$10),0)</f>
        <v>0</v>
      </c>
      <c r="X33" s="126" cm="1">
        <f t="array" aca="1" ref="X33" ca="1">IF($C33="S",IF(OR(Import.TipoArredondamento&lt;&gt;"TransfereGOV",ACOMPANHAMENTO="BM"),VTOTAL1,SUM(OFFSET(CÁLCULO!$AA$15,ROW($X33)-ROW($X$15),1):OFFSET(CÁLCULO!$AL$15,ROW($X33)-ROW($X$15),-1))),IF($C33=0,0,ROUND(SomaAgrup,15-13*$AF$11)))</f>
        <v>48427.06</v>
      </c>
      <c r="Y33" s="127" t="s">
        <v>752</v>
      </c>
      <c r="Z33" t="str">
        <f t="shared" ref="Z33:Z36" ca="1" si="54">IF(AND($C33="S",$X33&gt;0),IF(ISBLANK($Y33),"RA",LEFT($Y33,2)),"")</f>
        <v/>
      </c>
      <c r="AA33" s="128">
        <f ca="1">IF($C33="S",IF($Z33="CP",$X33,IF($Z33="RA",(($X33)*QCI!$AA$3),0)),SomaAgrup)</f>
        <v>48427.059999999983</v>
      </c>
      <c r="AB33" s="129">
        <f t="shared" ref="AB33:AB56" ca="1" si="55">IF($C33="S",IF($Z33="OU",ROUND($X33,2),0),SomaAgrup)</f>
        <v>0</v>
      </c>
      <c r="AC33" s="566"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IF(AND(_xlfn.SINGLE(TIPOORCAMENTO)="Licitado",$AL33=0,$AN33&gt;0),"SEM PREÇO",
IF(AND($C33="S",$P33&lt;&gt;"",$Q33&lt;&gt;"",$U33&gt;0,$V33=0),"BDI",
IF(OR(AND(TIPOORCAMENTO="Proposto",LEFT($O$8,5)&lt;&gt;"(N/D:",$AG33&lt;&gt;"",ORÇAMENTO.CustoUnitario&gt;$AG33),AND(TIPOORCAMENTO="LICITADO",ORÇAMENTO.PrecoUnitarioLicitado&gt;$AN33)),"ACIMA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f ca="1">IF(C33&lt;=CRONO.NivelExibicao,MAX($AD$15:OFFSET(AD33,-1,0))+IF($C33&lt;&gt;1,1,MAX(1,COUNTIF(QCI!$A$13:$A$24,OFFSET($E33,-1,0)))),"")</f>
        <v>4</v>
      </c>
      <c r="AE33" s="7" t="b">
        <f ca="1">IF(AND($C33="S",ORÇAMENTO.CodBarra&lt;&gt;""),IF(ORÇAMENTO.Fonte="",ORÇAMENTO.CodBarra,CONCATENATE(ORÇAMENTO.Fonte," ",ORÇAMENTO.CodBarra)))</f>
        <v>0</v>
      </c>
      <c r="AF33" s="12" t="str">
        <f ca="1">IF(ISERROR(INDIRECT(ORÇAMENTO.BancoRef)),"(abra o arquivo 'Referência "&amp;Excel_BuiltIn_Database&amp;".xlsm)",IF(OR($C33&lt;&gt;"S",ORÇAMENTO.CodBarra=""),"(Sem Código)",IF(ISERROR(MATCH($AE33,INDIRECT(ORÇAMENTO.BancoRef),0)),"(Código não identificado nas referências)",MATCH($AE33,INDIRECT(ORÇAMENTO.BancoRef),0))))</f>
        <v>(Sem Código)</v>
      </c>
      <c r="AG33" s="429">
        <f ca="1">ROUND(IF(DESONERACAO="sim",REFERENCIA.Desonerado,REFERENCIA.NaoDesonerado),2)</f>
        <v>0</v>
      </c>
      <c r="AH33" s="430">
        <f t="shared" ref="AH33:AH56" ca="1" si="56">ROUND(IF(ISNUMBER(ORÇAMENTO.OpcaoBDI),ORÇAMENTO.OpcaoBDI,IF(LEFT(ORÇAMENTO.OpcaoBDI,3)="BDI",HLOOKUP(ORÇAMENTO.OpcaoBDI,$F$4:$H$5,2,FALSE),0)),15-11*$AF$9)</f>
        <v>0.27250000000000002</v>
      </c>
      <c r="AJ33" s="432"/>
      <c r="AL33" s="440"/>
      <c r="AM33" s="337">
        <f t="shared" ca="1" si="0"/>
        <v>48427.06</v>
      </c>
      <c r="AN33" s="471">
        <f t="shared" ref="AN33:AN56" ca="1" si="57">ROUND(ORÇAMENTO.CustoUnitario*(1+$AH33),2)</f>
        <v>0</v>
      </c>
    </row>
    <row r="34" spans="1:40" ht="38.25" x14ac:dyDescent="0.2">
      <c r="A34" t="str">
        <f t="shared" si="43"/>
        <v>S</v>
      </c>
      <c r="B34">
        <f t="shared" ca="1" si="44"/>
        <v>2</v>
      </c>
      <c r="C34" t="str">
        <f t="shared" ca="1" si="45"/>
        <v>S</v>
      </c>
      <c r="D34">
        <f t="shared" ca="1" si="46"/>
        <v>0</v>
      </c>
      <c r="E34">
        <f ca="1">IF($C34=1,OFFSET(E34,-1,0)+MAX(1,COUNTIF(QCI!$A$13:$A$24,OFFSET(ORÇAMENTO!E34,-1,0))),OFFSET(E34,-1,0))</f>
        <v>1</v>
      </c>
      <c r="F34">
        <f t="shared" ca="1" si="47"/>
        <v>3</v>
      </c>
      <c r="G34">
        <f t="shared" ca="1" si="48"/>
        <v>0</v>
      </c>
      <c r="H34">
        <f t="shared" ca="1" si="49"/>
        <v>0</v>
      </c>
      <c r="I34">
        <f t="shared" ca="1" si="50"/>
        <v>1</v>
      </c>
      <c r="J34">
        <f t="shared" ca="1" si="9"/>
        <v>0</v>
      </c>
      <c r="K34">
        <f ca="1">IF(OR($C34="S",$C34=0),0,MATCH(OFFSET($D34,0,$C34)+IF($C34&lt;&gt;1,1,COUNTIF(QCI!$A$13:$A$24,ORÇAMENTO!E34)),OFFSET($D34,1,$C34,ROW($C$105)-ROW($C34)),0))</f>
        <v>0</v>
      </c>
      <c r="L34" s="115" t="str">
        <f t="shared" ca="1" si="51"/>
        <v>F</v>
      </c>
      <c r="M34" s="116" t="s">
        <v>706</v>
      </c>
      <c r="N34" s="117" t="str">
        <f t="shared" ca="1" si="52"/>
        <v>Serviço</v>
      </c>
      <c r="O34" s="118" t="str">
        <f t="shared" ca="1" si="53"/>
        <v>1.3.1.</v>
      </c>
      <c r="P34" s="119" t="s">
        <v>751</v>
      </c>
      <c r="Q34" s="120" t="s">
        <v>971</v>
      </c>
      <c r="R34" s="121" t="str">
        <f ca="1">IF($C34="S",REFERENCIA.Descricao,"(digite a descrição aqui)")</f>
        <v>EXECUÇÃO DE PISO DE CONCRETO, COM ACABAMENTO SUPERFICIAL, ESPESSURA DE 15 CM, FCK = 30 MPA, COM USO DE FORMAS EM MADEIRA SERRADA. AF_07/2026</v>
      </c>
      <c r="S34" s="122" t="str">
        <f ca="1">REFERENCIA.Unidade</f>
        <v>M2</v>
      </c>
      <c r="T34" s="123">
        <f ca="1">OFFSET(CÁLCULO!H$15,ROW($T34)-ROW(T$15),0)</f>
        <v>115.05</v>
      </c>
      <c r="U34" s="124">
        <v>224.3</v>
      </c>
      <c r="V34" s="125" t="s">
        <v>664</v>
      </c>
      <c r="W34" s="123">
        <f ca="1">IF($C34="S",ROUND(IF(TIPOORCAMENTO="Proposto",ORÇAMENTO.CustoUnitario*(1+$AH34),ORÇAMENTO.PrecoUnitarioLicitado),15-13*$AF$10),0)</f>
        <v>285.42</v>
      </c>
      <c r="X34" s="126" cm="1">
        <f t="array" aca="1" ref="X34" ca="1">IF($C34="S",IF(OR(Import.TipoArredondamento&lt;&gt;"TransfereGOV",ACOMPANHAMENTO="BM"),VTOTAL1,SUM(OFFSET(CÁLCULO!$AA$15,ROW($X34)-ROW($X$15),1):OFFSET(CÁLCULO!$AL$15,ROW($X34)-ROW($X$15),-1))),IF($C34=0,0,ROUND(SomaAgrup,15-13*$AF$11)))</f>
        <v>32837.57</v>
      </c>
      <c r="Y34" s="127" t="s">
        <v>752</v>
      </c>
      <c r="Z34" t="str">
        <f t="shared" ca="1" si="54"/>
        <v>RA</v>
      </c>
      <c r="AA34" s="128">
        <f ca="1">IF($C34="S",IF($Z34="CP",$X34,IF($Z34="RA",(($X34)*QCI!$AA$3),0)),SomaAgrup)</f>
        <v>32837.57</v>
      </c>
      <c r="AB34" s="129">
        <f t="shared" ca="1" si="55"/>
        <v>0</v>
      </c>
      <c r="AC34" s="566"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IF(AND(_xlfn.SINGLE(TIPOORCAMENTO)="Licitado",$AL34=0,$AN34&gt;0),"SEM PREÇO",
IF(AND($C34="S",$P34&lt;&gt;"",$Q34&lt;&gt;"",$U34&gt;0,$V34=0),"BDI",
IF(OR(AND(TIPOORCAMENTO="Proposto",LEFT($O$8,5)&lt;&gt;"(N/D:",$AG34&lt;&gt;"",ORÇAMENTO.CustoUnitario&gt;$AG34),AND(TIPOORCAMENTO="LICITADO",ORÇAMENTO.PrecoUnitarioLicitado&gt;$AN34)),"ACIMA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t="str">
        <f ca="1">IF(C34&lt;=CRONO.NivelExibicao,MAX($AD$15:OFFSET(AD34,-1,0))+IF($C34&lt;&gt;1,1,MAX(1,COUNTIF(QCI!$A$13:$A$24,OFFSET($E34,-1,0)))),"")</f>
        <v/>
      </c>
      <c r="AE34" s="7" t="str">
        <f ca="1">IF(AND($C34="S",ORÇAMENTO.CodBarra&lt;&gt;""),IF(ORÇAMENTO.Fonte="",ORÇAMENTO.CodBarra,CONCATENATE(ORÇAMENTO.Fonte," ",ORÇAMENTO.CodBarra)))</f>
        <v>SINAPI 103075</v>
      </c>
      <c r="AF34" s="12">
        <f ca="1">IF(ISERROR(INDIRECT(ORÇAMENTO.BancoRef)),"(abra o arquivo 'Referência "&amp;Excel_BuiltIn_Database&amp;".xlsm)",IF(OR($C34&lt;&gt;"S",ORÇAMENTO.CodBarra=""),"(Sem Código)",IF(ISERROR(MATCH($AE34,INDIRECT(ORÇAMENTO.BancoRef),0)),"(Código não identificado nas referências)",MATCH($AE34,INDIRECT(ORÇAMENTO.BancoRef),0))))</f>
        <v>15075</v>
      </c>
      <c r="AG34" s="429">
        <f ca="1">ROUND(IF(DESONERACAO="sim",REFERENCIA.Desonerado,REFERENCIA.NaoDesonerado),2)</f>
        <v>249.25</v>
      </c>
      <c r="AH34" s="430">
        <f t="shared" ca="1" si="56"/>
        <v>0.27250000000000002</v>
      </c>
      <c r="AJ34" s="432"/>
      <c r="AL34" s="440"/>
      <c r="AM34" s="337">
        <f t="shared" ca="1" si="0"/>
        <v>32837.57</v>
      </c>
      <c r="AN34" s="471">
        <f t="shared" ca="1" si="57"/>
        <v>285.42</v>
      </c>
    </row>
    <row r="35" spans="1:40" ht="38.25" x14ac:dyDescent="0.2">
      <c r="A35" t="str">
        <f>CHOOSE(1+LOG(1+2*(ORÇAMENTO.Nivel="Meta")+4*(ORÇAMENTO.Nivel="Nível 2")+8*(ORÇAMENTO.Nivel="Nível 3")+16*(ORÇAMENTO.Nivel="Nível 4")+32*(ORÇAMENTO.Nivel="Serviço"),2),0,1,2,3,4,"S")</f>
        <v>S</v>
      </c>
      <c r="B35">
        <f ca="1">IF(OR(C35="s",C35=0),OFFSET(B35,-1,0),C35)</f>
        <v>2</v>
      </c>
      <c r="C35" t="str">
        <f ca="1">IF(OFFSET(C35,-1,0)="L",1,IF(OFFSET(C35,-1,0)=1,2,IF(OR(A35="s",A35=0),"S",IF(AND(OFFSET(C35,-1,0)=2,A35=4),3,IF(AND(OR(OFFSET(C35,-1,0)="s",OFFSET(C35,-1,0)=0),A35&lt;&gt;"s",A35&gt;OFFSET(B35,-1,0)),OFFSET(B35,-1,0),A35)))))</f>
        <v>S</v>
      </c>
      <c r="D35">
        <f ca="1">IF(OR(C35="S",C35=0),0,IF(ISERROR(K35),J35,SMALL(J35:K35,1)))</f>
        <v>0</v>
      </c>
      <c r="E35">
        <f ca="1">IF($C35=1,OFFSET(E35,-1,0)+MAX(1,COUNTIF(QCI!$A$13:$A$24,OFFSET(ORÇAMENTO!E35,-1,0))),OFFSET(E35,-1,0))</f>
        <v>1</v>
      </c>
      <c r="F35">
        <f ca="1">IF($C35=1,0,IF($C35=2,OFFSET(F35,-1,0)+1,OFFSET(F35,-1,0)))</f>
        <v>3</v>
      </c>
      <c r="G35">
        <f ca="1">IF(AND($C35&lt;=2,$C35&lt;&gt;0),0,IF($C35=3,OFFSET(G35,-1,0)+1,OFFSET(G35,-1,0)))</f>
        <v>0</v>
      </c>
      <c r="H35">
        <f ca="1">IF(AND($C35&lt;=3,$C35&lt;&gt;0),0,IF($C35=4,OFFSET(H35,-1,0)+1,OFFSET(H35,-1,0)))</f>
        <v>0</v>
      </c>
      <c r="I35">
        <f ca="1">IF(AND($C35&lt;=4,$C35&lt;&gt;0),0,IF(AND($C35="S",$X35&gt;0),OFFSET(I35,-1,0)+1,OFFSET(I35,-1,0)))</f>
        <v>2</v>
      </c>
      <c r="J35">
        <f t="shared" ca="1" si="9"/>
        <v>0</v>
      </c>
      <c r="K35">
        <f ca="1">IF(OR($C35="S",$C35=0),0,MATCH(OFFSET($D35,0,$C35)+IF($C35&lt;&gt;1,1,COUNTIF(QCI!$A$13:$A$24,ORÇAMENTO!E35)),OFFSET($D35,1,$C35,ROW($C$105)-ROW($C35)),0))</f>
        <v>0</v>
      </c>
      <c r="L35" s="115" t="str">
        <f ca="1">IF(OR($X35&gt;0,$C35=1,$C35=2,$C35=3,$C35=4),"F","")</f>
        <v>F</v>
      </c>
      <c r="M35" s="116" t="s">
        <v>706</v>
      </c>
      <c r="N35" s="117" t="str">
        <f ca="1">CHOOSE(1+LOG(1+2*(C35=1)+4*(C35=2)+8*(C35=3)+16*(C35=4)+32*(C35="S"),2),"","Meta","Nível 2","Nível 3","Nível 4","Serviço")</f>
        <v>Serviço</v>
      </c>
      <c r="O35" s="118" t="str">
        <f ca="1">IF(OR($C35=0,$L35=""),"-",CONCATENATE(E35&amp;".",IF(AND($A$5&gt;=2,$C35&gt;=2),F35&amp;".",""),IF(AND($A$5&gt;=3,$C35&gt;=3),G35&amp;".",""),IF(AND($A$5&gt;=4,$C35&gt;=4),H35&amp;".",""),IF($C35="S",I35&amp;".","")))</f>
        <v>1.3.2.</v>
      </c>
      <c r="P35" s="119" t="s">
        <v>959</v>
      </c>
      <c r="Q35" s="120" t="s">
        <v>976</v>
      </c>
      <c r="R35" s="121" t="str">
        <f ca="1">IF($C35="S",REFERENCIA.Descricao,"(digite a descrição aqui)")</f>
        <v>TELA DE ACO SOLDADA NERVURADA, CA-60, Q-92, (1,48 KG/M2), DIAMETRO DO FIO = 4,2 MM, LARGURA = 2,45 X 60 M DE COMPRIMENTO, ESPACAMENTO DA MALHA = 15 X 15 CM</v>
      </c>
      <c r="S35" s="122" t="str">
        <f ca="1">REFERENCIA.Unidade</f>
        <v>M2</v>
      </c>
      <c r="T35" s="123">
        <f ca="1">OFFSET(CÁLCULO!H$15,ROW($T35)-ROW(T$15),0)</f>
        <v>115.05</v>
      </c>
      <c r="U35" s="124">
        <v>11.75</v>
      </c>
      <c r="V35" s="125" t="s">
        <v>664</v>
      </c>
      <c r="W35" s="123">
        <f ca="1">IF($C35="S",ROUND(IF(TIPOORCAMENTO="Proposto",ORÇAMENTO.CustoUnitario*(1+$AH35),ORÇAMENTO.PrecoUnitarioLicitado),15-13*$AF$10),0)</f>
        <v>14.95</v>
      </c>
      <c r="X35" s="126" cm="1">
        <f t="array" aca="1" ref="X35" ca="1">IF($C35="S",IF(OR(Import.TipoArredondamento&lt;&gt;"TransfereGOV",ACOMPANHAMENTO="BM"),VTOTAL1,SUM(OFFSET(CÁLCULO!$AA$15,ROW($X35)-ROW($X$15),1):OFFSET(CÁLCULO!$AL$15,ROW($X35)-ROW($X$15),-1))),IF($C35=0,0,ROUND(SomaAgrup,15-13*$AF$11)))</f>
        <v>1720</v>
      </c>
      <c r="Y35" s="127" t="s">
        <v>752</v>
      </c>
      <c r="Z35" t="str">
        <f ca="1">IF(AND($C35="S",$X35&gt;0),IF(ISBLANK($Y35),"RA",LEFT($Y35,2)),"")</f>
        <v>RA</v>
      </c>
      <c r="AA35" s="128">
        <f ca="1">IF($C35="S",IF($Z35="CP",$X35,IF($Z35="RA",(($X35)*QCI!$AA$3),0)),SomaAgrup)</f>
        <v>1720</v>
      </c>
      <c r="AB35" s="129">
        <f ca="1">IF($C35="S",IF($Z35="OU",ROUND($X35,2),0),SomaAgrup)</f>
        <v>0</v>
      </c>
      <c r="AC35" s="566"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IF(AND(_xlfn.SINGLE(TIPOORCAMENTO)="Licitado",$AL35=0,$AN35&gt;0),"SEM PREÇO",
IF(AND($C35="S",$P35&lt;&gt;"",$Q35&lt;&gt;"",$U35&gt;0,$V35=0),"BDI",
IF(OR(AND(TIPOORCAMENTO="Proposto",LEFT($O$8,5)&lt;&gt;"(N/D:",$AG35&lt;&gt;"",ORÇAMENTO.CustoUnitario&gt;$AG35),AND(TIPOORCAMENTO="LICITADO",ORÇAMENTO.PrecoUnitarioLicitado&gt;$AN35)),"ACIMA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t="str">
        <f ca="1">IF(C35&lt;=CRONO.NivelExibicao,MAX($AD$15:OFFSET(AD35,-1,0))+IF($C35&lt;&gt;1,1,MAX(1,COUNTIF(QCI!$A$13:$A$24,OFFSET($E35,-1,0)))),"")</f>
        <v/>
      </c>
      <c r="AE35" s="7" t="str">
        <f ca="1">IF(AND($C35="S",ORÇAMENTO.CodBarra&lt;&gt;""),IF(ORÇAMENTO.Fonte="",ORÇAMENTO.CodBarra,CONCATENATE(ORÇAMENTO.Fonte," ",ORÇAMENTO.CodBarra)))</f>
        <v>SINAPI-I 21141</v>
      </c>
      <c r="AF35" s="12">
        <f ca="1">IF(ISERROR(INDIRECT(ORÇAMENTO.BancoRef)),"(abra o arquivo 'Referência "&amp;Excel_BuiltIn_Database&amp;".xlsm)",IF(OR($C35&lt;&gt;"S",ORÇAMENTO.CodBarra=""),"(Sem Código)",IF(ISERROR(MATCH($AE35,INDIRECT(ORÇAMENTO.BancoRef),0)),"(Código não identificado nas referências)",MATCH($AE35,INDIRECT(ORÇAMENTO.BancoRef),0))))</f>
        <v>4200</v>
      </c>
      <c r="AG35" s="429">
        <f ca="1">ROUND(IF(DESONERACAO="sim",REFERENCIA.Desonerado,REFERENCIA.NaoDesonerado),2)</f>
        <v>13.1</v>
      </c>
      <c r="AH35" s="430">
        <f ca="1">ROUND(IF(ISNUMBER(ORÇAMENTO.OpcaoBDI),ORÇAMENTO.OpcaoBDI,IF(LEFT(ORÇAMENTO.OpcaoBDI,3)="BDI",HLOOKUP(ORÇAMENTO.OpcaoBDI,$F$4:$H$5,2,FALSE),0)),15-11*$AF$9)</f>
        <v>0.27250000000000002</v>
      </c>
      <c r="AJ35" s="432"/>
      <c r="AL35" s="440"/>
      <c r="AM35" s="337">
        <f t="shared" ca="1" si="0"/>
        <v>1720</v>
      </c>
      <c r="AN35" s="471">
        <f ca="1">ROUND(ORÇAMENTO.CustoUnitario*(1+$AH35),2)</f>
        <v>14.95</v>
      </c>
    </row>
    <row r="36" spans="1:40" ht="25.5" x14ac:dyDescent="0.2">
      <c r="A36" t="str">
        <f t="shared" si="43"/>
        <v>S</v>
      </c>
      <c r="B36">
        <f t="shared" ca="1" si="44"/>
        <v>2</v>
      </c>
      <c r="C36" t="str">
        <f t="shared" ca="1" si="45"/>
        <v>S</v>
      </c>
      <c r="D36">
        <f t="shared" ca="1" si="46"/>
        <v>0</v>
      </c>
      <c r="E36">
        <f ca="1">IF($C36=1,OFFSET(E36,-1,0)+MAX(1,COUNTIF(QCI!$A$13:$A$24,OFFSET(ORÇAMENTO!E36,-1,0))),OFFSET(E36,-1,0))</f>
        <v>1</v>
      </c>
      <c r="F36">
        <f t="shared" ca="1" si="47"/>
        <v>3</v>
      </c>
      <c r="G36">
        <f t="shared" ca="1" si="48"/>
        <v>0</v>
      </c>
      <c r="H36">
        <f t="shared" ca="1" si="49"/>
        <v>0</v>
      </c>
      <c r="I36">
        <f t="shared" ca="1" si="50"/>
        <v>3</v>
      </c>
      <c r="J36">
        <f t="shared" ca="1" si="9"/>
        <v>0</v>
      </c>
      <c r="K36">
        <f ca="1">IF(OR($C36="S",$C36=0),0,MATCH(OFFSET($D36,0,$C36)+IF($C36&lt;&gt;1,1,COUNTIF(QCI!$A$13:$A$24,ORÇAMENTO!E36)),OFFSET($D36,1,$C36,ROW($C$105)-ROW($C36)),0))</f>
        <v>0</v>
      </c>
      <c r="L36" s="115" t="str">
        <f t="shared" ca="1" si="51"/>
        <v>F</v>
      </c>
      <c r="M36" s="116" t="s">
        <v>706</v>
      </c>
      <c r="N36" s="117" t="str">
        <f t="shared" ca="1" si="52"/>
        <v>Serviço</v>
      </c>
      <c r="O36" s="118" t="str">
        <f t="shared" ca="1" si="53"/>
        <v>1.3.3.</v>
      </c>
      <c r="P36" s="119" t="s">
        <v>972</v>
      </c>
      <c r="Q36" s="120" t="s">
        <v>973</v>
      </c>
      <c r="R36" s="121" t="str">
        <f ca="1">IF($C36="S",REFERENCIA.Descricao,"(digite a descrição aqui)")</f>
        <v>GRAMA SINTÉTICA PARA PLAYGROUND - FORNECIMENTO E INSTALAÇÃO</v>
      </c>
      <c r="S36" s="122" t="str">
        <f ca="1">REFERENCIA.Unidade</f>
        <v>M2</v>
      </c>
      <c r="T36" s="123">
        <f ca="1">OFFSET(CÁLCULO!H$15,ROW($T36)-ROW(T$15),0)</f>
        <v>120</v>
      </c>
      <c r="U36" s="124">
        <v>45</v>
      </c>
      <c r="V36" s="125" t="s">
        <v>664</v>
      </c>
      <c r="W36" s="123">
        <f ca="1">IF($C36="S",ROUND(IF(TIPOORCAMENTO="Proposto",ORÇAMENTO.CustoUnitario*(1+$AH36),ORÇAMENTO.PrecoUnitarioLicitado),15-13*$AF$10),0)</f>
        <v>57.26</v>
      </c>
      <c r="X36" s="126" cm="1">
        <f t="array" aca="1" ref="X36" ca="1">IF($C36="S",IF(OR(Import.TipoArredondamento&lt;&gt;"TransfereGOV",ACOMPANHAMENTO="BM"),VTOTAL1,SUM(OFFSET(CÁLCULO!$AA$15,ROW($X36)-ROW($X$15),1):OFFSET(CÁLCULO!$AL$15,ROW($X36)-ROW($X$15),-1))),IF($C36=0,0,ROUND(SomaAgrup,15-13*$AF$11)))</f>
        <v>6871.2</v>
      </c>
      <c r="Y36" s="127" t="s">
        <v>752</v>
      </c>
      <c r="Z36" t="str">
        <f t="shared" ca="1" si="54"/>
        <v>RA</v>
      </c>
      <c r="AA36" s="128">
        <f ca="1">IF($C36="S",IF($Z36="CP",$X36,IF($Z36="RA",(($X36)*QCI!$AA$3),0)),SomaAgrup)</f>
        <v>6871.2</v>
      </c>
      <c r="AB36" s="129">
        <f t="shared" ca="1" si="55"/>
        <v>0</v>
      </c>
      <c r="AC36" s="566"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IF(AND(_xlfn.SINGLE(TIPOORCAMENTO)="Licitado",$AL36=0,$AN36&gt;0),"SEM PREÇO",
IF(AND($C36="S",$P36&lt;&gt;"",$Q36&lt;&gt;"",$U36&gt;0,$V36=0),"BDI",
IF(OR(AND(TIPOORCAMENTO="Proposto",LEFT($O$8,5)&lt;&gt;"(N/D:",$AG36&lt;&gt;"",ORÇAMENTO.CustoUnitario&gt;$AG36),AND(TIPOORCAMENTO="LICITADO",ORÇAMENTO.PrecoUnitarioLicitado&gt;$AN36)),"ACIMA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t="str">
        <f ca="1">IF(C36&lt;=CRONO.NivelExibicao,MAX($AD$15:OFFSET(AD36,-1,0))+IF($C36&lt;&gt;1,1,MAX(1,COUNTIF(QCI!$A$13:$A$24,OFFSET($E36,-1,0)))),"")</f>
        <v/>
      </c>
      <c r="AE36" s="7" t="str">
        <f ca="1">IF(AND($C36="S",ORÇAMENTO.CodBarra&lt;&gt;""),IF(ORÇAMENTO.Fonte="",ORÇAMENTO.CodBarra,CONCATENATE(ORÇAMENTO.Fonte," ",ORÇAMENTO.CodBarra)))</f>
        <v>Cotação 01</v>
      </c>
      <c r="AF36" s="12">
        <f ca="1">IF(ISERROR(INDIRECT(ORÇAMENTO.BancoRef)),"(abra o arquivo 'Referência "&amp;Excel_BuiltIn_Database&amp;".xlsm)",IF(OR($C36&lt;&gt;"S",ORÇAMENTO.CodBarra=""),"(Sem Código)",IF(ISERROR(MATCH($AE36,INDIRECT(ORÇAMENTO.BancoRef),0)),"(Código não identificado nas referências)",MATCH($AE36,INDIRECT(ORÇAMENTO.BancoRef),0))))</f>
        <v>13</v>
      </c>
      <c r="AG36" s="429">
        <f ca="1">ROUND(IF(DESONERACAO="sim",REFERENCIA.Desonerado,REFERENCIA.NaoDesonerado),2)</f>
        <v>50</v>
      </c>
      <c r="AH36" s="430">
        <f t="shared" ca="1" si="56"/>
        <v>0.27250000000000002</v>
      </c>
      <c r="AJ36" s="432"/>
      <c r="AL36" s="440"/>
      <c r="AM36" s="337">
        <f t="shared" ca="1" si="0"/>
        <v>6871.2</v>
      </c>
      <c r="AN36" s="471">
        <f t="shared" ca="1" si="57"/>
        <v>57.26</v>
      </c>
    </row>
    <row r="37" spans="1:40" ht="38.25" x14ac:dyDescent="0.2">
      <c r="A37" t="str">
        <f>CHOOSE(1+LOG(1+2*(ORÇAMENTO.Nivel="Meta")+4*(ORÇAMENTO.Nivel="Nível 2")+8*(ORÇAMENTO.Nivel="Nível 3")+16*(ORÇAMENTO.Nivel="Nível 4")+32*(ORÇAMENTO.Nivel="Serviço"),2),0,1,2,3,4,"S")</f>
        <v>S</v>
      </c>
      <c r="B37">
        <f ca="1">IF(OR(C37="s",C37=0),OFFSET(B37,-1,0),C37)</f>
        <v>2</v>
      </c>
      <c r="C37" t="str">
        <f ca="1">IF(OFFSET(C37,-1,0)="L",1,IF(OFFSET(C37,-1,0)=1,2,IF(OR(A37="s",A37=0),"S",IF(AND(OFFSET(C37,-1,0)=2,A37=4),3,IF(AND(OR(OFFSET(C37,-1,0)="s",OFFSET(C37,-1,0)=0),A37&lt;&gt;"s",A37&gt;OFFSET(B37,-1,0)),OFFSET(B37,-1,0),A37)))))</f>
        <v>S</v>
      </c>
      <c r="D37">
        <f ca="1">IF(OR(C37="S",C37=0),0,IF(ISERROR(K37),J37,SMALL(J37:K37,1)))</f>
        <v>0</v>
      </c>
      <c r="E37">
        <f ca="1">IF($C37=1,OFFSET(E37,-1,0)+MAX(1,COUNTIF(QCI!$A$13:$A$24,OFFSET(ORÇAMENTO!E37,-1,0))),OFFSET(E37,-1,0))</f>
        <v>1</v>
      </c>
      <c r="F37">
        <f ca="1">IF($C37=1,0,IF($C37=2,OFFSET(F37,-1,0)+1,OFFSET(F37,-1,0)))</f>
        <v>3</v>
      </c>
      <c r="G37">
        <f ca="1">IF(AND($C37&lt;=2,$C37&lt;&gt;0),0,IF($C37=3,OFFSET(G37,-1,0)+1,OFFSET(G37,-1,0)))</f>
        <v>0</v>
      </c>
      <c r="H37">
        <f ca="1">IF(AND($C37&lt;=3,$C37&lt;&gt;0),0,IF($C37=4,OFFSET(H37,-1,0)+1,OFFSET(H37,-1,0)))</f>
        <v>0</v>
      </c>
      <c r="I37">
        <f ca="1">IF(AND($C37&lt;=4,$C37&lt;&gt;0),0,IF(AND($C37="S",$X37&gt;0),OFFSET(I37,-1,0)+1,OFFSET(I37,-1,0)))</f>
        <v>4</v>
      </c>
      <c r="J37">
        <f t="shared" ca="1" si="9"/>
        <v>0</v>
      </c>
      <c r="K37">
        <f ca="1">IF(OR($C37="S",$C37=0),0,MATCH(OFFSET($D37,0,$C37)+IF($C37&lt;&gt;1,1,COUNTIF(QCI!$A$13:$A$24,ORÇAMENTO!E37)),OFFSET($D37,1,$C37,ROW($C$105)-ROW($C37)),0))</f>
        <v>0</v>
      </c>
      <c r="L37" s="115" t="str">
        <f ca="1">IF(OR($X37&gt;0,$C37=1,$C37=2,$C37=3,$C37=4),"F","")</f>
        <v>F</v>
      </c>
      <c r="M37" s="116" t="s">
        <v>706</v>
      </c>
      <c r="N37" s="117" t="str">
        <f ca="1">CHOOSE(1+LOG(1+2*(C37=1)+4*(C37=2)+8*(C37=3)+16*(C37=4)+32*(C37="S"),2),"","Meta","Nível 2","Nível 3","Nível 4","Serviço")</f>
        <v>Serviço</v>
      </c>
      <c r="O37" s="118" t="str">
        <f ca="1">IF(OR($C37=0,$L37=""),"-",CONCATENATE(E37&amp;".",IF(AND($A$5&gt;=2,$C37&gt;=2),F37&amp;".",""),IF(AND($A$5&gt;=3,$C37&gt;=3),G37&amp;".",""),IF(AND($A$5&gt;=4,$C37&gt;=4),H37&amp;".",""),IF($C37="S",I37&amp;".","")))</f>
        <v>1.3.4.</v>
      </c>
      <c r="P37" s="119" t="s">
        <v>751</v>
      </c>
      <c r="Q37" s="120" t="s">
        <v>991</v>
      </c>
      <c r="R37" s="121" t="str">
        <f ca="1">IF($C37="S",REFERENCIA.Descricao,"(digite a descrição aqui)")</f>
        <v>ALVENARIA DE EMBASAMENTO COM BLOCO ESTRUTURAL DE CERÂMICA, DE 14X19X29CM E ARGAMASSA DE ASSENTAMENTO COM PREPARO EM BETONEIRA. AF_05/2020</v>
      </c>
      <c r="S37" s="122" t="str">
        <f ca="1">REFERENCIA.Unidade</f>
        <v>M3</v>
      </c>
      <c r="T37" s="123">
        <f ca="1">OFFSET(CÁLCULO!H$15,ROW($T37)-ROW(T$15),0)</f>
        <v>0.5</v>
      </c>
      <c r="U37" s="124">
        <v>637.35</v>
      </c>
      <c r="V37" s="125" t="s">
        <v>664</v>
      </c>
      <c r="W37" s="123">
        <f ca="1">IF($C37="S",ROUND(IF(TIPOORCAMENTO="Proposto",ORÇAMENTO.CustoUnitario*(1+$AH37),ORÇAMENTO.PrecoUnitarioLicitado),15-13*$AF$10),0)</f>
        <v>811.03</v>
      </c>
      <c r="X37" s="126" cm="1">
        <f t="array" aca="1" ref="X37" ca="1">IF($C37="S",IF(OR(Import.TipoArredondamento&lt;&gt;"TransfereGOV",ACOMPANHAMENTO="BM"),VTOTAL1,SUM(OFFSET(CÁLCULO!$AA$15,ROW($X37)-ROW($X$15),1):OFFSET(CÁLCULO!$AL$15,ROW($X37)-ROW($X$15),-1))),IF($C37=0,0,ROUND(SomaAgrup,15-13*$AF$11)))</f>
        <v>405.52</v>
      </c>
      <c r="Y37" s="127" t="s">
        <v>752</v>
      </c>
      <c r="Z37" t="str">
        <f ca="1">IF(AND($C37="S",$X37&gt;0),IF(ISBLANK($Y37),"RA",LEFT($Y37,2)),"")</f>
        <v>RA</v>
      </c>
      <c r="AA37" s="128">
        <f ca="1">IF($C37="S",IF($Z37="CP",$X37,IF($Z37="RA",(($X37)*QCI!$AA$3),0)),SomaAgrup)</f>
        <v>405.52</v>
      </c>
      <c r="AB37" s="129">
        <f ca="1">IF($C37="S",IF($Z37="OU",ROUND($X37,2),0),SomaAgrup)</f>
        <v>0</v>
      </c>
      <c r="AC37" s="566"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IF(AND(_xlfn.SINGLE(TIPOORCAMENTO)="Licitado",$AL37=0,$AN37&gt;0),"SEM PREÇO",
IF(AND($C37="S",$P37&lt;&gt;"",$Q37&lt;&gt;"",$U37&gt;0,$V37=0),"BDI",
IF(OR(AND(TIPOORCAMENTO="Proposto",LEFT($O$8,5)&lt;&gt;"(N/D:",$AG37&lt;&gt;"",ORÇAMENTO.CustoUnitario&gt;$AG37),AND(TIPOORCAMENTO="LICITADO",ORÇAMENTO.PrecoUnitarioLicitado&gt;$AN37)),"ACIMA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t="str">
        <f ca="1">IF(C37&lt;=CRONO.NivelExibicao,MAX($AD$15:OFFSET(AD37,-1,0))+IF($C37&lt;&gt;1,1,MAX(1,COUNTIF(QCI!$A$13:$A$24,OFFSET($E37,-1,0)))),"")</f>
        <v/>
      </c>
      <c r="AE37" s="7" t="str">
        <f ca="1">IF(AND($C37="S",ORÇAMENTO.CodBarra&lt;&gt;""),IF(ORÇAMENTO.Fonte="",ORÇAMENTO.CodBarra,CONCATENATE(ORÇAMENTO.Fonte," ",ORÇAMENTO.CodBarra)))</f>
        <v>SINAPI 101166</v>
      </c>
      <c r="AF37" s="12">
        <f ca="1">IF(ISERROR(INDIRECT(ORÇAMENTO.BancoRef)),"(abra o arquivo 'Referência "&amp;Excel_BuiltIn_Database&amp;".xlsm)",IF(OR($C37&lt;&gt;"S",ORÇAMENTO.CodBarra=""),"(Sem Código)",IF(ISERROR(MATCH($AE37,INDIRECT(ORÇAMENTO.BancoRef),0)),"(Código não identificado nas referências)",MATCH($AE37,INDIRECT(ORÇAMENTO.BancoRef),0))))</f>
        <v>6282</v>
      </c>
      <c r="AG37" s="429">
        <f ca="1">ROUND(IF(DESONERACAO="sim",REFERENCIA.Desonerado,REFERENCIA.NaoDesonerado),2)</f>
        <v>708.19</v>
      </c>
      <c r="AH37" s="430">
        <f ca="1">ROUND(IF(ISNUMBER(ORÇAMENTO.OpcaoBDI),ORÇAMENTO.OpcaoBDI,IF(LEFT(ORÇAMENTO.OpcaoBDI,3)="BDI",HLOOKUP(ORÇAMENTO.OpcaoBDI,$F$4:$H$5,2,FALSE),0)),15-11*$AF$9)</f>
        <v>0.27250000000000002</v>
      </c>
      <c r="AJ37" s="432"/>
      <c r="AL37" s="440"/>
      <c r="AM37" s="337">
        <f t="shared" ca="1" si="0"/>
        <v>405.52</v>
      </c>
      <c r="AN37" s="471">
        <f ca="1">ROUND(ORÇAMENTO.CustoUnitario*(1+$AH37),2)</f>
        <v>811.03</v>
      </c>
    </row>
    <row r="38" spans="1:40" ht="25.5" x14ac:dyDescent="0.2">
      <c r="A38" t="str">
        <f>CHOOSE(1+LOG(1+2*(ORÇAMENTO.Nivel="Meta")+4*(ORÇAMENTO.Nivel="Nível 2")+8*(ORÇAMENTO.Nivel="Nível 3")+16*(ORÇAMENTO.Nivel="Nível 4")+32*(ORÇAMENTO.Nivel="Serviço"),2),0,1,2,3,4,"S")</f>
        <v>S</v>
      </c>
      <c r="B38">
        <f ca="1">IF(OR(C38="s",C38=0),OFFSET(B38,-1,0),C38)</f>
        <v>2</v>
      </c>
      <c r="C38" t="str">
        <f ca="1">IF(OFFSET(C38,-1,0)="L",1,IF(OFFSET(C38,-1,0)=1,2,IF(OR(A38="s",A38=0),"S",IF(AND(OFFSET(C38,-1,0)=2,A38=4),3,IF(AND(OR(OFFSET(C38,-1,0)="s",OFFSET(C38,-1,0)=0),A38&lt;&gt;"s",A38&gt;OFFSET(B38,-1,0)),OFFSET(B38,-1,0),A38)))))</f>
        <v>S</v>
      </c>
      <c r="D38">
        <f ca="1">IF(OR(C38="S",C38=0),0,IF(ISERROR(K38),J38,SMALL(J38:K38,1)))</f>
        <v>0</v>
      </c>
      <c r="E38">
        <f ca="1">IF($C38=1,OFFSET(E38,-1,0)+MAX(1,COUNTIF(QCI!$A$13:$A$24,OFFSET(ORÇAMENTO!E38,-1,0))),OFFSET(E38,-1,0))</f>
        <v>1</v>
      </c>
      <c r="F38">
        <f ca="1">IF($C38=1,0,IF($C38=2,OFFSET(F38,-1,0)+1,OFFSET(F38,-1,0)))</f>
        <v>3</v>
      </c>
      <c r="G38">
        <f ca="1">IF(AND($C38&lt;=2,$C38&lt;&gt;0),0,IF($C38=3,OFFSET(G38,-1,0)+1,OFFSET(G38,-1,0)))</f>
        <v>0</v>
      </c>
      <c r="H38">
        <f ca="1">IF(AND($C38&lt;=3,$C38&lt;&gt;0),0,IF($C38=4,OFFSET(H38,-1,0)+1,OFFSET(H38,-1,0)))</f>
        <v>0</v>
      </c>
      <c r="I38">
        <f ca="1">IF(AND($C38&lt;=4,$C38&lt;&gt;0),0,IF(AND($C38="S",$X38&gt;0),OFFSET(I38,-1,0)+1,OFFSET(I38,-1,0)))</f>
        <v>5</v>
      </c>
      <c r="J38">
        <f t="shared" ca="1" si="9"/>
        <v>0</v>
      </c>
      <c r="K38">
        <f ca="1">IF(OR($C38="S",$C38=0),0,MATCH(OFFSET($D38,0,$C38)+IF($C38&lt;&gt;1,1,COUNTIF(QCI!$A$13:$A$24,ORÇAMENTO!E38)),OFFSET($D38,1,$C38,ROW($C$105)-ROW($C38)),0))</f>
        <v>0</v>
      </c>
      <c r="L38" s="115" t="str">
        <f ca="1">IF(OR($X38&gt;0,$C38=1,$C38=2,$C38=3,$C38=4),"F","")</f>
        <v>F</v>
      </c>
      <c r="M38" s="116" t="s">
        <v>706</v>
      </c>
      <c r="N38" s="117" t="str">
        <f ca="1">CHOOSE(1+LOG(1+2*(C38=1)+4*(C38=2)+8*(C38=3)+16*(C38=4)+32*(C38="S"),2),"","Meta","Nível 2","Nível 3","Nível 4","Serviço")</f>
        <v>Serviço</v>
      </c>
      <c r="O38" s="118" t="str">
        <f ca="1">IF(OR($C38=0,$L38=""),"-",CONCATENATE(E38&amp;".",IF(AND($A$5&gt;=2,$C38&gt;=2),F38&amp;".",""),IF(AND($A$5&gt;=3,$C38&gt;=3),G38&amp;".",""),IF(AND($A$5&gt;=4,$C38&gt;=4),H38&amp;".",""),IF($C38="S",I38&amp;".","")))</f>
        <v>1.3.5.</v>
      </c>
      <c r="P38" s="119" t="s">
        <v>751</v>
      </c>
      <c r="Q38" s="120" t="s">
        <v>1001</v>
      </c>
      <c r="R38" s="121" t="str">
        <f ca="1">IF($C38="S",REFERENCIA.Descricao,"(digite a descrição aqui)")</f>
        <v>REATERRO MANUAL DE VALAS, COM COMPACTADOR DE SOLOS DE PERCUSSÃO. AF_08/2023</v>
      </c>
      <c r="S38" s="122" t="str">
        <f ca="1">REFERENCIA.Unidade</f>
        <v>M3</v>
      </c>
      <c r="T38" s="123">
        <f ca="1">OFFSET(CÁLCULO!H$15,ROW($T38)-ROW(T$15),0)</f>
        <v>51.05</v>
      </c>
      <c r="U38" s="124">
        <v>26.4</v>
      </c>
      <c r="V38" s="125" t="s">
        <v>664</v>
      </c>
      <c r="W38" s="123">
        <f ca="1">IF($C38="S",ROUND(IF(TIPOORCAMENTO="Proposto",ORÇAMENTO.CustoUnitario*(1+$AH38),ORÇAMENTO.PrecoUnitarioLicitado),15-13*$AF$10),0)</f>
        <v>33.590000000000003</v>
      </c>
      <c r="X38" s="126" cm="1">
        <f t="array" aca="1" ref="X38" ca="1">IF($C38="S",IF(OR(Import.TipoArredondamento&lt;&gt;"TransfereGOV",ACOMPANHAMENTO="BM"),VTOTAL1,SUM(OFFSET(CÁLCULO!$AA$15,ROW($X38)-ROW($X$15),1):OFFSET(CÁLCULO!$AL$15,ROW($X38)-ROW($X$15),-1))),IF($C38=0,0,ROUND(SomaAgrup,15-13*$AF$11)))</f>
        <v>1714.77</v>
      </c>
      <c r="Y38" s="127" t="s">
        <v>752</v>
      </c>
      <c r="Z38" t="str">
        <f ca="1">IF(AND($C38="S",$X38&gt;0),IF(ISBLANK($Y38),"RA",LEFT($Y38,2)),"")</f>
        <v>RA</v>
      </c>
      <c r="AA38" s="128">
        <f ca="1">IF($C38="S",IF($Z38="CP",$X38,IF($Z38="RA",(($X38)*QCI!$AA$3),0)),SomaAgrup)</f>
        <v>1714.77</v>
      </c>
      <c r="AB38" s="129">
        <f ca="1">IF($C38="S",IF($Z38="OU",ROUND($X38,2),0),SomaAgrup)</f>
        <v>0</v>
      </c>
      <c r="AC38" s="566"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IF(AND(_xlfn.SINGLE(TIPOORCAMENTO)="Licitado",$AL38=0,$AN38&gt;0),"SEM PREÇO",
IF(AND($C38="S",$P38&lt;&gt;"",$Q38&lt;&gt;"",$U38&gt;0,$V38=0),"BDI",
IF(OR(AND(TIPOORCAMENTO="Proposto",LEFT($O$8,5)&lt;&gt;"(N/D:",$AG38&lt;&gt;"",ORÇAMENTO.CustoUnitario&gt;$AG38),AND(TIPOORCAMENTO="LICITADO",ORÇAMENTO.PrecoUnitarioLicitado&gt;$AN38)),"ACIMA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t="str">
        <f ca="1">IF(C38&lt;=CRONO.NivelExibicao,MAX($AD$15:OFFSET(AD38,-1,0))+IF($C38&lt;&gt;1,1,MAX(1,COUNTIF(QCI!$A$13:$A$24,OFFSET($E38,-1,0)))),"")</f>
        <v/>
      </c>
      <c r="AE38" s="7" t="str">
        <f ca="1">IF(AND($C38="S",ORÇAMENTO.CodBarra&lt;&gt;""),IF(ORÇAMENTO.Fonte="",ORÇAMENTO.CodBarra,CONCATENATE(ORÇAMENTO.Fonte," ",ORÇAMENTO.CodBarra)))</f>
        <v>SINAPI 93382</v>
      </c>
      <c r="AF38" s="12">
        <f ca="1">IF(ISERROR(INDIRECT(ORÇAMENTO.BancoRef)),"(abra o arquivo 'Referência "&amp;Excel_BuiltIn_Database&amp;".xlsm)",IF(OR($C38&lt;&gt;"S",ORÇAMENTO.CodBarra=""),"(Sem Código)",IF(ISERROR(MATCH($AE38,INDIRECT(ORÇAMENTO.BancoRef),0)),"(Código não identificado nas referências)",MATCH($AE38,INDIRECT(ORÇAMENTO.BancoRef),0))))</f>
        <v>6917</v>
      </c>
      <c r="AG38" s="429">
        <f ca="1">ROUND(IF(DESONERACAO="sim",REFERENCIA.Desonerado,REFERENCIA.NaoDesonerado),2)</f>
        <v>29.38</v>
      </c>
      <c r="AH38" s="430">
        <f ca="1">ROUND(IF(ISNUMBER(ORÇAMENTO.OpcaoBDI),ORÇAMENTO.OpcaoBDI,IF(LEFT(ORÇAMENTO.OpcaoBDI,3)="BDI",HLOOKUP(ORÇAMENTO.OpcaoBDI,$F$4:$H$5,2,FALSE),0)),15-11*$AF$9)</f>
        <v>0.27250000000000002</v>
      </c>
      <c r="AJ38" s="432"/>
      <c r="AL38" s="440"/>
      <c r="AM38" s="337">
        <f t="shared" ca="1" si="0"/>
        <v>1714.77</v>
      </c>
      <c r="AN38" s="471">
        <f ca="1">ROUND(ORÇAMENTO.CustoUnitario*(1+$AH38),2)</f>
        <v>33.590000000000003</v>
      </c>
    </row>
    <row r="39" spans="1:40" ht="38.25" x14ac:dyDescent="0.2">
      <c r="A39" t="str">
        <f>CHOOSE(1+LOG(1+2*(ORÇAMENTO.Nivel="Meta")+4*(ORÇAMENTO.Nivel="Nível 2")+8*(ORÇAMENTO.Nivel="Nível 3")+16*(ORÇAMENTO.Nivel="Nível 4")+32*(ORÇAMENTO.Nivel="Serviço"),2),0,1,2,3,4,"S")</f>
        <v>S</v>
      </c>
      <c r="B39">
        <f t="shared" ref="B39:B40" ca="1" si="58">IF(OR(C39="s",C39=0),OFFSET(B39,-1,0),C39)</f>
        <v>2</v>
      </c>
      <c r="C39" t="str">
        <f t="shared" ref="C39:C40" ca="1" si="59">IF(OFFSET(C39,-1,0)="L",1,IF(OFFSET(C39,-1,0)=1,2,IF(OR(A39="s",A39=0),"S",IF(AND(OFFSET(C39,-1,0)=2,A39=4),3,IF(AND(OR(OFFSET(C39,-1,0)="s",OFFSET(C39,-1,0)=0),A39&lt;&gt;"s",A39&gt;OFFSET(B39,-1,0)),OFFSET(B39,-1,0),A39)))))</f>
        <v>S</v>
      </c>
      <c r="D39">
        <f t="shared" ref="D39:D40" ca="1" si="60">IF(OR(C39="S",C39=0),0,IF(ISERROR(K39),J39,SMALL(J39:K39,1)))</f>
        <v>0</v>
      </c>
      <c r="E39">
        <f ca="1">IF($C39=1,OFFSET(E39,-1,0)+MAX(1,COUNTIF(QCI!$A$13:$A$24,OFFSET(ORÇAMENTO!E39,-1,0))),OFFSET(E39,-1,0))</f>
        <v>1</v>
      </c>
      <c r="F39">
        <f t="shared" ref="F39:F40" ca="1" si="61">IF($C39=1,0,IF($C39=2,OFFSET(F39,-1,0)+1,OFFSET(F39,-1,0)))</f>
        <v>3</v>
      </c>
      <c r="G39">
        <f t="shared" ref="G39:G40" ca="1" si="62">IF(AND($C39&lt;=2,$C39&lt;&gt;0),0,IF($C39=3,OFFSET(G39,-1,0)+1,OFFSET(G39,-1,0)))</f>
        <v>0</v>
      </c>
      <c r="H39">
        <f t="shared" ref="H39:H40" ca="1" si="63">IF(AND($C39&lt;=3,$C39&lt;&gt;0),0,IF($C39=4,OFFSET(H39,-1,0)+1,OFFSET(H39,-1,0)))</f>
        <v>0</v>
      </c>
      <c r="I39">
        <f t="shared" ref="I39:I40" ca="1" si="64">IF(AND($C39&lt;=4,$C39&lt;&gt;0),0,IF(AND($C39="S",$X39&gt;0),OFFSET(I39,-1,0)+1,OFFSET(I39,-1,0)))</f>
        <v>6</v>
      </c>
      <c r="J39">
        <f t="shared" ca="1" si="9"/>
        <v>0</v>
      </c>
      <c r="K39">
        <f ca="1">IF(OR($C39="S",$C39=0),0,MATCH(OFFSET($D39,0,$C39)+IF($C39&lt;&gt;1,1,COUNTIF(QCI!$A$13:$A$24,ORÇAMENTO!E39)),OFFSET($D39,1,$C39,ROW($C$105)-ROW($C39)),0))</f>
        <v>0</v>
      </c>
      <c r="L39" s="115" t="str">
        <f t="shared" ref="L39:L40" ca="1" si="65">IF(OR($X39&gt;0,$C39=1,$C39=2,$C39=3,$C39=4),"F","")</f>
        <v>F</v>
      </c>
      <c r="M39" s="116" t="s">
        <v>706</v>
      </c>
      <c r="N39" s="117" t="str">
        <f t="shared" ref="N39:N40" ca="1" si="66">CHOOSE(1+LOG(1+2*(C39=1)+4*(C39=2)+8*(C39=3)+16*(C39=4)+32*(C39="S"),2),"","Meta","Nível 2","Nível 3","Nível 4","Serviço")</f>
        <v>Serviço</v>
      </c>
      <c r="O39" s="118" t="str">
        <f t="shared" ref="O39:O40" ca="1" si="67">IF(OR($C39=0,$L39=""),"-",CONCATENATE(E39&amp;".",IF(AND($A$5&gt;=2,$C39&gt;=2),F39&amp;".",""),IF(AND($A$5&gt;=3,$C39&gt;=3),G39&amp;".",""),IF(AND($A$5&gt;=4,$C39&gt;=4),H39&amp;".",""),IF($C39="S",I39&amp;".","")))</f>
        <v>1.3.6.</v>
      </c>
      <c r="P39" s="119" t="s">
        <v>751</v>
      </c>
      <c r="Q39" s="120" t="s">
        <v>1015</v>
      </c>
      <c r="R39" s="121" t="str">
        <f ca="1">IF($C39="S",REFERENCIA.Descricao,"(digite a descrição aqui)")</f>
        <v>CAIXA COM GRELHA RETANGULAR DE FERRO FUNDIDO, EM ALVENARIA COM TIJOLOS CERÂMICOS MACIÇOS, DIMENSÕES INTERNAS: 0,15 X 1,00 X 0,3 M. AF_05/2025</v>
      </c>
      <c r="S39" s="122" t="str">
        <f ca="1">REFERENCIA.Unidade</f>
        <v>UN</v>
      </c>
      <c r="T39" s="123">
        <f ca="1">OFFSET(CÁLCULO!H$15,ROW($T39)-ROW(T$15),0)</f>
        <v>6</v>
      </c>
      <c r="U39" s="124">
        <v>577.1</v>
      </c>
      <c r="V39" s="125" t="s">
        <v>664</v>
      </c>
      <c r="W39" s="123">
        <f ca="1">IF($C39="S",ROUND(IF(TIPOORCAMENTO="Proposto",ORÇAMENTO.CustoUnitario*(1+$AH39),ORÇAMENTO.PrecoUnitarioLicitado),15-13*$AF$10),0)</f>
        <v>734.36</v>
      </c>
      <c r="X39" s="126" cm="1">
        <f t="array" aca="1" ref="X39" ca="1">IF($C39="S",IF(OR(Import.TipoArredondamento&lt;&gt;"TransfereGOV",ACOMPANHAMENTO="BM"),VTOTAL1,SUM(OFFSET(CÁLCULO!$AA$15,ROW($X39)-ROW($X$15),1):OFFSET(CÁLCULO!$AL$15,ROW($X39)-ROW($X$15),-1))),IF($C39=0,0,ROUND(SomaAgrup,15-13*$AF$11)))</f>
        <v>4406.16</v>
      </c>
      <c r="Y39" s="127" t="s">
        <v>752</v>
      </c>
      <c r="Z39" t="str">
        <f t="shared" ref="Z39:Z40" ca="1" si="68">IF(AND($C39="S",$X39&gt;0),IF(ISBLANK($Y39),"RA",LEFT($Y39,2)),"")</f>
        <v>RA</v>
      </c>
      <c r="AA39" s="128">
        <f ca="1">IF($C39="S",IF($Z39="CP",$X39,IF($Z39="RA",(($X39)*QCI!$AA$3),0)),SomaAgrup)</f>
        <v>4406.16</v>
      </c>
      <c r="AB39" s="129">
        <f ca="1">IF($C39="S",IF($Z39="OU",ROUND($X39,2),0),SomaAgrup)</f>
        <v>0</v>
      </c>
      <c r="AC39" s="566"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IF(AND(_xlfn.SINGLE(TIPOORCAMENTO)="Licitado",$AL39=0,$AN39&gt;0),"SEM PREÇO",
IF(AND($C39="S",$P39&lt;&gt;"",$Q39&lt;&gt;"",$U39&gt;0,$V39=0),"BDI",
IF(OR(AND(TIPOORCAMENTO="Proposto",LEFT($O$8,5)&lt;&gt;"(N/D:",$AG39&lt;&gt;"",ORÇAMENTO.CustoUnitario&gt;$AG39),AND(TIPOORCAMENTO="LICITADO",ORÇAMENTO.PrecoUnitarioLicitado&gt;$AN39)),"ACIMA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t="str">
        <f ca="1">IF(C39&lt;=CRONO.NivelExibicao,MAX($AD$15:OFFSET(AD39,-1,0))+IF($C39&lt;&gt;1,1,MAX(1,COUNTIF(QCI!$A$13:$A$24,OFFSET($E39,-1,0)))),"")</f>
        <v/>
      </c>
      <c r="AE39" s="7" t="str">
        <f ca="1">IF(AND($C39="S",ORÇAMENTO.CodBarra&lt;&gt;""),IF(ORÇAMENTO.Fonte="",ORÇAMENTO.CodBarra,CONCATENATE(ORÇAMENTO.Fonte," ",ORÇAMENTO.CodBarra)))</f>
        <v>SINAPI 103005</v>
      </c>
      <c r="AF39" s="12">
        <f ca="1">IF(ISERROR(INDIRECT(ORÇAMENTO.BancoRef)),"(abra o arquivo 'Referência "&amp;Excel_BuiltIn_Database&amp;".xlsm)",IF(OR($C39&lt;&gt;"S",ORÇAMENTO.CodBarra=""),"(Sem Código)",IF(ISERROR(MATCH($AE39,INDIRECT(ORÇAMENTO.BancoRef),0)),"(Código não identificado nas referências)",MATCH($AE39,INDIRECT(ORÇAMENTO.BancoRef),0))))</f>
        <v>7372</v>
      </c>
      <c r="AG39" s="429">
        <f ca="1">ROUND(IF(DESONERACAO="sim",REFERENCIA.Desonerado,REFERENCIA.NaoDesonerado),2)</f>
        <v>641.27</v>
      </c>
      <c r="AH39" s="430">
        <f ca="1">ROUND(IF(ISNUMBER(ORÇAMENTO.OpcaoBDI),ORÇAMENTO.OpcaoBDI,IF(LEFT(ORÇAMENTO.OpcaoBDI,3)="BDI",HLOOKUP(ORÇAMENTO.OpcaoBDI,$F$4:$H$5,2,FALSE),0)),15-11*$AF$9)</f>
        <v>0.27250000000000002</v>
      </c>
      <c r="AJ39" s="432"/>
      <c r="AL39" s="440"/>
      <c r="AM39" s="337">
        <f t="shared" ca="1" si="0"/>
        <v>4406.16</v>
      </c>
      <c r="AN39" s="471">
        <f ca="1">ROUND(ORÇAMENTO.CustoUnitario*(1+$AH39),2)</f>
        <v>734.36</v>
      </c>
    </row>
    <row r="40" spans="1:40" ht="38.25" x14ac:dyDescent="0.2">
      <c r="A40" t="str">
        <f>CHOOSE(1+LOG(1+2*(ORÇAMENTO.Nivel="Meta")+4*(ORÇAMENTO.Nivel="Nível 2")+8*(ORÇAMENTO.Nivel="Nível 3")+16*(ORÇAMENTO.Nivel="Nível 4")+32*(ORÇAMENTO.Nivel="Serviço"),2),0,1,2,3,4,"S")</f>
        <v>S</v>
      </c>
      <c r="B40">
        <f t="shared" ca="1" si="58"/>
        <v>2</v>
      </c>
      <c r="C40" t="str">
        <f t="shared" ca="1" si="59"/>
        <v>S</v>
      </c>
      <c r="D40">
        <f t="shared" ca="1" si="60"/>
        <v>0</v>
      </c>
      <c r="E40">
        <f ca="1">IF($C40=1,OFFSET(E40,-1,0)+MAX(1,COUNTIF(QCI!$A$13:$A$24,OFFSET(ORÇAMENTO!E40,-1,0))),OFFSET(E40,-1,0))</f>
        <v>1</v>
      </c>
      <c r="F40">
        <f t="shared" ca="1" si="61"/>
        <v>3</v>
      </c>
      <c r="G40">
        <f t="shared" ca="1" si="62"/>
        <v>0</v>
      </c>
      <c r="H40">
        <f t="shared" ca="1" si="63"/>
        <v>0</v>
      </c>
      <c r="I40">
        <f t="shared" ca="1" si="64"/>
        <v>7</v>
      </c>
      <c r="J40">
        <f t="shared" ca="1" si="9"/>
        <v>0</v>
      </c>
      <c r="K40">
        <f ca="1">IF(OR($C40="S",$C40=0),0,MATCH(OFFSET($D40,0,$C40)+IF($C40&lt;&gt;1,1,COUNTIF(QCI!$A$13:$A$24,ORÇAMENTO!E40)),OFFSET($D40,1,$C40,ROW($C$105)-ROW($C40)),0))</f>
        <v>0</v>
      </c>
      <c r="L40" s="115" t="str">
        <f t="shared" ca="1" si="65"/>
        <v>F</v>
      </c>
      <c r="M40" s="116" t="s">
        <v>706</v>
      </c>
      <c r="N40" s="117" t="str">
        <f t="shared" ca="1" si="66"/>
        <v>Serviço</v>
      </c>
      <c r="O40" s="118" t="str">
        <f t="shared" ca="1" si="67"/>
        <v>1.3.7.</v>
      </c>
      <c r="P40" s="119" t="s">
        <v>751</v>
      </c>
      <c r="Q40" s="120" t="s">
        <v>1016</v>
      </c>
      <c r="R40" s="121" t="str">
        <f ca="1">IF($C40="S",REFERENCIA.Descricao,"(digite a descrição aqui)")</f>
        <v>TUBO PVC, SÉRIE R, ÁGUA PLUVIAL, DN 75 MM, FORNECIDO E INSTALADO EM CONDUTORES VERTICAIS DE ÁGUAS PLUVIAIS. AF_06/2022</v>
      </c>
      <c r="S40" s="122" t="str">
        <f ca="1">REFERENCIA.Unidade</f>
        <v>M</v>
      </c>
      <c r="T40" s="123">
        <f ca="1">OFFSET(CÁLCULO!H$15,ROW($T40)-ROW(T$15),0)</f>
        <v>12</v>
      </c>
      <c r="U40" s="124">
        <v>30.9</v>
      </c>
      <c r="V40" s="125" t="s">
        <v>664</v>
      </c>
      <c r="W40" s="123">
        <f ca="1">IF($C40="S",ROUND(IF(TIPOORCAMENTO="Proposto",ORÇAMENTO.CustoUnitario*(1+$AH40),ORÇAMENTO.PrecoUnitarioLicitado),15-13*$AF$10),0)</f>
        <v>39.32</v>
      </c>
      <c r="X40" s="126" cm="1">
        <f t="array" aca="1" ref="X40" ca="1">IF($C40="S",IF(OR(Import.TipoArredondamento&lt;&gt;"TransfereGOV",ACOMPANHAMENTO="BM"),VTOTAL1,SUM(OFFSET(CÁLCULO!$AA$15,ROW($X40)-ROW($X$15),1):OFFSET(CÁLCULO!$AL$15,ROW($X40)-ROW($X$15),-1))),IF($C40=0,0,ROUND(SomaAgrup,15-13*$AF$11)))</f>
        <v>471.84</v>
      </c>
      <c r="Y40" s="127" t="s">
        <v>752</v>
      </c>
      <c r="Z40" t="str">
        <f t="shared" ca="1" si="68"/>
        <v>RA</v>
      </c>
      <c r="AA40" s="128">
        <f ca="1">IF($C40="S",IF($Z40="CP",$X40,IF($Z40="RA",(($X40)*QCI!$AA$3),0)),SomaAgrup)</f>
        <v>471.84</v>
      </c>
      <c r="AB40" s="129">
        <f ca="1">IF($C40="S",IF($Z40="OU",ROUND($X40,2),0),SomaAgrup)</f>
        <v>0</v>
      </c>
      <c r="AC40" s="566"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IF(AND(_xlfn.SINGLE(TIPOORCAMENTO)="Licitado",$AL40=0,$AN40&gt;0),"SEM PREÇO",
IF(AND($C40="S",$P40&lt;&gt;"",$Q40&lt;&gt;"",$U40&gt;0,$V40=0),"BDI",
IF(OR(AND(TIPOORCAMENTO="Proposto",LEFT($O$8,5)&lt;&gt;"(N/D:",$AG40&lt;&gt;"",ORÇAMENTO.CustoUnitario&gt;$AG40),AND(TIPOORCAMENTO="LICITADO",ORÇAMENTO.PrecoUnitarioLicitado&gt;$AN40)),"ACIMA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t="str">
        <f ca="1">IF(C40&lt;=CRONO.NivelExibicao,MAX($AD$15:OFFSET(AD40,-1,0))+IF($C40&lt;&gt;1,1,MAX(1,COUNTIF(QCI!$A$13:$A$24,OFFSET($E40,-1,0)))),"")</f>
        <v/>
      </c>
      <c r="AE40" s="7" t="str">
        <f ca="1">IF(AND($C40="S",ORÇAMENTO.CodBarra&lt;&gt;""),IF(ORÇAMENTO.Fonte="",ORÇAMENTO.CodBarra,CONCATENATE(ORÇAMENTO.Fonte," ",ORÇAMENTO.CodBarra)))</f>
        <v>SINAPI 89576</v>
      </c>
      <c r="AF40" s="12">
        <f ca="1">IF(ISERROR(INDIRECT(ORÇAMENTO.BancoRef)),"(abra o arquivo 'Referência "&amp;Excel_BuiltIn_Database&amp;".xlsm)",IF(OR($C40&lt;&gt;"S",ORÇAMENTO.CodBarra=""),"(Sem Código)",IF(ISERROR(MATCH($AE40,INDIRECT(ORÇAMENTO.BancoRef),0)),"(Código não identificado nas referências)",MATCH($AE40,INDIRECT(ORÇAMENTO.BancoRef),0))))</f>
        <v>12410</v>
      </c>
      <c r="AG40" s="429">
        <f ca="1">ROUND(IF(DESONERACAO="sim",REFERENCIA.Desonerado,REFERENCIA.NaoDesonerado),2)</f>
        <v>34.36</v>
      </c>
      <c r="AH40" s="430">
        <f ca="1">ROUND(IF(ISNUMBER(ORÇAMENTO.OpcaoBDI),ORÇAMENTO.OpcaoBDI,IF(LEFT(ORÇAMENTO.OpcaoBDI,3)="BDI",HLOOKUP(ORÇAMENTO.OpcaoBDI,$F$4:$H$5,2,FALSE),0)),15-11*$AF$9)</f>
        <v>0.27250000000000002</v>
      </c>
      <c r="AJ40" s="432"/>
      <c r="AL40" s="440"/>
      <c r="AM40" s="337">
        <f t="shared" ca="1" si="0"/>
        <v>471.84</v>
      </c>
      <c r="AN40" s="471">
        <f ca="1">ROUND(ORÇAMENTO.CustoUnitario*(1+$AH40),2)</f>
        <v>39.32</v>
      </c>
    </row>
    <row r="41" spans="1:40" x14ac:dyDescent="0.2">
      <c r="A41">
        <f t="shared" si="43"/>
        <v>2</v>
      </c>
      <c r="B41">
        <f ca="1">IF(OR(C41="s",C41=0),OFFSET(B41,-1,0),C41)</f>
        <v>2</v>
      </c>
      <c r="C41">
        <f ca="1">IF(OFFSET(C41,-1,0)="L",1,IF(OFFSET(C41,-1,0)=1,2,IF(OR(A41="s",A41=0),"S",IF(AND(OFFSET(C41,-1,0)=2,A41=4),3,IF(AND(OR(OFFSET(C41,-1,0)="s",OFFSET(C41,-1,0)=0),A41&lt;&gt;"s",A41&gt;OFFSET(B41,-1,0)),OFFSET(B41,-1,0),A41)))))</f>
        <v>2</v>
      </c>
      <c r="D41">
        <f ca="1">IF(OR(C41="S",C41=0),0,IF(ISERROR(K41),J41,SMALL(J41:K41,1)))</f>
        <v>7</v>
      </c>
      <c r="E41">
        <f ca="1">IF($C41=1,OFFSET(E41,-1,0)+MAX(1,COUNTIF(QCI!$A$13:$A$24,OFFSET(ORÇAMENTO!E41,-1,0))),OFFSET(E41,-1,0))</f>
        <v>1</v>
      </c>
      <c r="F41">
        <f ca="1">IF($C41=1,0,IF($C41=2,OFFSET(F41,-1,0)+1,OFFSET(F41,-1,0)))</f>
        <v>4</v>
      </c>
      <c r="G41">
        <f ca="1">IF(AND($C41&lt;=2,$C41&lt;&gt;0),0,IF($C41=3,OFFSET(G41,-1,0)+1,OFFSET(G41,-1,0)))</f>
        <v>0</v>
      </c>
      <c r="H41">
        <f ca="1">IF(AND($C41&lt;=3,$C41&lt;&gt;0),0,IF($C41=4,OFFSET(H41,-1,0)+1,OFFSET(H41,-1,0)))</f>
        <v>0</v>
      </c>
      <c r="I41">
        <f ca="1">IF(AND($C41&lt;=4,$C41&lt;&gt;0),0,IF(AND($C41="S",$X41&gt;0),OFFSET(I41,-1,0)+1,OFFSET(I41,-1,0)))</f>
        <v>0</v>
      </c>
      <c r="J41">
        <f t="shared" ca="1" si="9"/>
        <v>64</v>
      </c>
      <c r="K41">
        <f ca="1">IF(OR($C41="S",$C41=0),0,MATCH(OFFSET($D41,0,$C41)+IF($C41&lt;&gt;1,1,COUNTIF(QCI!$A$13:$A$24,ORÇAMENTO!E41)),OFFSET($D41,1,$C41,ROW($C$105)-ROW($C41)),0))</f>
        <v>7</v>
      </c>
      <c r="L41" s="115" t="str">
        <f ca="1">IF(OR($X41&gt;0,$C41=1,$C41=2,$C41=3,$C41=4),"F","")</f>
        <v>F</v>
      </c>
      <c r="M41" s="116" t="s">
        <v>703</v>
      </c>
      <c r="N41" s="117" t="str">
        <f ca="1">CHOOSE(1+LOG(1+2*(C41=1)+4*(C41=2)+8*(C41=3)+16*(C41=4)+32*(C41="S"),2),"","Meta","Nível 2","Nível 3","Nível 4","Serviço")</f>
        <v>Nível 2</v>
      </c>
      <c r="O41" s="118" t="str">
        <f ca="1">IF(OR($C41=0,$L41=""),"-",CONCATENATE(E41&amp;".",IF(AND($A$5&gt;=2,$C41&gt;=2),F41&amp;".",""),IF(AND($A$5&gt;=3,$C41&gt;=3),G41&amp;".",""),IF(AND($A$5&gt;=4,$C41&gt;=4),H41&amp;".",""),IF($C41="S",I41&amp;".","")))</f>
        <v>1.4.</v>
      </c>
      <c r="P41" s="119" t="s">
        <v>959</v>
      </c>
      <c r="Q41" s="120"/>
      <c r="R41" s="121" t="s">
        <v>978</v>
      </c>
      <c r="S41" s="122" t="str">
        <f ca="1">REFERENCIA.Unidade</f>
        <v>-</v>
      </c>
      <c r="T41" s="123">
        <f ca="1">OFFSET(CÁLCULO!H$15,ROW($T41)-ROW(T$15),0)</f>
        <v>0</v>
      </c>
      <c r="U41" s="124"/>
      <c r="V41" s="125" t="s">
        <v>664</v>
      </c>
      <c r="W41" s="123">
        <f ca="1">IF($C41="S",ROUND(IF(TIPOORCAMENTO="Proposto",ORÇAMENTO.CustoUnitario*(1+$AH41),ORÇAMENTO.PrecoUnitarioLicitado),15-13*$AF$10),0)</f>
        <v>0</v>
      </c>
      <c r="X41" s="126" cm="1">
        <f t="array" aca="1" ref="X41" ca="1">IF($C41="S",IF(OR(Import.TipoArredondamento&lt;&gt;"TransfereGOV",ACOMPANHAMENTO="BM"),VTOTAL1,SUM(OFFSET(CÁLCULO!$AA$15,ROW($X41)-ROW($X$15),1):OFFSET(CÁLCULO!$AL$15,ROW($X41)-ROW($X$15),-1))),IF($C41=0,0,ROUND(SomaAgrup,15-13*$AF$11)))</f>
        <v>15699.13</v>
      </c>
      <c r="Y41" s="127" t="s">
        <v>752</v>
      </c>
      <c r="Z41" t="str">
        <f ca="1">IF(AND($C41="S",$X41&gt;0),IF(ISBLANK($Y41),"RA",LEFT($Y41,2)),"")</f>
        <v/>
      </c>
      <c r="AA41" s="128">
        <f ca="1">IF($C41="S",IF($Z41="CP",$X41,IF($Z41="RA",(($X41)*QCI!$AA$3),0)),SomaAgrup)</f>
        <v>15699.130000000001</v>
      </c>
      <c r="AB41" s="129">
        <f t="shared" ca="1" si="55"/>
        <v>0</v>
      </c>
      <c r="AC41" s="566"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IF(AND(_xlfn.SINGLE(TIPOORCAMENTO)="Licitado",$AL41=0,$AN41&gt;0),"SEM PREÇO",
IF(AND($C41="S",$P41&lt;&gt;"",$Q41&lt;&gt;"",$U41&gt;0,$V41=0),"BDI",
IF(OR(AND(TIPOORCAMENTO="Proposto",LEFT($O$8,5)&lt;&gt;"(N/D:",$AG41&lt;&gt;"",ORÇAMENTO.CustoUnitario&gt;$AG41),AND(TIPOORCAMENTO="LICITADO",ORÇAMENTO.PrecoUnitarioLicitado&gt;$AN41)),"ACIMA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f ca="1">IF(C41&lt;=CRONO.NivelExibicao,MAX($AD$15:OFFSET(AD41,-1,0))+IF($C41&lt;&gt;1,1,MAX(1,COUNTIF(QCI!$A$13:$A$24,OFFSET($E41,-1,0)))),"")</f>
        <v>5</v>
      </c>
      <c r="AE41" s="7" t="b">
        <f ca="1">IF(AND($C41="S",ORÇAMENTO.CodBarra&lt;&gt;""),IF(ORÇAMENTO.Fonte="",ORÇAMENTO.CodBarra,CONCATENATE(ORÇAMENTO.Fonte," ",ORÇAMENTO.CodBarra)))</f>
        <v>0</v>
      </c>
      <c r="AF41" s="12" t="str">
        <f ca="1">IF(ISERROR(INDIRECT(ORÇAMENTO.BancoRef)),"(abra o arquivo 'Referência "&amp;Excel_BuiltIn_Database&amp;".xlsm)",IF(OR($C41&lt;&gt;"S",ORÇAMENTO.CodBarra=""),"(Sem Código)",IF(ISERROR(MATCH($AE41,INDIRECT(ORÇAMENTO.BancoRef),0)),"(Código não identificado nas referências)",MATCH($AE41,INDIRECT(ORÇAMENTO.BancoRef),0))))</f>
        <v>(Sem Código)</v>
      </c>
      <c r="AG41" s="429">
        <f ca="1">ROUND(IF(DESONERACAO="sim",REFERENCIA.Desonerado,REFERENCIA.NaoDesonerado),2)</f>
        <v>0</v>
      </c>
      <c r="AH41" s="430">
        <f t="shared" ca="1" si="56"/>
        <v>0.27250000000000002</v>
      </c>
      <c r="AJ41" s="432"/>
      <c r="AL41" s="440"/>
      <c r="AM41" s="337">
        <f t="shared" ca="1" si="0"/>
        <v>15699.13</v>
      </c>
      <c r="AN41" s="471">
        <f t="shared" ca="1" si="57"/>
        <v>0</v>
      </c>
    </row>
    <row r="42" spans="1:40" ht="25.5" x14ac:dyDescent="0.2">
      <c r="A42" t="str">
        <f t="shared" si="43"/>
        <v>S</v>
      </c>
      <c r="B42">
        <f t="shared" ref="B42:B56" ca="1" si="69">IF(OR(C42="s",C42=0),OFFSET(B42,-1,0),C42)</f>
        <v>2</v>
      </c>
      <c r="C42" t="str">
        <f t="shared" ref="C42:C56" ca="1" si="70">IF(OFFSET(C42,-1,0)="L",1,IF(OFFSET(C42,-1,0)=1,2,IF(OR(A42="s",A42=0),"S",IF(AND(OFFSET(C42,-1,0)=2,A42=4),3,IF(AND(OR(OFFSET(C42,-1,0)="s",OFFSET(C42,-1,0)=0),A42&lt;&gt;"s",A42&gt;OFFSET(B42,-1,0)),OFFSET(B42,-1,0),A42)))))</f>
        <v>S</v>
      </c>
      <c r="D42">
        <f t="shared" ref="D42:D56" ca="1" si="71">IF(OR(C42="S",C42=0),0,IF(ISERROR(K42),J42,SMALL(J42:K42,1)))</f>
        <v>0</v>
      </c>
      <c r="E42">
        <f ca="1">IF($C42=1,OFFSET(E42,-1,0)+MAX(1,COUNTIF(QCI!$A$13:$A$24,OFFSET(ORÇAMENTO!E42,-1,0))),OFFSET(E42,-1,0))</f>
        <v>1</v>
      </c>
      <c r="F42">
        <f t="shared" ref="F42:F56" ca="1" si="72">IF($C42=1,0,IF($C42=2,OFFSET(F42,-1,0)+1,OFFSET(F42,-1,0)))</f>
        <v>4</v>
      </c>
      <c r="G42">
        <f t="shared" ref="G42:G56" ca="1" si="73">IF(AND($C42&lt;=2,$C42&lt;&gt;0),0,IF($C42=3,OFFSET(G42,-1,0)+1,OFFSET(G42,-1,0)))</f>
        <v>0</v>
      </c>
      <c r="H42">
        <f t="shared" ref="H42:H56" ca="1" si="74">IF(AND($C42&lt;=3,$C42&lt;&gt;0),0,IF($C42=4,OFFSET(H42,-1,0)+1,OFFSET(H42,-1,0)))</f>
        <v>0</v>
      </c>
      <c r="I42">
        <f t="shared" ref="I42:I56" ca="1" si="75">IF(AND($C42&lt;=4,$C42&lt;&gt;0),0,IF(AND($C42="S",$X42&gt;0),OFFSET(I42,-1,0)+1,OFFSET(I42,-1,0)))</f>
        <v>1</v>
      </c>
      <c r="J42">
        <f t="shared" ca="1" si="9"/>
        <v>0</v>
      </c>
      <c r="K42">
        <f ca="1">IF(OR($C42="S",$C42=0),0,MATCH(OFFSET($D42,0,$C42)+IF($C42&lt;&gt;1,1,COUNTIF(QCI!$A$13:$A$24,ORÇAMENTO!E42)),OFFSET($D42,1,$C42,ROW($C$105)-ROW($C42)),0))</f>
        <v>0</v>
      </c>
      <c r="L42" s="115" t="str">
        <f t="shared" ref="L42:L56" ca="1" si="76">IF(OR($X42&gt;0,$C42=1,$C42=2,$C42=3,$C42=4),"F","")</f>
        <v>F</v>
      </c>
      <c r="M42" s="116" t="s">
        <v>706</v>
      </c>
      <c r="N42" s="117" t="str">
        <f t="shared" ref="N42:N56" ca="1" si="77">CHOOSE(1+LOG(1+2*(C42=1)+4*(C42=2)+8*(C42=3)+16*(C42=4)+32*(C42="S"),2),"","Meta","Nível 2","Nível 3","Nível 4","Serviço")</f>
        <v>Serviço</v>
      </c>
      <c r="O42" s="118" t="str">
        <f t="shared" ref="O42:O56" ca="1" si="78">IF(OR($C42=0,$L42=""),"-",CONCATENATE(E42&amp;".",IF(AND($A$5&gt;=2,$C42&gt;=2),F42&amp;".",""),IF(AND($A$5&gt;=3,$C42&gt;=3),G42&amp;".",""),IF(AND($A$5&gt;=4,$C42&gt;=4),H42&amp;".",""),IF($C42="S",I42&amp;".","")))</f>
        <v>1.4.1.</v>
      </c>
      <c r="P42" s="119" t="s">
        <v>751</v>
      </c>
      <c r="Q42" s="120" t="s">
        <v>964</v>
      </c>
      <c r="R42" s="121" t="str">
        <f ca="1">IF($C42="S",REFERENCIA.Descricao,"(digite a descrição aqui)")</f>
        <v>PINTURA LÁTEX ACRÍLICA PREMIUM, APLICAÇÃO MANUAL EM PAREDES, DUAS DEMÃOS. AF_04/2023</v>
      </c>
      <c r="S42" s="122" t="str">
        <f ca="1">REFERENCIA.Unidade</f>
        <v>M2</v>
      </c>
      <c r="T42" s="123">
        <f ca="1">OFFSET(CÁLCULO!H$15,ROW($T42)-ROW(T$15),0)</f>
        <v>590</v>
      </c>
      <c r="U42" s="124">
        <v>12.55</v>
      </c>
      <c r="V42" s="125" t="s">
        <v>664</v>
      </c>
      <c r="W42" s="123">
        <f ca="1">IF($C42="S",ROUND(IF(TIPOORCAMENTO="Proposto",ORÇAMENTO.CustoUnitario*(1+$AH42),ORÇAMENTO.PrecoUnitarioLicitado),15-13*$AF$10),0)</f>
        <v>15.97</v>
      </c>
      <c r="X42" s="126" cm="1">
        <f t="array" aca="1" ref="X42" ca="1">IF($C42="S",IF(OR(Import.TipoArredondamento&lt;&gt;"TransfereGOV",ACOMPANHAMENTO="BM"),VTOTAL1,SUM(OFFSET(CÁLCULO!$AA$15,ROW($X42)-ROW($X$15),1):OFFSET(CÁLCULO!$AL$15,ROW($X42)-ROW($X$15),-1))),IF($C42=0,0,ROUND(SomaAgrup,15-13*$AF$11)))</f>
        <v>9422.2999999999993</v>
      </c>
      <c r="Y42" s="127" t="s">
        <v>752</v>
      </c>
      <c r="Z42" t="str">
        <f t="shared" ref="Z42:Z56" ca="1" si="79">IF(AND($C42="S",$X42&gt;0),IF(ISBLANK($Y42),"RA",LEFT($Y42,2)),"")</f>
        <v>RA</v>
      </c>
      <c r="AA42" s="128">
        <f ca="1">IF($C42="S",IF($Z42="CP",$X42,IF($Z42="RA",(($X42)*QCI!$AA$3),0)),SomaAgrup)</f>
        <v>9422.2999999999993</v>
      </c>
      <c r="AB42" s="129">
        <f t="shared" ca="1" si="55"/>
        <v>0</v>
      </c>
      <c r="AC42" s="566"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IF(AND(_xlfn.SINGLE(TIPOORCAMENTO)="Licitado",$AL42=0,$AN42&gt;0),"SEM PREÇO",
IF(AND($C42="S",$P42&lt;&gt;"",$Q42&lt;&gt;"",$U42&gt;0,$V42=0),"BDI",
IF(OR(AND(TIPOORCAMENTO="Proposto",LEFT($O$8,5)&lt;&gt;"(N/D:",$AG42&lt;&gt;"",ORÇAMENTO.CustoUnitario&gt;$AG42),AND(TIPOORCAMENTO="LICITADO",ORÇAMENTO.PrecoUnitarioLicitado&gt;$AN42)),"ACIMA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t="str">
        <f ca="1">IF(C42&lt;=CRONO.NivelExibicao,MAX($AD$15:OFFSET(AD42,-1,0))+IF($C42&lt;&gt;1,1,MAX(1,COUNTIF(QCI!$A$13:$A$24,OFFSET($E42,-1,0)))),"")</f>
        <v/>
      </c>
      <c r="AE42" s="7" t="str">
        <f ca="1">IF(AND($C42="S",ORÇAMENTO.CodBarra&lt;&gt;""),IF(ORÇAMENTO.Fonte="",ORÇAMENTO.CodBarra,CONCATENATE(ORÇAMENTO.Fonte," ",ORÇAMENTO.CodBarra)))</f>
        <v>SINAPI 88489</v>
      </c>
      <c r="AF42" s="12">
        <f ca="1">IF(ISERROR(INDIRECT(ORÇAMENTO.BancoRef)),"(abra o arquivo 'Referência "&amp;Excel_BuiltIn_Database&amp;".xlsm)",IF(OR($C42&lt;&gt;"S",ORÇAMENTO.CodBarra=""),"(Sem Código)",IF(ISERROR(MATCH($AE42,INDIRECT(ORÇAMENTO.BancoRef),0)),"(Código não identificado nas referências)",MATCH($AE42,INDIRECT(ORÇAMENTO.BancoRef),0))))</f>
        <v>14517</v>
      </c>
      <c r="AG42" s="429">
        <f ca="1">ROUND(IF(DESONERACAO="sim",REFERENCIA.Desonerado,REFERENCIA.NaoDesonerado),2)</f>
        <v>13.96</v>
      </c>
      <c r="AH42" s="430">
        <f t="shared" ca="1" si="56"/>
        <v>0.27250000000000002</v>
      </c>
      <c r="AJ42" s="432"/>
      <c r="AL42" s="440"/>
      <c r="AM42" s="337">
        <f t="shared" ca="1" si="0"/>
        <v>9422.2999999999993</v>
      </c>
      <c r="AN42" s="471">
        <f t="shared" ca="1" si="57"/>
        <v>15.97</v>
      </c>
    </row>
    <row r="43" spans="1:40" ht="25.5" x14ac:dyDescent="0.2">
      <c r="A43" t="str">
        <f t="shared" si="43"/>
        <v>S</v>
      </c>
      <c r="B43">
        <f t="shared" ca="1" si="69"/>
        <v>2</v>
      </c>
      <c r="C43" t="str">
        <f t="shared" ca="1" si="70"/>
        <v>S</v>
      </c>
      <c r="D43">
        <f t="shared" ca="1" si="71"/>
        <v>0</v>
      </c>
      <c r="E43">
        <f ca="1">IF($C43=1,OFFSET(E43,-1,0)+MAX(1,COUNTIF(QCI!$A$13:$A$24,OFFSET(ORÇAMENTO!E43,-1,0))),OFFSET(E43,-1,0))</f>
        <v>1</v>
      </c>
      <c r="F43">
        <f t="shared" ca="1" si="72"/>
        <v>4</v>
      </c>
      <c r="G43">
        <f t="shared" ca="1" si="73"/>
        <v>0</v>
      </c>
      <c r="H43">
        <f t="shared" ca="1" si="74"/>
        <v>0</v>
      </c>
      <c r="I43">
        <f t="shared" ca="1" si="75"/>
        <v>2</v>
      </c>
      <c r="J43">
        <f t="shared" ca="1" si="9"/>
        <v>0</v>
      </c>
      <c r="K43">
        <f ca="1">IF(OR($C43="S",$C43=0),0,MATCH(OFFSET($D43,0,$C43)+IF($C43&lt;&gt;1,1,COUNTIF(QCI!$A$13:$A$24,ORÇAMENTO!E43)),OFFSET($D43,1,$C43,ROW($C$105)-ROW($C43)),0))</f>
        <v>0</v>
      </c>
      <c r="L43" s="115" t="str">
        <f t="shared" ca="1" si="76"/>
        <v>F</v>
      </c>
      <c r="M43" s="116" t="s">
        <v>706</v>
      </c>
      <c r="N43" s="117" t="str">
        <f t="shared" ca="1" si="77"/>
        <v>Serviço</v>
      </c>
      <c r="O43" s="118" t="str">
        <f t="shared" ca="1" si="78"/>
        <v>1.4.2.</v>
      </c>
      <c r="P43" s="119" t="s">
        <v>751</v>
      </c>
      <c r="Q43" s="120" t="s">
        <v>965</v>
      </c>
      <c r="R43" s="121" t="str">
        <f ca="1">IF($C43="S",REFERENCIA.Descricao,"(digite a descrição aqui)")</f>
        <v>APLICAÇÃO MANUAL DE FUNDO SELADOR ACRÍLICO EM PAREDES EXTERNAS DE CASAS. AF_03/2024</v>
      </c>
      <c r="S43" s="122" t="str">
        <f ca="1">REFERENCIA.Unidade</f>
        <v>M2</v>
      </c>
      <c r="T43" s="123">
        <f ca="1">OFFSET(CÁLCULO!H$15,ROW($T43)-ROW(T$15),0)</f>
        <v>7</v>
      </c>
      <c r="U43" s="124">
        <v>4.0999999999999996</v>
      </c>
      <c r="V43" s="125" t="s">
        <v>664</v>
      </c>
      <c r="W43" s="123">
        <f ca="1">IF($C43="S",ROUND(IF(TIPOORCAMENTO="Proposto",ORÇAMENTO.CustoUnitario*(1+$AH43),ORÇAMENTO.PrecoUnitarioLicitado),15-13*$AF$10),0)</f>
        <v>5.22</v>
      </c>
      <c r="X43" s="126" cm="1">
        <f t="array" aca="1" ref="X43" ca="1">IF($C43="S",IF(OR(Import.TipoArredondamento&lt;&gt;"TransfereGOV",ACOMPANHAMENTO="BM"),VTOTAL1,SUM(OFFSET(CÁLCULO!$AA$15,ROW($X43)-ROW($X$15),1):OFFSET(CÁLCULO!$AL$15,ROW($X43)-ROW($X$15),-1))),IF($C43=0,0,ROUND(SomaAgrup,15-13*$AF$11)))</f>
        <v>36.54</v>
      </c>
      <c r="Y43" s="127" t="s">
        <v>752</v>
      </c>
      <c r="Z43" t="str">
        <f t="shared" ca="1" si="79"/>
        <v>RA</v>
      </c>
      <c r="AA43" s="128">
        <f ca="1">IF($C43="S",IF($Z43="CP",$X43,IF($Z43="RA",(($X43)*QCI!$AA$3),0)),SomaAgrup)</f>
        <v>36.54</v>
      </c>
      <c r="AB43" s="129">
        <f t="shared" ca="1" si="55"/>
        <v>0</v>
      </c>
      <c r="AC43" s="566"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IF(AND(_xlfn.SINGLE(TIPOORCAMENTO)="Licitado",$AL43=0,$AN43&gt;0),"SEM PREÇO",
IF(AND($C43="S",$P43&lt;&gt;"",$Q43&lt;&gt;"",$U43&gt;0,$V43=0),"BDI",
IF(OR(AND(TIPOORCAMENTO="Proposto",LEFT($O$8,5)&lt;&gt;"(N/D:",$AG43&lt;&gt;"",ORÇAMENTO.CustoUnitario&gt;$AG43),AND(TIPOORCAMENTO="LICITADO",ORÇAMENTO.PrecoUnitarioLicitado&gt;$AN43)),"ACIMA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t="str">
        <f ca="1">IF(C43&lt;=CRONO.NivelExibicao,MAX($AD$15:OFFSET(AD43,-1,0))+IF($C43&lt;&gt;1,1,MAX(1,COUNTIF(QCI!$A$13:$A$24,OFFSET($E43,-1,0)))),"")</f>
        <v/>
      </c>
      <c r="AE43" s="7" t="str">
        <f ca="1">IF(AND($C43="S",ORÇAMENTO.CodBarra&lt;&gt;""),IF(ORÇAMENTO.Fonte="",ORÇAMENTO.CodBarra,CONCATENATE(ORÇAMENTO.Fonte," ",ORÇAMENTO.CodBarra)))</f>
        <v>SINAPI 88415</v>
      </c>
      <c r="AF43" s="12">
        <f ca="1">IF(ISERROR(INDIRECT(ORÇAMENTO.BancoRef)),"(abra o arquivo 'Referência "&amp;Excel_BuiltIn_Database&amp;".xlsm)",IF(OR($C43&lt;&gt;"S",ORÇAMENTO.CodBarra=""),"(Sem Código)",IF(ISERROR(MATCH($AE43,INDIRECT(ORÇAMENTO.BancoRef),0)),"(Código não identificado nas referências)",MATCH($AE43,INDIRECT(ORÇAMENTO.BancoRef),0))))</f>
        <v>14472</v>
      </c>
      <c r="AG43" s="429">
        <f ca="1">ROUND(IF(DESONERACAO="sim",REFERENCIA.Desonerado,REFERENCIA.NaoDesonerado),2)</f>
        <v>4.57</v>
      </c>
      <c r="AH43" s="430">
        <f t="shared" ca="1" si="56"/>
        <v>0.27250000000000002</v>
      </c>
      <c r="AJ43" s="432"/>
      <c r="AL43" s="440"/>
      <c r="AM43" s="337">
        <f t="shared" ca="1" si="0"/>
        <v>36.54</v>
      </c>
      <c r="AN43" s="471">
        <f t="shared" ca="1" si="57"/>
        <v>5.22</v>
      </c>
    </row>
    <row r="44" spans="1:40" x14ac:dyDescent="0.2">
      <c r="A44" t="str">
        <f>CHOOSE(1+LOG(1+2*(ORÇAMENTO.Nivel="Meta")+4*(ORÇAMENTO.Nivel="Nível 2")+8*(ORÇAMENTO.Nivel="Nível 3")+16*(ORÇAMENTO.Nivel="Nível 4")+32*(ORÇAMENTO.Nivel="Serviço"),2),0,1,2,3,4,"S")</f>
        <v>S</v>
      </c>
      <c r="B44">
        <f ca="1">IF(OR(C44="s",C44=0),OFFSET(B44,-1,0),C44)</f>
        <v>2</v>
      </c>
      <c r="C44" t="str">
        <f ca="1">IF(OFFSET(C44,-1,0)="L",1,IF(OFFSET(C44,-1,0)=1,2,IF(OR(A44="s",A44=0),"S",IF(AND(OFFSET(C44,-1,0)=2,A44=4),3,IF(AND(OR(OFFSET(C44,-1,0)="s",OFFSET(C44,-1,0)=0),A44&lt;&gt;"s",A44&gt;OFFSET(B44,-1,0)),OFFSET(B44,-1,0),A44)))))</f>
        <v>S</v>
      </c>
      <c r="D44">
        <f ca="1">IF(OR(C44="S",C44=0),0,IF(ISERROR(K44),J44,SMALL(J44:K44,1)))</f>
        <v>0</v>
      </c>
      <c r="E44">
        <f ca="1">IF($C44=1,OFFSET(E44,-1,0)+MAX(1,COUNTIF(QCI!$A$13:$A$24,OFFSET(ORÇAMENTO!E44,-1,0))),OFFSET(E44,-1,0))</f>
        <v>1</v>
      </c>
      <c r="F44">
        <f ca="1">IF($C44=1,0,IF($C44=2,OFFSET(F44,-1,0)+1,OFFSET(F44,-1,0)))</f>
        <v>4</v>
      </c>
      <c r="G44">
        <f ca="1">IF(AND($C44&lt;=2,$C44&lt;&gt;0),0,IF($C44=3,OFFSET(G44,-1,0)+1,OFFSET(G44,-1,0)))</f>
        <v>0</v>
      </c>
      <c r="H44">
        <f ca="1">IF(AND($C44&lt;=3,$C44&lt;&gt;0),0,IF($C44=4,OFFSET(H44,-1,0)+1,OFFSET(H44,-1,0)))</f>
        <v>0</v>
      </c>
      <c r="I44">
        <f ca="1">IF(AND($C44&lt;=4,$C44&lt;&gt;0),0,IF(AND($C44="S",$X44&gt;0),OFFSET(I44,-1,0)+1,OFFSET(I44,-1,0)))</f>
        <v>3</v>
      </c>
      <c r="J44">
        <f t="shared" ca="1" si="9"/>
        <v>0</v>
      </c>
      <c r="K44">
        <f ca="1">IF(OR($C44="S",$C44=0),0,MATCH(OFFSET($D44,0,$C44)+IF($C44&lt;&gt;1,1,COUNTIF(QCI!$A$13:$A$24,ORÇAMENTO!E44)),OFFSET($D44,1,$C44,ROW($C$105)-ROW($C44)),0))</f>
        <v>0</v>
      </c>
      <c r="L44" s="115" t="str">
        <f ca="1">IF(OR($X44&gt;0,$C44=1,$C44=2,$C44=3,$C44=4),"F","")</f>
        <v>F</v>
      </c>
      <c r="M44" s="116" t="s">
        <v>706</v>
      </c>
      <c r="N44" s="117" t="str">
        <f ca="1">CHOOSE(1+LOG(1+2*(C44=1)+4*(C44=2)+8*(C44=3)+16*(C44=4)+32*(C44="S"),2),"","Meta","Nível 2","Nível 3","Nível 4","Serviço")</f>
        <v>Serviço</v>
      </c>
      <c r="O44" s="118" t="str">
        <f ca="1">IF(OR($C44=0,$L44=""),"-",CONCATENATE(E44&amp;".",IF(AND($A$5&gt;=2,$C44&gt;=2),F44&amp;".",""),IF(AND($A$5&gt;=3,$C44&gt;=3),G44&amp;".",""),IF(AND($A$5&gt;=4,$C44&gt;=4),H44&amp;".",""),IF($C44="S",I44&amp;".","")))</f>
        <v>1.4.3.</v>
      </c>
      <c r="P44" s="119" t="s">
        <v>751</v>
      </c>
      <c r="Q44" s="120" t="s">
        <v>980</v>
      </c>
      <c r="R44" s="121" t="str">
        <f ca="1">IF($C44="S",REFERENCIA.Descricao,"(digite a descrição aqui)")</f>
        <v>PINTOR COM ENCARGOS COMPLEMENTARES</v>
      </c>
      <c r="S44" s="122" t="str">
        <f ca="1">REFERENCIA.Unidade</f>
        <v>H</v>
      </c>
      <c r="T44" s="123">
        <f ca="1">OFFSET(CÁLCULO!H$15,ROW($T44)-ROW(T$15),0)</f>
        <v>80</v>
      </c>
      <c r="U44" s="124">
        <v>27.9</v>
      </c>
      <c r="V44" s="125" t="s">
        <v>664</v>
      </c>
      <c r="W44" s="123">
        <f ca="1">IF($C44="S",ROUND(IF(TIPOORCAMENTO="Proposto",ORÇAMENTO.CustoUnitario*(1+$AH44),ORÇAMENTO.PrecoUnitarioLicitado),15-13*$AF$10),0)</f>
        <v>35.5</v>
      </c>
      <c r="X44" s="126" cm="1">
        <f t="array" aca="1" ref="X44" ca="1">IF($C44="S",IF(OR(Import.TipoArredondamento&lt;&gt;"TransfereGOV",ACOMPANHAMENTO="BM"),VTOTAL1,SUM(OFFSET(CÁLCULO!$AA$15,ROW($X44)-ROW($X$15),1):OFFSET(CÁLCULO!$AL$15,ROW($X44)-ROW($X$15),-1))),IF($C44=0,0,ROUND(SomaAgrup,15-13*$AF$11)))</f>
        <v>2840</v>
      </c>
      <c r="Y44" s="127" t="s">
        <v>752</v>
      </c>
      <c r="Z44" t="str">
        <f ca="1">IF(AND($C44="S",$X44&gt;0),IF(ISBLANK($Y44),"RA",LEFT($Y44,2)),"")</f>
        <v>RA</v>
      </c>
      <c r="AA44" s="128">
        <f ca="1">IF($C44="S",IF($Z44="CP",$X44,IF($Z44="RA",(($X44)*QCI!$AA$3),0)),SomaAgrup)</f>
        <v>2840</v>
      </c>
      <c r="AB44" s="129">
        <f ca="1">IF($C44="S",IF($Z44="OU",ROUND($X44,2),0),SomaAgrup)</f>
        <v>0</v>
      </c>
      <c r="AC44" s="566"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IF(AND(_xlfn.SINGLE(TIPOORCAMENTO)="Licitado",$AL44=0,$AN44&gt;0),"SEM PREÇO",
IF(AND($C44="S",$P44&lt;&gt;"",$Q44&lt;&gt;"",$U44&gt;0,$V44=0),"BDI",
IF(OR(AND(TIPOORCAMENTO="Proposto",LEFT($O$8,5)&lt;&gt;"(N/D:",$AG44&lt;&gt;"",ORÇAMENTO.CustoUnitario&gt;$AG44),AND(TIPOORCAMENTO="LICITADO",ORÇAMENTO.PrecoUnitarioLicitado&gt;$AN44)),"ACIMA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t="str">
        <f ca="1">IF(C44&lt;=CRONO.NivelExibicao,MAX($AD$15:OFFSET(AD44,-1,0))+IF($C44&lt;&gt;1,1,MAX(1,COUNTIF(QCI!$A$13:$A$24,OFFSET($E44,-1,0)))),"")</f>
        <v/>
      </c>
      <c r="AE44" s="7" t="str">
        <f ca="1">IF(AND($C44="S",ORÇAMENTO.CodBarra&lt;&gt;""),IF(ORÇAMENTO.Fonte="",ORÇAMENTO.CodBarra,CONCATENATE(ORÇAMENTO.Fonte," ",ORÇAMENTO.CodBarra)))</f>
        <v>SINAPI 88310</v>
      </c>
      <c r="AF44" s="12">
        <f ca="1">IF(ISERROR(INDIRECT(ORÇAMENTO.BancoRef)),"(abra o arquivo 'Referência "&amp;Excel_BuiltIn_Database&amp;".xlsm)",IF(OR($C44&lt;&gt;"S",ORÇAMENTO.CodBarra=""),"(Sem Código)",IF(ISERROR(MATCH($AE44,INDIRECT(ORÇAMENTO.BancoRef),0)),"(Código não identificado nas referências)",MATCH($AE44,INDIRECT(ORÇAMENTO.BancoRef),0))))</f>
        <v>13662</v>
      </c>
      <c r="AG44" s="429">
        <f ca="1">ROUND(IF(DESONERACAO="sim",REFERENCIA.Desonerado,REFERENCIA.NaoDesonerado),2)</f>
        <v>31</v>
      </c>
      <c r="AH44" s="430">
        <f ca="1">ROUND(IF(ISNUMBER(ORÇAMENTO.OpcaoBDI),ORÇAMENTO.OpcaoBDI,IF(LEFT(ORÇAMENTO.OpcaoBDI,3)="BDI",HLOOKUP(ORÇAMENTO.OpcaoBDI,$F$4:$H$5,2,FALSE),0)),15-11*$AF$9)</f>
        <v>0.27250000000000002</v>
      </c>
      <c r="AJ44" s="432"/>
      <c r="AL44" s="440"/>
      <c r="AM44" s="337">
        <f t="shared" ca="1" si="0"/>
        <v>2840</v>
      </c>
      <c r="AN44" s="471">
        <f ca="1">ROUND(ORÇAMENTO.CustoUnitario*(1+$AH44),2)</f>
        <v>35.5</v>
      </c>
    </row>
    <row r="45" spans="1:40" x14ac:dyDescent="0.2">
      <c r="A45" t="str">
        <f>CHOOSE(1+LOG(1+2*(ORÇAMENTO.Nivel="Meta")+4*(ORÇAMENTO.Nivel="Nível 2")+8*(ORÇAMENTO.Nivel="Nível 3")+16*(ORÇAMENTO.Nivel="Nível 4")+32*(ORÇAMENTO.Nivel="Serviço"),2),0,1,2,3,4,"S")</f>
        <v>S</v>
      </c>
      <c r="B45">
        <f ca="1">IF(OR(C45="s",C45=0),OFFSET(B45,-1,0),C45)</f>
        <v>2</v>
      </c>
      <c r="C45" t="str">
        <f ca="1">IF(OFFSET(C45,-1,0)="L",1,IF(OFFSET(C45,-1,0)=1,2,IF(OR(A45="s",A45=0),"S",IF(AND(OFFSET(C45,-1,0)=2,A45=4),3,IF(AND(OR(OFFSET(C45,-1,0)="s",OFFSET(C45,-1,0)=0),A45&lt;&gt;"s",A45&gt;OFFSET(B45,-1,0)),OFFSET(B45,-1,0),A45)))))</f>
        <v>S</v>
      </c>
      <c r="D45">
        <f ca="1">IF(OR(C45="S",C45=0),0,IF(ISERROR(K45),J45,SMALL(J45:K45,1)))</f>
        <v>0</v>
      </c>
      <c r="E45">
        <f ca="1">IF($C45=1,OFFSET(E45,-1,0)+MAX(1,COUNTIF(QCI!$A$13:$A$24,OFFSET(ORÇAMENTO!E45,-1,0))),OFFSET(E45,-1,0))</f>
        <v>1</v>
      </c>
      <c r="F45">
        <f ca="1">IF($C45=1,0,IF($C45=2,OFFSET(F45,-1,0)+1,OFFSET(F45,-1,0)))</f>
        <v>4</v>
      </c>
      <c r="G45">
        <f ca="1">IF(AND($C45&lt;=2,$C45&lt;&gt;0),0,IF($C45=3,OFFSET(G45,-1,0)+1,OFFSET(G45,-1,0)))</f>
        <v>0</v>
      </c>
      <c r="H45">
        <f ca="1">IF(AND($C45&lt;=3,$C45&lt;&gt;0),0,IF($C45=4,OFFSET(H45,-1,0)+1,OFFSET(H45,-1,0)))</f>
        <v>0</v>
      </c>
      <c r="I45">
        <f ca="1">IF(AND($C45&lt;=4,$C45&lt;&gt;0),0,IF(AND($C45="S",$X45&gt;0),OFFSET(I45,-1,0)+1,OFFSET(I45,-1,0)))</f>
        <v>4</v>
      </c>
      <c r="J45">
        <f t="shared" ca="1" si="9"/>
        <v>0</v>
      </c>
      <c r="K45">
        <f ca="1">IF(OR($C45="S",$C45=0),0,MATCH(OFFSET($D45,0,$C45)+IF($C45&lt;&gt;1,1,COUNTIF(QCI!$A$13:$A$24,ORÇAMENTO!E45)),OFFSET($D45,1,$C45,ROW($C$105)-ROW($C45)),0))</f>
        <v>0</v>
      </c>
      <c r="L45" s="115" t="str">
        <f ca="1">IF(OR($X45&gt;0,$C45=1,$C45=2,$C45=3,$C45=4),"F","")</f>
        <v>F</v>
      </c>
      <c r="M45" s="116" t="s">
        <v>706</v>
      </c>
      <c r="N45" s="117" t="str">
        <f ca="1">CHOOSE(1+LOG(1+2*(C45=1)+4*(C45=2)+8*(C45=3)+16*(C45=4)+32*(C45="S"),2),"","Meta","Nível 2","Nível 3","Nível 4","Serviço")</f>
        <v>Serviço</v>
      </c>
      <c r="O45" s="118" t="str">
        <f ca="1">IF(OR($C45=0,$L45=""),"-",CONCATENATE(E45&amp;".",IF(AND($A$5&gt;=2,$C45&gt;=2),F45&amp;".",""),IF(AND($A$5&gt;=3,$C45&gt;=3),G45&amp;".",""),IF(AND($A$5&gt;=4,$C45&gt;=4),H45&amp;".",""),IF($C45="S",I45&amp;".","")))</f>
        <v>1.4.4.</v>
      </c>
      <c r="P45" s="119" t="s">
        <v>751</v>
      </c>
      <c r="Q45" s="120" t="s">
        <v>981</v>
      </c>
      <c r="R45" s="121" t="str">
        <f ca="1">IF($C45="S",REFERENCIA.Descricao,"(digite a descrição aqui)")</f>
        <v>AJUDANTE DE PINTOR COM ENCARGOS COMPLEMENTARES</v>
      </c>
      <c r="S45" s="122" t="str">
        <f ca="1">REFERENCIA.Unidade</f>
        <v>H</v>
      </c>
      <c r="T45" s="123">
        <f ca="1">OFFSET(CÁLCULO!H$15,ROW($T45)-ROW(T$15),0)</f>
        <v>80</v>
      </c>
      <c r="U45" s="124">
        <v>24.75</v>
      </c>
      <c r="V45" s="125" t="s">
        <v>664</v>
      </c>
      <c r="W45" s="123">
        <f ca="1">IF($C45="S",ROUND(IF(TIPOORCAMENTO="Proposto",ORÇAMENTO.CustoUnitario*(1+$AH45),ORÇAMENTO.PrecoUnitarioLicitado),15-13*$AF$10),0)</f>
        <v>31.49</v>
      </c>
      <c r="X45" s="126" cm="1">
        <f t="array" aca="1" ref="X45" ca="1">IF($C45="S",IF(OR(Import.TipoArredondamento&lt;&gt;"TransfereGOV",ACOMPANHAMENTO="BM"),VTOTAL1,SUM(OFFSET(CÁLCULO!$AA$15,ROW($X45)-ROW($X$15),1):OFFSET(CÁLCULO!$AL$15,ROW($X45)-ROW($X$15),-1))),IF($C45=0,0,ROUND(SomaAgrup,15-13*$AF$11)))</f>
        <v>2519.1999999999998</v>
      </c>
      <c r="Y45" s="127" t="s">
        <v>752</v>
      </c>
      <c r="Z45" t="str">
        <f ca="1">IF(AND($C45="S",$X45&gt;0),IF(ISBLANK($Y45),"RA",LEFT($Y45,2)),"")</f>
        <v>RA</v>
      </c>
      <c r="AA45" s="128">
        <f ca="1">IF($C45="S",IF($Z45="CP",$X45,IF($Z45="RA",(($X45)*QCI!$AA$3),0)),SomaAgrup)</f>
        <v>2519.1999999999998</v>
      </c>
      <c r="AB45" s="129">
        <f ca="1">IF($C45="S",IF($Z45="OU",ROUND($X45,2),0),SomaAgrup)</f>
        <v>0</v>
      </c>
      <c r="AC45" s="566"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IF(AND(_xlfn.SINGLE(TIPOORCAMENTO)="Licitado",$AL45=0,$AN45&gt;0),"SEM PREÇO",
IF(AND($C45="S",$P45&lt;&gt;"",$Q45&lt;&gt;"",$U45&gt;0,$V45=0),"BDI",
IF(OR(AND(TIPOORCAMENTO="Proposto",LEFT($O$8,5)&lt;&gt;"(N/D:",$AG45&lt;&gt;"",ORÇAMENTO.CustoUnitario&gt;$AG45),AND(TIPOORCAMENTO="LICITADO",ORÇAMENTO.PrecoUnitarioLicitado&gt;$AN45)),"ACIMA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t="str">
        <f ca="1">IF(C45&lt;=CRONO.NivelExibicao,MAX($AD$15:OFFSET(AD45,-1,0))+IF($C45&lt;&gt;1,1,MAX(1,COUNTIF(QCI!$A$13:$A$24,OFFSET($E45,-1,0)))),"")</f>
        <v/>
      </c>
      <c r="AE45" s="7" t="str">
        <f ca="1">IF(AND($C45="S",ORÇAMENTO.CodBarra&lt;&gt;""),IF(ORÇAMENTO.Fonte="",ORÇAMENTO.CodBarra,CONCATENATE(ORÇAMENTO.Fonte," ",ORÇAMENTO.CodBarra)))</f>
        <v>SINAPI 100301</v>
      </c>
      <c r="AF45" s="12">
        <f ca="1">IF(ISERROR(INDIRECT(ORÇAMENTO.BancoRef)),"(abra o arquivo 'Referência "&amp;Excel_BuiltIn_Database&amp;".xlsm)",IF(OR($C45&lt;&gt;"S",ORÇAMENTO.CodBarra=""),"(Sem Código)",IF(ISERROR(MATCH($AE45,INDIRECT(ORÇAMENTO.BancoRef),0)),"(Código não identificado nas referências)",MATCH($AE45,INDIRECT(ORÇAMENTO.BancoRef),0))))</f>
        <v>13329</v>
      </c>
      <c r="AG45" s="429">
        <f ca="1">ROUND(IF(DESONERACAO="sim",REFERENCIA.Desonerado,REFERENCIA.NaoDesonerado),2)</f>
        <v>27.51</v>
      </c>
      <c r="AH45" s="430">
        <f ca="1">ROUND(IF(ISNUMBER(ORÇAMENTO.OpcaoBDI),ORÇAMENTO.OpcaoBDI,IF(LEFT(ORÇAMENTO.OpcaoBDI,3)="BDI",HLOOKUP(ORÇAMENTO.OpcaoBDI,$F$4:$H$5,2,FALSE),0)),15-11*$AF$9)</f>
        <v>0.27250000000000002</v>
      </c>
      <c r="AJ45" s="432"/>
      <c r="AL45" s="440"/>
      <c r="AM45" s="337">
        <f t="shared" ca="1" si="0"/>
        <v>2519.1999999999998</v>
      </c>
      <c r="AN45" s="471">
        <f ca="1">ROUND(ORÇAMENTO.CustoUnitario*(1+$AH45),2)</f>
        <v>31.49</v>
      </c>
    </row>
    <row r="46" spans="1:40" ht="51" x14ac:dyDescent="0.2">
      <c r="A46" t="str">
        <f t="shared" si="43"/>
        <v>S</v>
      </c>
      <c r="B46">
        <f t="shared" ca="1" si="69"/>
        <v>2</v>
      </c>
      <c r="C46" t="str">
        <f t="shared" ca="1" si="70"/>
        <v>S</v>
      </c>
      <c r="D46">
        <f t="shared" ca="1" si="71"/>
        <v>0</v>
      </c>
      <c r="E46">
        <f ca="1">IF($C46=1,OFFSET(E46,-1,0)+MAX(1,COUNTIF(QCI!$A$13:$A$24,OFFSET(ORÇAMENTO!E46,-1,0))),OFFSET(E46,-1,0))</f>
        <v>1</v>
      </c>
      <c r="F46">
        <f t="shared" ca="1" si="72"/>
        <v>4</v>
      </c>
      <c r="G46">
        <f t="shared" ca="1" si="73"/>
        <v>0</v>
      </c>
      <c r="H46">
        <f t="shared" ca="1" si="74"/>
        <v>0</v>
      </c>
      <c r="I46">
        <f t="shared" ca="1" si="75"/>
        <v>5</v>
      </c>
      <c r="J46">
        <f t="shared" ca="1" si="9"/>
        <v>0</v>
      </c>
      <c r="K46">
        <f ca="1">IF(OR($C46="S",$C46=0),0,MATCH(OFFSET($D46,0,$C46)+IF($C46&lt;&gt;1,1,COUNTIF(QCI!$A$13:$A$24,ORÇAMENTO!E46)),OFFSET($D46,1,$C46,ROW($C$105)-ROW($C46)),0))</f>
        <v>0</v>
      </c>
      <c r="L46" s="115" t="str">
        <f t="shared" ca="1" si="76"/>
        <v>F</v>
      </c>
      <c r="M46" s="116" t="s">
        <v>706</v>
      </c>
      <c r="N46" s="117" t="str">
        <f t="shared" ca="1" si="77"/>
        <v>Serviço</v>
      </c>
      <c r="O46" s="118" t="str">
        <f t="shared" ca="1" si="78"/>
        <v>1.4.5.</v>
      </c>
      <c r="P46" s="119" t="s">
        <v>751</v>
      </c>
      <c r="Q46" s="120" t="s">
        <v>974</v>
      </c>
      <c r="R46" s="121" t="str">
        <f ca="1">IF($C46="S",REFERENCIA.Descricao,"(digite a descrição aqui)")</f>
        <v>ALVENARIA DE VEDAÇÃO DE BLOCOS CERÂMICOS FURADOS NA HORIZONTAL DE 11,5X19X39 CM (ESPESSURA 11,5 CM) E ARGAMASSA DE ASSENTAMENTO COM PREPARO EM BETONEIRA. AF_12/2021</v>
      </c>
      <c r="S46" s="122" t="str">
        <f ca="1">REFERENCIA.Unidade</f>
        <v>M2</v>
      </c>
      <c r="T46" s="123">
        <f ca="1">OFFSET(CÁLCULO!H$15,ROW($T46)-ROW(T$15),0)</f>
        <v>7</v>
      </c>
      <c r="U46" s="124">
        <v>58.75</v>
      </c>
      <c r="V46" s="125" t="s">
        <v>664</v>
      </c>
      <c r="W46" s="123">
        <f ca="1">IF($C46="S",ROUND(IF(TIPOORCAMENTO="Proposto",ORÇAMENTO.CustoUnitario*(1+$AH46),ORÇAMENTO.PrecoUnitarioLicitado),15-13*$AF$10),0)</f>
        <v>74.760000000000005</v>
      </c>
      <c r="X46" s="126" cm="1">
        <f t="array" aca="1" ref="X46" ca="1">IF($C46="S",IF(OR(Import.TipoArredondamento&lt;&gt;"TransfereGOV",ACOMPANHAMENTO="BM"),VTOTAL1,SUM(OFFSET(CÁLCULO!$AA$15,ROW($X46)-ROW($X$15),1):OFFSET(CÁLCULO!$AL$15,ROW($X46)-ROW($X$15),-1))),IF($C46=0,0,ROUND(SomaAgrup,15-13*$AF$11)))</f>
        <v>523.32000000000005</v>
      </c>
      <c r="Y46" s="127" t="s">
        <v>752</v>
      </c>
      <c r="Z46" t="str">
        <f t="shared" ca="1" si="79"/>
        <v>RA</v>
      </c>
      <c r="AA46" s="128">
        <f ca="1">IF($C46="S",IF($Z46="CP",$X46,IF($Z46="RA",(($X46)*QCI!$AA$3),0)),SomaAgrup)</f>
        <v>523.32000000000005</v>
      </c>
      <c r="AB46" s="129">
        <f t="shared" ca="1" si="55"/>
        <v>0</v>
      </c>
      <c r="AC46" s="566"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IF(AND(_xlfn.SINGLE(TIPOORCAMENTO)="Licitado",$AL46=0,$AN46&gt;0),"SEM PREÇO",
IF(AND($C46="S",$P46&lt;&gt;"",$Q46&lt;&gt;"",$U46&gt;0,$V46=0),"BDI",
IF(OR(AND(TIPOORCAMENTO="Proposto",LEFT($O$8,5)&lt;&gt;"(N/D:",$AG46&lt;&gt;"",ORÇAMENTO.CustoUnitario&gt;$AG46),AND(TIPOORCAMENTO="LICITADO",ORÇAMENTO.PrecoUnitarioLicitado&gt;$AN46)),"ACIMA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t="str">
        <f ca="1">IF(C46&lt;=CRONO.NivelExibicao,MAX($AD$15:OFFSET(AD46,-1,0))+IF($C46&lt;&gt;1,1,MAX(1,COUNTIF(QCI!$A$13:$A$24,OFFSET($E46,-1,0)))),"")</f>
        <v/>
      </c>
      <c r="AE46" s="7" t="str">
        <f ca="1">IF(AND($C46="S",ORÇAMENTO.CodBarra&lt;&gt;""),IF(ORÇAMENTO.Fonte="",ORÇAMENTO.CodBarra,CONCATENATE(ORÇAMENTO.Fonte," ",ORÇAMENTO.CodBarra)))</f>
        <v>SINAPI 103366</v>
      </c>
      <c r="AF46" s="12">
        <f ca="1">IF(ISERROR(INDIRECT(ORÇAMENTO.BancoRef)),"(abra o arquivo 'Referência "&amp;Excel_BuiltIn_Database&amp;".xlsm)",IF(OR($C46&lt;&gt;"S",ORÇAMENTO.CodBarra=""),"(Sem Código)",IF(ISERROR(MATCH($AE46,INDIRECT(ORÇAMENTO.BancoRef),0)),"(Código não identificado nas referências)",MATCH($AE46,INDIRECT(ORÇAMENTO.BancoRef),0))))</f>
        <v>6232</v>
      </c>
      <c r="AG46" s="429">
        <f ca="1">ROUND(IF(DESONERACAO="sim",REFERENCIA.Desonerado,REFERENCIA.NaoDesonerado),2)</f>
        <v>65.290000000000006</v>
      </c>
      <c r="AH46" s="430">
        <f t="shared" ca="1" si="56"/>
        <v>0.27250000000000002</v>
      </c>
      <c r="AJ46" s="432"/>
      <c r="AL46" s="440"/>
      <c r="AM46" s="337">
        <f t="shared" ca="1" si="0"/>
        <v>523.32000000000005</v>
      </c>
      <c r="AN46" s="471">
        <f t="shared" ca="1" si="57"/>
        <v>74.760000000000005</v>
      </c>
    </row>
    <row r="47" spans="1:40" ht="51" x14ac:dyDescent="0.2">
      <c r="A47" t="str">
        <f t="shared" si="43"/>
        <v>S</v>
      </c>
      <c r="B47">
        <f t="shared" ca="1" si="69"/>
        <v>2</v>
      </c>
      <c r="C47" t="str">
        <f t="shared" ca="1" si="70"/>
        <v>S</v>
      </c>
      <c r="D47">
        <f t="shared" ca="1" si="71"/>
        <v>0</v>
      </c>
      <c r="E47">
        <f ca="1">IF($C47=1,OFFSET(E47,-1,0)+MAX(1,COUNTIF(QCI!$A$13:$A$24,OFFSET(ORÇAMENTO!E47,-1,0))),OFFSET(E47,-1,0))</f>
        <v>1</v>
      </c>
      <c r="F47">
        <f t="shared" ca="1" si="72"/>
        <v>4</v>
      </c>
      <c r="G47">
        <f t="shared" ca="1" si="73"/>
        <v>0</v>
      </c>
      <c r="H47">
        <f t="shared" ca="1" si="74"/>
        <v>0</v>
      </c>
      <c r="I47">
        <f t="shared" ca="1" si="75"/>
        <v>6</v>
      </c>
      <c r="J47">
        <f t="shared" ca="1" si="9"/>
        <v>0</v>
      </c>
      <c r="K47">
        <f ca="1">IF(OR($C47="S",$C47=0),0,MATCH(OFFSET($D47,0,$C47)+IF($C47&lt;&gt;1,1,COUNTIF(QCI!$A$13:$A$24,ORÇAMENTO!E47)),OFFSET($D47,1,$C47,ROW($C$105)-ROW($C47)),0))</f>
        <v>0</v>
      </c>
      <c r="L47" s="115" t="str">
        <f t="shared" ca="1" si="76"/>
        <v>F</v>
      </c>
      <c r="M47" s="116" t="s">
        <v>706</v>
      </c>
      <c r="N47" s="117" t="str">
        <f t="shared" ca="1" si="77"/>
        <v>Serviço</v>
      </c>
      <c r="O47" s="118" t="str">
        <f t="shared" ca="1" si="78"/>
        <v>1.4.6.</v>
      </c>
      <c r="P47" s="119" t="s">
        <v>751</v>
      </c>
      <c r="Q47" s="120" t="s">
        <v>1079</v>
      </c>
      <c r="R47" s="121" t="str">
        <f ca="1">IF($C47="S",REFERENCIA.Descricao,"(digite a descrição aqui)")</f>
        <v>ARGAMASSA TRAÇO 1:1,5:7,5 (EM VOLUME DE CIMENTO, CAL E AREIA MÉDIA ÚMIDA) PARA EMBOÇO/MASSA ÚNICA/ASSENTAMENTO DE ALVENARIA DE VEDAÇÃO, PREPARO MECÂNICO COM BETONEIRA ATÉ 600 L. AF_07/2026</v>
      </c>
      <c r="S47" s="122" t="str">
        <f ca="1">REFERENCIA.Unidade</f>
        <v>M3</v>
      </c>
      <c r="T47" s="123">
        <f ca="1">OFFSET(CÁLCULO!H$15,ROW($T47)-ROW(T$15),0)</f>
        <v>0.5</v>
      </c>
      <c r="U47" s="124">
        <v>562.29999999999995</v>
      </c>
      <c r="V47" s="125" t="s">
        <v>664</v>
      </c>
      <c r="W47" s="123">
        <f ca="1">IF($C47="S",ROUND(IF(TIPOORCAMENTO="Proposto",ORÇAMENTO.CustoUnitario*(1+$AH47),ORÇAMENTO.PrecoUnitarioLicitado),15-13*$AF$10),0)</f>
        <v>715.53</v>
      </c>
      <c r="X47" s="126" cm="1">
        <f t="array" aca="1" ref="X47" ca="1">IF($C47="S",IF(OR(Import.TipoArredondamento&lt;&gt;"TransfereGOV",ACOMPANHAMENTO="BM"),VTOTAL1,SUM(OFFSET(CÁLCULO!$AA$15,ROW($X47)-ROW($X$15),1):OFFSET(CÁLCULO!$AL$15,ROW($X47)-ROW($X$15),-1))),IF($C47=0,0,ROUND(SomaAgrup,15-13*$AF$11)))</f>
        <v>357.77</v>
      </c>
      <c r="Y47" s="127" t="s">
        <v>752</v>
      </c>
      <c r="Z47" t="str">
        <f t="shared" ca="1" si="79"/>
        <v>RA</v>
      </c>
      <c r="AA47" s="128">
        <f ca="1">IF($C47="S",IF($Z47="CP",$X47,IF($Z47="RA",(($X47)*QCI!$AA$3),0)),SomaAgrup)</f>
        <v>357.77</v>
      </c>
      <c r="AB47" s="129">
        <f t="shared" ca="1" si="55"/>
        <v>0</v>
      </c>
      <c r="AC47" s="566"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IF(AND(_xlfn.SINGLE(TIPOORCAMENTO)="Licitado",$AL47=0,$AN47&gt;0),"SEM PREÇO",
IF(AND($C47="S",$P47&lt;&gt;"",$Q47&lt;&gt;"",$U47&gt;0,$V47=0),"BDI",
IF(OR(AND(TIPOORCAMENTO="Proposto",LEFT($O$8,5)&lt;&gt;"(N/D:",$AG47&lt;&gt;"",ORÇAMENTO.CustoUnitario&gt;$AG47),AND(TIPOORCAMENTO="LICITADO",ORÇAMENTO.PrecoUnitarioLicitado&gt;$AN47)),"ACIMA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t="str">
        <f ca="1">IF(C47&lt;=CRONO.NivelExibicao,MAX($AD$15:OFFSET(AD47,-1,0))+IF($C47&lt;&gt;1,1,MAX(1,COUNTIF(QCI!$A$13:$A$24,OFFSET($E47,-1,0)))),"")</f>
        <v/>
      </c>
      <c r="AE47" s="7" t="str">
        <f ca="1">IF(AND($C47="S",ORÇAMENTO.CodBarra&lt;&gt;""),IF(ORÇAMENTO.Fonte="",ORÇAMENTO.CodBarra,CONCATENATE(ORÇAMENTO.Fonte," ",ORÇAMENTO.CodBarra)))</f>
        <v>SINAPI 87289</v>
      </c>
      <c r="AF47" s="12">
        <f ca="1">IF(ISERROR(INDIRECT(ORÇAMENTO.BancoRef)),"(abra o arquivo 'Referência "&amp;Excel_BuiltIn_Database&amp;".xlsm)",IF(OR($C47&lt;&gt;"S",ORÇAMENTO.CodBarra=""),"(Sem Código)",IF(ISERROR(MATCH($AE47,INDIRECT(ORÇAMENTO.BancoRef),0)),"(Código não identificado nas referências)",MATCH($AE47,INDIRECT(ORÇAMENTO.BancoRef),0))))</f>
        <v>6323</v>
      </c>
      <c r="AG47" s="429">
        <f ca="1">ROUND(IF(DESONERACAO="sim",REFERENCIA.Desonerado,REFERENCIA.NaoDesonerado),2)</f>
        <v>624.78</v>
      </c>
      <c r="AH47" s="430">
        <f t="shared" ca="1" si="56"/>
        <v>0.27250000000000002</v>
      </c>
      <c r="AJ47" s="432"/>
      <c r="AL47" s="440"/>
      <c r="AM47" s="337">
        <f t="shared" ca="1" si="0"/>
        <v>357.77</v>
      </c>
      <c r="AN47" s="471">
        <f t="shared" ca="1" si="57"/>
        <v>715.53</v>
      </c>
    </row>
    <row r="48" spans="1:40" x14ac:dyDescent="0.2">
      <c r="A48">
        <f t="shared" si="43"/>
        <v>2</v>
      </c>
      <c r="B48">
        <f t="shared" ca="1" si="69"/>
        <v>2</v>
      </c>
      <c r="C48">
        <f t="shared" ca="1" si="70"/>
        <v>2</v>
      </c>
      <c r="D48">
        <f t="shared" ca="1" si="71"/>
        <v>2</v>
      </c>
      <c r="E48">
        <f ca="1">IF($C48=1,OFFSET(E48,-1,0)+MAX(1,COUNTIF(QCI!$A$13:$A$24,OFFSET(ORÇAMENTO!E48,-1,0))),OFFSET(E48,-1,0))</f>
        <v>1</v>
      </c>
      <c r="F48">
        <f t="shared" ca="1" si="72"/>
        <v>5</v>
      </c>
      <c r="G48">
        <f t="shared" ca="1" si="73"/>
        <v>0</v>
      </c>
      <c r="H48">
        <f t="shared" ca="1" si="74"/>
        <v>0</v>
      </c>
      <c r="I48">
        <f t="shared" ca="1" si="75"/>
        <v>0</v>
      </c>
      <c r="J48">
        <f t="shared" ref="J48:J84" ca="1" si="80">IF(OR($C48="S",$C48=0),0,MATCH(0,OFFSET($D48,1,$C48,ROW($C$105)-ROW($C48)),0))</f>
        <v>57</v>
      </c>
      <c r="K48">
        <f ca="1">IF(OR($C48="S",$C48=0),0,MATCH(OFFSET($D48,0,$C48)+IF($C48&lt;&gt;1,1,COUNTIF(QCI!$A$13:$A$24,ORÇAMENTO!E48)),OFFSET($D48,1,$C48,ROW($C$105)-ROW($C48)),0))</f>
        <v>2</v>
      </c>
      <c r="L48" s="115" t="str">
        <f t="shared" ca="1" si="76"/>
        <v>F</v>
      </c>
      <c r="M48" s="116" t="s">
        <v>703</v>
      </c>
      <c r="N48" s="117" t="str">
        <f t="shared" ca="1" si="77"/>
        <v>Nível 2</v>
      </c>
      <c r="O48" s="118" t="str">
        <f t="shared" ca="1" si="78"/>
        <v>1.5.</v>
      </c>
      <c r="P48" s="119" t="s">
        <v>751</v>
      </c>
      <c r="Q48" s="120"/>
      <c r="R48" s="121" t="s">
        <v>1010</v>
      </c>
      <c r="S48" s="122" t="str">
        <f ca="1">REFERENCIA.Unidade</f>
        <v>-</v>
      </c>
      <c r="T48" s="123">
        <f ca="1">OFFSET(CÁLCULO!H$15,ROW($T48)-ROW(T$15),0)</f>
        <v>0</v>
      </c>
      <c r="U48" s="124"/>
      <c r="V48" s="125" t="s">
        <v>664</v>
      </c>
      <c r="W48" s="123">
        <f ca="1">IF($C48="S",ROUND(IF(TIPOORCAMENTO="Proposto",ORÇAMENTO.CustoUnitario*(1+$AH48),ORÇAMENTO.PrecoUnitarioLicitado),15-13*$AF$10),0)</f>
        <v>0</v>
      </c>
      <c r="X48" s="126" cm="1">
        <f t="array" aca="1" ref="X48" ca="1">IF($C48="S",IF(OR(Import.TipoArredondamento&lt;&gt;"TransfereGOV",ACOMPANHAMENTO="BM"),VTOTAL1,SUM(OFFSET(CÁLCULO!$AA$15,ROW($X48)-ROW($X$15),1):OFFSET(CÁLCULO!$AL$15,ROW($X48)-ROW($X$15),-1))),IF($C48=0,0,ROUND(SomaAgrup,15-13*$AF$11)))</f>
        <v>2857.22</v>
      </c>
      <c r="Y48" s="127" t="s">
        <v>752</v>
      </c>
      <c r="Z48" t="str">
        <f t="shared" ca="1" si="79"/>
        <v/>
      </c>
      <c r="AA48" s="128">
        <f ca="1">IF($C48="S",IF($Z48="CP",$X48,IF($Z48="RA",(($X48)*QCI!$AA$3),0)),SomaAgrup)</f>
        <v>2857.22</v>
      </c>
      <c r="AB48" s="129">
        <f t="shared" ca="1" si="55"/>
        <v>0</v>
      </c>
      <c r="AC48" s="566"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IF(AND(_xlfn.SINGLE(TIPOORCAMENTO)="Licitado",$AL48=0,$AN48&gt;0),"SEM PREÇO",
IF(AND($C48="S",$P48&lt;&gt;"",$Q48&lt;&gt;"",$U48&gt;0,$V48=0),"BDI",
IF(OR(AND(TIPOORCAMENTO="Proposto",LEFT($O$8,5)&lt;&gt;"(N/D:",$AG48&lt;&gt;"",ORÇAMENTO.CustoUnitario&gt;$AG48),AND(TIPOORCAMENTO="LICITADO",ORÇAMENTO.PrecoUnitarioLicitado&gt;$AN48)),"ACIMA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f ca="1">IF(C48&lt;=CRONO.NivelExibicao,MAX($AD$15:OFFSET(AD48,-1,0))+IF($C48&lt;&gt;1,1,MAX(1,COUNTIF(QCI!$A$13:$A$24,OFFSET($E48,-1,0)))),"")</f>
        <v>6</v>
      </c>
      <c r="AE48" s="7" t="b">
        <f ca="1">IF(AND($C48="S",ORÇAMENTO.CodBarra&lt;&gt;""),IF(ORÇAMENTO.Fonte="",ORÇAMENTO.CodBarra,CONCATENATE(ORÇAMENTO.Fonte," ",ORÇAMENTO.CodBarra)))</f>
        <v>0</v>
      </c>
      <c r="AF48" s="12" t="str">
        <f ca="1">IF(ISERROR(INDIRECT(ORÇAMENTO.BancoRef)),"(abra o arquivo 'Referência "&amp;Excel_BuiltIn_Database&amp;".xlsm)",IF(OR($C48&lt;&gt;"S",ORÇAMENTO.CodBarra=""),"(Sem Código)",IF(ISERROR(MATCH($AE48,INDIRECT(ORÇAMENTO.BancoRef),0)),"(Código não identificado nas referências)",MATCH($AE48,INDIRECT(ORÇAMENTO.BancoRef),0))))</f>
        <v>(Sem Código)</v>
      </c>
      <c r="AG48" s="429">
        <f ca="1">ROUND(IF(DESONERACAO="sim",REFERENCIA.Desonerado,REFERENCIA.NaoDesonerado),2)</f>
        <v>0</v>
      </c>
      <c r="AH48" s="430">
        <f t="shared" ca="1" si="56"/>
        <v>0.27250000000000002</v>
      </c>
      <c r="AJ48" s="432"/>
      <c r="AL48" s="440"/>
      <c r="AM48" s="337">
        <f t="shared" ca="1" si="0"/>
        <v>2857.22</v>
      </c>
      <c r="AN48" s="471">
        <f t="shared" ca="1" si="57"/>
        <v>0</v>
      </c>
    </row>
    <row r="49" spans="1:40" ht="38.25" x14ac:dyDescent="0.2">
      <c r="A49" t="str">
        <f t="shared" si="43"/>
        <v>S</v>
      </c>
      <c r="B49">
        <f t="shared" ca="1" si="69"/>
        <v>2</v>
      </c>
      <c r="C49" t="str">
        <f t="shared" ca="1" si="70"/>
        <v>S</v>
      </c>
      <c r="D49">
        <f t="shared" ca="1" si="71"/>
        <v>0</v>
      </c>
      <c r="E49">
        <f ca="1">IF($C49=1,OFFSET(E49,-1,0)+MAX(1,COUNTIF(QCI!$A$13:$A$24,OFFSET(ORÇAMENTO!E49,-1,0))),OFFSET(E49,-1,0))</f>
        <v>1</v>
      </c>
      <c r="F49">
        <f t="shared" ca="1" si="72"/>
        <v>5</v>
      </c>
      <c r="G49">
        <f t="shared" ca="1" si="73"/>
        <v>0</v>
      </c>
      <c r="H49">
        <f t="shared" ca="1" si="74"/>
        <v>0</v>
      </c>
      <c r="I49">
        <f t="shared" ca="1" si="75"/>
        <v>1</v>
      </c>
      <c r="J49">
        <f t="shared" ca="1" si="80"/>
        <v>0</v>
      </c>
      <c r="K49">
        <f ca="1">IF(OR($C49="S",$C49=0),0,MATCH(OFFSET($D49,0,$C49)+IF($C49&lt;&gt;1,1,COUNTIF(QCI!$A$13:$A$24,ORÇAMENTO!E49)),OFFSET($D49,1,$C49,ROW($C$105)-ROW($C49)),0))</f>
        <v>0</v>
      </c>
      <c r="L49" s="115" t="str">
        <f t="shared" ca="1" si="76"/>
        <v>F</v>
      </c>
      <c r="M49" s="116" t="s">
        <v>706</v>
      </c>
      <c r="N49" s="117" t="str">
        <f t="shared" ca="1" si="77"/>
        <v>Serviço</v>
      </c>
      <c r="O49" s="118" t="str">
        <f t="shared" ca="1" si="78"/>
        <v>1.5.1.</v>
      </c>
      <c r="P49" s="119" t="s">
        <v>751</v>
      </c>
      <c r="Q49" s="120" t="s">
        <v>1011</v>
      </c>
      <c r="R49" s="121" t="str">
        <f ca="1">IF($C49="S",REFERENCIA.Descricao,"(digite a descrição aqui)")</f>
        <v>PINTURA COM TINTA ACRILICA DE ACABAMENTO PULVERIZADA SOBRE SUPERFICIES METALICAS (EXCETO PERFIL) EXECUTADO EM OBRA (02 DEMAOS). AF_01/2020</v>
      </c>
      <c r="S49" s="122" t="str">
        <f ca="1">REFERENCIA.Unidade</f>
        <v>M2</v>
      </c>
      <c r="T49" s="123">
        <f ca="1">OFFSET(CÁLCULO!H$15,ROW($T49)-ROW(T$15),0)</f>
        <v>103</v>
      </c>
      <c r="U49" s="124">
        <v>21.8</v>
      </c>
      <c r="V49" s="125" t="s">
        <v>664</v>
      </c>
      <c r="W49" s="123">
        <f ca="1">IF($C49="S",ROUND(IF(TIPOORCAMENTO="Proposto",ORÇAMENTO.CustoUnitario*(1+$AH49),ORÇAMENTO.PrecoUnitarioLicitado),15-13*$AF$10),0)</f>
        <v>27.74</v>
      </c>
      <c r="X49" s="126" cm="1">
        <f t="array" aca="1" ref="X49" ca="1">IF($C49="S",IF(OR(Import.TipoArredondamento&lt;&gt;"TransfereGOV",ACOMPANHAMENTO="BM"),VTOTAL1,SUM(OFFSET(CÁLCULO!$AA$15,ROW($X49)-ROW($X$15),1):OFFSET(CÁLCULO!$AL$15,ROW($X49)-ROW($X$15),-1))),IF($C49=0,0,ROUND(SomaAgrup,15-13*$AF$11)))</f>
        <v>2857.22</v>
      </c>
      <c r="Y49" s="127" t="s">
        <v>752</v>
      </c>
      <c r="Z49" t="str">
        <f t="shared" ca="1" si="79"/>
        <v>RA</v>
      </c>
      <c r="AA49" s="128">
        <f ca="1">IF($C49="S",IF($Z49="CP",$X49,IF($Z49="RA",(($X49)*QCI!$AA$3),0)),SomaAgrup)</f>
        <v>2857.22</v>
      </c>
      <c r="AB49" s="129">
        <f t="shared" ca="1" si="55"/>
        <v>0</v>
      </c>
      <c r="AC49" s="566"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IF(AND(_xlfn.SINGLE(TIPOORCAMENTO)="Licitado",$AL49=0,$AN49&gt;0),"SEM PREÇO",
IF(AND($C49="S",$P49&lt;&gt;"",$Q49&lt;&gt;"",$U49&gt;0,$V49=0),"BDI",
IF(OR(AND(TIPOORCAMENTO="Proposto",LEFT($O$8,5)&lt;&gt;"(N/D:",$AG49&lt;&gt;"",ORÇAMENTO.CustoUnitario&gt;$AG49),AND(TIPOORCAMENTO="LICITADO",ORÇAMENTO.PrecoUnitarioLicitado&gt;$AN49)),"ACIMA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t="str">
        <f ca="1">IF(C49&lt;=CRONO.NivelExibicao,MAX($AD$15:OFFSET(AD49,-1,0))+IF($C49&lt;&gt;1,1,MAX(1,COUNTIF(QCI!$A$13:$A$24,OFFSET($E49,-1,0)))),"")</f>
        <v/>
      </c>
      <c r="AE49" s="7" t="str">
        <f ca="1">IF(AND($C49="S",ORÇAMENTO.CodBarra&lt;&gt;""),IF(ORÇAMENTO.Fonte="",ORÇAMENTO.CodBarra,CONCATENATE(ORÇAMENTO.Fonte," ",ORÇAMENTO.CodBarra)))</f>
        <v>SINAPI 100753</v>
      </c>
      <c r="AF49" s="12">
        <f ca="1">IF(ISERROR(INDIRECT(ORÇAMENTO.BancoRef)),"(abra o arquivo 'Referência "&amp;Excel_BuiltIn_Database&amp;".xlsm)",IF(OR($C49&lt;&gt;"S",ORÇAMENTO.CodBarra=""),"(Sem Código)",IF(ISERROR(MATCH($AE49,INDIRECT(ORÇAMENTO.BancoRef),0)),"(Código não identificado nas referências)",MATCH($AE49,INDIRECT(ORÇAMENTO.BancoRef),0))))</f>
        <v>14568</v>
      </c>
      <c r="AG49" s="429">
        <f ca="1">ROUND(IF(DESONERACAO="sim",REFERENCIA.Desonerado,REFERENCIA.NaoDesonerado),2)</f>
        <v>24.22</v>
      </c>
      <c r="AH49" s="430">
        <f t="shared" ca="1" si="56"/>
        <v>0.27250000000000002</v>
      </c>
      <c r="AJ49" s="432"/>
      <c r="AL49" s="440"/>
      <c r="AM49" s="337">
        <f t="shared" ca="1" si="0"/>
        <v>2857.22</v>
      </c>
      <c r="AN49" s="471">
        <f t="shared" ca="1" si="57"/>
        <v>27.74</v>
      </c>
    </row>
    <row r="50" spans="1:40" x14ac:dyDescent="0.2">
      <c r="A50">
        <f t="shared" si="43"/>
        <v>2</v>
      </c>
      <c r="B50">
        <f t="shared" ca="1" si="69"/>
        <v>2</v>
      </c>
      <c r="C50">
        <f t="shared" ca="1" si="70"/>
        <v>2</v>
      </c>
      <c r="D50">
        <f t="shared" ca="1" si="71"/>
        <v>37</v>
      </c>
      <c r="E50">
        <f ca="1">IF($C50=1,OFFSET(E50,-1,0)+MAX(1,COUNTIF(QCI!$A$13:$A$24,OFFSET(ORÇAMENTO!E50,-1,0))),OFFSET(E50,-1,0))</f>
        <v>1</v>
      </c>
      <c r="F50">
        <f t="shared" ca="1" si="72"/>
        <v>6</v>
      </c>
      <c r="G50">
        <f t="shared" ca="1" si="73"/>
        <v>0</v>
      </c>
      <c r="H50">
        <f t="shared" ca="1" si="74"/>
        <v>0</v>
      </c>
      <c r="I50">
        <f t="shared" ca="1" si="75"/>
        <v>0</v>
      </c>
      <c r="J50">
        <f t="shared" ca="1" si="80"/>
        <v>55</v>
      </c>
      <c r="K50">
        <f ca="1">IF(OR($C50="S",$C50=0),0,MATCH(OFFSET($D50,0,$C50)+IF($C50&lt;&gt;1,1,COUNTIF(QCI!$A$13:$A$24,ORÇAMENTO!E50)),OFFSET($D50,1,$C50,ROW($C$105)-ROW($C50)),0))</f>
        <v>37</v>
      </c>
      <c r="L50" s="115" t="str">
        <f t="shared" ca="1" si="76"/>
        <v>F</v>
      </c>
      <c r="M50" s="116" t="s">
        <v>703</v>
      </c>
      <c r="N50" s="117" t="str">
        <f t="shared" ca="1" si="77"/>
        <v>Nível 2</v>
      </c>
      <c r="O50" s="118" t="str">
        <f t="shared" ca="1" si="78"/>
        <v>1.6.</v>
      </c>
      <c r="P50" s="119" t="s">
        <v>751</v>
      </c>
      <c r="Q50" s="120"/>
      <c r="R50" s="121" t="s">
        <v>1017</v>
      </c>
      <c r="S50" s="122" t="str">
        <f ca="1">REFERENCIA.Unidade</f>
        <v>-</v>
      </c>
      <c r="T50" s="123">
        <f ca="1">OFFSET(CÁLCULO!H$15,ROW($T50)-ROW(T$15),0)</f>
        <v>0</v>
      </c>
      <c r="U50" s="124"/>
      <c r="V50" s="125" t="s">
        <v>664</v>
      </c>
      <c r="W50" s="123">
        <f ca="1">IF($C50="S",ROUND(IF(TIPOORCAMENTO="Proposto",ORÇAMENTO.CustoUnitario*(1+$AH50),ORÇAMENTO.PrecoUnitarioLicitado),15-13*$AF$10),0)</f>
        <v>0</v>
      </c>
      <c r="X50" s="126" cm="1">
        <f t="array" aca="1" ref="X50" ca="1">IF($C50="S",IF(OR(Import.TipoArredondamento&lt;&gt;"TransfereGOV",ACOMPANHAMENTO="BM"),VTOTAL1,SUM(OFFSET(CÁLCULO!$AA$15,ROW($X50)-ROW($X$15),1):OFFSET(CÁLCULO!$AL$15,ROW($X50)-ROW($X$15),-1))),IF($C50=0,0,ROUND(SomaAgrup,15-13*$AF$11)))</f>
        <v>61486.400000000001</v>
      </c>
      <c r="Y50" s="127" t="s">
        <v>752</v>
      </c>
      <c r="Z50" t="str">
        <f t="shared" ca="1" si="79"/>
        <v/>
      </c>
      <c r="AA50" s="128">
        <f ca="1">IF($C50="S",IF($Z50="CP",$X50,IF($Z50="RA",(($X50)*QCI!$AA$3),0)),SomaAgrup)</f>
        <v>61486.399999999994</v>
      </c>
      <c r="AB50" s="129">
        <f t="shared" ca="1" si="55"/>
        <v>0</v>
      </c>
      <c r="AC50" s="566"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IF(AND(_xlfn.SINGLE(TIPOORCAMENTO)="Licitado",$AL50=0,$AN50&gt;0),"SEM PREÇO",
IF(AND($C50="S",$P50&lt;&gt;"",$Q50&lt;&gt;"",$U50&gt;0,$V50=0),"BDI",
IF(OR(AND(TIPOORCAMENTO="Proposto",LEFT($O$8,5)&lt;&gt;"(N/D:",$AG50&lt;&gt;"",ORÇAMENTO.CustoUnitario&gt;$AG50),AND(TIPOORCAMENTO="LICITADO",ORÇAMENTO.PrecoUnitarioLicitado&gt;$AN50)),"ACIMA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f ca="1">IF(C50&lt;=CRONO.NivelExibicao,MAX($AD$15:OFFSET(AD50,-1,0))+IF($C50&lt;&gt;1,1,MAX(1,COUNTIF(QCI!$A$13:$A$24,OFFSET($E50,-1,0)))),"")</f>
        <v>7</v>
      </c>
      <c r="AE50" s="7" t="b">
        <f ca="1">IF(AND($C50="S",ORÇAMENTO.CodBarra&lt;&gt;""),IF(ORÇAMENTO.Fonte="",ORÇAMENTO.CodBarra,CONCATENATE(ORÇAMENTO.Fonte," ",ORÇAMENTO.CodBarra)))</f>
        <v>0</v>
      </c>
      <c r="AF50" s="12" t="str">
        <f ca="1">IF(ISERROR(INDIRECT(ORÇAMENTO.BancoRef)),"(abra o arquivo 'Referência "&amp;Excel_BuiltIn_Database&amp;".xlsm)",IF(OR($C50&lt;&gt;"S",ORÇAMENTO.CodBarra=""),"(Sem Código)",IF(ISERROR(MATCH($AE50,INDIRECT(ORÇAMENTO.BancoRef),0)),"(Código não identificado nas referências)",MATCH($AE50,INDIRECT(ORÇAMENTO.BancoRef),0))))</f>
        <v>(Sem Código)</v>
      </c>
      <c r="AG50" s="429">
        <f ca="1">ROUND(IF(DESONERACAO="sim",REFERENCIA.Desonerado,REFERENCIA.NaoDesonerado),2)</f>
        <v>0</v>
      </c>
      <c r="AH50" s="430">
        <f t="shared" ca="1" si="56"/>
        <v>0.27250000000000002</v>
      </c>
      <c r="AJ50" s="432"/>
      <c r="AL50" s="440"/>
      <c r="AM50" s="337">
        <f t="shared" ca="1" si="0"/>
        <v>61486.400000000001</v>
      </c>
      <c r="AN50" s="471">
        <f t="shared" ca="1" si="57"/>
        <v>0</v>
      </c>
    </row>
    <row r="51" spans="1:40" ht="51" x14ac:dyDescent="0.2">
      <c r="A51" t="str">
        <f t="shared" si="43"/>
        <v>S</v>
      </c>
      <c r="B51">
        <f t="shared" ca="1" si="69"/>
        <v>2</v>
      </c>
      <c r="C51" t="str">
        <f t="shared" ca="1" si="70"/>
        <v>S</v>
      </c>
      <c r="D51">
        <f t="shared" ca="1" si="71"/>
        <v>0</v>
      </c>
      <c r="E51">
        <f ca="1">IF($C51=1,OFFSET(E51,-1,0)+MAX(1,COUNTIF(QCI!$A$13:$A$24,OFFSET(ORÇAMENTO!E51,-1,0))),OFFSET(E51,-1,0))</f>
        <v>1</v>
      </c>
      <c r="F51">
        <f t="shared" ca="1" si="72"/>
        <v>6</v>
      </c>
      <c r="G51">
        <f t="shared" ca="1" si="73"/>
        <v>0</v>
      </c>
      <c r="H51">
        <f t="shared" ca="1" si="74"/>
        <v>0</v>
      </c>
      <c r="I51">
        <f t="shared" ca="1" si="75"/>
        <v>1</v>
      </c>
      <c r="J51">
        <f t="shared" ca="1" si="80"/>
        <v>0</v>
      </c>
      <c r="K51">
        <f ca="1">IF(OR($C51="S",$C51=0),0,MATCH(OFFSET($D51,0,$C51)+IF($C51&lt;&gt;1,1,COUNTIF(QCI!$A$13:$A$24,ORÇAMENTO!E51)),OFFSET($D51,1,$C51,ROW($C$105)-ROW($C51)),0))</f>
        <v>0</v>
      </c>
      <c r="L51" s="115" t="str">
        <f t="shared" ca="1" si="76"/>
        <v>F</v>
      </c>
      <c r="M51" s="116" t="s">
        <v>706</v>
      </c>
      <c r="N51" s="117" t="str">
        <f t="shared" ca="1" si="77"/>
        <v>Serviço</v>
      </c>
      <c r="O51" s="118" t="str">
        <f t="shared" ca="1" si="78"/>
        <v>1.6.1.</v>
      </c>
      <c r="P51" s="119" t="s">
        <v>751</v>
      </c>
      <c r="Q51" s="120" t="s">
        <v>1018</v>
      </c>
      <c r="R51" s="121" t="str">
        <f ca="1">IF($C51="S",REFERENCIA.Descricao,"(digite a descrição aqui)")</f>
        <v>LAJE PRÉ-MOLDADA UNIDIRECIONAL COM VÃOS MAIORES QUE 3,0 M, BIAPOIADA, PARA PISO, ENCHIMENTO EM CERÂMICA, VIGOTA PROTENDIDA, ALTURA TOTAL DA LAJE "LT" = 16 CM (ENCHIMENTO+CAPA) = (12+4). AF_08/2025</v>
      </c>
      <c r="S51" s="122" t="str">
        <f ca="1">REFERENCIA.Unidade</f>
        <v>M2</v>
      </c>
      <c r="T51" s="123">
        <f ca="1">OFFSET(CÁLCULO!H$15,ROW($T51)-ROW(T$15),0)</f>
        <v>22.25</v>
      </c>
      <c r="U51" s="124">
        <v>181.65</v>
      </c>
      <c r="V51" s="125" t="s">
        <v>664</v>
      </c>
      <c r="W51" s="123">
        <f ca="1">IF($C51="S",ROUND(IF(TIPOORCAMENTO="Proposto",ORÇAMENTO.CustoUnitario*(1+$AH51),ORÇAMENTO.PrecoUnitarioLicitado),15-13*$AF$10),0)</f>
        <v>231.15</v>
      </c>
      <c r="X51" s="126" cm="1">
        <f t="array" aca="1" ref="X51" ca="1">IF($C51="S",IF(OR(Import.TipoArredondamento&lt;&gt;"TransfereGOV",ACOMPANHAMENTO="BM"),VTOTAL1,SUM(OFFSET(CÁLCULO!$AA$15,ROW($X51)-ROW($X$15),1):OFFSET(CÁLCULO!$AL$15,ROW($X51)-ROW($X$15),-1))),IF($C51=0,0,ROUND(SomaAgrup,15-13*$AF$11)))</f>
        <v>5143.09</v>
      </c>
      <c r="Y51" s="127" t="s">
        <v>752</v>
      </c>
      <c r="Z51" t="str">
        <f t="shared" ca="1" si="79"/>
        <v>RA</v>
      </c>
      <c r="AA51" s="128">
        <f ca="1">IF($C51="S",IF($Z51="CP",$X51,IF($Z51="RA",(($X51)*QCI!$AA$3),0)),SomaAgrup)</f>
        <v>5143.09</v>
      </c>
      <c r="AB51" s="129">
        <f t="shared" ca="1" si="55"/>
        <v>0</v>
      </c>
      <c r="AC51" s="566"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IF(AND(_xlfn.SINGLE(TIPOORCAMENTO)="Licitado",$AL51=0,$AN51&gt;0),"SEM PREÇO",
IF(AND($C51="S",$P51&lt;&gt;"",$Q51&lt;&gt;"",$U51&gt;0,$V51=0),"BDI",
IF(OR(AND(TIPOORCAMENTO="Proposto",LEFT($O$8,5)&lt;&gt;"(N/D:",$AG51&lt;&gt;"",ORÇAMENTO.CustoUnitario&gt;$AG51),AND(TIPOORCAMENTO="LICITADO",ORÇAMENTO.PrecoUnitarioLicitado&gt;$AN51)),"ACIMA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t="str">
        <f ca="1">IF(C51&lt;=CRONO.NivelExibicao,MAX($AD$15:OFFSET(AD51,-1,0))+IF($C51&lt;&gt;1,1,MAX(1,COUNTIF(QCI!$A$13:$A$24,OFFSET($E51,-1,0)))),"")</f>
        <v/>
      </c>
      <c r="AE51" s="7" t="str">
        <f ca="1">IF(AND($C51="S",ORÇAMENTO.CodBarra&lt;&gt;""),IF(ORÇAMENTO.Fonte="",ORÇAMENTO.CodBarra,CONCATENATE(ORÇAMENTO.Fonte," ",ORÇAMENTO.CodBarra)))</f>
        <v>SINAPI 106057</v>
      </c>
      <c r="AF51" s="12">
        <f ca="1">IF(ISERROR(INDIRECT(ORÇAMENTO.BancoRef)),"(abra o arquivo 'Referência "&amp;Excel_BuiltIn_Database&amp;".xlsm)",IF(OR($C51&lt;&gt;"S",ORÇAMENTO.CodBarra=""),"(Sem Código)",IF(ISERROR(MATCH($AE51,INDIRECT(ORÇAMENTO.BancoRef),0)),"(Código não identificado nas referências)",MATCH($AE51,INDIRECT(ORÇAMENTO.BancoRef),0))))</f>
        <v>13192</v>
      </c>
      <c r="AG51" s="429">
        <f ca="1">ROUND(IF(DESONERACAO="sim",REFERENCIA.Desonerado,REFERENCIA.NaoDesonerado),2)</f>
        <v>201.87</v>
      </c>
      <c r="AH51" s="430">
        <f t="shared" ca="1" si="56"/>
        <v>0.27250000000000002</v>
      </c>
      <c r="AJ51" s="432"/>
      <c r="AL51" s="440"/>
      <c r="AM51" s="337">
        <f t="shared" ca="1" si="0"/>
        <v>5143.09</v>
      </c>
      <c r="AN51" s="471">
        <f t="shared" ca="1" si="57"/>
        <v>231.15</v>
      </c>
    </row>
    <row r="52" spans="1:40" ht="38.25" x14ac:dyDescent="0.2">
      <c r="A52" t="str">
        <f t="shared" si="43"/>
        <v>S</v>
      </c>
      <c r="B52">
        <f t="shared" ca="1" si="69"/>
        <v>2</v>
      </c>
      <c r="C52" t="str">
        <f t="shared" ca="1" si="70"/>
        <v>S</v>
      </c>
      <c r="D52">
        <f t="shared" ca="1" si="71"/>
        <v>0</v>
      </c>
      <c r="E52">
        <f ca="1">IF($C52=1,OFFSET(E52,-1,0)+MAX(1,COUNTIF(QCI!$A$13:$A$24,OFFSET(ORÇAMENTO!E52,-1,0))),OFFSET(E52,-1,0))</f>
        <v>1</v>
      </c>
      <c r="F52">
        <f t="shared" ca="1" si="72"/>
        <v>6</v>
      </c>
      <c r="G52">
        <f t="shared" ca="1" si="73"/>
        <v>0</v>
      </c>
      <c r="H52">
        <f t="shared" ca="1" si="74"/>
        <v>0</v>
      </c>
      <c r="I52">
        <f t="shared" ca="1" si="75"/>
        <v>2</v>
      </c>
      <c r="J52">
        <f t="shared" ca="1" si="80"/>
        <v>0</v>
      </c>
      <c r="K52">
        <f ca="1">IF(OR($C52="S",$C52=0),0,MATCH(OFFSET($D52,0,$C52)+IF($C52&lt;&gt;1,1,COUNTIF(QCI!$A$13:$A$24,ORÇAMENTO!E52)),OFFSET($D52,1,$C52,ROW($C$105)-ROW($C52)),0))</f>
        <v>0</v>
      </c>
      <c r="L52" s="115" t="str">
        <f t="shared" ca="1" si="76"/>
        <v>F</v>
      </c>
      <c r="M52" s="116" t="s">
        <v>706</v>
      </c>
      <c r="N52" s="117" t="str">
        <f t="shared" ca="1" si="77"/>
        <v>Serviço</v>
      </c>
      <c r="O52" s="118" t="str">
        <f t="shared" ca="1" si="78"/>
        <v>1.6.2.</v>
      </c>
      <c r="P52" s="119" t="s">
        <v>959</v>
      </c>
      <c r="Q52" s="120" t="s">
        <v>1023</v>
      </c>
      <c r="R52" s="121" t="str">
        <f ca="1">IF($C52="S",REFERENCIA.Descricao,"(digite a descrição aqui)")</f>
        <v>PONTALETE ROLICO SEM TRATAMENTO, D = 8 A 11 CM, H = 6 M, EM EUCALIPTO OU EQUIVALENTE DA REGIAO - BRUTA (PARA ESCORAMENTO)</v>
      </c>
      <c r="S52" s="122" t="str">
        <f ca="1">REFERENCIA.Unidade</f>
        <v>M</v>
      </c>
      <c r="T52" s="123">
        <f ca="1">OFFSET(CÁLCULO!H$15,ROW($T52)-ROW(T$15),0)</f>
        <v>158</v>
      </c>
      <c r="U52" s="124">
        <v>6.65</v>
      </c>
      <c r="V52" s="125" t="s">
        <v>664</v>
      </c>
      <c r="W52" s="123">
        <f ca="1">IF($C52="S",ROUND(IF(TIPOORCAMENTO="Proposto",ORÇAMENTO.CustoUnitario*(1+$AH52),ORÇAMENTO.PrecoUnitarioLicitado),15-13*$AF$10),0)</f>
        <v>8.4600000000000009</v>
      </c>
      <c r="X52" s="126" cm="1">
        <f t="array" aca="1" ref="X52" ca="1">IF($C52="S",IF(OR(Import.TipoArredondamento&lt;&gt;"TransfereGOV",ACOMPANHAMENTO="BM"),VTOTAL1,SUM(OFFSET(CÁLCULO!$AA$15,ROW($X52)-ROW($X$15),1):OFFSET(CÁLCULO!$AL$15,ROW($X52)-ROW($X$15),-1))),IF($C52=0,0,ROUND(SomaAgrup,15-13*$AF$11)))</f>
        <v>1336.68</v>
      </c>
      <c r="Y52" s="127" t="s">
        <v>752</v>
      </c>
      <c r="Z52" t="str">
        <f t="shared" ca="1" si="79"/>
        <v>RA</v>
      </c>
      <c r="AA52" s="128">
        <f ca="1">IF($C52="S",IF($Z52="CP",$X52,IF($Z52="RA",(($X52)*QCI!$AA$3),0)),SomaAgrup)</f>
        <v>1336.68</v>
      </c>
      <c r="AB52" s="129">
        <f t="shared" ca="1" si="55"/>
        <v>0</v>
      </c>
      <c r="AC52" s="566"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IF(AND(_xlfn.SINGLE(TIPOORCAMENTO)="Licitado",$AL52=0,$AN52&gt;0),"SEM PREÇO",
IF(AND($C52="S",$P52&lt;&gt;"",$Q52&lt;&gt;"",$U52&gt;0,$V52=0),"BDI",
IF(OR(AND(TIPOORCAMENTO="Proposto",LEFT($O$8,5)&lt;&gt;"(N/D:",$AG52&lt;&gt;"",ORÇAMENTO.CustoUnitario&gt;$AG52),AND(TIPOORCAMENTO="LICITADO",ORÇAMENTO.PrecoUnitarioLicitado&gt;$AN52)),"ACIMA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t="str">
        <f ca="1">IF(C52&lt;=CRONO.NivelExibicao,MAX($AD$15:OFFSET(AD52,-1,0))+IF($C52&lt;&gt;1,1,MAX(1,COUNTIF(QCI!$A$13:$A$24,OFFSET($E52,-1,0)))),"")</f>
        <v/>
      </c>
      <c r="AE52" s="7" t="str">
        <f ca="1">IF(AND($C52="S",ORÇAMENTO.CodBarra&lt;&gt;""),IF(ORÇAMENTO.Fonte="",ORÇAMENTO.CodBarra,CONCATENATE(ORÇAMENTO.Fonte," ",ORÇAMENTO.CodBarra)))</f>
        <v>SINAPI-I 14439</v>
      </c>
      <c r="AF52" s="12">
        <f ca="1">IF(ISERROR(INDIRECT(ORÇAMENTO.BancoRef)),"(abra o arquivo 'Referência "&amp;Excel_BuiltIn_Database&amp;".xlsm)",IF(OR($C52&lt;&gt;"S",ORÇAMENTO.CodBarra=""),"(Sem Código)",IF(ISERROR(MATCH($AE52,INDIRECT(ORÇAMENTO.BancoRef),0)),"(Código não identificado nas referências)",MATCH($AE52,INDIRECT(ORÇAMENTO.BancoRef),0))))</f>
        <v>3459</v>
      </c>
      <c r="AG52" s="429">
        <f ca="1">ROUND(IF(DESONERACAO="sim",REFERENCIA.Desonerado,REFERENCIA.NaoDesonerado),2)</f>
        <v>7.43</v>
      </c>
      <c r="AH52" s="430">
        <f t="shared" ca="1" si="56"/>
        <v>0.27250000000000002</v>
      </c>
      <c r="AJ52" s="432"/>
      <c r="AL52" s="440"/>
      <c r="AM52" s="337">
        <f t="shared" ca="1" si="0"/>
        <v>1336.68</v>
      </c>
      <c r="AN52" s="471">
        <f t="shared" ca="1" si="57"/>
        <v>8.4600000000000009</v>
      </c>
    </row>
    <row r="53" spans="1:40" ht="25.5" x14ac:dyDescent="0.2">
      <c r="A53" t="str">
        <f t="shared" si="43"/>
        <v>S</v>
      </c>
      <c r="B53">
        <f t="shared" ca="1" si="69"/>
        <v>2</v>
      </c>
      <c r="C53" t="str">
        <f t="shared" ca="1" si="70"/>
        <v>S</v>
      </c>
      <c r="D53">
        <f t="shared" ca="1" si="71"/>
        <v>0</v>
      </c>
      <c r="E53">
        <f ca="1">IF($C53=1,OFFSET(E53,-1,0)+MAX(1,COUNTIF(QCI!$A$13:$A$24,OFFSET(ORÇAMENTO!E53,-1,0))),OFFSET(E53,-1,0))</f>
        <v>1</v>
      </c>
      <c r="F53">
        <f t="shared" ca="1" si="72"/>
        <v>6</v>
      </c>
      <c r="G53">
        <f t="shared" ca="1" si="73"/>
        <v>0</v>
      </c>
      <c r="H53">
        <f t="shared" ca="1" si="74"/>
        <v>0</v>
      </c>
      <c r="I53">
        <f t="shared" ca="1" si="75"/>
        <v>3</v>
      </c>
      <c r="J53">
        <f t="shared" ca="1" si="80"/>
        <v>0</v>
      </c>
      <c r="K53">
        <f ca="1">IF(OR($C53="S",$C53=0),0,MATCH(OFFSET($D53,0,$C53)+IF($C53&lt;&gt;1,1,COUNTIF(QCI!$A$13:$A$24,ORÇAMENTO!E53)),OFFSET($D53,1,$C53,ROW($C$105)-ROW($C53)),0))</f>
        <v>0</v>
      </c>
      <c r="L53" s="115" t="str">
        <f t="shared" ca="1" si="76"/>
        <v>F</v>
      </c>
      <c r="M53" s="116" t="s">
        <v>706</v>
      </c>
      <c r="N53" s="117" t="str">
        <f t="shared" ca="1" si="77"/>
        <v>Serviço</v>
      </c>
      <c r="O53" s="118" t="str">
        <f t="shared" ca="1" si="78"/>
        <v>1.6.3.</v>
      </c>
      <c r="P53" s="119" t="s">
        <v>751</v>
      </c>
      <c r="Q53" s="120" t="s">
        <v>1019</v>
      </c>
      <c r="R53" s="121" t="str">
        <f ca="1">IF($C53="S",REFERENCIA.Descricao,"(digite a descrição aqui)")</f>
        <v>FABRICAÇÃO DE FÔRMA PARA PILARES E ESTRUTURAS SIMILARES, EM MADEIRA SERRADA, E=25 MM. AF_09/2020</v>
      </c>
      <c r="S53" s="122" t="str">
        <f ca="1">REFERENCIA.Unidade</f>
        <v>M2</v>
      </c>
      <c r="T53" s="123">
        <f ca="1">OFFSET(CÁLCULO!H$15,ROW($T53)-ROW(T$15),0)</f>
        <v>12.6</v>
      </c>
      <c r="U53" s="124">
        <v>107.25</v>
      </c>
      <c r="V53" s="125" t="s">
        <v>664</v>
      </c>
      <c r="W53" s="123">
        <f ca="1">IF($C53="S",ROUND(IF(TIPOORCAMENTO="Proposto",ORÇAMENTO.CustoUnitario*(1+$AH53),ORÇAMENTO.PrecoUnitarioLicitado),15-13*$AF$10),0)</f>
        <v>136.47999999999999</v>
      </c>
      <c r="X53" s="126" cm="1">
        <f t="array" aca="1" ref="X53" ca="1">IF($C53="S",IF(OR(Import.TipoArredondamento&lt;&gt;"TransfereGOV",ACOMPANHAMENTO="BM"),VTOTAL1,SUM(OFFSET(CÁLCULO!$AA$15,ROW($X53)-ROW($X$15),1):OFFSET(CÁLCULO!$AL$15,ROW($X53)-ROW($X$15),-1))),IF($C53=0,0,ROUND(SomaAgrup,15-13*$AF$11)))</f>
        <v>1719.65</v>
      </c>
      <c r="Y53" s="127" t="s">
        <v>752</v>
      </c>
      <c r="Z53" t="str">
        <f t="shared" ca="1" si="79"/>
        <v>RA</v>
      </c>
      <c r="AA53" s="128">
        <f ca="1">IF($C53="S",IF($Z53="CP",$X53,IF($Z53="RA",(($X53)*QCI!$AA$3),0)),SomaAgrup)</f>
        <v>1719.65</v>
      </c>
      <c r="AB53" s="129">
        <f t="shared" ca="1" si="55"/>
        <v>0</v>
      </c>
      <c r="AC53" s="566"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IF(AND(_xlfn.SINGLE(TIPOORCAMENTO)="Licitado",$AL53=0,$AN53&gt;0),"SEM PREÇO",
IF(AND($C53="S",$P53&lt;&gt;"",$Q53&lt;&gt;"",$U53&gt;0,$V53=0),"BDI",
IF(OR(AND(TIPOORCAMENTO="Proposto",LEFT($O$8,5)&lt;&gt;"(N/D:",$AG53&lt;&gt;"",ORÇAMENTO.CustoUnitario&gt;$AG53),AND(TIPOORCAMENTO="LICITADO",ORÇAMENTO.PrecoUnitarioLicitado&gt;$AN53)),"ACIMA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t="str">
        <f ca="1">IF(C53&lt;=CRONO.NivelExibicao,MAX($AD$15:OFFSET(AD53,-1,0))+IF($C53&lt;&gt;1,1,MAX(1,COUNTIF(QCI!$A$13:$A$24,OFFSET($E53,-1,0)))),"")</f>
        <v/>
      </c>
      <c r="AE53" s="7" t="str">
        <f ca="1">IF(AND($C53="S",ORÇAMENTO.CodBarra&lt;&gt;""),IF(ORÇAMENTO.Fonte="",ORÇAMENTO.CodBarra,CONCATENATE(ORÇAMENTO.Fonte," ",ORÇAMENTO.CodBarra)))</f>
        <v>SINAPI 92269</v>
      </c>
      <c r="AF53" s="12">
        <f ca="1">IF(ISERROR(INDIRECT(ORÇAMENTO.BancoRef)),"(abra o arquivo 'Referência "&amp;Excel_BuiltIn_Database&amp;".xlsm)",IF(OR($C53&lt;&gt;"S",ORÇAMENTO.CodBarra=""),"(Sem Código)",IF(ISERROR(MATCH($AE53,INDIRECT(ORÇAMENTO.BancoRef),0)),"(Código não identificado nas referências)",MATCH($AE53,INDIRECT(ORÇAMENTO.BancoRef),0))))</f>
        <v>10494</v>
      </c>
      <c r="AG53" s="429">
        <f ca="1">ROUND(IF(DESONERACAO="sim",REFERENCIA.Desonerado,REFERENCIA.NaoDesonerado),2)</f>
        <v>119.2</v>
      </c>
      <c r="AH53" s="430">
        <f t="shared" ca="1" si="56"/>
        <v>0.27250000000000002</v>
      </c>
      <c r="AJ53" s="432"/>
      <c r="AL53" s="440"/>
      <c r="AM53" s="337">
        <f t="shared" ca="1" si="0"/>
        <v>1719.65</v>
      </c>
      <c r="AN53" s="471">
        <f t="shared" ca="1" si="57"/>
        <v>136.47999999999999</v>
      </c>
    </row>
    <row r="54" spans="1:40" ht="25.5" x14ac:dyDescent="0.2">
      <c r="A54" t="str">
        <f t="shared" si="43"/>
        <v>S</v>
      </c>
      <c r="B54">
        <f t="shared" ca="1" si="69"/>
        <v>2</v>
      </c>
      <c r="C54" t="str">
        <f t="shared" ca="1" si="70"/>
        <v>S</v>
      </c>
      <c r="D54">
        <f t="shared" ca="1" si="71"/>
        <v>0</v>
      </c>
      <c r="E54">
        <f ca="1">IF($C54=1,OFFSET(E54,-1,0)+MAX(1,COUNTIF(QCI!$A$13:$A$24,OFFSET(ORÇAMENTO!E54,-1,0))),OFFSET(E54,-1,0))</f>
        <v>1</v>
      </c>
      <c r="F54">
        <f t="shared" ca="1" si="72"/>
        <v>6</v>
      </c>
      <c r="G54">
        <f t="shared" ca="1" si="73"/>
        <v>0</v>
      </c>
      <c r="H54">
        <f t="shared" ca="1" si="74"/>
        <v>0</v>
      </c>
      <c r="I54">
        <f t="shared" ca="1" si="75"/>
        <v>4</v>
      </c>
      <c r="J54">
        <f t="shared" ca="1" si="80"/>
        <v>0</v>
      </c>
      <c r="K54">
        <f ca="1">IF(OR($C54="S",$C54=0),0,MATCH(OFFSET($D54,0,$C54)+IF($C54&lt;&gt;1,1,COUNTIF(QCI!$A$13:$A$24,ORÇAMENTO!E54)),OFFSET($D54,1,$C54,ROW($C$105)-ROW($C54)),0))</f>
        <v>0</v>
      </c>
      <c r="L54" s="115" t="str">
        <f t="shared" ca="1" si="76"/>
        <v>F</v>
      </c>
      <c r="M54" s="116" t="s">
        <v>706</v>
      </c>
      <c r="N54" s="117" t="str">
        <f t="shared" ca="1" si="77"/>
        <v>Serviço</v>
      </c>
      <c r="O54" s="118" t="str">
        <f t="shared" ca="1" si="78"/>
        <v>1.6.4.</v>
      </c>
      <c r="P54" s="119" t="s">
        <v>751</v>
      </c>
      <c r="Q54" s="120" t="s">
        <v>1020</v>
      </c>
      <c r="R54" s="121" t="str">
        <f ca="1">IF($C54="S",REFERENCIA.Descricao,"(digite a descrição aqui)")</f>
        <v>FABRICAÇÃO DE FÔRMA PARA VIGAS, COM MADEIRA SERRADA, E = 25 MM. AF_09/2020</v>
      </c>
      <c r="S54" s="122" t="str">
        <f ca="1">REFERENCIA.Unidade</f>
        <v>M2</v>
      </c>
      <c r="T54" s="123">
        <f ca="1">OFFSET(CÁLCULO!H$15,ROW($T54)-ROW(T$15),0)</f>
        <v>31.1</v>
      </c>
      <c r="U54" s="124">
        <v>156.94999999999999</v>
      </c>
      <c r="V54" s="125" t="s">
        <v>664</v>
      </c>
      <c r="W54" s="123">
        <f ca="1">IF($C54="S",ROUND(IF(TIPOORCAMENTO="Proposto",ORÇAMENTO.CustoUnitario*(1+$AH54),ORÇAMENTO.PrecoUnitarioLicitado),15-13*$AF$10),0)</f>
        <v>199.72</v>
      </c>
      <c r="X54" s="126" cm="1">
        <f t="array" aca="1" ref="X54" ca="1">IF($C54="S",IF(OR(Import.TipoArredondamento&lt;&gt;"TransfereGOV",ACOMPANHAMENTO="BM"),VTOTAL1,SUM(OFFSET(CÁLCULO!$AA$15,ROW($X54)-ROW($X$15),1):OFFSET(CÁLCULO!$AL$15,ROW($X54)-ROW($X$15),-1))),IF($C54=0,0,ROUND(SomaAgrup,15-13*$AF$11)))</f>
        <v>6211.29</v>
      </c>
      <c r="Y54" s="127" t="s">
        <v>752</v>
      </c>
      <c r="Z54" t="str">
        <f t="shared" ca="1" si="79"/>
        <v>RA</v>
      </c>
      <c r="AA54" s="128">
        <f ca="1">IF($C54="S",IF($Z54="CP",$X54,IF($Z54="RA",(($X54)*QCI!$AA$3),0)),SomaAgrup)</f>
        <v>6211.29</v>
      </c>
      <c r="AB54" s="129">
        <f t="shared" ca="1" si="55"/>
        <v>0</v>
      </c>
      <c r="AC54" s="566"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IF(AND(_xlfn.SINGLE(TIPOORCAMENTO)="Licitado",$AL54=0,$AN54&gt;0),"SEM PREÇO",
IF(AND($C54="S",$P54&lt;&gt;"",$Q54&lt;&gt;"",$U54&gt;0,$V54=0),"BDI",
IF(OR(AND(TIPOORCAMENTO="Proposto",LEFT($O$8,5)&lt;&gt;"(N/D:",$AG54&lt;&gt;"",ORÇAMENTO.CustoUnitario&gt;$AG54),AND(TIPOORCAMENTO="LICITADO",ORÇAMENTO.PrecoUnitarioLicitado&gt;$AN54)),"ACIMA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t="str">
        <f ca="1">IF(C54&lt;=CRONO.NivelExibicao,MAX($AD$15:OFFSET(AD54,-1,0))+IF($C54&lt;&gt;1,1,MAX(1,COUNTIF(QCI!$A$13:$A$24,OFFSET($E54,-1,0)))),"")</f>
        <v/>
      </c>
      <c r="AE54" s="7" t="str">
        <f ca="1">IF(AND($C54="S",ORÇAMENTO.CodBarra&lt;&gt;""),IF(ORÇAMENTO.Fonte="",ORÇAMENTO.CodBarra,CONCATENATE(ORÇAMENTO.Fonte," ",ORÇAMENTO.CodBarra)))</f>
        <v>SINAPI 92270</v>
      </c>
      <c r="AF54" s="12">
        <f ca="1">IF(ISERROR(INDIRECT(ORÇAMENTO.BancoRef)),"(abra o arquivo 'Referência "&amp;Excel_BuiltIn_Database&amp;".xlsm)",IF(OR($C54&lt;&gt;"S",ORÇAMENTO.CodBarra=""),"(Sem Código)",IF(ISERROR(MATCH($AE54,INDIRECT(ORÇAMENTO.BancoRef),0)),"(Código não identificado nas referências)",MATCH($AE54,INDIRECT(ORÇAMENTO.BancoRef),0))))</f>
        <v>10495</v>
      </c>
      <c r="AG54" s="429">
        <f ca="1">ROUND(IF(DESONERACAO="sim",REFERENCIA.Desonerado,REFERENCIA.NaoDesonerado),2)</f>
        <v>174.42</v>
      </c>
      <c r="AH54" s="430">
        <f t="shared" ca="1" si="56"/>
        <v>0.27250000000000002</v>
      </c>
      <c r="AJ54" s="432"/>
      <c r="AL54" s="440"/>
      <c r="AM54" s="337">
        <f t="shared" ca="1" si="0"/>
        <v>6211.29</v>
      </c>
      <c r="AN54" s="471">
        <f t="shared" ca="1" si="57"/>
        <v>199.72</v>
      </c>
    </row>
    <row r="55" spans="1:40" ht="38.25" x14ac:dyDescent="0.2">
      <c r="A55" t="str">
        <f t="shared" si="43"/>
        <v>S</v>
      </c>
      <c r="B55">
        <f t="shared" ca="1" si="69"/>
        <v>2</v>
      </c>
      <c r="C55" t="str">
        <f t="shared" ca="1" si="70"/>
        <v>S</v>
      </c>
      <c r="D55">
        <f t="shared" ca="1" si="71"/>
        <v>0</v>
      </c>
      <c r="E55">
        <f ca="1">IF($C55=1,OFFSET(E55,-1,0)+MAX(1,COUNTIF(QCI!$A$13:$A$24,OFFSET(ORÇAMENTO!E55,-1,0))),OFFSET(E55,-1,0))</f>
        <v>1</v>
      </c>
      <c r="F55">
        <f t="shared" ca="1" si="72"/>
        <v>6</v>
      </c>
      <c r="G55">
        <f t="shared" ca="1" si="73"/>
        <v>0</v>
      </c>
      <c r="H55">
        <f t="shared" ca="1" si="74"/>
        <v>0</v>
      </c>
      <c r="I55">
        <f t="shared" ca="1" si="75"/>
        <v>5</v>
      </c>
      <c r="J55">
        <f t="shared" ca="1" si="80"/>
        <v>0</v>
      </c>
      <c r="K55">
        <f ca="1">IF(OR($C55="S",$C55=0),0,MATCH(OFFSET($D55,0,$C55)+IF($C55&lt;&gt;1,1,COUNTIF(QCI!$A$13:$A$24,ORÇAMENTO!E55)),OFFSET($D55,1,$C55,ROW($C$105)-ROW($C55)),0))</f>
        <v>0</v>
      </c>
      <c r="L55" s="115" t="str">
        <f t="shared" ca="1" si="76"/>
        <v>F</v>
      </c>
      <c r="M55" s="116" t="s">
        <v>706</v>
      </c>
      <c r="N55" s="117" t="str">
        <f t="shared" ca="1" si="77"/>
        <v>Serviço</v>
      </c>
      <c r="O55" s="118" t="str">
        <f t="shared" ca="1" si="78"/>
        <v>1.6.5.</v>
      </c>
      <c r="P55" s="119" t="s">
        <v>751</v>
      </c>
      <c r="Q55" s="120" t="s">
        <v>1021</v>
      </c>
      <c r="R55" s="121" t="str">
        <f ca="1">IF($C55="S",REFERENCIA.Descricao,"(digite a descrição aqui)")</f>
        <v>FABRICAÇÃO, MONTAGEM E DESMONTAGEM DE FÔRMA PARA SAPATA, EM MADEIRA SERRADA, E=25 MM, 1 UTILIZAÇÃO. AF_01/2024</v>
      </c>
      <c r="S55" s="122" t="str">
        <f ca="1">REFERENCIA.Unidade</f>
        <v>M2</v>
      </c>
      <c r="T55" s="123">
        <f ca="1">OFFSET(CÁLCULO!H$15,ROW($T55)-ROW(T$15),0)</f>
        <v>3.85</v>
      </c>
      <c r="U55" s="124">
        <v>229.15</v>
      </c>
      <c r="V55" s="125" t="s">
        <v>664</v>
      </c>
      <c r="W55" s="123">
        <f ca="1">IF($C55="S",ROUND(IF(TIPOORCAMENTO="Proposto",ORÇAMENTO.CustoUnitario*(1+$AH55),ORÇAMENTO.PrecoUnitarioLicitado),15-13*$AF$10),0)</f>
        <v>291.58999999999997</v>
      </c>
      <c r="X55" s="126" cm="1">
        <f t="array" aca="1" ref="X55" ca="1">IF($C55="S",IF(OR(Import.TipoArredondamento&lt;&gt;"TransfereGOV",ACOMPANHAMENTO="BM"),VTOTAL1,SUM(OFFSET(CÁLCULO!$AA$15,ROW($X55)-ROW($X$15),1):OFFSET(CÁLCULO!$AL$15,ROW($X55)-ROW($X$15),-1))),IF($C55=0,0,ROUND(SomaAgrup,15-13*$AF$11)))</f>
        <v>1122.6199999999999</v>
      </c>
      <c r="Y55" s="127" t="s">
        <v>752</v>
      </c>
      <c r="Z55" t="str">
        <f t="shared" ca="1" si="79"/>
        <v>RA</v>
      </c>
      <c r="AA55" s="128">
        <f ca="1">IF($C55="S",IF($Z55="CP",$X55,IF($Z55="RA",(($X55)*QCI!$AA$3),0)),SomaAgrup)</f>
        <v>1122.6199999999999</v>
      </c>
      <c r="AB55" s="129">
        <f t="shared" ca="1" si="55"/>
        <v>0</v>
      </c>
      <c r="AC55" s="566"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IF(AND(_xlfn.SINGLE(TIPOORCAMENTO)="Licitado",$AL55=0,$AN55&gt;0),"SEM PREÇO",
IF(AND($C55="S",$P55&lt;&gt;"",$Q55&lt;&gt;"",$U55&gt;0,$V55=0),"BDI",
IF(OR(AND(TIPOORCAMENTO="Proposto",LEFT($O$8,5)&lt;&gt;"(N/D:",$AG55&lt;&gt;"",ORÇAMENTO.CustoUnitario&gt;$AG55),AND(TIPOORCAMENTO="LICITADO",ORÇAMENTO.PrecoUnitarioLicitado&gt;$AN55)),"ACIMA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t="str">
        <f ca="1">IF(C55&lt;=CRONO.NivelExibicao,MAX($AD$15:OFFSET(AD55,-1,0))+IF($C55&lt;&gt;1,1,MAX(1,COUNTIF(QCI!$A$13:$A$24,OFFSET($E55,-1,0)))),"")</f>
        <v/>
      </c>
      <c r="AE55" s="7" t="str">
        <f ca="1">IF(AND($C55="S",ORÇAMENTO.CodBarra&lt;&gt;""),IF(ORÇAMENTO.Fonte="",ORÇAMENTO.CodBarra,CONCATENATE(ORÇAMENTO.Fonte," ",ORÇAMENTO.CodBarra)))</f>
        <v>SINAPI 96529</v>
      </c>
      <c r="AF55" s="12">
        <f ca="1">IF(ISERROR(INDIRECT(ORÇAMENTO.BancoRef)),"(abra o arquivo 'Referência "&amp;Excel_BuiltIn_Database&amp;".xlsm)",IF(OR($C55&lt;&gt;"S",ORÇAMENTO.CodBarra=""),"(Sem Código)",IF(ISERROR(MATCH($AE55,INDIRECT(ORÇAMENTO.BancoRef),0)),"(Código não identificado nas referências)",MATCH($AE55,INDIRECT(ORÇAMENTO.BancoRef),0))))</f>
        <v>10472</v>
      </c>
      <c r="AG55" s="429">
        <f ca="1">ROUND(IF(DESONERACAO="sim",REFERENCIA.Desonerado,REFERENCIA.NaoDesonerado),2)</f>
        <v>254.65</v>
      </c>
      <c r="AH55" s="430">
        <f t="shared" ca="1" si="56"/>
        <v>0.27250000000000002</v>
      </c>
      <c r="AJ55" s="432"/>
      <c r="AL55" s="440"/>
      <c r="AM55" s="337">
        <f t="shared" ca="1" si="0"/>
        <v>1122.6199999999999</v>
      </c>
      <c r="AN55" s="471">
        <f t="shared" ca="1" si="57"/>
        <v>291.58999999999997</v>
      </c>
    </row>
    <row r="56" spans="1:40" ht="38.25" x14ac:dyDescent="0.2">
      <c r="A56" t="str">
        <f t="shared" si="43"/>
        <v>S</v>
      </c>
      <c r="B56">
        <f t="shared" ca="1" si="69"/>
        <v>2</v>
      </c>
      <c r="C56" t="str">
        <f t="shared" ca="1" si="70"/>
        <v>S</v>
      </c>
      <c r="D56">
        <f t="shared" ca="1" si="71"/>
        <v>0</v>
      </c>
      <c r="E56">
        <f ca="1">IF($C56=1,OFFSET(E56,-1,0)+MAX(1,COUNTIF(QCI!$A$13:$A$24,OFFSET(ORÇAMENTO!E56,-1,0))),OFFSET(E56,-1,0))</f>
        <v>1</v>
      </c>
      <c r="F56">
        <f t="shared" ca="1" si="72"/>
        <v>6</v>
      </c>
      <c r="G56">
        <f t="shared" ca="1" si="73"/>
        <v>0</v>
      </c>
      <c r="H56">
        <f t="shared" ca="1" si="74"/>
        <v>0</v>
      </c>
      <c r="I56">
        <f t="shared" ca="1" si="75"/>
        <v>6</v>
      </c>
      <c r="J56">
        <f t="shared" ca="1" si="80"/>
        <v>0</v>
      </c>
      <c r="K56">
        <f ca="1">IF(OR($C56="S",$C56=0),0,MATCH(OFFSET($D56,0,$C56)+IF($C56&lt;&gt;1,1,COUNTIF(QCI!$A$13:$A$24,ORÇAMENTO!E56)),OFFSET($D56,1,$C56,ROW($C$105)-ROW($C56)),0))</f>
        <v>0</v>
      </c>
      <c r="L56" s="115" t="str">
        <f t="shared" ca="1" si="76"/>
        <v>F</v>
      </c>
      <c r="M56" s="116" t="s">
        <v>706</v>
      </c>
      <c r="N56" s="117" t="str">
        <f t="shared" ca="1" si="77"/>
        <v>Serviço</v>
      </c>
      <c r="O56" s="118" t="str">
        <f t="shared" ca="1" si="78"/>
        <v>1.6.6.</v>
      </c>
      <c r="P56" s="119" t="s">
        <v>751</v>
      </c>
      <c r="Q56" s="120" t="s">
        <v>1025</v>
      </c>
      <c r="R56" s="121" t="str">
        <f ca="1">IF($C56="S",REFERENCIA.Descricao,"(digite a descrição aqui)")</f>
        <v>CONCRETO FCK = 25MPA, TRAÇO 1:2,3:2,7 (EM MASSA SECA DE CIMENTO/ AREIA MÉDIA/ BRITA 1) - PREPARO MECÂNICO COM BETONEIRA 600 L. AF_05/2021</v>
      </c>
      <c r="S56" s="122" t="str">
        <f ca="1">REFERENCIA.Unidade</f>
        <v>M3</v>
      </c>
      <c r="T56" s="123">
        <f ca="1">OFFSET(CÁLCULO!H$15,ROW($T56)-ROW(T$15),0)</f>
        <v>5.2</v>
      </c>
      <c r="U56" s="124">
        <v>512.70000000000005</v>
      </c>
      <c r="V56" s="125" t="s">
        <v>664</v>
      </c>
      <c r="W56" s="123">
        <f ca="1">IF($C56="S",ROUND(IF(TIPOORCAMENTO="Proposto",ORÇAMENTO.CustoUnitario*(1+$AH56),ORÇAMENTO.PrecoUnitarioLicitado),15-13*$AF$10),0)</f>
        <v>652.41</v>
      </c>
      <c r="X56" s="126" cm="1">
        <f t="array" aca="1" ref="X56" ca="1">IF($C56="S",IF(OR(Import.TipoArredondamento&lt;&gt;"TransfereGOV",ACOMPANHAMENTO="BM"),VTOTAL1,SUM(OFFSET(CÁLCULO!$AA$15,ROW($X56)-ROW($X$15),1):OFFSET(CÁLCULO!$AL$15,ROW($X56)-ROW($X$15),-1))),IF($C56=0,0,ROUND(SomaAgrup,15-13*$AF$11)))</f>
        <v>3392.53</v>
      </c>
      <c r="Y56" s="127" t="s">
        <v>752</v>
      </c>
      <c r="Z56" t="str">
        <f t="shared" ca="1" si="79"/>
        <v>RA</v>
      </c>
      <c r="AA56" s="128">
        <f ca="1">IF($C56="S",IF($Z56="CP",$X56,IF($Z56="RA",(($X56)*QCI!$AA$3),0)),SomaAgrup)</f>
        <v>3392.53</v>
      </c>
      <c r="AB56" s="129">
        <f t="shared" ca="1" si="55"/>
        <v>0</v>
      </c>
      <c r="AC56" s="566"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IF(AND(_xlfn.SINGLE(TIPOORCAMENTO)="Licitado",$AL56=0,$AN56&gt;0),"SEM PREÇO",
IF(AND($C56="S",$P56&lt;&gt;"",$Q56&lt;&gt;"",$U56&gt;0,$V56=0),"BDI",
IF(OR(AND(TIPOORCAMENTO="Proposto",LEFT($O$8,5)&lt;&gt;"(N/D:",$AG56&lt;&gt;"",ORÇAMENTO.CustoUnitario&gt;$AG56),AND(TIPOORCAMENTO="LICITADO",ORÇAMENTO.PrecoUnitarioLicitado&gt;$AN56)),"ACIMA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t="str">
        <f ca="1">IF(C56&lt;=CRONO.NivelExibicao,MAX($AD$15:OFFSET(AD56,-1,0))+IF($C56&lt;&gt;1,1,MAX(1,COUNTIF(QCI!$A$13:$A$24,OFFSET($E56,-1,0)))),"")</f>
        <v/>
      </c>
      <c r="AE56" s="7" t="str">
        <f ca="1">IF(AND($C56="S",ORÇAMENTO.CodBarra&lt;&gt;""),IF(ORÇAMENTO.Fonte="",ORÇAMENTO.CodBarra,CONCATENATE(ORÇAMENTO.Fonte," ",ORÇAMENTO.CodBarra)))</f>
        <v>SINAPI 94971</v>
      </c>
      <c r="AF56" s="12">
        <f ca="1">IF(ISERROR(INDIRECT(ORÇAMENTO.BancoRef)),"(abra o arquivo 'Referência "&amp;Excel_BuiltIn_Database&amp;".xlsm)",IF(OR($C56&lt;&gt;"S",ORÇAMENTO.CodBarra=""),"(Sem Código)",IF(ISERROR(MATCH($AE56,INDIRECT(ORÇAMENTO.BancoRef),0)),"(Código não identificado nas referências)",MATCH($AE56,INDIRECT(ORÇAMENTO.BancoRef),0))))</f>
        <v>14952</v>
      </c>
      <c r="AG56" s="429">
        <f ca="1">ROUND(IF(DESONERACAO="sim",REFERENCIA.Desonerado,REFERENCIA.NaoDesonerado),2)</f>
        <v>569.71</v>
      </c>
      <c r="AH56" s="430">
        <f t="shared" ca="1" si="56"/>
        <v>0.27250000000000002</v>
      </c>
      <c r="AJ56" s="432"/>
      <c r="AL56" s="440"/>
      <c r="AM56" s="337">
        <f t="shared" ca="1" si="0"/>
        <v>3392.53</v>
      </c>
      <c r="AN56" s="471">
        <f t="shared" ca="1" si="57"/>
        <v>652.41</v>
      </c>
    </row>
    <row r="57" spans="1:40" ht="25.5" x14ac:dyDescent="0.2">
      <c r="A57" t="str">
        <f t="shared" ref="A57:A68" si="81">CHOOSE(1+LOG(1+2*(ORÇAMENTO.Nivel="Meta")+4*(ORÇAMENTO.Nivel="Nível 2")+8*(ORÇAMENTO.Nivel="Nível 3")+16*(ORÇAMENTO.Nivel="Nível 4")+32*(ORÇAMENTO.Nivel="Serviço"),2),0,1,2,3,4,"S")</f>
        <v>S</v>
      </c>
      <c r="B57">
        <f ca="1">IF(OR(C57="s",C57=0),OFFSET(B57,-1,0),C57)</f>
        <v>2</v>
      </c>
      <c r="C57" t="str">
        <f ca="1">IF(OFFSET(C57,-1,0)="L",1,IF(OFFSET(C57,-1,0)=1,2,IF(OR(A57="s",A57=0),"S",IF(AND(OFFSET(C57,-1,0)=2,A57=4),3,IF(AND(OR(OFFSET(C57,-1,0)="s",OFFSET(C57,-1,0)=0),A57&lt;&gt;"s",A57&gt;OFFSET(B57,-1,0)),OFFSET(B57,-1,0),A57)))))</f>
        <v>S</v>
      </c>
      <c r="D57">
        <f ca="1">IF(OR(C57="S",C57=0),0,IF(ISERROR(K57),J57,SMALL(J57:K57,1)))</f>
        <v>0</v>
      </c>
      <c r="E57">
        <f ca="1">IF($C57=1,OFFSET(E57,-1,0)+MAX(1,COUNTIF(QCI!$A$13:$A$24,OFFSET(ORÇAMENTO!E57,-1,0))),OFFSET(E57,-1,0))</f>
        <v>1</v>
      </c>
      <c r="F57">
        <f ca="1">IF($C57=1,0,IF($C57=2,OFFSET(F57,-1,0)+1,OFFSET(F57,-1,0)))</f>
        <v>6</v>
      </c>
      <c r="G57">
        <f ca="1">IF(AND($C57&lt;=2,$C57&lt;&gt;0),0,IF($C57=3,OFFSET(G57,-1,0)+1,OFFSET(G57,-1,0)))</f>
        <v>0</v>
      </c>
      <c r="H57">
        <f ca="1">IF(AND($C57&lt;=3,$C57&lt;&gt;0),0,IF($C57=4,OFFSET(H57,-1,0)+1,OFFSET(H57,-1,0)))</f>
        <v>0</v>
      </c>
      <c r="I57">
        <f ca="1">IF(AND($C57&lt;=4,$C57&lt;&gt;0),0,IF(AND($C57="S",$X57&gt;0),OFFSET(I57,-1,0)+1,OFFSET(I57,-1,0)))</f>
        <v>7</v>
      </c>
      <c r="J57">
        <f t="shared" ca="1" si="80"/>
        <v>0</v>
      </c>
      <c r="K57">
        <f ca="1">IF(OR($C57="S",$C57=0),0,MATCH(OFFSET($D57,0,$C57)+IF($C57&lt;&gt;1,1,COUNTIF(QCI!$A$13:$A$24,ORÇAMENTO!E57)),OFFSET($D57,1,$C57,ROW($C$105)-ROW($C57)),0))</f>
        <v>0</v>
      </c>
      <c r="L57" s="115" t="str">
        <f ca="1">IF(OR($X57&gt;0,$C57=1,$C57=2,$C57=3,$C57=4),"F","")</f>
        <v>F</v>
      </c>
      <c r="M57" s="116" t="s">
        <v>706</v>
      </c>
      <c r="N57" s="117" t="str">
        <f ca="1">CHOOSE(1+LOG(1+2*(C57=1)+4*(C57=2)+8*(C57=3)+16*(C57=4)+32*(C57="S"),2),"","Meta","Nível 2","Nível 3","Nível 4","Serviço")</f>
        <v>Serviço</v>
      </c>
      <c r="O57" s="118" t="str">
        <f ca="1">IF(OR($C57=0,$L57=""),"-",CONCATENATE(E57&amp;".",IF(AND($A$5&gt;=2,$C57&gt;=2),F57&amp;".",""),IF(AND($A$5&gt;=3,$C57&gt;=3),G57&amp;".",""),IF(AND($A$5&gt;=4,$C57&gt;=4),H57&amp;".",""),IF($C57="S",I57&amp;".","")))</f>
        <v>1.6.7.</v>
      </c>
      <c r="P57" s="119" t="s">
        <v>751</v>
      </c>
      <c r="Q57" s="120" t="s">
        <v>1026</v>
      </c>
      <c r="R57" s="121" t="str">
        <f ca="1">IF($C57="S",REFERENCIA.Descricao,"(digite a descrição aqui)")</f>
        <v>LANÇAMENTO COM USO DE BALDES, ADENSAMENTO E ACABAMENTO DE CONCRETO EM ESTRUTURAS. AF_02/2022</v>
      </c>
      <c r="S57" s="122" t="str">
        <f ca="1">REFERENCIA.Unidade</f>
        <v>M3</v>
      </c>
      <c r="T57" s="123">
        <f ca="1">OFFSET(CÁLCULO!H$15,ROW($T57)-ROW(T$15),0)</f>
        <v>5.2</v>
      </c>
      <c r="U57" s="124">
        <v>292</v>
      </c>
      <c r="V57" s="125" t="s">
        <v>664</v>
      </c>
      <c r="W57" s="123">
        <f ca="1">IF($C57="S",ROUND(IF(TIPOORCAMENTO="Proposto",ORÇAMENTO.CustoUnitario*(1+$AH57),ORÇAMENTO.PrecoUnitarioLicitado),15-13*$AF$10),0)</f>
        <v>371.57</v>
      </c>
      <c r="X57" s="126" cm="1">
        <f t="array" aca="1" ref="X57" ca="1">IF($C57="S",IF(OR(Import.TipoArredondamento&lt;&gt;"TransfereGOV",ACOMPANHAMENTO="BM"),VTOTAL1,SUM(OFFSET(CÁLCULO!$AA$15,ROW($X57)-ROW($X$15),1):OFFSET(CÁLCULO!$AL$15,ROW($X57)-ROW($X$15),-1))),IF($C57=0,0,ROUND(SomaAgrup,15-13*$AF$11)))</f>
        <v>1932.16</v>
      </c>
      <c r="Y57" s="127" t="s">
        <v>752</v>
      </c>
      <c r="Z57" t="str">
        <f ca="1">IF(AND($C57="S",$X57&gt;0),IF(ISBLANK($Y57),"RA",LEFT($Y57,2)),"")</f>
        <v>RA</v>
      </c>
      <c r="AA57" s="128">
        <f ca="1">IF($C57="S",IF($Z57="CP",$X57,IF($Z57="RA",(($X57)*QCI!$AA$3),0)),SomaAgrup)</f>
        <v>1932.16</v>
      </c>
      <c r="AB57" s="129">
        <f t="shared" ref="AB57:AB68" ca="1" si="82">IF($C57="S",IF($Z57="OU",ROUND($X57,2),0),SomaAgrup)</f>
        <v>0</v>
      </c>
      <c r="AC57" s="566"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IF(AND(_xlfn.SINGLE(TIPOORCAMENTO)="Licitado",$AL57=0,$AN57&gt;0),"SEM PREÇO",
IF(AND($C57="S",$P57&lt;&gt;"",$Q57&lt;&gt;"",$U57&gt;0,$V57=0),"BDI",
IF(OR(AND(TIPOORCAMENTO="Proposto",LEFT($O$8,5)&lt;&gt;"(N/D:",$AG57&lt;&gt;"",ORÇAMENTO.CustoUnitario&gt;$AG57),AND(TIPOORCAMENTO="LICITADO",ORÇAMENTO.PrecoUnitarioLicitado&gt;$AN57)),"ACIMA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t="str">
        <f ca="1">IF(C57&lt;=CRONO.NivelExibicao,MAX($AD$15:OFFSET(AD57,-1,0))+IF($C57&lt;&gt;1,1,MAX(1,COUNTIF(QCI!$A$13:$A$24,OFFSET($E57,-1,0)))),"")</f>
        <v/>
      </c>
      <c r="AE57" s="7" t="str">
        <f ca="1">IF(AND($C57="S",ORÇAMENTO.CodBarra&lt;&gt;""),IF(ORÇAMENTO.Fonte="",ORÇAMENTO.CodBarra,CONCATENATE(ORÇAMENTO.Fonte," ",ORÇAMENTO.CodBarra)))</f>
        <v>SINAPI 103670</v>
      </c>
      <c r="AF57" s="12">
        <f ca="1">IF(ISERROR(INDIRECT(ORÇAMENTO.BancoRef)),"(abra o arquivo 'Referência "&amp;Excel_BuiltIn_Database&amp;".xlsm)",IF(OR($C57&lt;&gt;"S",ORÇAMENTO.CodBarra=""),"(Sem Código)",IF(ISERROR(MATCH($AE57,INDIRECT(ORÇAMENTO.BancoRef),0)),"(Código não identificado nas referências)",MATCH($AE57,INDIRECT(ORÇAMENTO.BancoRef),0))))</f>
        <v>7512</v>
      </c>
      <c r="AG57" s="429">
        <f ca="1">ROUND(IF(DESONERACAO="sim",REFERENCIA.Desonerado,REFERENCIA.NaoDesonerado),2)</f>
        <v>324.48</v>
      </c>
      <c r="AH57" s="430">
        <f t="shared" ref="AH57:AH68" ca="1" si="83">ROUND(IF(ISNUMBER(ORÇAMENTO.OpcaoBDI),ORÇAMENTO.OpcaoBDI,IF(LEFT(ORÇAMENTO.OpcaoBDI,3)="BDI",HLOOKUP(ORÇAMENTO.OpcaoBDI,$F$4:$H$5,2,FALSE),0)),15-11*$AF$9)</f>
        <v>0.27250000000000002</v>
      </c>
      <c r="AJ57" s="432"/>
      <c r="AL57" s="440"/>
      <c r="AM57" s="337">
        <f t="shared" ca="1" si="0"/>
        <v>1932.16</v>
      </c>
      <c r="AN57" s="471">
        <f t="shared" ref="AN57:AN68" ca="1" si="84">ROUND(ORÇAMENTO.CustoUnitario*(1+$AH57),2)</f>
        <v>371.57</v>
      </c>
    </row>
    <row r="58" spans="1:40" ht="38.25" x14ac:dyDescent="0.2">
      <c r="A58" t="str">
        <f t="shared" si="81"/>
        <v>S</v>
      </c>
      <c r="B58">
        <f t="shared" ref="B58:B68" ca="1" si="85">IF(OR(C58="s",C58=0),OFFSET(B58,-1,0),C58)</f>
        <v>2</v>
      </c>
      <c r="C58" t="str">
        <f t="shared" ref="C58:C68" ca="1" si="86">IF(OFFSET(C58,-1,0)="L",1,IF(OFFSET(C58,-1,0)=1,2,IF(OR(A58="s",A58=0),"S",IF(AND(OFFSET(C58,-1,0)=2,A58=4),3,IF(AND(OR(OFFSET(C58,-1,0)="s",OFFSET(C58,-1,0)=0),A58&lt;&gt;"s",A58&gt;OFFSET(B58,-1,0)),OFFSET(B58,-1,0),A58)))))</f>
        <v>S</v>
      </c>
      <c r="D58">
        <f t="shared" ref="D58:D68" ca="1" si="87">IF(OR(C58="S",C58=0),0,IF(ISERROR(K58),J58,SMALL(J58:K58,1)))</f>
        <v>0</v>
      </c>
      <c r="E58">
        <f ca="1">IF($C58=1,OFFSET(E58,-1,0)+MAX(1,COUNTIF(QCI!$A$13:$A$24,OFFSET(ORÇAMENTO!E58,-1,0))),OFFSET(E58,-1,0))</f>
        <v>1</v>
      </c>
      <c r="F58">
        <f t="shared" ref="F58:F68" ca="1" si="88">IF($C58=1,0,IF($C58=2,OFFSET(F58,-1,0)+1,OFFSET(F58,-1,0)))</f>
        <v>6</v>
      </c>
      <c r="G58">
        <f t="shared" ref="G58:G68" ca="1" si="89">IF(AND($C58&lt;=2,$C58&lt;&gt;0),0,IF($C58=3,OFFSET(G58,-1,0)+1,OFFSET(G58,-1,0)))</f>
        <v>0</v>
      </c>
      <c r="H58">
        <f t="shared" ref="H58:H68" ca="1" si="90">IF(AND($C58&lt;=3,$C58&lt;&gt;0),0,IF($C58=4,OFFSET(H58,-1,0)+1,OFFSET(H58,-1,0)))</f>
        <v>0</v>
      </c>
      <c r="I58">
        <f t="shared" ref="I58:I68" ca="1" si="91">IF(AND($C58&lt;=4,$C58&lt;&gt;0),0,IF(AND($C58="S",$X58&gt;0),OFFSET(I58,-1,0)+1,OFFSET(I58,-1,0)))</f>
        <v>8</v>
      </c>
      <c r="J58">
        <f t="shared" ca="1" si="80"/>
        <v>0</v>
      </c>
      <c r="K58">
        <f ca="1">IF(OR($C58="S",$C58=0),0,MATCH(OFFSET($D58,0,$C58)+IF($C58&lt;&gt;1,1,COUNTIF(QCI!$A$13:$A$24,ORÇAMENTO!E58)),OFFSET($D58,1,$C58,ROW($C$105)-ROW($C58)),0))</f>
        <v>0</v>
      </c>
      <c r="L58" s="115" t="str">
        <f t="shared" ref="L58:L68" ca="1" si="92">IF(OR($X58&gt;0,$C58=1,$C58=2,$C58=3,$C58=4),"F","")</f>
        <v>F</v>
      </c>
      <c r="M58" s="116" t="s">
        <v>706</v>
      </c>
      <c r="N58" s="117" t="str">
        <f t="shared" ref="N58:N68" ca="1" si="93">CHOOSE(1+LOG(1+2*(C58=1)+4*(C58=2)+8*(C58=3)+16*(C58=4)+32*(C58="S"),2),"","Meta","Nível 2","Nível 3","Nível 4","Serviço")</f>
        <v>Serviço</v>
      </c>
      <c r="O58" s="118" t="str">
        <f t="shared" ref="O58:O68" ca="1" si="94">IF(OR($C58=0,$L58=""),"-",CONCATENATE(E58&amp;".",IF(AND($A$5&gt;=2,$C58&gt;=2),F58&amp;".",""),IF(AND($A$5&gt;=3,$C58&gt;=3),G58&amp;".",""),IF(AND($A$5&gt;=4,$C58&gt;=4),H58&amp;".",""),IF($C58="S",I58&amp;".","")))</f>
        <v>1.6.8.</v>
      </c>
      <c r="P58" s="119" t="s">
        <v>751</v>
      </c>
      <c r="Q58" s="120" t="s">
        <v>1027</v>
      </c>
      <c r="R58" s="121" t="str">
        <f ca="1">IF($C58="S",REFERENCIA.Descricao,"(digite a descrição aqui)")</f>
        <v>ARMAÇÃO DE PILAR OU VIGA DE ESTRUTURA CONVENCIONAL DE CONCRETO ARMADO UTILIZANDO AÇO CA-50 DE 10,0 MM - MONTAGEM. AF_06/2022</v>
      </c>
      <c r="S58" s="122" t="str">
        <f ca="1">REFERENCIA.Unidade</f>
        <v>KG</v>
      </c>
      <c r="T58" s="123">
        <f ca="1">OFFSET(CÁLCULO!H$15,ROW($T58)-ROW(T$15),0)</f>
        <v>140.5</v>
      </c>
      <c r="U58" s="124">
        <v>9.0500000000000007</v>
      </c>
      <c r="V58" s="125" t="s">
        <v>664</v>
      </c>
      <c r="W58" s="123">
        <f ca="1">IF($C58="S",ROUND(IF(TIPOORCAMENTO="Proposto",ORÇAMENTO.CustoUnitario*(1+$AH58),ORÇAMENTO.PrecoUnitarioLicitado),15-13*$AF$10),0)</f>
        <v>11.52</v>
      </c>
      <c r="X58" s="126" cm="1">
        <f t="array" aca="1" ref="X58" ca="1">IF($C58="S",IF(OR(Import.TipoArredondamento&lt;&gt;"TransfereGOV",ACOMPANHAMENTO="BM"),VTOTAL1,SUM(OFFSET(CÁLCULO!$AA$15,ROW($X58)-ROW($X$15),1):OFFSET(CÁLCULO!$AL$15,ROW($X58)-ROW($X$15),-1))),IF($C58=0,0,ROUND(SomaAgrup,15-13*$AF$11)))</f>
        <v>1618.56</v>
      </c>
      <c r="Y58" s="127" t="s">
        <v>752</v>
      </c>
      <c r="Z58" t="str">
        <f t="shared" ref="Z58:Z68" ca="1" si="95">IF(AND($C58="S",$X58&gt;0),IF(ISBLANK($Y58),"RA",LEFT($Y58,2)),"")</f>
        <v>RA</v>
      </c>
      <c r="AA58" s="128">
        <f ca="1">IF($C58="S",IF($Z58="CP",$X58,IF($Z58="RA",(($X58)*QCI!$AA$3),0)),SomaAgrup)</f>
        <v>1618.56</v>
      </c>
      <c r="AB58" s="129">
        <f t="shared" ca="1" si="82"/>
        <v>0</v>
      </c>
      <c r="AC58" s="566"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IF(AND(_xlfn.SINGLE(TIPOORCAMENTO)="Licitado",$AL58=0,$AN58&gt;0),"SEM PREÇO",
IF(AND($C58="S",$P58&lt;&gt;"",$Q58&lt;&gt;"",$U58&gt;0,$V58=0),"BDI",
IF(OR(AND(TIPOORCAMENTO="Proposto",LEFT($O$8,5)&lt;&gt;"(N/D:",$AG58&lt;&gt;"",ORÇAMENTO.CustoUnitario&gt;$AG58),AND(TIPOORCAMENTO="LICITADO",ORÇAMENTO.PrecoUnitarioLicitado&gt;$AN58)),"ACIMA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t="str">
        <f ca="1">IF(C58&lt;=CRONO.NivelExibicao,MAX($AD$15:OFFSET(AD58,-1,0))+IF($C58&lt;&gt;1,1,MAX(1,COUNTIF(QCI!$A$13:$A$24,OFFSET($E58,-1,0)))),"")</f>
        <v/>
      </c>
      <c r="AE58" s="7" t="str">
        <f ca="1">IF(AND($C58="S",ORÇAMENTO.CodBarra&lt;&gt;""),IF(ORÇAMENTO.Fonte="",ORÇAMENTO.CodBarra,CONCATENATE(ORÇAMENTO.Fonte," ",ORÇAMENTO.CodBarra)))</f>
        <v>SINAPI 92762</v>
      </c>
      <c r="AF58" s="12">
        <f ca="1">IF(ISERROR(INDIRECT(ORÇAMENTO.BancoRef)),"(abra o arquivo 'Referência "&amp;Excel_BuiltIn_Database&amp;".xlsm)",IF(OR($C58&lt;&gt;"S",ORÇAMENTO.CodBarra=""),"(Sem Código)",IF(ISERROR(MATCH($AE58,INDIRECT(ORÇAMENTO.BancoRef),0)),"(Código não identificado nas referências)",MATCH($AE58,INDIRECT(ORÇAMENTO.BancoRef),0))))</f>
        <v>6472</v>
      </c>
      <c r="AG58" s="429">
        <f ca="1">ROUND(IF(DESONERACAO="sim",REFERENCIA.Desonerado,REFERENCIA.NaoDesonerado),2)</f>
        <v>10.1</v>
      </c>
      <c r="AH58" s="430">
        <f t="shared" ca="1" si="83"/>
        <v>0.27250000000000002</v>
      </c>
      <c r="AJ58" s="432"/>
      <c r="AL58" s="440"/>
      <c r="AM58" s="337">
        <f t="shared" ca="1" si="0"/>
        <v>1618.56</v>
      </c>
      <c r="AN58" s="471">
        <f t="shared" ca="1" si="84"/>
        <v>11.52</v>
      </c>
    </row>
    <row r="59" spans="1:40" ht="38.25" x14ac:dyDescent="0.2">
      <c r="A59" t="str">
        <f t="shared" si="81"/>
        <v>S</v>
      </c>
      <c r="B59">
        <f t="shared" ca="1" si="85"/>
        <v>2</v>
      </c>
      <c r="C59" t="str">
        <f t="shared" ca="1" si="86"/>
        <v>S</v>
      </c>
      <c r="D59">
        <f t="shared" ca="1" si="87"/>
        <v>0</v>
      </c>
      <c r="E59">
        <f ca="1">IF($C59=1,OFFSET(E59,-1,0)+MAX(1,COUNTIF(QCI!$A$13:$A$24,OFFSET(ORÇAMENTO!E59,-1,0))),OFFSET(E59,-1,0))</f>
        <v>1</v>
      </c>
      <c r="F59">
        <f t="shared" ca="1" si="88"/>
        <v>6</v>
      </c>
      <c r="G59">
        <f t="shared" ca="1" si="89"/>
        <v>0</v>
      </c>
      <c r="H59">
        <f t="shared" ca="1" si="90"/>
        <v>0</v>
      </c>
      <c r="I59">
        <f t="shared" ca="1" si="91"/>
        <v>9</v>
      </c>
      <c r="J59">
        <f t="shared" ca="1" si="80"/>
        <v>0</v>
      </c>
      <c r="K59">
        <f ca="1">IF(OR($C59="S",$C59=0),0,MATCH(OFFSET($D59,0,$C59)+IF($C59&lt;&gt;1,1,COUNTIF(QCI!$A$13:$A$24,ORÇAMENTO!E59)),OFFSET($D59,1,$C59,ROW($C$105)-ROW($C59)),0))</f>
        <v>0</v>
      </c>
      <c r="L59" s="115" t="str">
        <f t="shared" ca="1" si="92"/>
        <v>F</v>
      </c>
      <c r="M59" s="116" t="s">
        <v>706</v>
      </c>
      <c r="N59" s="117" t="str">
        <f t="shared" ca="1" si="93"/>
        <v>Serviço</v>
      </c>
      <c r="O59" s="118" t="str">
        <f t="shared" ca="1" si="94"/>
        <v>1.6.9.</v>
      </c>
      <c r="P59" s="119" t="s">
        <v>751</v>
      </c>
      <c r="Q59" s="120" t="s">
        <v>1028</v>
      </c>
      <c r="R59" s="121" t="str">
        <f ca="1">IF($C59="S",REFERENCIA.Descricao,"(digite a descrição aqui)")</f>
        <v>ARMAÇÃO DE PILAR OU VIGA DE ESTRUTURA CONVENCIONAL DE CONCRETO ARMADO UTILIZANDO AÇO CA-60 DE 5,0 MM - MONTAGEM. AF_06/2022</v>
      </c>
      <c r="S59" s="122" t="str">
        <f ca="1">REFERENCIA.Unidade</f>
        <v>KG</v>
      </c>
      <c r="T59" s="123">
        <f ca="1">OFFSET(CÁLCULO!H$15,ROW($T59)-ROW(T$15),0)</f>
        <v>58.5</v>
      </c>
      <c r="U59" s="124">
        <v>12</v>
      </c>
      <c r="V59" s="125" t="s">
        <v>664</v>
      </c>
      <c r="W59" s="123">
        <f ca="1">IF($C59="S",ROUND(IF(TIPOORCAMENTO="Proposto",ORÇAMENTO.CustoUnitario*(1+$AH59),ORÇAMENTO.PrecoUnitarioLicitado),15-13*$AF$10),0)</f>
        <v>15.27</v>
      </c>
      <c r="X59" s="126" cm="1">
        <f t="array" aca="1" ref="X59" ca="1">IF($C59="S",IF(OR(Import.TipoArredondamento&lt;&gt;"TransfereGOV",ACOMPANHAMENTO="BM"),VTOTAL1,SUM(OFFSET(CÁLCULO!$AA$15,ROW($X59)-ROW($X$15),1):OFFSET(CÁLCULO!$AL$15,ROW($X59)-ROW($X$15),-1))),IF($C59=0,0,ROUND(SomaAgrup,15-13*$AF$11)))</f>
        <v>893.3</v>
      </c>
      <c r="Y59" s="127" t="s">
        <v>752</v>
      </c>
      <c r="Z59" t="str">
        <f t="shared" ca="1" si="95"/>
        <v>RA</v>
      </c>
      <c r="AA59" s="128">
        <f ca="1">IF($C59="S",IF($Z59="CP",$X59,IF($Z59="RA",(($X59)*QCI!$AA$3),0)),SomaAgrup)</f>
        <v>893.3</v>
      </c>
      <c r="AB59" s="129">
        <f t="shared" ca="1" si="82"/>
        <v>0</v>
      </c>
      <c r="AC59" s="566"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IF(AND(_xlfn.SINGLE(TIPOORCAMENTO)="Licitado",$AL59=0,$AN59&gt;0),"SEM PREÇO",
IF(AND($C59="S",$P59&lt;&gt;"",$Q59&lt;&gt;"",$U59&gt;0,$V59=0),"BDI",
IF(OR(AND(TIPOORCAMENTO="Proposto",LEFT($O$8,5)&lt;&gt;"(N/D:",$AG59&lt;&gt;"",ORÇAMENTO.CustoUnitario&gt;$AG59),AND(TIPOORCAMENTO="LICITADO",ORÇAMENTO.PrecoUnitarioLicitado&gt;$AN59)),"ACIMA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t="str">
        <f ca="1">IF(C59&lt;=CRONO.NivelExibicao,MAX($AD$15:OFFSET(AD59,-1,0))+IF($C59&lt;&gt;1,1,MAX(1,COUNTIF(QCI!$A$13:$A$24,OFFSET($E59,-1,0)))),"")</f>
        <v/>
      </c>
      <c r="AE59" s="7" t="str">
        <f ca="1">IF(AND($C59="S",ORÇAMENTO.CodBarra&lt;&gt;""),IF(ORÇAMENTO.Fonte="",ORÇAMENTO.CodBarra,CONCATENATE(ORÇAMENTO.Fonte," ",ORÇAMENTO.CodBarra)))</f>
        <v>SINAPI 92759</v>
      </c>
      <c r="AF59" s="12">
        <f ca="1">IF(ISERROR(INDIRECT(ORÇAMENTO.BancoRef)),"(abra o arquivo 'Referência "&amp;Excel_BuiltIn_Database&amp;".xlsm)",IF(OR($C59&lt;&gt;"S",ORÇAMENTO.CodBarra=""),"(Sem Código)",IF(ISERROR(MATCH($AE59,INDIRECT(ORÇAMENTO.BancoRef),0)),"(Código não identificado nas referências)",MATCH($AE59,INDIRECT(ORÇAMENTO.BancoRef),0))))</f>
        <v>6480</v>
      </c>
      <c r="AG59" s="429">
        <f ca="1">ROUND(IF(DESONERACAO="sim",REFERENCIA.Desonerado,REFERENCIA.NaoDesonerado),2)</f>
        <v>13.38</v>
      </c>
      <c r="AH59" s="430">
        <f t="shared" ca="1" si="83"/>
        <v>0.27250000000000002</v>
      </c>
      <c r="AJ59" s="432"/>
      <c r="AL59" s="440"/>
      <c r="AM59" s="337">
        <f t="shared" ca="1" si="0"/>
        <v>893.3</v>
      </c>
      <c r="AN59" s="471">
        <f t="shared" ca="1" si="84"/>
        <v>15.27</v>
      </c>
    </row>
    <row r="60" spans="1:40" ht="25.5" x14ac:dyDescent="0.2">
      <c r="A60" t="str">
        <f t="shared" si="81"/>
        <v>S</v>
      </c>
      <c r="B60">
        <f t="shared" ca="1" si="85"/>
        <v>2</v>
      </c>
      <c r="C60" t="str">
        <f t="shared" ca="1" si="86"/>
        <v>S</v>
      </c>
      <c r="D60">
        <f t="shared" ca="1" si="87"/>
        <v>0</v>
      </c>
      <c r="E60">
        <f ca="1">IF($C60=1,OFFSET(E60,-1,0)+MAX(1,COUNTIF(QCI!$A$13:$A$24,OFFSET(ORÇAMENTO!E60,-1,0))),OFFSET(E60,-1,0))</f>
        <v>1</v>
      </c>
      <c r="F60">
        <f t="shared" ca="1" si="88"/>
        <v>6</v>
      </c>
      <c r="G60">
        <f t="shared" ca="1" si="89"/>
        <v>0</v>
      </c>
      <c r="H60">
        <f t="shared" ca="1" si="90"/>
        <v>0</v>
      </c>
      <c r="I60">
        <f t="shared" ca="1" si="91"/>
        <v>10</v>
      </c>
      <c r="J60">
        <f t="shared" ca="1" si="80"/>
        <v>0</v>
      </c>
      <c r="K60">
        <f ca="1">IF(OR($C60="S",$C60=0),0,MATCH(OFFSET($D60,0,$C60)+IF($C60&lt;&gt;1,1,COUNTIF(QCI!$A$13:$A$24,ORÇAMENTO!E60)),OFFSET($D60,1,$C60,ROW($C$105)-ROW($C60)),0))</f>
        <v>0</v>
      </c>
      <c r="L60" s="115" t="str">
        <f t="shared" ca="1" si="92"/>
        <v>F</v>
      </c>
      <c r="M60" s="116" t="s">
        <v>706</v>
      </c>
      <c r="N60" s="117" t="str">
        <f t="shared" ca="1" si="93"/>
        <v>Serviço</v>
      </c>
      <c r="O60" s="118" t="str">
        <f t="shared" ca="1" si="94"/>
        <v>1.6.10.</v>
      </c>
      <c r="P60" s="119" t="s">
        <v>751</v>
      </c>
      <c r="Q60" s="120" t="s">
        <v>1029</v>
      </c>
      <c r="R60" s="121" t="str">
        <f ca="1">IF($C60="S",REFERENCIA.Descricao,"(digite a descrição aqui)")</f>
        <v>ARMAÇÃO DE SAPATA ISOLADA, VIGA BALDRAME E SAPATA CORRIDA UTILIZANDO AÇO CA-50 DE 8 MM - MONTAGEM. AF_01/2024</v>
      </c>
      <c r="S60" s="122" t="str">
        <f ca="1">REFERENCIA.Unidade</f>
        <v>KG</v>
      </c>
      <c r="T60" s="123">
        <f ca="1">OFFSET(CÁLCULO!H$15,ROW($T60)-ROW(T$15),0)</f>
        <v>17.100000000000001</v>
      </c>
      <c r="U60" s="124">
        <v>12.1</v>
      </c>
      <c r="V60" s="125" t="s">
        <v>664</v>
      </c>
      <c r="W60" s="123">
        <f ca="1">IF($C60="S",ROUND(IF(TIPOORCAMENTO="Proposto",ORÇAMENTO.CustoUnitario*(1+$AH60),ORÇAMENTO.PrecoUnitarioLicitado),15-13*$AF$10),0)</f>
        <v>15.4</v>
      </c>
      <c r="X60" s="126" cm="1">
        <f t="array" aca="1" ref="X60" ca="1">IF($C60="S",IF(OR(Import.TipoArredondamento&lt;&gt;"TransfereGOV",ACOMPANHAMENTO="BM"),VTOTAL1,SUM(OFFSET(CÁLCULO!$AA$15,ROW($X60)-ROW($X$15),1):OFFSET(CÁLCULO!$AL$15,ROW($X60)-ROW($X$15),-1))),IF($C60=0,0,ROUND(SomaAgrup,15-13*$AF$11)))</f>
        <v>263.33999999999997</v>
      </c>
      <c r="Y60" s="127" t="s">
        <v>752</v>
      </c>
      <c r="Z60" t="str">
        <f t="shared" ca="1" si="95"/>
        <v>RA</v>
      </c>
      <c r="AA60" s="128">
        <f ca="1">IF($C60="S",IF($Z60="CP",$X60,IF($Z60="RA",(($X60)*QCI!$AA$3),0)),SomaAgrup)</f>
        <v>263.33999999999997</v>
      </c>
      <c r="AB60" s="129">
        <f t="shared" ca="1" si="82"/>
        <v>0</v>
      </c>
      <c r="AC60" s="566"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IF(AND(_xlfn.SINGLE(TIPOORCAMENTO)="Licitado",$AL60=0,$AN60&gt;0),"SEM PREÇO",
IF(AND($C60="S",$P60&lt;&gt;"",$Q60&lt;&gt;"",$U60&gt;0,$V60=0),"BDI",
IF(OR(AND(TIPOORCAMENTO="Proposto",LEFT($O$8,5)&lt;&gt;"(N/D:",$AG60&lt;&gt;"",ORÇAMENTO.CustoUnitario&gt;$AG60),AND(TIPOORCAMENTO="LICITADO",ORÇAMENTO.PrecoUnitarioLicitado&gt;$AN60)),"ACIMA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t="str">
        <f ca="1">IF(C60&lt;=CRONO.NivelExibicao,MAX($AD$15:OFFSET(AD60,-1,0))+IF($C60&lt;&gt;1,1,MAX(1,COUNTIF(QCI!$A$13:$A$24,OFFSET($E60,-1,0)))),"")</f>
        <v/>
      </c>
      <c r="AE60" s="7" t="str">
        <f ca="1">IF(AND($C60="S",ORÇAMENTO.CodBarra&lt;&gt;""),IF(ORÇAMENTO.Fonte="",ORÇAMENTO.CodBarra,CONCATENATE(ORÇAMENTO.Fonte," ",ORÇAMENTO.CodBarra)))</f>
        <v>SINAPI 104918</v>
      </c>
      <c r="AF60" s="12">
        <f ca="1">IF(ISERROR(INDIRECT(ORÇAMENTO.BancoRef)),"(abra o arquivo 'Referência "&amp;Excel_BuiltIn_Database&amp;".xlsm)",IF(OR($C60&lt;&gt;"S",ORÇAMENTO.CodBarra=""),"(Sem Código)",IF(ISERROR(MATCH($AE60,INDIRECT(ORÇAMENTO.BancoRef),0)),"(Código não identificado nas referências)",MATCH($AE60,INDIRECT(ORÇAMENTO.BancoRef),0))))</f>
        <v>10444</v>
      </c>
      <c r="AG60" s="429">
        <f ca="1">ROUND(IF(DESONERACAO="sim",REFERENCIA.Desonerado,REFERENCIA.NaoDesonerado),2)</f>
        <v>13.49</v>
      </c>
      <c r="AH60" s="430">
        <f t="shared" ca="1" si="83"/>
        <v>0.27250000000000002</v>
      </c>
      <c r="AJ60" s="432"/>
      <c r="AL60" s="440"/>
      <c r="AM60" s="337">
        <f t="shared" ca="1" si="0"/>
        <v>263.33999999999997</v>
      </c>
      <c r="AN60" s="471">
        <f t="shared" ca="1" si="84"/>
        <v>15.4</v>
      </c>
    </row>
    <row r="61" spans="1:40" ht="38.25" x14ac:dyDescent="0.2">
      <c r="A61" t="str">
        <f t="shared" si="81"/>
        <v>S</v>
      </c>
      <c r="B61">
        <f t="shared" ca="1" si="85"/>
        <v>2</v>
      </c>
      <c r="C61" t="str">
        <f t="shared" ca="1" si="86"/>
        <v>S</v>
      </c>
      <c r="D61">
        <f t="shared" ca="1" si="87"/>
        <v>0</v>
      </c>
      <c r="E61">
        <f ca="1">IF($C61=1,OFFSET(E61,-1,0)+MAX(1,COUNTIF(QCI!$A$13:$A$24,OFFSET(ORÇAMENTO!E61,-1,0))),OFFSET(E61,-1,0))</f>
        <v>1</v>
      </c>
      <c r="F61">
        <f t="shared" ca="1" si="88"/>
        <v>6</v>
      </c>
      <c r="G61">
        <f t="shared" ca="1" si="89"/>
        <v>0</v>
      </c>
      <c r="H61">
        <f t="shared" ca="1" si="90"/>
        <v>0</v>
      </c>
      <c r="I61">
        <f t="shared" ca="1" si="91"/>
        <v>11</v>
      </c>
      <c r="J61">
        <f t="shared" ca="1" si="80"/>
        <v>0</v>
      </c>
      <c r="K61">
        <f ca="1">IF(OR($C61="S",$C61=0),0,MATCH(OFFSET($D61,0,$C61)+IF($C61&lt;&gt;1,1,COUNTIF(QCI!$A$13:$A$24,ORÇAMENTO!E61)),OFFSET($D61,1,$C61,ROW($C$105)-ROW($C61)),0))</f>
        <v>0</v>
      </c>
      <c r="L61" s="115" t="str">
        <f t="shared" ca="1" si="92"/>
        <v>F</v>
      </c>
      <c r="M61" s="116" t="s">
        <v>706</v>
      </c>
      <c r="N61" s="117" t="str">
        <f t="shared" ca="1" si="93"/>
        <v>Serviço</v>
      </c>
      <c r="O61" s="118" t="str">
        <f t="shared" ca="1" si="94"/>
        <v>1.6.11.</v>
      </c>
      <c r="P61" s="119" t="s">
        <v>959</v>
      </c>
      <c r="Q61" s="120" t="s">
        <v>976</v>
      </c>
      <c r="R61" s="121" t="str">
        <f ca="1">IF($C61="S",REFERENCIA.Descricao,"(digite a descrição aqui)")</f>
        <v>TELA DE ACO SOLDADA NERVURADA, CA-60, Q-92, (1,48 KG/M2), DIAMETRO DO FIO = 4,2 MM, LARGURA = 2,45 X 60 M DE COMPRIMENTO, ESPACAMENTO DA MALHA = 15 X 15 CM</v>
      </c>
      <c r="S61" s="122" t="str">
        <f ca="1">REFERENCIA.Unidade</f>
        <v>M2</v>
      </c>
      <c r="T61" s="123">
        <f ca="1">OFFSET(CÁLCULO!H$15,ROW($T61)-ROW(T$15),0)</f>
        <v>22.25</v>
      </c>
      <c r="U61" s="124">
        <v>11.75</v>
      </c>
      <c r="V61" s="125" t="s">
        <v>664</v>
      </c>
      <c r="W61" s="123">
        <f ca="1">IF($C61="S",ROUND(IF(TIPOORCAMENTO="Proposto",ORÇAMENTO.CustoUnitario*(1+$AH61),ORÇAMENTO.PrecoUnitarioLicitado),15-13*$AF$10),0)</f>
        <v>14.95</v>
      </c>
      <c r="X61" s="126" cm="1">
        <f t="array" aca="1" ref="X61" ca="1">IF($C61="S",IF(OR(Import.TipoArredondamento&lt;&gt;"TransfereGOV",ACOMPANHAMENTO="BM"),VTOTAL1,SUM(OFFSET(CÁLCULO!$AA$15,ROW($X61)-ROW($X$15),1):OFFSET(CÁLCULO!$AL$15,ROW($X61)-ROW($X$15),-1))),IF($C61=0,0,ROUND(SomaAgrup,15-13*$AF$11)))</f>
        <v>332.64</v>
      </c>
      <c r="Y61" s="127" t="s">
        <v>752</v>
      </c>
      <c r="Z61" t="str">
        <f t="shared" ca="1" si="95"/>
        <v>RA</v>
      </c>
      <c r="AA61" s="128">
        <f ca="1">IF($C61="S",IF($Z61="CP",$X61,IF($Z61="RA",(($X61)*QCI!$AA$3),0)),SomaAgrup)</f>
        <v>332.64</v>
      </c>
      <c r="AB61" s="129">
        <f t="shared" ca="1" si="82"/>
        <v>0</v>
      </c>
      <c r="AC61" s="566"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IF(AND(_xlfn.SINGLE(TIPOORCAMENTO)="Licitado",$AL61=0,$AN61&gt;0),"SEM PREÇO",
IF(AND($C61="S",$P61&lt;&gt;"",$Q61&lt;&gt;"",$U61&gt;0,$V61=0),"BDI",
IF(OR(AND(TIPOORCAMENTO="Proposto",LEFT($O$8,5)&lt;&gt;"(N/D:",$AG61&lt;&gt;"",ORÇAMENTO.CustoUnitario&gt;$AG61),AND(TIPOORCAMENTO="LICITADO",ORÇAMENTO.PrecoUnitarioLicitado&gt;$AN61)),"ACIMA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t="str">
        <f ca="1">IF(C61&lt;=CRONO.NivelExibicao,MAX($AD$15:OFFSET(AD61,-1,0))+IF($C61&lt;&gt;1,1,MAX(1,COUNTIF(QCI!$A$13:$A$24,OFFSET($E61,-1,0)))),"")</f>
        <v/>
      </c>
      <c r="AE61" s="7" t="str">
        <f ca="1">IF(AND($C61="S",ORÇAMENTO.CodBarra&lt;&gt;""),IF(ORÇAMENTO.Fonte="",ORÇAMENTO.CodBarra,CONCATENATE(ORÇAMENTO.Fonte," ",ORÇAMENTO.CodBarra)))</f>
        <v>SINAPI-I 21141</v>
      </c>
      <c r="AF61" s="12">
        <f ca="1">IF(ISERROR(INDIRECT(ORÇAMENTO.BancoRef)),"(abra o arquivo 'Referência "&amp;Excel_BuiltIn_Database&amp;".xlsm)",IF(OR($C61&lt;&gt;"S",ORÇAMENTO.CodBarra=""),"(Sem Código)",IF(ISERROR(MATCH($AE61,INDIRECT(ORÇAMENTO.BancoRef),0)),"(Código não identificado nas referências)",MATCH($AE61,INDIRECT(ORÇAMENTO.BancoRef),0))))</f>
        <v>4200</v>
      </c>
      <c r="AG61" s="429">
        <f ca="1">ROUND(IF(DESONERACAO="sim",REFERENCIA.Desonerado,REFERENCIA.NaoDesonerado),2)</f>
        <v>13.1</v>
      </c>
      <c r="AH61" s="430">
        <f t="shared" ca="1" si="83"/>
        <v>0.27250000000000002</v>
      </c>
      <c r="AJ61" s="432"/>
      <c r="AL61" s="440"/>
      <c r="AM61" s="337">
        <f t="shared" ca="1" si="0"/>
        <v>332.64</v>
      </c>
      <c r="AN61" s="471">
        <f t="shared" ca="1" si="84"/>
        <v>14.95</v>
      </c>
    </row>
    <row r="62" spans="1:40" ht="25.5" x14ac:dyDescent="0.2">
      <c r="A62" t="str">
        <f t="shared" si="81"/>
        <v>S</v>
      </c>
      <c r="B62">
        <f t="shared" ca="1" si="85"/>
        <v>2</v>
      </c>
      <c r="C62" t="str">
        <f t="shared" ca="1" si="86"/>
        <v>S</v>
      </c>
      <c r="D62">
        <f t="shared" ca="1" si="87"/>
        <v>0</v>
      </c>
      <c r="E62">
        <f ca="1">IF($C62=1,OFFSET(E62,-1,0)+MAX(1,COUNTIF(QCI!$A$13:$A$24,OFFSET(ORÇAMENTO!E62,-1,0))),OFFSET(E62,-1,0))</f>
        <v>1</v>
      </c>
      <c r="F62">
        <f t="shared" ca="1" si="88"/>
        <v>6</v>
      </c>
      <c r="G62">
        <f t="shared" ca="1" si="89"/>
        <v>0</v>
      </c>
      <c r="H62">
        <f t="shared" ca="1" si="90"/>
        <v>0</v>
      </c>
      <c r="I62">
        <f t="shared" ca="1" si="91"/>
        <v>12</v>
      </c>
      <c r="J62">
        <f t="shared" ca="1" si="80"/>
        <v>0</v>
      </c>
      <c r="K62">
        <f ca="1">IF(OR($C62="S",$C62=0),0,MATCH(OFFSET($D62,0,$C62)+IF($C62&lt;&gt;1,1,COUNTIF(QCI!$A$13:$A$24,ORÇAMENTO!E62)),OFFSET($D62,1,$C62,ROW($C$105)-ROW($C62)),0))</f>
        <v>0</v>
      </c>
      <c r="L62" s="115" t="str">
        <f t="shared" ca="1" si="92"/>
        <v>F</v>
      </c>
      <c r="M62" s="116" t="s">
        <v>706</v>
      </c>
      <c r="N62" s="117" t="str">
        <f t="shared" ca="1" si="93"/>
        <v>Serviço</v>
      </c>
      <c r="O62" s="118" t="str">
        <f t="shared" ca="1" si="94"/>
        <v>1.6.12.</v>
      </c>
      <c r="P62" s="119" t="s">
        <v>959</v>
      </c>
      <c r="Q62" s="120" t="s">
        <v>1030</v>
      </c>
      <c r="R62" s="121" t="str">
        <f ca="1">IF($C62="S",REFERENCIA.Descricao,"(digite a descrição aqui)")</f>
        <v>ARAME RECOZIDO 16 BWG, D = 1,65 MM (0,016 KG/M) OU 18 BWG, D = 1,25 MM (0,01 KG/M)</v>
      </c>
      <c r="S62" s="122" t="str">
        <f ca="1">REFERENCIA.Unidade</f>
        <v>KG</v>
      </c>
      <c r="T62" s="123">
        <f ca="1">OFFSET(CÁLCULO!H$15,ROW($T62)-ROW(T$15),0)</f>
        <v>9</v>
      </c>
      <c r="U62" s="124">
        <v>18.850000000000001</v>
      </c>
      <c r="V62" s="125" t="s">
        <v>664</v>
      </c>
      <c r="W62" s="123">
        <f ca="1">IF($C62="S",ROUND(IF(TIPOORCAMENTO="Proposto",ORÇAMENTO.CustoUnitario*(1+$AH62),ORÇAMENTO.PrecoUnitarioLicitado),15-13*$AF$10),0)</f>
        <v>23.99</v>
      </c>
      <c r="X62" s="126" cm="1">
        <f t="array" aca="1" ref="X62" ca="1">IF($C62="S",IF(OR(Import.TipoArredondamento&lt;&gt;"TransfereGOV",ACOMPANHAMENTO="BM"),VTOTAL1,SUM(OFFSET(CÁLCULO!$AA$15,ROW($X62)-ROW($X$15),1):OFFSET(CÁLCULO!$AL$15,ROW($X62)-ROW($X$15),-1))),IF($C62=0,0,ROUND(SomaAgrup,15-13*$AF$11)))</f>
        <v>215.91</v>
      </c>
      <c r="Y62" s="127" t="s">
        <v>752</v>
      </c>
      <c r="Z62" t="str">
        <f t="shared" ca="1" si="95"/>
        <v>RA</v>
      </c>
      <c r="AA62" s="128">
        <f ca="1">IF($C62="S",IF($Z62="CP",$X62,IF($Z62="RA",(($X62)*QCI!$AA$3),0)),SomaAgrup)</f>
        <v>215.91</v>
      </c>
      <c r="AB62" s="129">
        <f t="shared" ca="1" si="82"/>
        <v>0</v>
      </c>
      <c r="AC62" s="566"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IF(AND(_xlfn.SINGLE(TIPOORCAMENTO)="Licitado",$AL62=0,$AN62&gt;0),"SEM PREÇO",
IF(AND($C62="S",$P62&lt;&gt;"",$Q62&lt;&gt;"",$U62&gt;0,$V62=0),"BDI",
IF(OR(AND(TIPOORCAMENTO="Proposto",LEFT($O$8,5)&lt;&gt;"(N/D:",$AG62&lt;&gt;"",ORÇAMENTO.CustoUnitario&gt;$AG62),AND(TIPOORCAMENTO="LICITADO",ORÇAMENTO.PrecoUnitarioLicitado&gt;$AN62)),"ACIMA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t="str">
        <f ca="1">IF(C62&lt;=CRONO.NivelExibicao,MAX($AD$15:OFFSET(AD62,-1,0))+IF($C62&lt;&gt;1,1,MAX(1,COUNTIF(QCI!$A$13:$A$24,OFFSET($E62,-1,0)))),"")</f>
        <v/>
      </c>
      <c r="AE62" s="7" t="str">
        <f ca="1">IF(AND($C62="S",ORÇAMENTO.CodBarra&lt;&gt;""),IF(ORÇAMENTO.Fonte="",ORÇAMENTO.CodBarra,CONCATENATE(ORÇAMENTO.Fonte," ",ORÇAMENTO.CodBarra)))</f>
        <v>SINAPI-I 43132</v>
      </c>
      <c r="AF62" s="12">
        <f ca="1">IF(ISERROR(INDIRECT(ORÇAMENTO.BancoRef)),"(abra o arquivo 'Referência "&amp;Excel_BuiltIn_Database&amp;".xlsm)",IF(OR($C62&lt;&gt;"S",ORÇAMENTO.CodBarra=""),"(Sem Código)",IF(ISERROR(MATCH($AE62,INDIRECT(ORÇAMENTO.BancoRef),0)),"(Código não identificado nas referências)",MATCH($AE62,INDIRECT(ORÇAMENTO.BancoRef),0))))</f>
        <v>322</v>
      </c>
      <c r="AG62" s="429">
        <f ca="1">ROUND(IF(DESONERACAO="sim",REFERENCIA.Desonerado,REFERENCIA.NaoDesonerado),2)</f>
        <v>20.99</v>
      </c>
      <c r="AH62" s="430">
        <f t="shared" ca="1" si="83"/>
        <v>0.27250000000000002</v>
      </c>
      <c r="AJ62" s="432"/>
      <c r="AL62" s="440"/>
      <c r="AM62" s="337">
        <f t="shared" ca="1" si="0"/>
        <v>215.91</v>
      </c>
      <c r="AN62" s="471">
        <f t="shared" ca="1" si="84"/>
        <v>23.99</v>
      </c>
    </row>
    <row r="63" spans="1:40" x14ac:dyDescent="0.2">
      <c r="A63" t="str">
        <f t="shared" si="81"/>
        <v>S</v>
      </c>
      <c r="B63">
        <f t="shared" ca="1" si="85"/>
        <v>2</v>
      </c>
      <c r="C63" t="str">
        <f t="shared" ca="1" si="86"/>
        <v>S</v>
      </c>
      <c r="D63">
        <f t="shared" ca="1" si="87"/>
        <v>0</v>
      </c>
      <c r="E63">
        <f ca="1">IF($C63=1,OFFSET(E63,-1,0)+MAX(1,COUNTIF(QCI!$A$13:$A$24,OFFSET(ORÇAMENTO!E63,-1,0))),OFFSET(E63,-1,0))</f>
        <v>1</v>
      </c>
      <c r="F63">
        <f t="shared" ca="1" si="88"/>
        <v>6</v>
      </c>
      <c r="G63">
        <f t="shared" ca="1" si="89"/>
        <v>0</v>
      </c>
      <c r="H63">
        <f t="shared" ca="1" si="90"/>
        <v>0</v>
      </c>
      <c r="I63">
        <f t="shared" ca="1" si="91"/>
        <v>13</v>
      </c>
      <c r="J63">
        <f t="shared" ca="1" si="80"/>
        <v>0</v>
      </c>
      <c r="K63">
        <f ca="1">IF(OR($C63="S",$C63=0),0,MATCH(OFFSET($D63,0,$C63)+IF($C63&lt;&gt;1,1,COUNTIF(QCI!$A$13:$A$24,ORÇAMENTO!E63)),OFFSET($D63,1,$C63,ROW($C$105)-ROW($C63)),0))</f>
        <v>0</v>
      </c>
      <c r="L63" s="115" t="str">
        <f t="shared" ca="1" si="92"/>
        <v>F</v>
      </c>
      <c r="M63" s="116" t="s">
        <v>706</v>
      </c>
      <c r="N63" s="117" t="str">
        <f t="shared" ca="1" si="93"/>
        <v>Serviço</v>
      </c>
      <c r="O63" s="118" t="str">
        <f t="shared" ca="1" si="94"/>
        <v>1.6.13.</v>
      </c>
      <c r="P63" s="119" t="s">
        <v>959</v>
      </c>
      <c r="Q63" s="120" t="s">
        <v>1031</v>
      </c>
      <c r="R63" s="121" t="str">
        <f ca="1">IF($C63="S",REFERENCIA.Descricao,"(digite a descrição aqui)")</f>
        <v>PREGO DE ACO POLIDO COM CABECA 18 X 30 (2 3/4 X 10)</v>
      </c>
      <c r="S63" s="122" t="str">
        <f ca="1">REFERENCIA.Unidade</f>
        <v>KG</v>
      </c>
      <c r="T63" s="123">
        <f ca="1">OFFSET(CÁLCULO!H$15,ROW($T63)-ROW(T$15),0)</f>
        <v>7</v>
      </c>
      <c r="U63" s="124">
        <v>13.2</v>
      </c>
      <c r="V63" s="125" t="s">
        <v>664</v>
      </c>
      <c r="W63" s="123">
        <f ca="1">IF($C63="S",ROUND(IF(TIPOORCAMENTO="Proposto",ORÇAMENTO.CustoUnitario*(1+$AH63),ORÇAMENTO.PrecoUnitarioLicitado),15-13*$AF$10),0)</f>
        <v>16.8</v>
      </c>
      <c r="X63" s="126" cm="1">
        <f t="array" aca="1" ref="X63" ca="1">IF($C63="S",IF(OR(Import.TipoArredondamento&lt;&gt;"TransfereGOV",ACOMPANHAMENTO="BM"),VTOTAL1,SUM(OFFSET(CÁLCULO!$AA$15,ROW($X63)-ROW($X$15),1):OFFSET(CÁLCULO!$AL$15,ROW($X63)-ROW($X$15),-1))),IF($C63=0,0,ROUND(SomaAgrup,15-13*$AF$11)))</f>
        <v>117.6</v>
      </c>
      <c r="Y63" s="127" t="s">
        <v>752</v>
      </c>
      <c r="Z63" t="str">
        <f t="shared" ca="1" si="95"/>
        <v>RA</v>
      </c>
      <c r="AA63" s="128">
        <f ca="1">IF($C63="S",IF($Z63="CP",$X63,IF($Z63="RA",(($X63)*QCI!$AA$3),0)),SomaAgrup)</f>
        <v>117.6</v>
      </c>
      <c r="AB63" s="129">
        <f t="shared" ca="1" si="82"/>
        <v>0</v>
      </c>
      <c r="AC63" s="566"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IF(AND(_xlfn.SINGLE(TIPOORCAMENTO)="Licitado",$AL63=0,$AN63&gt;0),"SEM PREÇO",
IF(AND($C63="S",$P63&lt;&gt;"",$Q63&lt;&gt;"",$U63&gt;0,$V63=0),"BDI",
IF(OR(AND(TIPOORCAMENTO="Proposto",LEFT($O$8,5)&lt;&gt;"(N/D:",$AG63&lt;&gt;"",ORÇAMENTO.CustoUnitario&gt;$AG63),AND(TIPOORCAMENTO="LICITADO",ORÇAMENTO.PrecoUnitarioLicitado&gt;$AN63)),"ACIMA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t="str">
        <f ca="1">IF(C63&lt;=CRONO.NivelExibicao,MAX($AD$15:OFFSET(AD63,-1,0))+IF($C63&lt;&gt;1,1,MAX(1,COUNTIF(QCI!$A$13:$A$24,OFFSET($E63,-1,0)))),"")</f>
        <v/>
      </c>
      <c r="AE63" s="7" t="str">
        <f ca="1">IF(AND($C63="S",ORÇAMENTO.CodBarra&lt;&gt;""),IF(ORÇAMENTO.Fonte="",ORÇAMENTO.CodBarra,CONCATENATE(ORÇAMENTO.Fonte," ",ORÇAMENTO.CodBarra)))</f>
        <v>SINAPI-I 5075</v>
      </c>
      <c r="AF63" s="12">
        <f ca="1">IF(ISERROR(INDIRECT(ORÇAMENTO.BancoRef)),"(abra o arquivo 'Referência "&amp;Excel_BuiltIn_Database&amp;".xlsm)",IF(OR($C63&lt;&gt;"S",ORÇAMENTO.CodBarra=""),"(Sem Código)",IF(ISERROR(MATCH($AE63,INDIRECT(ORÇAMENTO.BancoRef),0)),"(Código não identificado nas referências)",MATCH($AE63,INDIRECT(ORÇAMENTO.BancoRef),0))))</f>
        <v>3609</v>
      </c>
      <c r="AG63" s="429">
        <f ca="1">ROUND(IF(DESONERACAO="sim",REFERENCIA.Desonerado,REFERENCIA.NaoDesonerado),2)</f>
        <v>14.7</v>
      </c>
      <c r="AH63" s="430">
        <f t="shared" ca="1" si="83"/>
        <v>0.27250000000000002</v>
      </c>
      <c r="AJ63" s="432"/>
      <c r="AL63" s="440"/>
      <c r="AM63" s="337">
        <f t="shared" ca="1" si="0"/>
        <v>117.6</v>
      </c>
      <c r="AN63" s="471">
        <f t="shared" ca="1" si="84"/>
        <v>16.8</v>
      </c>
    </row>
    <row r="64" spans="1:40" ht="51" x14ac:dyDescent="0.2">
      <c r="A64" t="str">
        <f t="shared" si="81"/>
        <v>S</v>
      </c>
      <c r="B64">
        <f t="shared" ca="1" si="85"/>
        <v>2</v>
      </c>
      <c r="C64" t="str">
        <f t="shared" ca="1" si="86"/>
        <v>S</v>
      </c>
      <c r="D64">
        <f t="shared" ca="1" si="87"/>
        <v>0</v>
      </c>
      <c r="E64">
        <f ca="1">IF($C64=1,OFFSET(E64,-1,0)+MAX(1,COUNTIF(QCI!$A$13:$A$24,OFFSET(ORÇAMENTO!E64,-1,0))),OFFSET(E64,-1,0))</f>
        <v>1</v>
      </c>
      <c r="F64">
        <f t="shared" ca="1" si="88"/>
        <v>6</v>
      </c>
      <c r="G64">
        <f t="shared" ca="1" si="89"/>
        <v>0</v>
      </c>
      <c r="H64">
        <f t="shared" ca="1" si="90"/>
        <v>0</v>
      </c>
      <c r="I64">
        <f t="shared" ca="1" si="91"/>
        <v>14</v>
      </c>
      <c r="J64">
        <f t="shared" ca="1" si="80"/>
        <v>0</v>
      </c>
      <c r="K64">
        <f ca="1">IF(OR($C64="S",$C64=0),0,MATCH(OFFSET($D64,0,$C64)+IF($C64&lt;&gt;1,1,COUNTIF(QCI!$A$13:$A$24,ORÇAMENTO!E64)),OFFSET($D64,1,$C64,ROW($C$105)-ROW($C64)),0))</f>
        <v>0</v>
      </c>
      <c r="L64" s="115" t="str">
        <f t="shared" ca="1" si="92"/>
        <v>F</v>
      </c>
      <c r="M64" s="116" t="s">
        <v>706</v>
      </c>
      <c r="N64" s="117" t="str">
        <f t="shared" ca="1" si="93"/>
        <v>Serviço</v>
      </c>
      <c r="O64" s="118" t="str">
        <f t="shared" ca="1" si="94"/>
        <v>1.6.14.</v>
      </c>
      <c r="P64" s="119" t="s">
        <v>751</v>
      </c>
      <c r="Q64" s="120" t="s">
        <v>974</v>
      </c>
      <c r="R64" s="121" t="str">
        <f ca="1">IF($C64="S",REFERENCIA.Descricao,"(digite a descrição aqui)")</f>
        <v>ALVENARIA DE VEDAÇÃO DE BLOCOS CERÂMICOS FURADOS NA HORIZONTAL DE 11,5X19X39 CM (ESPESSURA 11,5 CM) E ARGAMASSA DE ASSENTAMENTO COM PREPARO EM BETONEIRA. AF_12/2021</v>
      </c>
      <c r="S64" s="122" t="str">
        <f ca="1">REFERENCIA.Unidade</f>
        <v>M2</v>
      </c>
      <c r="T64" s="123">
        <f ca="1">OFFSET(CÁLCULO!H$15,ROW($T64)-ROW(T$15),0)</f>
        <v>20.25</v>
      </c>
      <c r="U64" s="124">
        <v>58.75</v>
      </c>
      <c r="V64" s="125" t="s">
        <v>664</v>
      </c>
      <c r="W64" s="123">
        <f ca="1">IF($C64="S",ROUND(IF(TIPOORCAMENTO="Proposto",ORÇAMENTO.CustoUnitario*(1+$AH64),ORÇAMENTO.PrecoUnitarioLicitado),15-13*$AF$10),0)</f>
        <v>74.760000000000005</v>
      </c>
      <c r="X64" s="126" cm="1">
        <f t="array" aca="1" ref="X64" ca="1">IF($C64="S",IF(OR(Import.TipoArredondamento&lt;&gt;"TransfereGOV",ACOMPANHAMENTO="BM"),VTOTAL1,SUM(OFFSET(CÁLCULO!$AA$15,ROW($X64)-ROW($X$15),1):OFFSET(CÁLCULO!$AL$15,ROW($X64)-ROW($X$15),-1))),IF($C64=0,0,ROUND(SomaAgrup,15-13*$AF$11)))</f>
        <v>1513.89</v>
      </c>
      <c r="Y64" s="127" t="s">
        <v>752</v>
      </c>
      <c r="Z64" t="str">
        <f t="shared" ca="1" si="95"/>
        <v>RA</v>
      </c>
      <c r="AA64" s="128">
        <f ca="1">IF($C64="S",IF($Z64="CP",$X64,IF($Z64="RA",(($X64)*QCI!$AA$3),0)),SomaAgrup)</f>
        <v>1513.89</v>
      </c>
      <c r="AB64" s="129">
        <f t="shared" ca="1" si="82"/>
        <v>0</v>
      </c>
      <c r="AC64" s="566"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IF(AND(_xlfn.SINGLE(TIPOORCAMENTO)="Licitado",$AL64=0,$AN64&gt;0),"SEM PREÇO",
IF(AND($C64="S",$P64&lt;&gt;"",$Q64&lt;&gt;"",$U64&gt;0,$V64=0),"BDI",
IF(OR(AND(TIPOORCAMENTO="Proposto",LEFT($O$8,5)&lt;&gt;"(N/D:",$AG64&lt;&gt;"",ORÇAMENTO.CustoUnitario&gt;$AG64),AND(TIPOORCAMENTO="LICITADO",ORÇAMENTO.PrecoUnitarioLicitado&gt;$AN64)),"ACIMA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t="str">
        <f ca="1">IF(C64&lt;=CRONO.NivelExibicao,MAX($AD$15:OFFSET(AD64,-1,0))+IF($C64&lt;&gt;1,1,MAX(1,COUNTIF(QCI!$A$13:$A$24,OFFSET($E64,-1,0)))),"")</f>
        <v/>
      </c>
      <c r="AE64" s="7" t="str">
        <f ca="1">IF(AND($C64="S",ORÇAMENTO.CodBarra&lt;&gt;""),IF(ORÇAMENTO.Fonte="",ORÇAMENTO.CodBarra,CONCATENATE(ORÇAMENTO.Fonte," ",ORÇAMENTO.CodBarra)))</f>
        <v>SINAPI 103366</v>
      </c>
      <c r="AF64" s="12">
        <f ca="1">IF(ISERROR(INDIRECT(ORÇAMENTO.BancoRef)),"(abra o arquivo 'Referência "&amp;Excel_BuiltIn_Database&amp;".xlsm)",IF(OR($C64&lt;&gt;"S",ORÇAMENTO.CodBarra=""),"(Sem Código)",IF(ISERROR(MATCH($AE64,INDIRECT(ORÇAMENTO.BancoRef),0)),"(Código não identificado nas referências)",MATCH($AE64,INDIRECT(ORÇAMENTO.BancoRef),0))))</f>
        <v>6232</v>
      </c>
      <c r="AG64" s="429">
        <f ca="1">ROUND(IF(DESONERACAO="sim",REFERENCIA.Desonerado,REFERENCIA.NaoDesonerado),2)</f>
        <v>65.290000000000006</v>
      </c>
      <c r="AH64" s="430">
        <f t="shared" ca="1" si="83"/>
        <v>0.27250000000000002</v>
      </c>
      <c r="AJ64" s="432"/>
      <c r="AL64" s="440"/>
      <c r="AM64" s="337">
        <f t="shared" ca="1" si="0"/>
        <v>1513.89</v>
      </c>
      <c r="AN64" s="471">
        <f t="shared" ca="1" si="84"/>
        <v>74.760000000000005</v>
      </c>
    </row>
    <row r="65" spans="1:40" ht="51" x14ac:dyDescent="0.2">
      <c r="A65" t="str">
        <f>CHOOSE(1+LOG(1+2*(ORÇAMENTO.Nivel="Meta")+4*(ORÇAMENTO.Nivel="Nível 2")+8*(ORÇAMENTO.Nivel="Nível 3")+16*(ORÇAMENTO.Nivel="Nível 4")+32*(ORÇAMENTO.Nivel="Serviço"),2),0,1,2,3,4,"S")</f>
        <v>S</v>
      </c>
      <c r="B65">
        <f ca="1">IF(OR(C65="s",C65=0),OFFSET(B65,-1,0),C65)</f>
        <v>2</v>
      </c>
      <c r="C65" t="str">
        <f ca="1">IF(OFFSET(C65,-1,0)="L",1,IF(OFFSET(C65,-1,0)=1,2,IF(OR(A65="s",A65=0),"S",IF(AND(OFFSET(C65,-1,0)=2,A65=4),3,IF(AND(OR(OFFSET(C65,-1,0)="s",OFFSET(C65,-1,0)=0),A65&lt;&gt;"s",A65&gt;OFFSET(B65,-1,0)),OFFSET(B65,-1,0),A65)))))</f>
        <v>S</v>
      </c>
      <c r="D65">
        <f ca="1">IF(OR(C65="S",C65=0),0,IF(ISERROR(K65),J65,SMALL(J65:K65,1)))</f>
        <v>0</v>
      </c>
      <c r="E65">
        <f ca="1">IF($C65=1,OFFSET(E65,-1,0)+MAX(1,COUNTIF(QCI!$A$13:$A$24,OFFSET(ORÇAMENTO!E65,-1,0))),OFFSET(E65,-1,0))</f>
        <v>1</v>
      </c>
      <c r="F65">
        <f ca="1">IF($C65=1,0,IF($C65=2,OFFSET(F65,-1,0)+1,OFFSET(F65,-1,0)))</f>
        <v>6</v>
      </c>
      <c r="G65">
        <f ca="1">IF(AND($C65&lt;=2,$C65&lt;&gt;0),0,IF($C65=3,OFFSET(G65,-1,0)+1,OFFSET(G65,-1,0)))</f>
        <v>0</v>
      </c>
      <c r="H65">
        <f ca="1">IF(AND($C65&lt;=3,$C65&lt;&gt;0),0,IF($C65=4,OFFSET(H65,-1,0)+1,OFFSET(H65,-1,0)))</f>
        <v>0</v>
      </c>
      <c r="I65">
        <f ca="1">IF(AND($C65&lt;=4,$C65&lt;&gt;0),0,IF(AND($C65="S",$X65&gt;0),OFFSET(I65,-1,0)+1,OFFSET(I65,-1,0)))</f>
        <v>15</v>
      </c>
      <c r="J65">
        <f t="shared" ca="1" si="80"/>
        <v>0</v>
      </c>
      <c r="K65">
        <f ca="1">IF(OR($C65="S",$C65=0),0,MATCH(OFFSET($D65,0,$C65)+IF($C65&lt;&gt;1,1,COUNTIF(QCI!$A$13:$A$24,ORÇAMENTO!E65)),OFFSET($D65,1,$C65,ROW($C$105)-ROW($C65)),0))</f>
        <v>0</v>
      </c>
      <c r="L65" s="115" t="str">
        <f ca="1">IF(OR($X65&gt;0,$C65=1,$C65=2,$C65=3,$C65=4),"F","")</f>
        <v>F</v>
      </c>
      <c r="M65" s="116" t="s">
        <v>706</v>
      </c>
      <c r="N65" s="117" t="str">
        <f ca="1">CHOOSE(1+LOG(1+2*(C65=1)+4*(C65=2)+8*(C65=3)+16*(C65=4)+32*(C65="S"),2),"","Meta","Nível 2","Nível 3","Nível 4","Serviço")</f>
        <v>Serviço</v>
      </c>
      <c r="O65" s="118" t="str">
        <f ca="1">IF(OR($C65=0,$L65=""),"-",CONCATENATE(E65&amp;".",IF(AND($A$5&gt;=2,$C65&gt;=2),F65&amp;".",""),IF(AND($A$5&gt;=3,$C65&gt;=3),G65&amp;".",""),IF(AND($A$5&gt;=4,$C65&gt;=4),H65&amp;".",""),IF($C65="S",I65&amp;".","")))</f>
        <v>1.6.15.</v>
      </c>
      <c r="P65" s="119" t="s">
        <v>751</v>
      </c>
      <c r="Q65" s="120" t="s">
        <v>1079</v>
      </c>
      <c r="R65" s="121" t="str">
        <f ca="1">IF($C65="S",REFERENCIA.Descricao,"(digite a descrição aqui)")</f>
        <v>ARGAMASSA TRAÇO 1:1,5:7,5 (EM VOLUME DE CIMENTO, CAL E AREIA MÉDIA ÚMIDA) PARA EMBOÇO/MASSA ÚNICA/ASSENTAMENTO DE ALVENARIA DE VEDAÇÃO, PREPARO MECÂNICO COM BETONEIRA ATÉ 600 L. AF_07/2026</v>
      </c>
      <c r="S65" s="122" t="str">
        <f ca="1">REFERENCIA.Unidade</f>
        <v>M3</v>
      </c>
      <c r="T65" s="123">
        <f ca="1">OFFSET(CÁLCULO!H$15,ROW($T65)-ROW(T$15),0)</f>
        <v>0.6</v>
      </c>
      <c r="U65" s="124">
        <v>562.29999999999995</v>
      </c>
      <c r="V65" s="125" t="s">
        <v>664</v>
      </c>
      <c r="W65" s="123">
        <f ca="1">IF($C65="S",ROUND(IF(TIPOORCAMENTO="Proposto",ORÇAMENTO.CustoUnitario*(1+$AH65),ORÇAMENTO.PrecoUnitarioLicitado),15-13*$AF$10),0)</f>
        <v>715.53</v>
      </c>
      <c r="X65" s="126" cm="1">
        <f t="array" aca="1" ref="X65" ca="1">IF($C65="S",IF(OR(Import.TipoArredondamento&lt;&gt;"TransfereGOV",ACOMPANHAMENTO="BM"),VTOTAL1,SUM(OFFSET(CÁLCULO!$AA$15,ROW($X65)-ROW($X$15),1):OFFSET(CÁLCULO!$AL$15,ROW($X65)-ROW($X$15),-1))),IF($C65=0,0,ROUND(SomaAgrup,15-13*$AF$11)))</f>
        <v>429.32</v>
      </c>
      <c r="Y65" s="127" t="s">
        <v>752</v>
      </c>
      <c r="Z65" t="str">
        <f ca="1">IF(AND($C65="S",$X65&gt;0),IF(ISBLANK($Y65),"RA",LEFT($Y65,2)),"")</f>
        <v>RA</v>
      </c>
      <c r="AA65" s="128">
        <f ca="1">IF($C65="S",IF($Z65="CP",$X65,IF($Z65="RA",(($X65)*QCI!$AA$3),0)),SomaAgrup)</f>
        <v>429.32</v>
      </c>
      <c r="AB65" s="129">
        <f ca="1">IF($C65="S",IF($Z65="OU",ROUND($X65,2),0),SomaAgrup)</f>
        <v>0</v>
      </c>
      <c r="AC65" s="566"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IF(AND(_xlfn.SINGLE(TIPOORCAMENTO)="Licitado",$AL65=0,$AN65&gt;0),"SEM PREÇO",
IF(AND($C65="S",$P65&lt;&gt;"",$Q65&lt;&gt;"",$U65&gt;0,$V65=0),"BDI",
IF(OR(AND(TIPOORCAMENTO="Proposto",LEFT($O$8,5)&lt;&gt;"(N/D:",$AG65&lt;&gt;"",ORÇAMENTO.CustoUnitario&gt;$AG65),AND(TIPOORCAMENTO="LICITADO",ORÇAMENTO.PrecoUnitarioLicitado&gt;$AN65)),"ACIMA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t="str">
        <f ca="1">IF(C65&lt;=CRONO.NivelExibicao,MAX($AD$15:OFFSET(AD65,-1,0))+IF($C65&lt;&gt;1,1,MAX(1,COUNTIF(QCI!$A$13:$A$24,OFFSET($E65,-1,0)))),"")</f>
        <v/>
      </c>
      <c r="AE65" s="7" t="str">
        <f ca="1">IF(AND($C65="S",ORÇAMENTO.CodBarra&lt;&gt;""),IF(ORÇAMENTO.Fonte="",ORÇAMENTO.CodBarra,CONCATENATE(ORÇAMENTO.Fonte," ",ORÇAMENTO.CodBarra)))</f>
        <v>SINAPI 87289</v>
      </c>
      <c r="AF65" s="12">
        <f ca="1">IF(ISERROR(INDIRECT(ORÇAMENTO.BancoRef)),"(abra o arquivo 'Referência "&amp;Excel_BuiltIn_Database&amp;".xlsm)",IF(OR($C65&lt;&gt;"S",ORÇAMENTO.CodBarra=""),"(Sem Código)",IF(ISERROR(MATCH($AE65,INDIRECT(ORÇAMENTO.BancoRef),0)),"(Código não identificado nas referências)",MATCH($AE65,INDIRECT(ORÇAMENTO.BancoRef),0))))</f>
        <v>6323</v>
      </c>
      <c r="AG65" s="429">
        <f ca="1">ROUND(IF(DESONERACAO="sim",REFERENCIA.Desonerado,REFERENCIA.NaoDesonerado),2)</f>
        <v>624.78</v>
      </c>
      <c r="AH65" s="430">
        <f ca="1">ROUND(IF(ISNUMBER(ORÇAMENTO.OpcaoBDI),ORÇAMENTO.OpcaoBDI,IF(LEFT(ORÇAMENTO.OpcaoBDI,3)="BDI",HLOOKUP(ORÇAMENTO.OpcaoBDI,$F$4:$H$5,2,FALSE),0)),15-11*$AF$9)</f>
        <v>0.27250000000000002</v>
      </c>
      <c r="AJ65" s="432"/>
      <c r="AL65" s="440"/>
      <c r="AM65" s="337">
        <f t="shared" ca="1" si="0"/>
        <v>429.32</v>
      </c>
      <c r="AN65" s="471">
        <f ca="1">ROUND(ORÇAMENTO.CustoUnitario*(1+$AH65),2)</f>
        <v>715.53</v>
      </c>
    </row>
    <row r="66" spans="1:40" ht="38.25" x14ac:dyDescent="0.2">
      <c r="A66" t="str">
        <f>CHOOSE(1+LOG(1+2*(ORÇAMENTO.Nivel="Meta")+4*(ORÇAMENTO.Nivel="Nível 2")+8*(ORÇAMENTO.Nivel="Nível 3")+16*(ORÇAMENTO.Nivel="Nível 4")+32*(ORÇAMENTO.Nivel="Serviço"),2),0,1,2,3,4,"S")</f>
        <v>S</v>
      </c>
      <c r="B66">
        <f ca="1">IF(OR(C66="s",C66=0),OFFSET(B66,-1,0),C66)</f>
        <v>2</v>
      </c>
      <c r="C66" t="str">
        <f ca="1">IF(OFFSET(C66,-1,0)="L",1,IF(OFFSET(C66,-1,0)=1,2,IF(OR(A66="s",A66=0),"S",IF(AND(OFFSET(C66,-1,0)=2,A66=4),3,IF(AND(OR(OFFSET(C66,-1,0)="s",OFFSET(C66,-1,0)=0),A66&lt;&gt;"s",A66&gt;OFFSET(B66,-1,0)),OFFSET(B66,-1,0),A66)))))</f>
        <v>S</v>
      </c>
      <c r="D66">
        <f ca="1">IF(OR(C66="S",C66=0),0,IF(ISERROR(K66),J66,SMALL(J66:K66,1)))</f>
        <v>0</v>
      </c>
      <c r="E66">
        <f ca="1">IF($C66=1,OFFSET(E66,-1,0)+MAX(1,COUNTIF(QCI!$A$13:$A$24,OFFSET(ORÇAMENTO!E66,-1,0))),OFFSET(E66,-1,0))</f>
        <v>1</v>
      </c>
      <c r="F66">
        <f ca="1">IF($C66=1,0,IF($C66=2,OFFSET(F66,-1,0)+1,OFFSET(F66,-1,0)))</f>
        <v>6</v>
      </c>
      <c r="G66">
        <f ca="1">IF(AND($C66&lt;=2,$C66&lt;&gt;0),0,IF($C66=3,OFFSET(G66,-1,0)+1,OFFSET(G66,-1,0)))</f>
        <v>0</v>
      </c>
      <c r="H66">
        <f ca="1">IF(AND($C66&lt;=3,$C66&lt;&gt;0),0,IF($C66=4,OFFSET(H66,-1,0)+1,OFFSET(H66,-1,0)))</f>
        <v>0</v>
      </c>
      <c r="I66">
        <f ca="1">IF(AND($C66&lt;=4,$C66&lt;&gt;0),0,IF(AND($C66="S",$X66&gt;0),OFFSET(I66,-1,0)+1,OFFSET(I66,-1,0)))</f>
        <v>16</v>
      </c>
      <c r="J66">
        <f t="shared" ca="1" si="80"/>
        <v>0</v>
      </c>
      <c r="K66">
        <f ca="1">IF(OR($C66="S",$C66=0),0,MATCH(OFFSET($D66,0,$C66)+IF($C66&lt;&gt;1,1,COUNTIF(QCI!$A$13:$A$24,ORÇAMENTO!E66)),OFFSET($D66,1,$C66,ROW($C$105)-ROW($C66)),0))</f>
        <v>0</v>
      </c>
      <c r="L66" s="115" t="str">
        <f ca="1">IF(OR($X66&gt;0,$C66=1,$C66=2,$C66=3,$C66=4),"F","")</f>
        <v>F</v>
      </c>
      <c r="M66" s="116" t="s">
        <v>706</v>
      </c>
      <c r="N66" s="117" t="str">
        <f ca="1">CHOOSE(1+LOG(1+2*(C66=1)+4*(C66=2)+8*(C66=3)+16*(C66=4)+32*(C66="S"),2),"","Meta","Nível 2","Nível 3","Nível 4","Serviço")</f>
        <v>Serviço</v>
      </c>
      <c r="O66" s="118" t="str">
        <f ca="1">IF(OR($C66=0,$L66=""),"-",CONCATENATE(E66&amp;".",IF(AND($A$5&gt;=2,$C66&gt;=2),F66&amp;".",""),IF(AND($A$5&gt;=3,$C66&gt;=3),G66&amp;".",""),IF(AND($A$5&gt;=4,$C66&gt;=4),H66&amp;".",""),IF($C66="S",I66&amp;".","")))</f>
        <v>1.6.16.</v>
      </c>
      <c r="P66" s="119" t="s">
        <v>751</v>
      </c>
      <c r="Q66" s="120" t="s">
        <v>1080</v>
      </c>
      <c r="R66" s="121" t="str">
        <f ca="1">IF($C66="S",REFERENCIA.Descricao,"(digite a descrição aqui)")</f>
        <v>ARGAMASSA TRAÇO 1:3 (EM VOLUME DE CIMENTO E AREIA GROSSA ÚMIDA) PARA CHAPISCO CONVENCIONAL, PREPARO MECÂNICO COM BETONEIRA ATÉ 600 L. AF_07/2026</v>
      </c>
      <c r="S66" s="122" t="str">
        <f ca="1">REFERENCIA.Unidade</f>
        <v>M3</v>
      </c>
      <c r="T66" s="123">
        <f ca="1">OFFSET(CÁLCULO!H$15,ROW($T66)-ROW(T$15),0)</f>
        <v>1.6</v>
      </c>
      <c r="U66" s="124">
        <v>574.85</v>
      </c>
      <c r="V66" s="125" t="s">
        <v>664</v>
      </c>
      <c r="W66" s="123">
        <f ca="1">IF($C66="S",ROUND(IF(TIPOORCAMENTO="Proposto",ORÇAMENTO.CustoUnitario*(1+$AH66),ORÇAMENTO.PrecoUnitarioLicitado),15-13*$AF$10),0)</f>
        <v>731.5</v>
      </c>
      <c r="X66" s="126" cm="1">
        <f t="array" aca="1" ref="X66" ca="1">IF($C66="S",IF(OR(Import.TipoArredondamento&lt;&gt;"TransfereGOV",ACOMPANHAMENTO="BM"),VTOTAL1,SUM(OFFSET(CÁLCULO!$AA$15,ROW($X66)-ROW($X$15),1):OFFSET(CÁLCULO!$AL$15,ROW($X66)-ROW($X$15),-1))),IF($C66=0,0,ROUND(SomaAgrup,15-13*$AF$11)))</f>
        <v>1170.4000000000001</v>
      </c>
      <c r="Y66" s="127" t="s">
        <v>752</v>
      </c>
      <c r="Z66" t="str">
        <f ca="1">IF(AND($C66="S",$X66&gt;0),IF(ISBLANK($Y66),"RA",LEFT($Y66,2)),"")</f>
        <v>RA</v>
      </c>
      <c r="AA66" s="128">
        <f ca="1">IF($C66="S",IF($Z66="CP",$X66,IF($Z66="RA",(($X66)*QCI!$AA$3),0)),SomaAgrup)</f>
        <v>1170.4000000000001</v>
      </c>
      <c r="AB66" s="129">
        <f ca="1">IF($C66="S",IF($Z66="OU",ROUND($X66,2),0),SomaAgrup)</f>
        <v>0</v>
      </c>
      <c r="AC66" s="566"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IF(AND(_xlfn.SINGLE(TIPOORCAMENTO)="Licitado",$AL66=0,$AN66&gt;0),"SEM PREÇO",
IF(AND($C66="S",$P66&lt;&gt;"",$Q66&lt;&gt;"",$U66&gt;0,$V66=0),"BDI",
IF(OR(AND(TIPOORCAMENTO="Proposto",LEFT($O$8,5)&lt;&gt;"(N/D:",$AG66&lt;&gt;"",ORÇAMENTO.CustoUnitario&gt;$AG66),AND(TIPOORCAMENTO="LICITADO",ORÇAMENTO.PrecoUnitarioLicitado&gt;$AN66)),"ACIMA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t="str">
        <f ca="1">IF(C66&lt;=CRONO.NivelExibicao,MAX($AD$15:OFFSET(AD66,-1,0))+IF($C66&lt;&gt;1,1,MAX(1,COUNTIF(QCI!$A$13:$A$24,OFFSET($E66,-1,0)))),"")</f>
        <v/>
      </c>
      <c r="AE66" s="7" t="str">
        <f ca="1">IF(AND($C66="S",ORÇAMENTO.CodBarra&lt;&gt;""),IF(ORÇAMENTO.Fonte="",ORÇAMENTO.CodBarra,CONCATENATE(ORÇAMENTO.Fonte," ",ORÇAMENTO.CodBarra)))</f>
        <v>SINAPI 87313</v>
      </c>
      <c r="AF66" s="12">
        <f ca="1">IF(ISERROR(INDIRECT(ORÇAMENTO.BancoRef)),"(abra o arquivo 'Referência "&amp;Excel_BuiltIn_Database&amp;".xlsm)",IF(OR($C66&lt;&gt;"S",ORÇAMENTO.CodBarra=""),"(Sem Código)",IF(ISERROR(MATCH($AE66,INDIRECT(ORÇAMENTO.BancoRef),0)),"(Código não identificado nas referências)",MATCH($AE66,INDIRECT(ORÇAMENTO.BancoRef),0))))</f>
        <v>6350</v>
      </c>
      <c r="AG66" s="429">
        <f ca="1">ROUND(IF(DESONERACAO="sim",REFERENCIA.Desonerado,REFERENCIA.NaoDesonerado),2)</f>
        <v>638.74</v>
      </c>
      <c r="AH66" s="430">
        <f ca="1">ROUND(IF(ISNUMBER(ORÇAMENTO.OpcaoBDI),ORÇAMENTO.OpcaoBDI,IF(LEFT(ORÇAMENTO.OpcaoBDI,3)="BDI",HLOOKUP(ORÇAMENTO.OpcaoBDI,$F$4:$H$5,2,FALSE),0)),15-11*$AF$9)</f>
        <v>0.27250000000000002</v>
      </c>
      <c r="AJ66" s="432"/>
      <c r="AL66" s="440"/>
      <c r="AM66" s="337">
        <f t="shared" ca="1" si="0"/>
        <v>1170.4000000000001</v>
      </c>
      <c r="AN66" s="471">
        <f ca="1">ROUND(ORÇAMENTO.CustoUnitario*(1+$AH66),2)</f>
        <v>731.5</v>
      </c>
    </row>
    <row r="67" spans="1:40" ht="38.25" x14ac:dyDescent="0.2">
      <c r="A67" t="str">
        <f t="shared" si="81"/>
        <v>S</v>
      </c>
      <c r="B67">
        <f t="shared" ca="1" si="85"/>
        <v>2</v>
      </c>
      <c r="C67" t="str">
        <f t="shared" ca="1" si="86"/>
        <v>S</v>
      </c>
      <c r="D67">
        <f t="shared" ca="1" si="87"/>
        <v>0</v>
      </c>
      <c r="E67">
        <f ca="1">IF($C67=1,OFFSET(E67,-1,0)+MAX(1,COUNTIF(QCI!$A$13:$A$24,OFFSET(ORÇAMENTO!E67,-1,0))),OFFSET(E67,-1,0))</f>
        <v>1</v>
      </c>
      <c r="F67">
        <f t="shared" ca="1" si="88"/>
        <v>6</v>
      </c>
      <c r="G67">
        <f t="shared" ca="1" si="89"/>
        <v>0</v>
      </c>
      <c r="H67">
        <f t="shared" ca="1" si="90"/>
        <v>0</v>
      </c>
      <c r="I67">
        <f t="shared" ca="1" si="91"/>
        <v>17</v>
      </c>
      <c r="J67">
        <f t="shared" ca="1" si="80"/>
        <v>0</v>
      </c>
      <c r="K67">
        <f ca="1">IF(OR($C67="S",$C67=0),0,MATCH(OFFSET($D67,0,$C67)+IF($C67&lt;&gt;1,1,COUNTIF(QCI!$A$13:$A$24,ORÇAMENTO!E67)),OFFSET($D67,1,$C67,ROW($C$105)-ROW($C67)),0))</f>
        <v>0</v>
      </c>
      <c r="L67" s="115" t="str">
        <f t="shared" ca="1" si="92"/>
        <v>F</v>
      </c>
      <c r="M67" s="116" t="s">
        <v>706</v>
      </c>
      <c r="N67" s="117" t="str">
        <f t="shared" ca="1" si="93"/>
        <v>Serviço</v>
      </c>
      <c r="O67" s="118" t="str">
        <f t="shared" ca="1" si="94"/>
        <v>1.6.17.</v>
      </c>
      <c r="P67" s="119" t="s">
        <v>751</v>
      </c>
      <c r="Q67" s="120" t="s">
        <v>1032</v>
      </c>
      <c r="R67" s="121" t="str">
        <f ca="1">IF($C67="S",REFERENCIA.Descricao,"(digite a descrição aqui)")</f>
        <v>DEMOLIÇÃO DE PISO DE CONCRETO SIMPLES, DE FORMA MECANIZADA COM MARTELETE, SEM REAPROVEITAMENTO. AF_09/2023</v>
      </c>
      <c r="S67" s="122" t="str">
        <f ca="1">REFERENCIA.Unidade</f>
        <v>M3</v>
      </c>
      <c r="T67" s="123">
        <f ca="1">OFFSET(CÁLCULO!H$15,ROW($T67)-ROW(T$15),0)</f>
        <v>0.35</v>
      </c>
      <c r="U67" s="124">
        <v>106.25</v>
      </c>
      <c r="V67" s="125" t="s">
        <v>664</v>
      </c>
      <c r="W67" s="123">
        <f ca="1">IF($C67="S",ROUND(IF(TIPOORCAMENTO="Proposto",ORÇAMENTO.CustoUnitario*(1+$AH67),ORÇAMENTO.PrecoUnitarioLicitado),15-13*$AF$10),0)</f>
        <v>135.19999999999999</v>
      </c>
      <c r="X67" s="126" cm="1">
        <f t="array" aca="1" ref="X67" ca="1">IF($C67="S",IF(OR(Import.TipoArredondamento&lt;&gt;"TransfereGOV",ACOMPANHAMENTO="BM"),VTOTAL1,SUM(OFFSET(CÁLCULO!$AA$15,ROW($X67)-ROW($X$15),1):OFFSET(CÁLCULO!$AL$15,ROW($X67)-ROW($X$15),-1))),IF($C67=0,0,ROUND(SomaAgrup,15-13*$AF$11)))</f>
        <v>47.32</v>
      </c>
      <c r="Y67" s="127" t="s">
        <v>752</v>
      </c>
      <c r="Z67" t="str">
        <f t="shared" ca="1" si="95"/>
        <v>RA</v>
      </c>
      <c r="AA67" s="128">
        <f ca="1">IF($C67="S",IF($Z67="CP",$X67,IF($Z67="RA",(($X67)*QCI!$AA$3),0)),SomaAgrup)</f>
        <v>47.32</v>
      </c>
      <c r="AB67" s="129">
        <f t="shared" ca="1" si="82"/>
        <v>0</v>
      </c>
      <c r="AC67" s="566"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IF(AND(_xlfn.SINGLE(TIPOORCAMENTO)="Licitado",$AL67=0,$AN67&gt;0),"SEM PREÇO",
IF(AND($C67="S",$P67&lt;&gt;"",$Q67&lt;&gt;"",$U67&gt;0,$V67=0),"BDI",
IF(OR(AND(TIPOORCAMENTO="Proposto",LEFT($O$8,5)&lt;&gt;"(N/D:",$AG67&lt;&gt;"",ORÇAMENTO.CustoUnitario&gt;$AG67),AND(TIPOORCAMENTO="LICITADO",ORÇAMENTO.PrecoUnitarioLicitado&gt;$AN67)),"ACIMA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 xml:space="preserve"> </v>
      </c>
      <c r="AD67" t="str">
        <f ca="1">IF(C67&lt;=CRONO.NivelExibicao,MAX($AD$15:OFFSET(AD67,-1,0))+IF($C67&lt;&gt;1,1,MAX(1,COUNTIF(QCI!$A$13:$A$24,OFFSET($E67,-1,0)))),"")</f>
        <v/>
      </c>
      <c r="AE67" s="7" t="str">
        <f ca="1">IF(AND($C67="S",ORÇAMENTO.CodBarra&lt;&gt;""),IF(ORÇAMENTO.Fonte="",ORÇAMENTO.CodBarra,CONCATENATE(ORÇAMENTO.Fonte," ",ORÇAMENTO.CodBarra)))</f>
        <v>SINAPI 104790</v>
      </c>
      <c r="AF67" s="12">
        <f ca="1">IF(ISERROR(INDIRECT(ORÇAMENTO.BancoRef)),"(abra o arquivo 'Referência "&amp;Excel_BuiltIn_Database&amp;".xlsm)",IF(OR($C67&lt;&gt;"S",ORÇAMENTO.CodBarra=""),"(Sem Código)",IF(ISERROR(MATCH($AE67,INDIRECT(ORÇAMENTO.BancoRef),0)),"(Código não identificado nas referências)",MATCH($AE67,INDIRECT(ORÇAMENTO.BancoRef),0))))</f>
        <v>8109</v>
      </c>
      <c r="AG67" s="429">
        <f ca="1">ROUND(IF(DESONERACAO="sim",REFERENCIA.Desonerado,REFERENCIA.NaoDesonerado),2)</f>
        <v>118.09</v>
      </c>
      <c r="AH67" s="430">
        <f t="shared" ca="1" si="83"/>
        <v>0.27250000000000002</v>
      </c>
      <c r="AJ67" s="432"/>
      <c r="AL67" s="440"/>
      <c r="AM67" s="337">
        <f t="shared" ca="1" si="0"/>
        <v>47.32</v>
      </c>
      <c r="AN67" s="471">
        <f t="shared" ca="1" si="84"/>
        <v>135.19999999999999</v>
      </c>
    </row>
    <row r="68" spans="1:40" x14ac:dyDescent="0.2">
      <c r="A68" t="str">
        <f t="shared" si="81"/>
        <v>S</v>
      </c>
      <c r="B68">
        <f t="shared" ca="1" si="85"/>
        <v>2</v>
      </c>
      <c r="C68" t="str">
        <f t="shared" ca="1" si="86"/>
        <v>S</v>
      </c>
      <c r="D68">
        <f t="shared" ca="1" si="87"/>
        <v>0</v>
      </c>
      <c r="E68">
        <f ca="1">IF($C68=1,OFFSET(E68,-1,0)+MAX(1,COUNTIF(QCI!$A$13:$A$24,OFFSET(ORÇAMENTO!E68,-1,0))),OFFSET(E68,-1,0))</f>
        <v>1</v>
      </c>
      <c r="F68">
        <f t="shared" ca="1" si="88"/>
        <v>6</v>
      </c>
      <c r="G68">
        <f t="shared" ca="1" si="89"/>
        <v>0</v>
      </c>
      <c r="H68">
        <f t="shared" ca="1" si="90"/>
        <v>0</v>
      </c>
      <c r="I68">
        <f t="shared" ca="1" si="91"/>
        <v>18</v>
      </c>
      <c r="J68">
        <f t="shared" ca="1" si="80"/>
        <v>0</v>
      </c>
      <c r="K68">
        <f ca="1">IF(OR($C68="S",$C68=0),0,MATCH(OFFSET($D68,0,$C68)+IF($C68&lt;&gt;1,1,COUNTIF(QCI!$A$13:$A$24,ORÇAMENTO!E68)),OFFSET($D68,1,$C68,ROW($C$105)-ROW($C68)),0))</f>
        <v>0</v>
      </c>
      <c r="L68" s="115" t="str">
        <f t="shared" ca="1" si="92"/>
        <v>F</v>
      </c>
      <c r="M68" s="116" t="s">
        <v>706</v>
      </c>
      <c r="N68" s="117" t="str">
        <f t="shared" ca="1" si="93"/>
        <v>Serviço</v>
      </c>
      <c r="O68" s="118" t="str">
        <f t="shared" ca="1" si="94"/>
        <v>1.6.18.</v>
      </c>
      <c r="P68" s="119" t="s">
        <v>751</v>
      </c>
      <c r="Q68" s="120" t="s">
        <v>1045</v>
      </c>
      <c r="R68" s="121" t="str">
        <f ca="1">IF($C68="S",REFERENCIA.Descricao,"(digite a descrição aqui)")</f>
        <v>AJUDANTE DE PEDREIRO COM ENCARGOS COMPLEMENTARES</v>
      </c>
      <c r="S68" s="122" t="str">
        <f ca="1">REFERENCIA.Unidade</f>
        <v>H</v>
      </c>
      <c r="T68" s="123">
        <f ca="1">OFFSET(CÁLCULO!H$15,ROW($T68)-ROW(T$15),0)</f>
        <v>230</v>
      </c>
      <c r="U68" s="124">
        <v>23.05</v>
      </c>
      <c r="V68" s="125" t="s">
        <v>664</v>
      </c>
      <c r="W68" s="123">
        <f ca="1">IF($C68="S",ROUND(IF(TIPOORCAMENTO="Proposto",ORÇAMENTO.CustoUnitario*(1+$AH68),ORÇAMENTO.PrecoUnitarioLicitado),15-13*$AF$10),0)</f>
        <v>29.33</v>
      </c>
      <c r="X68" s="126" cm="1">
        <f t="array" aca="1" ref="X68" ca="1">IF($C68="S",IF(OR(Import.TipoArredondamento&lt;&gt;"TransfereGOV",ACOMPANHAMENTO="BM"),VTOTAL1,SUM(OFFSET(CÁLCULO!$AA$15,ROW($X68)-ROW($X$15),1):OFFSET(CÁLCULO!$AL$15,ROW($X68)-ROW($X$15),-1))),IF($C68=0,0,ROUND(SomaAgrup,15-13*$AF$11)))</f>
        <v>6745.9</v>
      </c>
      <c r="Y68" s="127" t="s">
        <v>752</v>
      </c>
      <c r="Z68" t="str">
        <f t="shared" ca="1" si="95"/>
        <v>RA</v>
      </c>
      <c r="AA68" s="128">
        <f ca="1">IF($C68="S",IF($Z68="CP",$X68,IF($Z68="RA",(($X68)*QCI!$AA$3),0)),SomaAgrup)</f>
        <v>6745.9</v>
      </c>
      <c r="AB68" s="129">
        <f t="shared" ca="1" si="82"/>
        <v>0</v>
      </c>
      <c r="AC68" s="566"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IF(AND(_xlfn.SINGLE(TIPOORCAMENTO)="Licitado",$AL68=0,$AN68&gt;0),"SEM PREÇO",
IF(AND($C68="S",$P68&lt;&gt;"",$Q68&lt;&gt;"",$U68&gt;0,$V68=0),"BDI",
IF(OR(AND(TIPOORCAMENTO="Proposto",LEFT($O$8,5)&lt;&gt;"(N/D:",$AG68&lt;&gt;"",ORÇAMENTO.CustoUnitario&gt;$AG68),AND(TIPOORCAMENTO="LICITADO",ORÇAMENTO.PrecoUnitarioLicitado&gt;$AN68)),"ACIMA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t="str">
        <f ca="1">IF(C68&lt;=CRONO.NivelExibicao,MAX($AD$15:OFFSET(AD68,-1,0))+IF($C68&lt;&gt;1,1,MAX(1,COUNTIF(QCI!$A$13:$A$24,OFFSET($E68,-1,0)))),"")</f>
        <v/>
      </c>
      <c r="AE68" s="7" t="str">
        <f ca="1">IF(AND($C68="S",ORÇAMENTO.CodBarra&lt;&gt;""),IF(ORÇAMENTO.Fonte="",ORÇAMENTO.CodBarra,CONCATENATE(ORÇAMENTO.Fonte," ",ORÇAMENTO.CodBarra)))</f>
        <v>SINAPI 88242</v>
      </c>
      <c r="AF68" s="12">
        <f ca="1">IF(ISERROR(INDIRECT(ORÇAMENTO.BancoRef)),"(abra o arquivo 'Referência "&amp;Excel_BuiltIn_Database&amp;".xlsm)",IF(OR($C68&lt;&gt;"S",ORÇAMENTO.CodBarra=""),"(Sem Código)",IF(ISERROR(MATCH($AE68,INDIRECT(ORÇAMENTO.BancoRef),0)),"(Código não identificado nas referências)",MATCH($AE68,INDIRECT(ORÇAMENTO.BancoRef),0))))</f>
        <v>13328</v>
      </c>
      <c r="AG68" s="429">
        <f ca="1">ROUND(IF(DESONERACAO="sim",REFERENCIA.Desonerado,REFERENCIA.NaoDesonerado),2)</f>
        <v>25.65</v>
      </c>
      <c r="AH68" s="430">
        <f t="shared" ca="1" si="83"/>
        <v>0.27250000000000002</v>
      </c>
      <c r="AJ68" s="432"/>
      <c r="AL68" s="440"/>
      <c r="AM68" s="337">
        <f t="shared" ca="1" si="0"/>
        <v>6745.9</v>
      </c>
      <c r="AN68" s="471">
        <f t="shared" ca="1" si="84"/>
        <v>29.33</v>
      </c>
    </row>
    <row r="69" spans="1:40" x14ac:dyDescent="0.2">
      <c r="A69" t="str">
        <f t="shared" ref="A69:A95" si="96">CHOOSE(1+LOG(1+2*(ORÇAMENTO.Nivel="Meta")+4*(ORÇAMENTO.Nivel="Nível 2")+8*(ORÇAMENTO.Nivel="Nível 3")+16*(ORÇAMENTO.Nivel="Nível 4")+32*(ORÇAMENTO.Nivel="Serviço"),2),0,1,2,3,4,"S")</f>
        <v>S</v>
      </c>
      <c r="B69">
        <f ca="1">IF(OR(C69="s",C69=0),OFFSET(B69,-1,0),C69)</f>
        <v>2</v>
      </c>
      <c r="C69" t="str">
        <f ca="1">IF(OFFSET(C69,-1,0)="L",1,IF(OFFSET(C69,-1,0)=1,2,IF(OR(A69="s",A69=0),"S",IF(AND(OFFSET(C69,-1,0)=2,A69=4),3,IF(AND(OR(OFFSET(C69,-1,0)="s",OFFSET(C69,-1,0)=0),A69&lt;&gt;"s",A69&gt;OFFSET(B69,-1,0)),OFFSET(B69,-1,0),A69)))))</f>
        <v>S</v>
      </c>
      <c r="D69">
        <f ca="1">IF(OR(C69="S",C69=0),0,IF(ISERROR(K69),J69,SMALL(J69:K69,1)))</f>
        <v>0</v>
      </c>
      <c r="E69">
        <f ca="1">IF($C69=1,OFFSET(E69,-1,0)+MAX(1,COUNTIF(QCI!$A$13:$A$24,OFFSET(ORÇAMENTO!E69,-1,0))),OFFSET(E69,-1,0))</f>
        <v>1</v>
      </c>
      <c r="F69">
        <f ca="1">IF($C69=1,0,IF($C69=2,OFFSET(F69,-1,0)+1,OFFSET(F69,-1,0)))</f>
        <v>6</v>
      </c>
      <c r="G69">
        <f ca="1">IF(AND($C69&lt;=2,$C69&lt;&gt;0),0,IF($C69=3,OFFSET(G69,-1,0)+1,OFFSET(G69,-1,0)))</f>
        <v>0</v>
      </c>
      <c r="H69">
        <f ca="1">IF(AND($C69&lt;=3,$C69&lt;&gt;0),0,IF($C69=4,OFFSET(H69,-1,0)+1,OFFSET(H69,-1,0)))</f>
        <v>0</v>
      </c>
      <c r="I69">
        <f ca="1">IF(AND($C69&lt;=4,$C69&lt;&gt;0),0,IF(AND($C69="S",$X69&gt;0),OFFSET(I69,-1,0)+1,OFFSET(I69,-1,0)))</f>
        <v>19</v>
      </c>
      <c r="J69">
        <f t="shared" ca="1" si="80"/>
        <v>0</v>
      </c>
      <c r="K69">
        <f ca="1">IF(OR($C69="S",$C69=0),0,MATCH(OFFSET($D69,0,$C69)+IF($C69&lt;&gt;1,1,COUNTIF(QCI!$A$13:$A$24,ORÇAMENTO!E69)),OFFSET($D69,1,$C69,ROW($C$105)-ROW($C69)),0))</f>
        <v>0</v>
      </c>
      <c r="L69" s="115" t="str">
        <f ca="1">IF(OR($X69&gt;0,$C69=1,$C69=2,$C69=3,$C69=4),"F","")</f>
        <v>F</v>
      </c>
      <c r="M69" s="116" t="s">
        <v>706</v>
      </c>
      <c r="N69" s="117" t="str">
        <f ca="1">CHOOSE(1+LOG(1+2*(C69=1)+4*(C69=2)+8*(C69=3)+16*(C69=4)+32*(C69="S"),2),"","Meta","Nível 2","Nível 3","Nível 4","Serviço")</f>
        <v>Serviço</v>
      </c>
      <c r="O69" s="118" t="str">
        <f ca="1">IF(OR($C69=0,$L69=""),"-",CONCATENATE(E69&amp;".",IF(AND($A$5&gt;=2,$C69&gt;=2),F69&amp;".",""),IF(AND($A$5&gt;=3,$C69&gt;=3),G69&amp;".",""),IF(AND($A$5&gt;=4,$C69&gt;=4),H69&amp;".",""),IF($C69="S",I69&amp;".","")))</f>
        <v>1.6.19.</v>
      </c>
      <c r="P69" s="119" t="s">
        <v>751</v>
      </c>
      <c r="Q69" s="120" t="s">
        <v>1046</v>
      </c>
      <c r="R69" s="121" t="str">
        <f ca="1">IF($C69="S",REFERENCIA.Descricao,"(digite a descrição aqui)")</f>
        <v>PEDREIRO COM ENCARGOS COMPLEMENTARES</v>
      </c>
      <c r="S69" s="122" t="str">
        <f ca="1">REFERENCIA.Unidade</f>
        <v>H</v>
      </c>
      <c r="T69" s="123">
        <f ca="1">OFFSET(CÁLCULO!H$15,ROW($T69)-ROW(T$15),0)</f>
        <v>230</v>
      </c>
      <c r="U69" s="124">
        <v>26.35</v>
      </c>
      <c r="V69" s="125" t="s">
        <v>664</v>
      </c>
      <c r="W69" s="123">
        <f ca="1">IF($C69="S",ROUND(IF(TIPOORCAMENTO="Proposto",ORÇAMENTO.CustoUnitario*(1+$AH69),ORÇAMENTO.PrecoUnitarioLicitado),15-13*$AF$10),0)</f>
        <v>33.53</v>
      </c>
      <c r="X69" s="126" cm="1">
        <f t="array" aca="1" ref="X69" ca="1">IF($C69="S",IF(OR(Import.TipoArredondamento&lt;&gt;"TransfereGOV",ACOMPANHAMENTO="BM"),VTOTAL1,SUM(OFFSET(CÁLCULO!$AA$15,ROW($X69)-ROW($X$15),1):OFFSET(CÁLCULO!$AL$15,ROW($X69)-ROW($X$15),-1))),IF($C69=0,0,ROUND(SomaAgrup,15-13*$AF$11)))</f>
        <v>7711.9</v>
      </c>
      <c r="Y69" s="127" t="s">
        <v>752</v>
      </c>
      <c r="Z69" t="str">
        <f ca="1">IF(AND($C69="S",$X69&gt;0),IF(ISBLANK($Y69),"RA",LEFT($Y69,2)),"")</f>
        <v>RA</v>
      </c>
      <c r="AA69" s="128">
        <f ca="1">IF($C69="S",IF($Z69="CP",$X69,IF($Z69="RA",(($X69)*QCI!$AA$3),0)),SomaAgrup)</f>
        <v>7711.9</v>
      </c>
      <c r="AB69" s="129">
        <f t="shared" ref="AB69:AB95" ca="1" si="97">IF($C69="S",IF($Z69="OU",ROUND($X69,2),0),SomaAgrup)</f>
        <v>0</v>
      </c>
      <c r="AC69" s="566"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IF(AND(_xlfn.SINGLE(TIPOORCAMENTO)="Licitado",$AL69=0,$AN69&gt;0),"SEM PREÇO",
IF(AND($C69="S",$P69&lt;&gt;"",$Q69&lt;&gt;"",$U69&gt;0,$V69=0),"BDI",
IF(OR(AND(TIPOORCAMENTO="Proposto",LEFT($O$8,5)&lt;&gt;"(N/D:",$AG69&lt;&gt;"",ORÇAMENTO.CustoUnitario&gt;$AG69),AND(TIPOORCAMENTO="LICITADO",ORÇAMENTO.PrecoUnitarioLicitado&gt;$AN69)),"ACIMA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 xml:space="preserve"> </v>
      </c>
      <c r="AD69" t="str">
        <f ca="1">IF(C69&lt;=CRONO.NivelExibicao,MAX($AD$15:OFFSET(AD69,-1,0))+IF($C69&lt;&gt;1,1,MAX(1,COUNTIF(QCI!$A$13:$A$24,OFFSET($E69,-1,0)))),"")</f>
        <v/>
      </c>
      <c r="AE69" s="7" t="str">
        <f ca="1">IF(AND($C69="S",ORÇAMENTO.CodBarra&lt;&gt;""),IF(ORÇAMENTO.Fonte="",ORÇAMENTO.CodBarra,CONCATENATE(ORÇAMENTO.Fonte," ",ORÇAMENTO.CodBarra)))</f>
        <v>SINAPI 88309</v>
      </c>
      <c r="AF69" s="12">
        <f ca="1">IF(ISERROR(INDIRECT(ORÇAMENTO.BancoRef)),"(abra o arquivo 'Referência "&amp;Excel_BuiltIn_Database&amp;".xlsm)",IF(OR($C69&lt;&gt;"S",ORÇAMENTO.CodBarra=""),"(Sem Código)",IF(ISERROR(MATCH($AE69,INDIRECT(ORÇAMENTO.BancoRef),0)),"(Código não identificado nas referências)",MATCH($AE69,INDIRECT(ORÇAMENTO.BancoRef),0))))</f>
        <v>13660</v>
      </c>
      <c r="AG69" s="429">
        <f ca="1">ROUND(IF(DESONERACAO="sim",REFERENCIA.Desonerado,REFERENCIA.NaoDesonerado),2)</f>
        <v>29.29</v>
      </c>
      <c r="AH69" s="430">
        <f t="shared" ref="AH69:AH95" ca="1" si="98">ROUND(IF(ISNUMBER(ORÇAMENTO.OpcaoBDI),ORÇAMENTO.OpcaoBDI,IF(LEFT(ORÇAMENTO.OpcaoBDI,3)="BDI",HLOOKUP(ORÇAMENTO.OpcaoBDI,$F$4:$H$5,2,FALSE),0)),15-11*$AF$9)</f>
        <v>0.27250000000000002</v>
      </c>
      <c r="AJ69" s="432"/>
      <c r="AL69" s="440"/>
      <c r="AM69" s="337">
        <f t="shared" ca="1" si="0"/>
        <v>7711.9</v>
      </c>
      <c r="AN69" s="471">
        <f t="shared" ref="AN69:AN95" ca="1" si="99">ROUND(ORÇAMENTO.CustoUnitario*(1+$AH69),2)</f>
        <v>33.53</v>
      </c>
    </row>
    <row r="70" spans="1:40" ht="38.25" x14ac:dyDescent="0.2">
      <c r="A70" t="str">
        <f t="shared" si="96"/>
        <v>S</v>
      </c>
      <c r="B70">
        <f t="shared" ref="B70:B72" ca="1" si="100">IF(OR(C70="s",C70=0),OFFSET(B70,-1,0),C70)</f>
        <v>2</v>
      </c>
      <c r="C70" t="str">
        <f t="shared" ref="C70:C72" ca="1" si="101">IF(OFFSET(C70,-1,0)="L",1,IF(OFFSET(C70,-1,0)=1,2,IF(OR(A70="s",A70=0),"S",IF(AND(OFFSET(C70,-1,0)=2,A70=4),3,IF(AND(OR(OFFSET(C70,-1,0)="s",OFFSET(C70,-1,0)=0),A70&lt;&gt;"s",A70&gt;OFFSET(B70,-1,0)),OFFSET(B70,-1,0),A70)))))</f>
        <v>S</v>
      </c>
      <c r="D70">
        <f t="shared" ref="D70:D72" ca="1" si="102">IF(OR(C70="S",C70=0),0,IF(ISERROR(K70),J70,SMALL(J70:K70,1)))</f>
        <v>0</v>
      </c>
      <c r="E70">
        <f ca="1">IF($C70=1,OFFSET(E70,-1,0)+MAX(1,COUNTIF(QCI!$A$13:$A$24,OFFSET(ORÇAMENTO!E70,-1,0))),OFFSET(E70,-1,0))</f>
        <v>1</v>
      </c>
      <c r="F70">
        <f t="shared" ref="F70:F72" ca="1" si="103">IF($C70=1,0,IF($C70=2,OFFSET(F70,-1,0)+1,OFFSET(F70,-1,0)))</f>
        <v>6</v>
      </c>
      <c r="G70">
        <f t="shared" ref="G70:G72" ca="1" si="104">IF(AND($C70&lt;=2,$C70&lt;&gt;0),0,IF($C70=3,OFFSET(G70,-1,0)+1,OFFSET(G70,-1,0)))</f>
        <v>0</v>
      </c>
      <c r="H70">
        <f t="shared" ref="H70:H72" ca="1" si="105">IF(AND($C70&lt;=3,$C70&lt;&gt;0),0,IF($C70=4,OFFSET(H70,-1,0)+1,OFFSET(H70,-1,0)))</f>
        <v>0</v>
      </c>
      <c r="I70">
        <f t="shared" ref="I70:I72" ca="1" si="106">IF(AND($C70&lt;=4,$C70&lt;&gt;0),0,IF(AND($C70="S",$X70&gt;0),OFFSET(I70,-1,0)+1,OFFSET(I70,-1,0)))</f>
        <v>20</v>
      </c>
      <c r="J70">
        <f t="shared" ca="1" si="80"/>
        <v>0</v>
      </c>
      <c r="K70">
        <f ca="1">IF(OR($C70="S",$C70=0),0,MATCH(OFFSET($D70,0,$C70)+IF($C70&lt;&gt;1,1,COUNTIF(QCI!$A$13:$A$24,ORÇAMENTO!E70)),OFFSET($D70,1,$C70,ROW($C$105)-ROW($C70)),0))</f>
        <v>0</v>
      </c>
      <c r="L70" s="115" t="str">
        <f t="shared" ref="L70:L72" ca="1" si="107">IF(OR($X70&gt;0,$C70=1,$C70=2,$C70=3,$C70=4),"F","")</f>
        <v>F</v>
      </c>
      <c r="M70" s="116" t="s">
        <v>706</v>
      </c>
      <c r="N70" s="117" t="str">
        <f t="shared" ref="N70:N72" ca="1" si="108">CHOOSE(1+LOG(1+2*(C70=1)+4*(C70=2)+8*(C70=3)+16*(C70=4)+32*(C70="S"),2),"","Meta","Nível 2","Nível 3","Nível 4","Serviço")</f>
        <v>Serviço</v>
      </c>
      <c r="O70" s="118" t="str">
        <f t="shared" ref="O70:O72" ca="1" si="109">IF(OR($C70=0,$L70=""),"-",CONCATENATE(E70&amp;".",IF(AND($A$5&gt;=2,$C70&gt;=2),F70&amp;".",""),IF(AND($A$5&gt;=3,$C70&gt;=3),G70&amp;".",""),IF(AND($A$5&gt;=4,$C70&gt;=4),H70&amp;".",""),IF($C70="S",I70&amp;".","")))</f>
        <v>1.6.20.</v>
      </c>
      <c r="P70" s="119" t="s">
        <v>751</v>
      </c>
      <c r="Q70" s="120" t="s">
        <v>1047</v>
      </c>
      <c r="R70" s="121" t="str">
        <f ca="1">IF($C70="S",REFERENCIA.Descricao,"(digite a descrição aqui)")</f>
        <v>TRAMA DE MADEIRA COMPOSTA POR RIPAS, CAIBROS E TERÇAS PARA TELHADOS DE MAIS QUE 2 ÁGUAS PARA TELHA CERÂMICA OU DE CONCRETO, INCLUSO TRANSPORTE VERTICAL. AF_10/2025</v>
      </c>
      <c r="S70" s="122" t="str">
        <f ca="1">REFERENCIA.Unidade</f>
        <v>M2</v>
      </c>
      <c r="T70" s="123">
        <f ca="1">OFFSET(CÁLCULO!H$15,ROW($T70)-ROW(T$15),0)</f>
        <v>22.25</v>
      </c>
      <c r="U70" s="124">
        <v>90.05</v>
      </c>
      <c r="V70" s="125" t="s">
        <v>664</v>
      </c>
      <c r="W70" s="123">
        <f ca="1">IF($C70="S",ROUND(IF(TIPOORCAMENTO="Proposto",ORÇAMENTO.CustoUnitario*(1+$AH70),ORÇAMENTO.PrecoUnitarioLicitado),15-13*$AF$10),0)</f>
        <v>114.59</v>
      </c>
      <c r="X70" s="126" cm="1">
        <f t="array" aca="1" ref="X70" ca="1">IF($C70="S",IF(OR(Import.TipoArredondamento&lt;&gt;"TransfereGOV",ACOMPANHAMENTO="BM"),VTOTAL1,SUM(OFFSET(CÁLCULO!$AA$15,ROW($X70)-ROW($X$15),1):OFFSET(CÁLCULO!$AL$15,ROW($X70)-ROW($X$15),-1))),IF($C70=0,0,ROUND(SomaAgrup,15-13*$AF$11)))</f>
        <v>2549.63</v>
      </c>
      <c r="Y70" s="127" t="s">
        <v>752</v>
      </c>
      <c r="Z70" t="str">
        <f t="shared" ref="Z70:Z72" ca="1" si="110">IF(AND($C70="S",$X70&gt;0),IF(ISBLANK($Y70),"RA",LEFT($Y70,2)),"")</f>
        <v>RA</v>
      </c>
      <c r="AA70" s="128">
        <f ca="1">IF($C70="S",IF($Z70="CP",$X70,IF($Z70="RA",(($X70)*QCI!$AA$3),0)),SomaAgrup)</f>
        <v>2549.63</v>
      </c>
      <c r="AB70" s="129">
        <f t="shared" ca="1" si="97"/>
        <v>0</v>
      </c>
      <c r="AC70" s="566"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IF(AND(_xlfn.SINGLE(TIPOORCAMENTO)="Licitado",$AL70=0,$AN70&gt;0),"SEM PREÇO",
IF(AND($C70="S",$P70&lt;&gt;"",$Q70&lt;&gt;"",$U70&gt;0,$V70=0),"BDI",
IF(OR(AND(TIPOORCAMENTO="Proposto",LEFT($O$8,5)&lt;&gt;"(N/D:",$AG70&lt;&gt;"",ORÇAMENTO.CustoUnitario&gt;$AG70),AND(TIPOORCAMENTO="LICITADO",ORÇAMENTO.PrecoUnitarioLicitado&gt;$AN70)),"ACIMA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t="str">
        <f ca="1">IF(C70&lt;=CRONO.NivelExibicao,MAX($AD$15:OFFSET(AD70,-1,0))+IF($C70&lt;&gt;1,1,MAX(1,COUNTIF(QCI!$A$13:$A$24,OFFSET($E70,-1,0)))),"")</f>
        <v/>
      </c>
      <c r="AE70" s="7" t="str">
        <f ca="1">IF(AND($C70="S",ORÇAMENTO.CodBarra&lt;&gt;""),IF(ORÇAMENTO.Fonte="",ORÇAMENTO.CodBarra,CONCATENATE(ORÇAMENTO.Fonte," ",ORÇAMENTO.CodBarra)))</f>
        <v>SINAPI 92540</v>
      </c>
      <c r="AF70" s="12">
        <f ca="1">IF(ISERROR(INDIRECT(ORÇAMENTO.BancoRef)),"(abra o arquivo 'Referência "&amp;Excel_BuiltIn_Database&amp;".xlsm)",IF(OR($C70&lt;&gt;"S",ORÇAMENTO.CodBarra=""),"(Sem Código)",IF(ISERROR(MATCH($AE70,INDIRECT(ORÇAMENTO.BancoRef),0)),"(Código não identificado nas referências)",MATCH($AE70,INDIRECT(ORÇAMENTO.BancoRef),0))))</f>
        <v>10188</v>
      </c>
      <c r="AG70" s="429">
        <f ca="1">ROUND(IF(DESONERACAO="sim",REFERENCIA.Desonerado,REFERENCIA.NaoDesonerado),2)</f>
        <v>100.09</v>
      </c>
      <c r="AH70" s="430">
        <f t="shared" ca="1" si="98"/>
        <v>0.27250000000000002</v>
      </c>
      <c r="AJ70" s="432"/>
      <c r="AL70" s="440"/>
      <c r="AM70" s="337">
        <f t="shared" ca="1" si="0"/>
        <v>2549.63</v>
      </c>
      <c r="AN70" s="471">
        <f t="shared" ca="1" si="99"/>
        <v>114.59</v>
      </c>
    </row>
    <row r="71" spans="1:40" ht="38.25" x14ac:dyDescent="0.2">
      <c r="A71" t="str">
        <f t="shared" si="96"/>
        <v>S</v>
      </c>
      <c r="B71">
        <f t="shared" ca="1" si="100"/>
        <v>2</v>
      </c>
      <c r="C71" t="str">
        <f t="shared" ca="1" si="101"/>
        <v>S</v>
      </c>
      <c r="D71">
        <f t="shared" ca="1" si="102"/>
        <v>0</v>
      </c>
      <c r="E71">
        <f ca="1">IF($C71=1,OFFSET(E71,-1,0)+MAX(1,COUNTIF(QCI!$A$13:$A$24,OFFSET(ORÇAMENTO!E71,-1,0))),OFFSET(E71,-1,0))</f>
        <v>1</v>
      </c>
      <c r="F71">
        <f t="shared" ca="1" si="103"/>
        <v>6</v>
      </c>
      <c r="G71">
        <f t="shared" ca="1" si="104"/>
        <v>0</v>
      </c>
      <c r="H71">
        <f t="shared" ca="1" si="105"/>
        <v>0</v>
      </c>
      <c r="I71">
        <f t="shared" ca="1" si="106"/>
        <v>21</v>
      </c>
      <c r="J71">
        <f t="shared" ca="1" si="80"/>
        <v>0</v>
      </c>
      <c r="K71">
        <f ca="1">IF(OR($C71="S",$C71=0),0,MATCH(OFFSET($D71,0,$C71)+IF($C71&lt;&gt;1,1,COUNTIF(QCI!$A$13:$A$24,ORÇAMENTO!E71)),OFFSET($D71,1,$C71,ROW($C$105)-ROW($C71)),0))</f>
        <v>0</v>
      </c>
      <c r="L71" s="115" t="str">
        <f t="shared" ca="1" si="107"/>
        <v>F</v>
      </c>
      <c r="M71" s="116" t="s">
        <v>706</v>
      </c>
      <c r="N71" s="117" t="str">
        <f t="shared" ca="1" si="108"/>
        <v>Serviço</v>
      </c>
      <c r="O71" s="118" t="str">
        <f t="shared" ca="1" si="109"/>
        <v>1.6.21.</v>
      </c>
      <c r="P71" s="119" t="s">
        <v>751</v>
      </c>
      <c r="Q71" s="120" t="s">
        <v>1049</v>
      </c>
      <c r="R71" s="121" t="str">
        <f ca="1">IF($C71="S",REFERENCIA.Descricao,"(digite a descrição aqui)")</f>
        <v>CALHA EM CHAPA DE AÇO GALVANIZADO NÚMERO 24, DESENVOLVIMENTO DE 33 CM, INCLUSO TRANSPORTE VERTICAL. AF_06/2026</v>
      </c>
      <c r="S71" s="122" t="str">
        <f ca="1">REFERENCIA.Unidade</f>
        <v>M</v>
      </c>
      <c r="T71" s="123">
        <f ca="1">OFFSET(CÁLCULO!H$15,ROW($T71)-ROW(T$15),0)</f>
        <v>6</v>
      </c>
      <c r="U71" s="124">
        <v>66.599999999999994</v>
      </c>
      <c r="V71" s="125" t="s">
        <v>664</v>
      </c>
      <c r="W71" s="123">
        <f ca="1">IF($C71="S",ROUND(IF(TIPOORCAMENTO="Proposto",ORÇAMENTO.CustoUnitario*(1+$AH71),ORÇAMENTO.PrecoUnitarioLicitado),15-13*$AF$10),0)</f>
        <v>84.75</v>
      </c>
      <c r="X71" s="126" cm="1">
        <f t="array" aca="1" ref="X71" ca="1">IF($C71="S",IF(OR(Import.TipoArredondamento&lt;&gt;"TransfereGOV",ACOMPANHAMENTO="BM"),VTOTAL1,SUM(OFFSET(CÁLCULO!$AA$15,ROW($X71)-ROW($X$15),1):OFFSET(CÁLCULO!$AL$15,ROW($X71)-ROW($X$15),-1))),IF($C71=0,0,ROUND(SomaAgrup,15-13*$AF$11)))</f>
        <v>508.5</v>
      </c>
      <c r="Y71" s="127" t="s">
        <v>752</v>
      </c>
      <c r="Z71" t="str">
        <f t="shared" ca="1" si="110"/>
        <v>RA</v>
      </c>
      <c r="AA71" s="128">
        <f ca="1">IF($C71="S",IF($Z71="CP",$X71,IF($Z71="RA",(($X71)*QCI!$AA$3),0)),SomaAgrup)</f>
        <v>508.5</v>
      </c>
      <c r="AB71" s="129">
        <f t="shared" ca="1" si="97"/>
        <v>0</v>
      </c>
      <c r="AC71" s="566"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IF(AND(_xlfn.SINGLE(TIPOORCAMENTO)="Licitado",$AL71=0,$AN71&gt;0),"SEM PREÇO",
IF(AND($C71="S",$P71&lt;&gt;"",$Q71&lt;&gt;"",$U71&gt;0,$V71=0),"BDI",
IF(OR(AND(TIPOORCAMENTO="Proposto",LEFT($O$8,5)&lt;&gt;"(N/D:",$AG71&lt;&gt;"",ORÇAMENTO.CustoUnitario&gt;$AG71),AND(TIPOORCAMENTO="LICITADO",ORÇAMENTO.PrecoUnitarioLicitado&gt;$AN71)),"ACIMA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t="str">
        <f ca="1">IF(C71&lt;=CRONO.NivelExibicao,MAX($AD$15:OFFSET(AD71,-1,0))+IF($C71&lt;&gt;1,1,MAX(1,COUNTIF(QCI!$A$13:$A$24,OFFSET($E71,-1,0)))),"")</f>
        <v/>
      </c>
      <c r="AE71" s="7" t="str">
        <f ca="1">IF(AND($C71="S",ORÇAMENTO.CodBarra&lt;&gt;""),IF(ORÇAMENTO.Fonte="",ORÇAMENTO.CodBarra,CONCATENATE(ORÇAMENTO.Fonte," ",ORÇAMENTO.CodBarra)))</f>
        <v>SINAPI 94227</v>
      </c>
      <c r="AF71" s="12">
        <f ca="1">IF(ISERROR(INDIRECT(ORÇAMENTO.BancoRef)),"(abra o arquivo 'Referência "&amp;Excel_BuiltIn_Database&amp;".xlsm)",IF(OR($C71&lt;&gt;"S",ORÇAMENTO.CodBarra=""),"(Sem Código)",IF(ISERROR(MATCH($AE71,INDIRECT(ORÇAMENTO.BancoRef),0)),"(Código não identificado nas referências)",MATCH($AE71,INDIRECT(ORÇAMENTO.BancoRef),0))))</f>
        <v>15791</v>
      </c>
      <c r="AG71" s="429">
        <f ca="1">ROUND(IF(DESONERACAO="sim",REFERENCIA.Desonerado,REFERENCIA.NaoDesonerado),2)</f>
        <v>74.040000000000006</v>
      </c>
      <c r="AH71" s="430">
        <f t="shared" ca="1" si="98"/>
        <v>0.27250000000000002</v>
      </c>
      <c r="AJ71" s="432"/>
      <c r="AL71" s="440"/>
      <c r="AM71" s="337">
        <f t="shared" ca="1" si="0"/>
        <v>508.5</v>
      </c>
      <c r="AN71" s="471">
        <f t="shared" ca="1" si="99"/>
        <v>84.75</v>
      </c>
    </row>
    <row r="72" spans="1:40" ht="38.25" x14ac:dyDescent="0.2">
      <c r="A72" t="str">
        <f t="shared" si="96"/>
        <v>S</v>
      </c>
      <c r="B72">
        <f t="shared" ca="1" si="100"/>
        <v>2</v>
      </c>
      <c r="C72" t="str">
        <f t="shared" ca="1" si="101"/>
        <v>S</v>
      </c>
      <c r="D72">
        <f t="shared" ca="1" si="102"/>
        <v>0</v>
      </c>
      <c r="E72">
        <f ca="1">IF($C72=1,OFFSET(E72,-1,0)+MAX(1,COUNTIF(QCI!$A$13:$A$24,OFFSET(ORÇAMENTO!E72,-1,0))),OFFSET(E72,-1,0))</f>
        <v>1</v>
      </c>
      <c r="F72">
        <f t="shared" ca="1" si="103"/>
        <v>6</v>
      </c>
      <c r="G72">
        <f t="shared" ca="1" si="104"/>
        <v>0</v>
      </c>
      <c r="H72">
        <f t="shared" ca="1" si="105"/>
        <v>0</v>
      </c>
      <c r="I72">
        <f t="shared" ca="1" si="106"/>
        <v>22</v>
      </c>
      <c r="J72">
        <f t="shared" ca="1" si="80"/>
        <v>0</v>
      </c>
      <c r="K72">
        <f ca="1">IF(OR($C72="S",$C72=0),0,MATCH(OFFSET($D72,0,$C72)+IF($C72&lt;&gt;1,1,COUNTIF(QCI!$A$13:$A$24,ORÇAMENTO!E72)),OFFSET($D72,1,$C72,ROW($C$105)-ROW($C72)),0))</f>
        <v>0</v>
      </c>
      <c r="L72" s="115" t="str">
        <f t="shared" ca="1" si="107"/>
        <v>F</v>
      </c>
      <c r="M72" s="116" t="s">
        <v>706</v>
      </c>
      <c r="N72" s="117" t="str">
        <f t="shared" ca="1" si="108"/>
        <v>Serviço</v>
      </c>
      <c r="O72" s="118" t="str">
        <f t="shared" ca="1" si="109"/>
        <v>1.6.22.</v>
      </c>
      <c r="P72" s="119" t="s">
        <v>959</v>
      </c>
      <c r="Q72" s="120" t="s">
        <v>1050</v>
      </c>
      <c r="R72" s="121" t="str">
        <f ca="1">IF($C72="S",REFERENCIA.Descricao,"(digite a descrição aqui)")</f>
        <v>TELHA ONDULADA EM ACO ZINCADO, ALTURA DE 17 MM, ESPESSURA DE 0,50 MM, LARGURA UTIL DE APROXIMADAMENTE 985 MM, SEM PINTURA</v>
      </c>
      <c r="S72" s="122" t="str">
        <f ca="1">REFERENCIA.Unidade</f>
        <v>M2</v>
      </c>
      <c r="T72" s="123">
        <f ca="1">OFFSET(CÁLCULO!H$15,ROW($T72)-ROW(T$15),0)</f>
        <v>22.25</v>
      </c>
      <c r="U72" s="124">
        <v>40.799999999999997</v>
      </c>
      <c r="V72" s="125" t="s">
        <v>664</v>
      </c>
      <c r="W72" s="123">
        <f ca="1">IF($C72="S",ROUND(IF(TIPOORCAMENTO="Proposto",ORÇAMENTO.CustoUnitario*(1+$AH72),ORÇAMENTO.PrecoUnitarioLicitado),15-13*$AF$10),0)</f>
        <v>51.92</v>
      </c>
      <c r="X72" s="126" cm="1">
        <f t="array" aca="1" ref="X72" ca="1">IF($C72="S",IF(OR(Import.TipoArredondamento&lt;&gt;"TransfereGOV",ACOMPANHAMENTO="BM"),VTOTAL1,SUM(OFFSET(CÁLCULO!$AA$15,ROW($X72)-ROW($X$15),1):OFFSET(CÁLCULO!$AL$15,ROW($X72)-ROW($X$15),-1))),IF($C72=0,0,ROUND(SomaAgrup,15-13*$AF$11)))</f>
        <v>1155.22</v>
      </c>
      <c r="Y72" s="127" t="s">
        <v>752</v>
      </c>
      <c r="Z72" t="str">
        <f t="shared" ca="1" si="110"/>
        <v>RA</v>
      </c>
      <c r="AA72" s="128">
        <f ca="1">IF($C72="S",IF($Z72="CP",$X72,IF($Z72="RA",(($X72)*QCI!$AA$3),0)),SomaAgrup)</f>
        <v>1155.22</v>
      </c>
      <c r="AB72" s="129">
        <f t="shared" ca="1" si="97"/>
        <v>0</v>
      </c>
      <c r="AC72" s="566"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IF(AND(_xlfn.SINGLE(TIPOORCAMENTO)="Licitado",$AL72=0,$AN72&gt;0),"SEM PREÇO",
IF(AND($C72="S",$P72&lt;&gt;"",$Q72&lt;&gt;"",$U72&gt;0,$V72=0),"BDI",
IF(OR(AND(TIPOORCAMENTO="Proposto",LEFT($O$8,5)&lt;&gt;"(N/D:",$AG72&lt;&gt;"",ORÇAMENTO.CustoUnitario&gt;$AG72),AND(TIPOORCAMENTO="LICITADO",ORÇAMENTO.PrecoUnitarioLicitado&gt;$AN72)),"ACIMA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 xml:space="preserve"> </v>
      </c>
      <c r="AD72" t="str">
        <f ca="1">IF(C72&lt;=CRONO.NivelExibicao,MAX($AD$15:OFFSET(AD72,-1,0))+IF($C72&lt;&gt;1,1,MAX(1,COUNTIF(QCI!$A$13:$A$24,OFFSET($E72,-1,0)))),"")</f>
        <v/>
      </c>
      <c r="AE72" s="7" t="str">
        <f ca="1">IF(AND($C72="S",ORÇAMENTO.CodBarra&lt;&gt;""),IF(ORÇAMENTO.Fonte="",ORÇAMENTO.CodBarra,CONCATENATE(ORÇAMENTO.Fonte," ",ORÇAMENTO.CodBarra)))</f>
        <v>SINAPI-I 25007</v>
      </c>
      <c r="AF72" s="12">
        <f ca="1">IF(ISERROR(INDIRECT(ORÇAMENTO.BancoRef)),"(abra o arquivo 'Referência "&amp;Excel_BuiltIn_Database&amp;".xlsm)",IF(OR($C72&lt;&gt;"S",ORÇAMENTO.CodBarra=""),"(Sem Código)",IF(ISERROR(MATCH($AE72,INDIRECT(ORÇAMENTO.BancoRef),0)),"(Código não identificado nas referências)",MATCH($AE72,INDIRECT(ORÇAMENTO.BancoRef),0))))</f>
        <v>4258</v>
      </c>
      <c r="AG72" s="429">
        <f ca="1">ROUND(IF(DESONERACAO="sim",REFERENCIA.Desonerado,REFERENCIA.NaoDesonerado),2)</f>
        <v>45.36</v>
      </c>
      <c r="AH72" s="430">
        <f t="shared" ca="1" si="98"/>
        <v>0.27250000000000002</v>
      </c>
      <c r="AJ72" s="432"/>
      <c r="AL72" s="440"/>
      <c r="AM72" s="337">
        <f t="shared" ca="1" si="0"/>
        <v>1155.22</v>
      </c>
      <c r="AN72" s="471">
        <f t="shared" ca="1" si="99"/>
        <v>51.92</v>
      </c>
    </row>
    <row r="73" spans="1:40" ht="38.25" x14ac:dyDescent="0.2">
      <c r="A73" t="str">
        <f t="shared" si="96"/>
        <v>S</v>
      </c>
      <c r="B73">
        <f ca="1">IF(OR(C73="s",C73=0),OFFSET(B73,-1,0),C73)</f>
        <v>2</v>
      </c>
      <c r="C73" t="str">
        <f ca="1">IF(OFFSET(C73,-1,0)="L",1,IF(OFFSET(C73,-1,0)=1,2,IF(OR(A73="s",A73=0),"S",IF(AND(OFFSET(C73,-1,0)=2,A73=4),3,IF(AND(OR(OFFSET(C73,-1,0)="s",OFFSET(C73,-1,0)=0),A73&lt;&gt;"s",A73&gt;OFFSET(B73,-1,0)),OFFSET(B73,-1,0),A73)))))</f>
        <v>S</v>
      </c>
      <c r="D73">
        <f ca="1">IF(OR(C73="S",C73=0),0,IF(ISERROR(K73),J73,SMALL(J73:K73,1)))</f>
        <v>0</v>
      </c>
      <c r="E73">
        <f ca="1">IF($C73=1,OFFSET(E73,-1,0)+MAX(1,COUNTIF(QCI!$A$13:$A$24,OFFSET(ORÇAMENTO!E73,-1,0))),OFFSET(E73,-1,0))</f>
        <v>1</v>
      </c>
      <c r="F73">
        <f ca="1">IF($C73=1,0,IF($C73=2,OFFSET(F73,-1,0)+1,OFFSET(F73,-1,0)))</f>
        <v>6</v>
      </c>
      <c r="G73">
        <f ca="1">IF(AND($C73&lt;=2,$C73&lt;&gt;0),0,IF($C73=3,OFFSET(G73,-1,0)+1,OFFSET(G73,-1,0)))</f>
        <v>0</v>
      </c>
      <c r="H73">
        <f ca="1">IF(AND($C73&lt;=3,$C73&lt;&gt;0),0,IF($C73=4,OFFSET(H73,-1,0)+1,OFFSET(H73,-1,0)))</f>
        <v>0</v>
      </c>
      <c r="I73">
        <f ca="1">IF(AND($C73&lt;=4,$C73&lt;&gt;0),0,IF(AND($C73="S",$X73&gt;0),OFFSET(I73,-1,0)+1,OFFSET(I73,-1,0)))</f>
        <v>23</v>
      </c>
      <c r="J73">
        <f t="shared" ca="1" si="80"/>
        <v>0</v>
      </c>
      <c r="K73">
        <f ca="1">IF(OR($C73="S",$C73=0),0,MATCH(OFFSET($D73,0,$C73)+IF($C73&lt;&gt;1,1,COUNTIF(QCI!$A$13:$A$24,ORÇAMENTO!E73)),OFFSET($D73,1,$C73,ROW($C$105)-ROW($C73)),0))</f>
        <v>0</v>
      </c>
      <c r="L73" s="115" t="str">
        <f ca="1">IF(OR($X73&gt;0,$C73=1,$C73=2,$C73=3,$C73=4),"F","")</f>
        <v>F</v>
      </c>
      <c r="M73" s="116" t="s">
        <v>706</v>
      </c>
      <c r="N73" s="117" t="str">
        <f ca="1">CHOOSE(1+LOG(1+2*(C73=1)+4*(C73=2)+8*(C73=3)+16*(C73=4)+32*(C73="S"),2),"","Meta","Nível 2","Nível 3","Nível 4","Serviço")</f>
        <v>Serviço</v>
      </c>
      <c r="O73" s="118" t="str">
        <f ca="1">IF(OR($C73=0,$L73=""),"-",CONCATENATE(E73&amp;".",IF(AND($A$5&gt;=2,$C73&gt;=2),F73&amp;".",""),IF(AND($A$5&gt;=3,$C73&gt;=3),G73&amp;".",""),IF(AND($A$5&gt;=4,$C73&gt;=4),H73&amp;".",""),IF($C73="S",I73&amp;".","")))</f>
        <v>1.6.23.</v>
      </c>
      <c r="P73" s="119" t="s">
        <v>751</v>
      </c>
      <c r="Q73" s="120" t="s">
        <v>1051</v>
      </c>
      <c r="R73" s="121" t="str">
        <f ca="1">IF($C73="S",REFERENCIA.Descricao,"(digite a descrição aqui)")</f>
        <v>TUBO PVC, SÉRIE R, ÁGUA PLUVIAL, DN 100 MM, FORNECIDO E INSTALADO EM CONDUTORES VERTICAIS DE ÁGUAS PLUVIAIS. AF_06/2022</v>
      </c>
      <c r="S73" s="122" t="str">
        <f ca="1">REFERENCIA.Unidade</f>
        <v>M</v>
      </c>
      <c r="T73" s="123">
        <f ca="1">OFFSET(CÁLCULO!H$15,ROW($T73)-ROW(T$15),0)</f>
        <v>5</v>
      </c>
      <c r="U73" s="124">
        <v>38.200000000000003</v>
      </c>
      <c r="V73" s="125" t="s">
        <v>664</v>
      </c>
      <c r="W73" s="123">
        <f ca="1">IF($C73="S",ROUND(IF(TIPOORCAMENTO="Proposto",ORÇAMENTO.CustoUnitario*(1+$AH73),ORÇAMENTO.PrecoUnitarioLicitado),15-13*$AF$10),0)</f>
        <v>48.61</v>
      </c>
      <c r="X73" s="126" cm="1">
        <f t="array" aca="1" ref="X73" ca="1">IF($C73="S",IF(OR(Import.TipoArredondamento&lt;&gt;"TransfereGOV",ACOMPANHAMENTO="BM"),VTOTAL1,SUM(OFFSET(CÁLCULO!$AA$15,ROW($X73)-ROW($X$15),1):OFFSET(CÁLCULO!$AL$15,ROW($X73)-ROW($X$15),-1))),IF($C73=0,0,ROUND(SomaAgrup,15-13*$AF$11)))</f>
        <v>243.05</v>
      </c>
      <c r="Y73" s="127" t="s">
        <v>752</v>
      </c>
      <c r="Z73" t="str">
        <f ca="1">IF(AND($C73="S",$X73&gt;0),IF(ISBLANK($Y73),"RA",LEFT($Y73,2)),"")</f>
        <v>RA</v>
      </c>
      <c r="AA73" s="128">
        <f ca="1">IF($C73="S",IF($Z73="CP",$X73,IF($Z73="RA",(($X73)*QCI!$AA$3),0)),SomaAgrup)</f>
        <v>243.05</v>
      </c>
      <c r="AB73" s="129">
        <f t="shared" ca="1" si="97"/>
        <v>0</v>
      </c>
      <c r="AC73" s="566"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IF(AND(_xlfn.SINGLE(TIPOORCAMENTO)="Licitado",$AL73=0,$AN73&gt;0),"SEM PREÇO",
IF(AND($C73="S",$P73&lt;&gt;"",$Q73&lt;&gt;"",$U73&gt;0,$V73=0),"BDI",
IF(OR(AND(TIPOORCAMENTO="Proposto",LEFT($O$8,5)&lt;&gt;"(N/D:",$AG73&lt;&gt;"",ORÇAMENTO.CustoUnitario&gt;$AG73),AND(TIPOORCAMENTO="LICITADO",ORÇAMENTO.PrecoUnitarioLicitado&gt;$AN73)),"ACIMA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t="str">
        <f ca="1">IF(C73&lt;=CRONO.NivelExibicao,MAX($AD$15:OFFSET(AD73,-1,0))+IF($C73&lt;&gt;1,1,MAX(1,COUNTIF(QCI!$A$13:$A$24,OFFSET($E73,-1,0)))),"")</f>
        <v/>
      </c>
      <c r="AE73" s="7" t="str">
        <f ca="1">IF(AND($C73="S",ORÇAMENTO.CodBarra&lt;&gt;""),IF(ORÇAMENTO.Fonte="",ORÇAMENTO.CodBarra,CONCATENATE(ORÇAMENTO.Fonte," ",ORÇAMENTO.CodBarra)))</f>
        <v>SINAPI 89578</v>
      </c>
      <c r="AF73" s="12">
        <f ca="1">IF(ISERROR(INDIRECT(ORÇAMENTO.BancoRef)),"(abra o arquivo 'Referência "&amp;Excel_BuiltIn_Database&amp;".xlsm)",IF(OR($C73&lt;&gt;"S",ORÇAMENTO.CodBarra=""),"(Sem Código)",IF(ISERROR(MATCH($AE73,INDIRECT(ORÇAMENTO.BancoRef),0)),"(Código não identificado nas referências)",MATCH($AE73,INDIRECT(ORÇAMENTO.BancoRef),0))))</f>
        <v>12404</v>
      </c>
      <c r="AG73" s="429">
        <f ca="1">ROUND(IF(DESONERACAO="sim",REFERENCIA.Desonerado,REFERENCIA.NaoDesonerado),2)</f>
        <v>42.45</v>
      </c>
      <c r="AH73" s="430">
        <f t="shared" ca="1" si="98"/>
        <v>0.27250000000000002</v>
      </c>
      <c r="AJ73" s="432"/>
      <c r="AL73" s="440"/>
      <c r="AM73" s="337">
        <f t="shared" ca="1" si="0"/>
        <v>243.05</v>
      </c>
      <c r="AN73" s="471">
        <f t="shared" ca="1" si="99"/>
        <v>48.61</v>
      </c>
    </row>
    <row r="74" spans="1:40" ht="25.5" x14ac:dyDescent="0.2">
      <c r="A74" t="str">
        <f t="shared" si="96"/>
        <v>S</v>
      </c>
      <c r="B74">
        <f t="shared" ref="B74:B76" ca="1" si="111">IF(OR(C74="s",C74=0),OFFSET(B74,-1,0),C74)</f>
        <v>2</v>
      </c>
      <c r="C74" t="str">
        <f t="shared" ref="C74:C76" ca="1" si="112">IF(OFFSET(C74,-1,0)="L",1,IF(OFFSET(C74,-1,0)=1,2,IF(OR(A74="s",A74=0),"S",IF(AND(OFFSET(C74,-1,0)=2,A74=4),3,IF(AND(OR(OFFSET(C74,-1,0)="s",OFFSET(C74,-1,0)=0),A74&lt;&gt;"s",A74&gt;OFFSET(B74,-1,0)),OFFSET(B74,-1,0),A74)))))</f>
        <v>S</v>
      </c>
      <c r="D74">
        <f t="shared" ref="D74:D76" ca="1" si="113">IF(OR(C74="S",C74=0),0,IF(ISERROR(K74),J74,SMALL(J74:K74,1)))</f>
        <v>0</v>
      </c>
      <c r="E74">
        <f ca="1">IF($C74=1,OFFSET(E74,-1,0)+MAX(1,COUNTIF(QCI!$A$13:$A$24,OFFSET(ORÇAMENTO!E74,-1,0))),OFFSET(E74,-1,0))</f>
        <v>1</v>
      </c>
      <c r="F74">
        <f t="shared" ref="F74:F76" ca="1" si="114">IF($C74=1,0,IF($C74=2,OFFSET(F74,-1,0)+1,OFFSET(F74,-1,0)))</f>
        <v>6</v>
      </c>
      <c r="G74">
        <f t="shared" ref="G74:G76" ca="1" si="115">IF(AND($C74&lt;=2,$C74&lt;&gt;0),0,IF($C74=3,OFFSET(G74,-1,0)+1,OFFSET(G74,-1,0)))</f>
        <v>0</v>
      </c>
      <c r="H74">
        <f t="shared" ref="H74:H76" ca="1" si="116">IF(AND($C74&lt;=3,$C74&lt;&gt;0),0,IF($C74=4,OFFSET(H74,-1,0)+1,OFFSET(H74,-1,0)))</f>
        <v>0</v>
      </c>
      <c r="I74">
        <f t="shared" ref="I74:I76" ca="1" si="117">IF(AND($C74&lt;=4,$C74&lt;&gt;0),0,IF(AND($C74="S",$X74&gt;0),OFFSET(I74,-1,0)+1,OFFSET(I74,-1,0)))</f>
        <v>24</v>
      </c>
      <c r="J74">
        <f t="shared" ca="1" si="80"/>
        <v>0</v>
      </c>
      <c r="K74">
        <f ca="1">IF(OR($C74="S",$C74=0),0,MATCH(OFFSET($D74,0,$C74)+IF($C74&lt;&gt;1,1,COUNTIF(QCI!$A$13:$A$24,ORÇAMENTO!E74)),OFFSET($D74,1,$C74,ROW($C$105)-ROW($C74)),0))</f>
        <v>0</v>
      </c>
      <c r="L74" s="115" t="str">
        <f t="shared" ref="L74:L76" ca="1" si="118">IF(OR($X74&gt;0,$C74=1,$C74=2,$C74=3,$C74=4),"F","")</f>
        <v>F</v>
      </c>
      <c r="M74" s="116" t="s">
        <v>706</v>
      </c>
      <c r="N74" s="117" t="str">
        <f t="shared" ref="N74:N76" ca="1" si="119">CHOOSE(1+LOG(1+2*(C74=1)+4*(C74=2)+8*(C74=3)+16*(C74=4)+32*(C74="S"),2),"","Meta","Nível 2","Nível 3","Nível 4","Serviço")</f>
        <v>Serviço</v>
      </c>
      <c r="O74" s="118" t="str">
        <f t="shared" ref="O74:O76" ca="1" si="120">IF(OR($C74=0,$L74=""),"-",CONCATENATE(E74&amp;".",IF(AND($A$5&gt;=2,$C74&gt;=2),F74&amp;".",""),IF(AND($A$5&gt;=3,$C74&gt;=3),G74&amp;".",""),IF(AND($A$5&gt;=4,$C74&gt;=4),H74&amp;".",""),IF($C74="S",I74&amp;".","")))</f>
        <v>1.6.24.</v>
      </c>
      <c r="P74" s="119" t="s">
        <v>751</v>
      </c>
      <c r="Q74" s="120" t="s">
        <v>965</v>
      </c>
      <c r="R74" s="121" t="str">
        <f ca="1">IF($C74="S",REFERENCIA.Descricao,"(digite a descrição aqui)")</f>
        <v>APLICAÇÃO MANUAL DE FUNDO SELADOR ACRÍLICO EM PAREDES EXTERNAS DE CASAS. AF_03/2024</v>
      </c>
      <c r="S74" s="122" t="str">
        <f ca="1">REFERENCIA.Unidade</f>
        <v>M2</v>
      </c>
      <c r="T74" s="123">
        <f ca="1">OFFSET(CÁLCULO!H$15,ROW($T74)-ROW(T$15),0)</f>
        <v>84.2</v>
      </c>
      <c r="U74" s="124">
        <v>4.0999999999999996</v>
      </c>
      <c r="V74" s="125" t="s">
        <v>664</v>
      </c>
      <c r="W74" s="123">
        <f ca="1">IF($C74="S",ROUND(IF(TIPOORCAMENTO="Proposto",ORÇAMENTO.CustoUnitario*(1+$AH74),ORÇAMENTO.PrecoUnitarioLicitado),15-13*$AF$10),0)</f>
        <v>5.22</v>
      </c>
      <c r="X74" s="126" cm="1">
        <f t="array" aca="1" ref="X74" ca="1">IF($C74="S",IF(OR(Import.TipoArredondamento&lt;&gt;"TransfereGOV",ACOMPANHAMENTO="BM"),VTOTAL1,SUM(OFFSET(CÁLCULO!$AA$15,ROW($X74)-ROW($X$15),1):OFFSET(CÁLCULO!$AL$15,ROW($X74)-ROW($X$15),-1))),IF($C74=0,0,ROUND(SomaAgrup,15-13*$AF$11)))</f>
        <v>439.52</v>
      </c>
      <c r="Y74" s="127" t="s">
        <v>752</v>
      </c>
      <c r="Z74" t="str">
        <f t="shared" ref="Z74:Z76" ca="1" si="121">IF(AND($C74="S",$X74&gt;0),IF(ISBLANK($Y74),"RA",LEFT($Y74,2)),"")</f>
        <v>RA</v>
      </c>
      <c r="AA74" s="128">
        <f ca="1">IF($C74="S",IF($Z74="CP",$X74,IF($Z74="RA",(($X74)*QCI!$AA$3),0)),SomaAgrup)</f>
        <v>439.52</v>
      </c>
      <c r="AB74" s="129">
        <f t="shared" ca="1" si="97"/>
        <v>0</v>
      </c>
      <c r="AC74" s="566"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IF(AND(_xlfn.SINGLE(TIPOORCAMENTO)="Licitado",$AL74=0,$AN74&gt;0),"SEM PREÇO",
IF(AND($C74="S",$P74&lt;&gt;"",$Q74&lt;&gt;"",$U74&gt;0,$V74=0),"BDI",
IF(OR(AND(TIPOORCAMENTO="Proposto",LEFT($O$8,5)&lt;&gt;"(N/D:",$AG74&lt;&gt;"",ORÇAMENTO.CustoUnitario&gt;$AG74),AND(TIPOORCAMENTO="LICITADO",ORÇAMENTO.PrecoUnitarioLicitado&gt;$AN74)),"ACIMA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t="str">
        <f ca="1">IF(C74&lt;=CRONO.NivelExibicao,MAX($AD$15:OFFSET(AD74,-1,0))+IF($C74&lt;&gt;1,1,MAX(1,COUNTIF(QCI!$A$13:$A$24,OFFSET($E74,-1,0)))),"")</f>
        <v/>
      </c>
      <c r="AE74" s="7" t="str">
        <f ca="1">IF(AND($C74="S",ORÇAMENTO.CodBarra&lt;&gt;""),IF(ORÇAMENTO.Fonte="",ORÇAMENTO.CodBarra,CONCATENATE(ORÇAMENTO.Fonte," ",ORÇAMENTO.CodBarra)))</f>
        <v>SINAPI 88415</v>
      </c>
      <c r="AF74" s="12">
        <f ca="1">IF(ISERROR(INDIRECT(ORÇAMENTO.BancoRef)),"(abra o arquivo 'Referência "&amp;Excel_BuiltIn_Database&amp;".xlsm)",IF(OR($C74&lt;&gt;"S",ORÇAMENTO.CodBarra=""),"(Sem Código)",IF(ISERROR(MATCH($AE74,INDIRECT(ORÇAMENTO.BancoRef),0)),"(Código não identificado nas referências)",MATCH($AE74,INDIRECT(ORÇAMENTO.BancoRef),0))))</f>
        <v>14472</v>
      </c>
      <c r="AG74" s="429">
        <f ca="1">ROUND(IF(DESONERACAO="sim",REFERENCIA.Desonerado,REFERENCIA.NaoDesonerado),2)</f>
        <v>4.57</v>
      </c>
      <c r="AH74" s="430">
        <f t="shared" ca="1" si="98"/>
        <v>0.27250000000000002</v>
      </c>
      <c r="AJ74" s="432"/>
      <c r="AL74" s="440"/>
      <c r="AM74" s="337">
        <f t="shared" ca="1" si="0"/>
        <v>439.52</v>
      </c>
      <c r="AN74" s="471">
        <f t="shared" ca="1" si="99"/>
        <v>5.22</v>
      </c>
    </row>
    <row r="75" spans="1:40" ht="25.5" x14ac:dyDescent="0.2">
      <c r="A75" t="str">
        <f t="shared" si="96"/>
        <v>S</v>
      </c>
      <c r="B75">
        <f t="shared" ca="1" si="111"/>
        <v>2</v>
      </c>
      <c r="C75" t="str">
        <f t="shared" ca="1" si="112"/>
        <v>S</v>
      </c>
      <c r="D75">
        <f t="shared" ca="1" si="113"/>
        <v>0</v>
      </c>
      <c r="E75">
        <f ca="1">IF($C75=1,OFFSET(E75,-1,0)+MAX(1,COUNTIF(QCI!$A$13:$A$24,OFFSET(ORÇAMENTO!E75,-1,0))),OFFSET(E75,-1,0))</f>
        <v>1</v>
      </c>
      <c r="F75">
        <f t="shared" ca="1" si="114"/>
        <v>6</v>
      </c>
      <c r="G75">
        <f t="shared" ca="1" si="115"/>
        <v>0</v>
      </c>
      <c r="H75">
        <f t="shared" ca="1" si="116"/>
        <v>0</v>
      </c>
      <c r="I75">
        <f t="shared" ca="1" si="117"/>
        <v>25</v>
      </c>
      <c r="J75">
        <f t="shared" ca="1" si="80"/>
        <v>0</v>
      </c>
      <c r="K75">
        <f ca="1">IF(OR($C75="S",$C75=0),0,MATCH(OFFSET($D75,0,$C75)+IF($C75&lt;&gt;1,1,COUNTIF(QCI!$A$13:$A$24,ORÇAMENTO!E75)),OFFSET($D75,1,$C75,ROW($C$105)-ROW($C75)),0))</f>
        <v>0</v>
      </c>
      <c r="L75" s="115" t="str">
        <f t="shared" ca="1" si="118"/>
        <v>F</v>
      </c>
      <c r="M75" s="116" t="s">
        <v>706</v>
      </c>
      <c r="N75" s="117" t="str">
        <f t="shared" ca="1" si="119"/>
        <v>Serviço</v>
      </c>
      <c r="O75" s="118" t="str">
        <f t="shared" ca="1" si="120"/>
        <v>1.6.25.</v>
      </c>
      <c r="P75" s="119" t="s">
        <v>751</v>
      </c>
      <c r="Q75" s="120" t="s">
        <v>964</v>
      </c>
      <c r="R75" s="121" t="str">
        <f ca="1">IF($C75="S",REFERENCIA.Descricao,"(digite a descrição aqui)")</f>
        <v>PINTURA LÁTEX ACRÍLICA PREMIUM, APLICAÇÃO MANUAL EM PAREDES, DUAS DEMÃOS. AF_04/2023</v>
      </c>
      <c r="S75" s="122" t="str">
        <f ca="1">REFERENCIA.Unidade</f>
        <v>M2</v>
      </c>
      <c r="T75" s="123">
        <f ca="1">OFFSET(CÁLCULO!H$15,ROW($T75)-ROW(T$15),0)</f>
        <v>84.2</v>
      </c>
      <c r="U75" s="124">
        <v>12.55</v>
      </c>
      <c r="V75" s="125" t="s">
        <v>664</v>
      </c>
      <c r="W75" s="123">
        <f ca="1">IF($C75="S",ROUND(IF(TIPOORCAMENTO="Proposto",ORÇAMENTO.CustoUnitario*(1+$AH75),ORÇAMENTO.PrecoUnitarioLicitado),15-13*$AF$10),0)</f>
        <v>15.97</v>
      </c>
      <c r="X75" s="126" cm="1">
        <f t="array" aca="1" ref="X75" ca="1">IF($C75="S",IF(OR(Import.TipoArredondamento&lt;&gt;"TransfereGOV",ACOMPANHAMENTO="BM"),VTOTAL1,SUM(OFFSET(CÁLCULO!$AA$15,ROW($X75)-ROW($X$15),1):OFFSET(CÁLCULO!$AL$15,ROW($X75)-ROW($X$15),-1))),IF($C75=0,0,ROUND(SomaAgrup,15-13*$AF$11)))</f>
        <v>1344.67</v>
      </c>
      <c r="Y75" s="127" t="s">
        <v>752</v>
      </c>
      <c r="Z75" t="str">
        <f t="shared" ca="1" si="121"/>
        <v>RA</v>
      </c>
      <c r="AA75" s="128">
        <f ca="1">IF($C75="S",IF($Z75="CP",$X75,IF($Z75="RA",(($X75)*QCI!$AA$3),0)),SomaAgrup)</f>
        <v>1344.67</v>
      </c>
      <c r="AB75" s="129">
        <f t="shared" ca="1" si="97"/>
        <v>0</v>
      </c>
      <c r="AC75" s="566"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IF(AND(_xlfn.SINGLE(TIPOORCAMENTO)="Licitado",$AL75=0,$AN75&gt;0),"SEM PREÇO",
IF(AND($C75="S",$P75&lt;&gt;"",$Q75&lt;&gt;"",$U75&gt;0,$V75=0),"BDI",
IF(OR(AND(TIPOORCAMENTO="Proposto",LEFT($O$8,5)&lt;&gt;"(N/D:",$AG75&lt;&gt;"",ORÇAMENTO.CustoUnitario&gt;$AG75),AND(TIPOORCAMENTO="LICITADO",ORÇAMENTO.PrecoUnitarioLicitado&gt;$AN75)),"ACIMA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t="str">
        <f ca="1">IF(C75&lt;=CRONO.NivelExibicao,MAX($AD$15:OFFSET(AD75,-1,0))+IF($C75&lt;&gt;1,1,MAX(1,COUNTIF(QCI!$A$13:$A$24,OFFSET($E75,-1,0)))),"")</f>
        <v/>
      </c>
      <c r="AE75" s="7" t="str">
        <f ca="1">IF(AND($C75="S",ORÇAMENTO.CodBarra&lt;&gt;""),IF(ORÇAMENTO.Fonte="",ORÇAMENTO.CodBarra,CONCATENATE(ORÇAMENTO.Fonte," ",ORÇAMENTO.CodBarra)))</f>
        <v>SINAPI 88489</v>
      </c>
      <c r="AF75" s="12">
        <f ca="1">IF(ISERROR(INDIRECT(ORÇAMENTO.BancoRef)),"(abra o arquivo 'Referência "&amp;Excel_BuiltIn_Database&amp;".xlsm)",IF(OR($C75&lt;&gt;"S",ORÇAMENTO.CodBarra=""),"(Sem Código)",IF(ISERROR(MATCH($AE75,INDIRECT(ORÇAMENTO.BancoRef),0)),"(Código não identificado nas referências)",MATCH($AE75,INDIRECT(ORÇAMENTO.BancoRef),0))))</f>
        <v>14517</v>
      </c>
      <c r="AG75" s="429">
        <f ca="1">ROUND(IF(DESONERACAO="sim",REFERENCIA.Desonerado,REFERENCIA.NaoDesonerado),2)</f>
        <v>13.96</v>
      </c>
      <c r="AH75" s="430">
        <f t="shared" ca="1" si="98"/>
        <v>0.27250000000000002</v>
      </c>
      <c r="AJ75" s="432"/>
      <c r="AL75" s="440"/>
      <c r="AM75" s="337">
        <f t="shared" ca="1" si="0"/>
        <v>1344.67</v>
      </c>
      <c r="AN75" s="471">
        <f t="shared" ca="1" si="99"/>
        <v>15.97</v>
      </c>
    </row>
    <row r="76" spans="1:40" x14ac:dyDescent="0.2">
      <c r="A76" t="str">
        <f t="shared" si="96"/>
        <v>S</v>
      </c>
      <c r="B76">
        <f t="shared" ca="1" si="111"/>
        <v>2</v>
      </c>
      <c r="C76" t="str">
        <f t="shared" ca="1" si="112"/>
        <v>S</v>
      </c>
      <c r="D76">
        <f t="shared" ca="1" si="113"/>
        <v>0</v>
      </c>
      <c r="E76">
        <f ca="1">IF($C76=1,OFFSET(E76,-1,0)+MAX(1,COUNTIF(QCI!$A$13:$A$24,OFFSET(ORÇAMENTO!E76,-1,0))),OFFSET(E76,-1,0))</f>
        <v>1</v>
      </c>
      <c r="F76">
        <f t="shared" ca="1" si="114"/>
        <v>6</v>
      </c>
      <c r="G76">
        <f t="shared" ca="1" si="115"/>
        <v>0</v>
      </c>
      <c r="H76">
        <f t="shared" ca="1" si="116"/>
        <v>0</v>
      </c>
      <c r="I76">
        <f t="shared" ca="1" si="117"/>
        <v>26</v>
      </c>
      <c r="J76">
        <f t="shared" ca="1" si="80"/>
        <v>0</v>
      </c>
      <c r="K76">
        <f ca="1">IF(OR($C76="S",$C76=0),0,MATCH(OFFSET($D76,0,$C76)+IF($C76&lt;&gt;1,1,COUNTIF(QCI!$A$13:$A$24,ORÇAMENTO!E76)),OFFSET($D76,1,$C76,ROW($C$105)-ROW($C76)),0))</f>
        <v>0</v>
      </c>
      <c r="L76" s="115" t="str">
        <f t="shared" ca="1" si="118"/>
        <v>F</v>
      </c>
      <c r="M76" s="116" t="s">
        <v>706</v>
      </c>
      <c r="N76" s="117" t="str">
        <f t="shared" ca="1" si="119"/>
        <v>Serviço</v>
      </c>
      <c r="O76" s="118" t="str">
        <f t="shared" ca="1" si="120"/>
        <v>1.6.26.</v>
      </c>
      <c r="P76" s="119" t="s">
        <v>751</v>
      </c>
      <c r="Q76" s="120" t="s">
        <v>980</v>
      </c>
      <c r="R76" s="121" t="str">
        <f ca="1">IF($C76="S",REFERENCIA.Descricao,"(digite a descrição aqui)")</f>
        <v>PINTOR COM ENCARGOS COMPLEMENTARES</v>
      </c>
      <c r="S76" s="122" t="str">
        <f ca="1">REFERENCIA.Unidade</f>
        <v>H</v>
      </c>
      <c r="T76" s="123">
        <f ca="1">OFFSET(CÁLCULO!H$15,ROW($T76)-ROW(T$15),0)</f>
        <v>56</v>
      </c>
      <c r="U76" s="124">
        <v>27.9</v>
      </c>
      <c r="V76" s="125" t="s">
        <v>664</v>
      </c>
      <c r="W76" s="123">
        <f ca="1">IF($C76="S",ROUND(IF(TIPOORCAMENTO="Proposto",ORÇAMENTO.CustoUnitario*(1+$AH76),ORÇAMENTO.PrecoUnitarioLicitado),15-13*$AF$10),0)</f>
        <v>35.5</v>
      </c>
      <c r="X76" s="126" cm="1">
        <f t="array" aca="1" ref="X76" ca="1">IF($C76="S",IF(OR(Import.TipoArredondamento&lt;&gt;"TransfereGOV",ACOMPANHAMENTO="BM"),VTOTAL1,SUM(OFFSET(CÁLCULO!$AA$15,ROW($X76)-ROW($X$15),1):OFFSET(CÁLCULO!$AL$15,ROW($X76)-ROW($X$15),-1))),IF($C76=0,0,ROUND(SomaAgrup,15-13*$AF$11)))</f>
        <v>1988</v>
      </c>
      <c r="Y76" s="127" t="s">
        <v>752</v>
      </c>
      <c r="Z76" t="str">
        <f t="shared" ca="1" si="121"/>
        <v>RA</v>
      </c>
      <c r="AA76" s="128">
        <f ca="1">IF($C76="S",IF($Z76="CP",$X76,IF($Z76="RA",(($X76)*QCI!$AA$3),0)),SomaAgrup)</f>
        <v>1988</v>
      </c>
      <c r="AB76" s="129">
        <f t="shared" ca="1" si="97"/>
        <v>0</v>
      </c>
      <c r="AC76" s="566" t="str"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IF(AND(_xlfn.SINGLE(TIPOORCAMENTO)="Licitado",$AL76=0,$AN76&gt;0),"SEM PREÇO",
IF(AND($C76="S",$P76&lt;&gt;"",$Q76&lt;&gt;"",$U76&gt;0,$V76=0),"BDI",
IF(OR(AND(TIPOORCAMENTO="Proposto",LEFT($O$8,5)&lt;&gt;"(N/D:",$AG76&lt;&gt;"",ORÇAMENTO.CustoUnitario&gt;$AG76),AND(TIPOORCAMENTO="LICITADO",ORÇAMENTO.PrecoUnitarioLicitado&gt;$AN76)),"ACIMA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t="str">
        <f ca="1">IF(C76&lt;=CRONO.NivelExibicao,MAX($AD$15:OFFSET(AD76,-1,0))+IF($C76&lt;&gt;1,1,MAX(1,COUNTIF(QCI!$A$13:$A$24,OFFSET($E76,-1,0)))),"")</f>
        <v/>
      </c>
      <c r="AE76" s="7" t="str">
        <f ca="1">IF(AND($C76="S",ORÇAMENTO.CodBarra&lt;&gt;""),IF(ORÇAMENTO.Fonte="",ORÇAMENTO.CodBarra,CONCATENATE(ORÇAMENTO.Fonte," ",ORÇAMENTO.CodBarra)))</f>
        <v>SINAPI 88310</v>
      </c>
      <c r="AF76" s="12">
        <f ca="1">IF(ISERROR(INDIRECT(ORÇAMENTO.BancoRef)),"(abra o arquivo 'Referência "&amp;Excel_BuiltIn_Database&amp;".xlsm)",IF(OR($C76&lt;&gt;"S",ORÇAMENTO.CodBarra=""),"(Sem Código)",IF(ISERROR(MATCH($AE76,INDIRECT(ORÇAMENTO.BancoRef),0)),"(Código não identificado nas referências)",MATCH($AE76,INDIRECT(ORÇAMENTO.BancoRef),0))))</f>
        <v>13662</v>
      </c>
      <c r="AG76" s="429">
        <f ca="1">ROUND(IF(DESONERACAO="sim",REFERENCIA.Desonerado,REFERENCIA.NaoDesonerado),2)</f>
        <v>31</v>
      </c>
      <c r="AH76" s="430">
        <f t="shared" ca="1" si="98"/>
        <v>0.27250000000000002</v>
      </c>
      <c r="AJ76" s="432"/>
      <c r="AL76" s="440"/>
      <c r="AM76" s="337">
        <f t="shared" ca="1" si="0"/>
        <v>1988</v>
      </c>
      <c r="AN76" s="471">
        <f t="shared" ca="1" si="99"/>
        <v>35.5</v>
      </c>
    </row>
    <row r="77" spans="1:40" x14ac:dyDescent="0.2">
      <c r="A77" t="str">
        <f t="shared" si="96"/>
        <v>S</v>
      </c>
      <c r="B77">
        <f ca="1">IF(OR(C77="s",C77=0),OFFSET(B77,-1,0),C77)</f>
        <v>2</v>
      </c>
      <c r="C77" t="str">
        <f ca="1">IF(OFFSET(C77,-1,0)="L",1,IF(OFFSET(C77,-1,0)=1,2,IF(OR(A77="s",A77=0),"S",IF(AND(OFFSET(C77,-1,0)=2,A77=4),3,IF(AND(OR(OFFSET(C77,-1,0)="s",OFFSET(C77,-1,0)=0),A77&lt;&gt;"s",A77&gt;OFFSET(B77,-1,0)),OFFSET(B77,-1,0),A77)))))</f>
        <v>S</v>
      </c>
      <c r="D77">
        <f ca="1">IF(OR(C77="S",C77=0),0,IF(ISERROR(K77),J77,SMALL(J77:K77,1)))</f>
        <v>0</v>
      </c>
      <c r="E77">
        <f ca="1">IF($C77=1,OFFSET(E77,-1,0)+MAX(1,COUNTIF(QCI!$A$13:$A$24,OFFSET(ORÇAMENTO!E77,-1,0))),OFFSET(E77,-1,0))</f>
        <v>1</v>
      </c>
      <c r="F77">
        <f ca="1">IF($C77=1,0,IF($C77=2,OFFSET(F77,-1,0)+1,OFFSET(F77,-1,0)))</f>
        <v>6</v>
      </c>
      <c r="G77">
        <f ca="1">IF(AND($C77&lt;=2,$C77&lt;&gt;0),0,IF($C77=3,OFFSET(G77,-1,0)+1,OFFSET(G77,-1,0)))</f>
        <v>0</v>
      </c>
      <c r="H77">
        <f ca="1">IF(AND($C77&lt;=3,$C77&lt;&gt;0),0,IF($C77=4,OFFSET(H77,-1,0)+1,OFFSET(H77,-1,0)))</f>
        <v>0</v>
      </c>
      <c r="I77">
        <f ca="1">IF(AND($C77&lt;=4,$C77&lt;&gt;0),0,IF(AND($C77="S",$X77&gt;0),OFFSET(I77,-1,0)+1,OFFSET(I77,-1,0)))</f>
        <v>27</v>
      </c>
      <c r="J77">
        <f t="shared" ca="1" si="80"/>
        <v>0</v>
      </c>
      <c r="K77">
        <f ca="1">IF(OR($C77="S",$C77=0),0,MATCH(OFFSET($D77,0,$C77)+IF($C77&lt;&gt;1,1,COUNTIF(QCI!$A$13:$A$24,ORÇAMENTO!E77)),OFFSET($D77,1,$C77,ROW($C$105)-ROW($C77)),0))</f>
        <v>0</v>
      </c>
      <c r="L77" s="115" t="str">
        <f ca="1">IF(OR($X77&gt;0,$C77=1,$C77=2,$C77=3,$C77=4),"F","")</f>
        <v>F</v>
      </c>
      <c r="M77" s="116" t="s">
        <v>706</v>
      </c>
      <c r="N77" s="117" t="str">
        <f ca="1">CHOOSE(1+LOG(1+2*(C77=1)+4*(C77=2)+8*(C77=3)+16*(C77=4)+32*(C77="S"),2),"","Meta","Nível 2","Nível 3","Nível 4","Serviço")</f>
        <v>Serviço</v>
      </c>
      <c r="O77" s="118" t="str">
        <f ca="1">IF(OR($C77=0,$L77=""),"-",CONCATENATE(E77&amp;".",IF(AND($A$5&gt;=2,$C77&gt;=2),F77&amp;".",""),IF(AND($A$5&gt;=3,$C77&gt;=3),G77&amp;".",""),IF(AND($A$5&gt;=4,$C77&gt;=4),H77&amp;".",""),IF($C77="S",I77&amp;".","")))</f>
        <v>1.6.27.</v>
      </c>
      <c r="P77" s="119" t="s">
        <v>751</v>
      </c>
      <c r="Q77" s="120" t="s">
        <v>981</v>
      </c>
      <c r="R77" s="121" t="str">
        <f ca="1">IF($C77="S",REFERENCIA.Descricao,"(digite a descrição aqui)")</f>
        <v>AJUDANTE DE PINTOR COM ENCARGOS COMPLEMENTARES</v>
      </c>
      <c r="S77" s="122" t="str">
        <f ca="1">REFERENCIA.Unidade</f>
        <v>H</v>
      </c>
      <c r="T77" s="123">
        <f ca="1">OFFSET(CÁLCULO!H$15,ROW($T77)-ROW(T$15),0)</f>
        <v>56</v>
      </c>
      <c r="U77" s="124">
        <v>24.75</v>
      </c>
      <c r="V77" s="125" t="s">
        <v>664</v>
      </c>
      <c r="W77" s="123">
        <f ca="1">IF($C77="S",ROUND(IF(TIPOORCAMENTO="Proposto",ORÇAMENTO.CustoUnitario*(1+$AH77),ORÇAMENTO.PrecoUnitarioLicitado),15-13*$AF$10),0)</f>
        <v>31.49</v>
      </c>
      <c r="X77" s="126" cm="1">
        <f t="array" aca="1" ref="X77" ca="1">IF($C77="S",IF(OR(Import.TipoArredondamento&lt;&gt;"TransfereGOV",ACOMPANHAMENTO="BM"),VTOTAL1,SUM(OFFSET(CÁLCULO!$AA$15,ROW($X77)-ROW($X$15),1):OFFSET(CÁLCULO!$AL$15,ROW($X77)-ROW($X$15),-1))),IF($C77=0,0,ROUND(SomaAgrup,15-13*$AF$11)))</f>
        <v>1763.44</v>
      </c>
      <c r="Y77" s="127" t="s">
        <v>752</v>
      </c>
      <c r="Z77" t="str">
        <f ca="1">IF(AND($C77="S",$X77&gt;0),IF(ISBLANK($Y77),"RA",LEFT($Y77,2)),"")</f>
        <v>RA</v>
      </c>
      <c r="AA77" s="128">
        <f ca="1">IF($C77="S",IF($Z77="CP",$X77,IF($Z77="RA",(($X77)*QCI!$AA$3),0)),SomaAgrup)</f>
        <v>1763.44</v>
      </c>
      <c r="AB77" s="129">
        <f t="shared" ca="1" si="97"/>
        <v>0</v>
      </c>
      <c r="AC77" s="566" t="str"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IF(AND(_xlfn.SINGLE(TIPOORCAMENTO)="Licitado",$AL77=0,$AN77&gt;0),"SEM PREÇO",
IF(AND($C77="S",$P77&lt;&gt;"",$Q77&lt;&gt;"",$U77&gt;0,$V77=0),"BDI",
IF(OR(AND(TIPOORCAMENTO="Proposto",LEFT($O$8,5)&lt;&gt;"(N/D:",$AG77&lt;&gt;"",ORÇAMENTO.CustoUnitario&gt;$AG77),AND(TIPOORCAMENTO="LICITADO",ORÇAMENTO.PrecoUnitarioLicitado&gt;$AN77)),"ACIMA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 xml:space="preserve"> </v>
      </c>
      <c r="AD77" t="str">
        <f ca="1">IF(C77&lt;=CRONO.NivelExibicao,MAX($AD$15:OFFSET(AD77,-1,0))+IF($C77&lt;&gt;1,1,MAX(1,COUNTIF(QCI!$A$13:$A$24,OFFSET($E77,-1,0)))),"")</f>
        <v/>
      </c>
      <c r="AE77" s="7" t="str">
        <f ca="1">IF(AND($C77="S",ORÇAMENTO.CodBarra&lt;&gt;""),IF(ORÇAMENTO.Fonte="",ORÇAMENTO.CodBarra,CONCATENATE(ORÇAMENTO.Fonte," ",ORÇAMENTO.CodBarra)))</f>
        <v>SINAPI 100301</v>
      </c>
      <c r="AF77" s="12">
        <f ca="1">IF(ISERROR(INDIRECT(ORÇAMENTO.BancoRef)),"(abra o arquivo 'Referência "&amp;Excel_BuiltIn_Database&amp;".xlsm)",IF(OR($C77&lt;&gt;"S",ORÇAMENTO.CodBarra=""),"(Sem Código)",IF(ISERROR(MATCH($AE77,INDIRECT(ORÇAMENTO.BancoRef),0)),"(Código não identificado nas referências)",MATCH($AE77,INDIRECT(ORÇAMENTO.BancoRef),0))))</f>
        <v>13329</v>
      </c>
      <c r="AG77" s="429">
        <f ca="1">ROUND(IF(DESONERACAO="sim",REFERENCIA.Desonerado,REFERENCIA.NaoDesonerado),2)</f>
        <v>27.51</v>
      </c>
      <c r="AH77" s="430">
        <f t="shared" ca="1" si="98"/>
        <v>0.27250000000000002</v>
      </c>
      <c r="AJ77" s="432"/>
      <c r="AL77" s="440"/>
      <c r="AM77" s="337">
        <f t="shared" ca="1" si="0"/>
        <v>1763.44</v>
      </c>
      <c r="AN77" s="471">
        <f t="shared" ca="1" si="99"/>
        <v>31.49</v>
      </c>
    </row>
    <row r="78" spans="1:40" ht="38.25" x14ac:dyDescent="0.2">
      <c r="A78" t="str">
        <f t="shared" si="96"/>
        <v>S</v>
      </c>
      <c r="B78">
        <f t="shared" ref="B78:B95" ca="1" si="122">IF(OR(C78="s",C78=0),OFFSET(B78,-1,0),C78)</f>
        <v>2</v>
      </c>
      <c r="C78" t="str">
        <f t="shared" ref="C78:C95" ca="1" si="123">IF(OFFSET(C78,-1,0)="L",1,IF(OFFSET(C78,-1,0)=1,2,IF(OR(A78="s",A78=0),"S",IF(AND(OFFSET(C78,-1,0)=2,A78=4),3,IF(AND(OR(OFFSET(C78,-1,0)="s",OFFSET(C78,-1,0)=0),A78&lt;&gt;"s",A78&gt;OFFSET(B78,-1,0)),OFFSET(B78,-1,0),A78)))))</f>
        <v>S</v>
      </c>
      <c r="D78">
        <f t="shared" ref="D78:D95" ca="1" si="124">IF(OR(C78="S",C78=0),0,IF(ISERROR(K78),J78,SMALL(J78:K78,1)))</f>
        <v>0</v>
      </c>
      <c r="E78">
        <f ca="1">IF($C78=1,OFFSET(E78,-1,0)+MAX(1,COUNTIF(QCI!$A$13:$A$24,OFFSET(ORÇAMENTO!E78,-1,0))),OFFSET(E78,-1,0))</f>
        <v>1</v>
      </c>
      <c r="F78">
        <f t="shared" ref="F78:F95" ca="1" si="125">IF($C78=1,0,IF($C78=2,OFFSET(F78,-1,0)+1,OFFSET(F78,-1,0)))</f>
        <v>6</v>
      </c>
      <c r="G78">
        <f t="shared" ref="G78:G95" ca="1" si="126">IF(AND($C78&lt;=2,$C78&lt;&gt;0),0,IF($C78=3,OFFSET(G78,-1,0)+1,OFFSET(G78,-1,0)))</f>
        <v>0</v>
      </c>
      <c r="H78">
        <f t="shared" ref="H78:H95" ca="1" si="127">IF(AND($C78&lt;=3,$C78&lt;&gt;0),0,IF($C78=4,OFFSET(H78,-1,0)+1,OFFSET(H78,-1,0)))</f>
        <v>0</v>
      </c>
      <c r="I78">
        <f t="shared" ref="I78:I95" ca="1" si="128">IF(AND($C78&lt;=4,$C78&lt;&gt;0),0,IF(AND($C78="S",$X78&gt;0),OFFSET(I78,-1,0)+1,OFFSET(I78,-1,0)))</f>
        <v>28</v>
      </c>
      <c r="J78">
        <f t="shared" ca="1" si="80"/>
        <v>0</v>
      </c>
      <c r="K78">
        <f ca="1">IF(OR($C78="S",$C78=0),0,MATCH(OFFSET($D78,0,$C78)+IF($C78&lt;&gt;1,1,COUNTIF(QCI!$A$13:$A$24,ORÇAMENTO!E78)),OFFSET($D78,1,$C78,ROW($C$105)-ROW($C78)),0))</f>
        <v>0</v>
      </c>
      <c r="L78" s="115" t="str">
        <f t="shared" ref="L78:L95" ca="1" si="129">IF(OR($X78&gt;0,$C78=1,$C78=2,$C78=3,$C78=4),"F","")</f>
        <v>F</v>
      </c>
      <c r="M78" s="116" t="s">
        <v>706</v>
      </c>
      <c r="N78" s="117" t="str">
        <f t="shared" ref="N78:N95" ca="1" si="130">CHOOSE(1+LOG(1+2*(C78=1)+4*(C78=2)+8*(C78=3)+16*(C78=4)+32*(C78="S"),2),"","Meta","Nível 2","Nível 3","Nível 4","Serviço")</f>
        <v>Serviço</v>
      </c>
      <c r="O78" s="118" t="str">
        <f t="shared" ref="O78:O95" ca="1" si="131">IF(OR($C78=0,$L78=""),"-",CONCATENATE(E78&amp;".",IF(AND($A$5&gt;=2,$C78&gt;=2),F78&amp;".",""),IF(AND($A$5&gt;=3,$C78&gt;=3),G78&amp;".",""),IF(AND($A$5&gt;=4,$C78&gt;=4),H78&amp;".",""),IF($C78="S",I78&amp;".","")))</f>
        <v>1.6.28.</v>
      </c>
      <c r="P78" s="119" t="s">
        <v>751</v>
      </c>
      <c r="Q78" s="120" t="s">
        <v>971</v>
      </c>
      <c r="R78" s="121" t="str">
        <f ca="1">IF($C78="S",REFERENCIA.Descricao,"(digite a descrição aqui)")</f>
        <v>EXECUÇÃO DE PISO DE CONCRETO, COM ACABAMENTO SUPERFICIAL, ESPESSURA DE 15 CM, FCK = 30 MPA, COM USO DE FORMAS EM MADEIRA SERRADA. AF_07/2026</v>
      </c>
      <c r="S78" s="122" t="str">
        <f ca="1">REFERENCIA.Unidade</f>
        <v>M2</v>
      </c>
      <c r="T78" s="123">
        <f ca="1">OFFSET(CÁLCULO!H$15,ROW($T78)-ROW(T$15),0)</f>
        <v>22.25</v>
      </c>
      <c r="U78" s="124">
        <v>224.3</v>
      </c>
      <c r="V78" s="125" t="s">
        <v>664</v>
      </c>
      <c r="W78" s="123">
        <f ca="1">IF($C78="S",ROUND(IF(TIPOORCAMENTO="Proposto",ORÇAMENTO.CustoUnitario*(1+$AH78),ORÇAMENTO.PrecoUnitarioLicitado),15-13*$AF$10),0)</f>
        <v>285.42</v>
      </c>
      <c r="X78" s="126" cm="1">
        <f t="array" aca="1" ref="X78" ca="1">IF($C78="S",IF(OR(Import.TipoArredondamento&lt;&gt;"TransfereGOV",ACOMPANHAMENTO="BM"),VTOTAL1,SUM(OFFSET(CÁLCULO!$AA$15,ROW($X78)-ROW($X$15),1):OFFSET(CÁLCULO!$AL$15,ROW($X78)-ROW($X$15),-1))),IF($C78=0,0,ROUND(SomaAgrup,15-13*$AF$11)))</f>
        <v>6350.6</v>
      </c>
      <c r="Y78" s="127" t="s">
        <v>752</v>
      </c>
      <c r="Z78" t="str">
        <f t="shared" ref="Z78:Z95" ca="1" si="132">IF(AND($C78="S",$X78&gt;0),IF(ISBLANK($Y78),"RA",LEFT($Y78,2)),"")</f>
        <v>RA</v>
      </c>
      <c r="AA78" s="128">
        <f ca="1">IF($C78="S",IF($Z78="CP",$X78,IF($Z78="RA",(($X78)*QCI!$AA$3),0)),SomaAgrup)</f>
        <v>6350.6</v>
      </c>
      <c r="AB78" s="129">
        <f t="shared" ca="1" si="97"/>
        <v>0</v>
      </c>
      <c r="AC78" s="566" t="str"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IF(AND(_xlfn.SINGLE(TIPOORCAMENTO)="Licitado",$AL78=0,$AN78&gt;0),"SEM PREÇO",
IF(AND($C78="S",$P78&lt;&gt;"",$Q78&lt;&gt;"",$U78&gt;0,$V78=0),"BDI",
IF(OR(AND(TIPOORCAMENTO="Proposto",LEFT($O$8,5)&lt;&gt;"(N/D:",$AG78&lt;&gt;"",ORÇAMENTO.CustoUnitario&gt;$AG78),AND(TIPOORCAMENTO="LICITADO",ORÇAMENTO.PrecoUnitarioLicitado&gt;$AN78)),"ACIMA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 xml:space="preserve"> </v>
      </c>
      <c r="AD78" t="str">
        <f ca="1">IF(C78&lt;=CRONO.NivelExibicao,MAX($AD$15:OFFSET(AD78,-1,0))+IF($C78&lt;&gt;1,1,MAX(1,COUNTIF(QCI!$A$13:$A$24,OFFSET($E78,-1,0)))),"")</f>
        <v/>
      </c>
      <c r="AE78" s="7" t="str">
        <f ca="1">IF(AND($C78="S",ORÇAMENTO.CodBarra&lt;&gt;""),IF(ORÇAMENTO.Fonte="",ORÇAMENTO.CodBarra,CONCATENATE(ORÇAMENTO.Fonte," ",ORÇAMENTO.CodBarra)))</f>
        <v>SINAPI 103075</v>
      </c>
      <c r="AF78" s="12">
        <f ca="1">IF(ISERROR(INDIRECT(ORÇAMENTO.BancoRef)),"(abra o arquivo 'Referência "&amp;Excel_BuiltIn_Database&amp;".xlsm)",IF(OR($C78&lt;&gt;"S",ORÇAMENTO.CodBarra=""),"(Sem Código)",IF(ISERROR(MATCH($AE78,INDIRECT(ORÇAMENTO.BancoRef),0)),"(Código não identificado nas referências)",MATCH($AE78,INDIRECT(ORÇAMENTO.BancoRef),0))))</f>
        <v>15075</v>
      </c>
      <c r="AG78" s="429">
        <f ca="1">ROUND(IF(DESONERACAO="sim",REFERENCIA.Desonerado,REFERENCIA.NaoDesonerado),2)</f>
        <v>249.25</v>
      </c>
      <c r="AH78" s="430">
        <f t="shared" ca="1" si="98"/>
        <v>0.27250000000000002</v>
      </c>
      <c r="AJ78" s="432"/>
      <c r="AL78" s="440"/>
      <c r="AM78" s="337">
        <f t="shared" ca="1" si="0"/>
        <v>6350.6</v>
      </c>
      <c r="AN78" s="471">
        <f t="shared" ca="1" si="99"/>
        <v>285.42</v>
      </c>
    </row>
    <row r="79" spans="1:40" ht="38.25" x14ac:dyDescent="0.2">
      <c r="A79" t="str">
        <f t="shared" si="96"/>
        <v>S</v>
      </c>
      <c r="B79">
        <f t="shared" ca="1" si="122"/>
        <v>2</v>
      </c>
      <c r="C79" t="str">
        <f t="shared" ca="1" si="123"/>
        <v>S</v>
      </c>
      <c r="D79">
        <f t="shared" ca="1" si="124"/>
        <v>0</v>
      </c>
      <c r="E79">
        <f ca="1">IF($C79=1,OFFSET(E79,-1,0)+MAX(1,COUNTIF(QCI!$A$13:$A$24,OFFSET(ORÇAMENTO!E79,-1,0))),OFFSET(E79,-1,0))</f>
        <v>1</v>
      </c>
      <c r="F79">
        <f t="shared" ca="1" si="125"/>
        <v>6</v>
      </c>
      <c r="G79">
        <f t="shared" ca="1" si="126"/>
        <v>0</v>
      </c>
      <c r="H79">
        <f t="shared" ca="1" si="127"/>
        <v>0</v>
      </c>
      <c r="I79">
        <f t="shared" ca="1" si="128"/>
        <v>29</v>
      </c>
      <c r="J79">
        <f t="shared" ca="1" si="80"/>
        <v>0</v>
      </c>
      <c r="K79">
        <f ca="1">IF(OR($C79="S",$C79=0),0,MATCH(OFFSET($D79,0,$C79)+IF($C79&lt;&gt;1,1,COUNTIF(QCI!$A$13:$A$24,ORÇAMENTO!E79)),OFFSET($D79,1,$C79,ROW($C$105)-ROW($C79)),0))</f>
        <v>0</v>
      </c>
      <c r="L79" s="115" t="str">
        <f t="shared" ca="1" si="129"/>
        <v>F</v>
      </c>
      <c r="M79" s="116" t="s">
        <v>706</v>
      </c>
      <c r="N79" s="117" t="str">
        <f t="shared" ca="1" si="130"/>
        <v>Serviço</v>
      </c>
      <c r="O79" s="118" t="str">
        <f t="shared" ca="1" si="131"/>
        <v>1.6.29.</v>
      </c>
      <c r="P79" s="119" t="s">
        <v>959</v>
      </c>
      <c r="Q79" s="120" t="s">
        <v>976</v>
      </c>
      <c r="R79" s="121" t="str">
        <f ca="1">IF($C79="S",REFERENCIA.Descricao,"(digite a descrição aqui)")</f>
        <v>TELA DE ACO SOLDADA NERVURADA, CA-60, Q-92, (1,48 KG/M2), DIAMETRO DO FIO = 4,2 MM, LARGURA = 2,45 X 60 M DE COMPRIMENTO, ESPACAMENTO DA MALHA = 15 X 15 CM</v>
      </c>
      <c r="S79" s="122" t="str">
        <f ca="1">REFERENCIA.Unidade</f>
        <v>M2</v>
      </c>
      <c r="T79" s="123">
        <f ca="1">OFFSET(CÁLCULO!H$15,ROW($T79)-ROW(T$15),0)</f>
        <v>22.25</v>
      </c>
      <c r="U79" s="124">
        <v>11.75</v>
      </c>
      <c r="V79" s="125" t="s">
        <v>664</v>
      </c>
      <c r="W79" s="123">
        <f ca="1">IF($C79="S",ROUND(IF(TIPOORCAMENTO="Proposto",ORÇAMENTO.CustoUnitario*(1+$AH79),ORÇAMENTO.PrecoUnitarioLicitado),15-13*$AF$10),0)</f>
        <v>14.95</v>
      </c>
      <c r="X79" s="126" cm="1">
        <f t="array" aca="1" ref="X79" ca="1">IF($C79="S",IF(OR(Import.TipoArredondamento&lt;&gt;"TransfereGOV",ACOMPANHAMENTO="BM"),VTOTAL1,SUM(OFFSET(CÁLCULO!$AA$15,ROW($X79)-ROW($X$15),1):OFFSET(CÁLCULO!$AL$15,ROW($X79)-ROW($X$15),-1))),IF($C79=0,0,ROUND(SomaAgrup,15-13*$AF$11)))</f>
        <v>332.64</v>
      </c>
      <c r="Y79" s="127" t="s">
        <v>752</v>
      </c>
      <c r="Z79" t="str">
        <f t="shared" ca="1" si="132"/>
        <v>RA</v>
      </c>
      <c r="AA79" s="128">
        <f ca="1">IF($C79="S",IF($Z79="CP",$X79,IF($Z79="RA",(($X79)*QCI!$AA$3),0)),SomaAgrup)</f>
        <v>332.64</v>
      </c>
      <c r="AB79" s="129">
        <f t="shared" ca="1" si="97"/>
        <v>0</v>
      </c>
      <c r="AC79" s="566" t="str" cm="1">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IF(AND(_xlfn.SINGLE(TIPOORCAMENTO)="Licitado",$AL79=0,$AN79&gt;0),"SEM PREÇO",
IF(AND($C79="S",$P79&lt;&gt;"",$Q79&lt;&gt;"",$U79&gt;0,$V79=0),"BDI",
IF(OR(AND(TIPOORCAMENTO="Proposto",LEFT($O$8,5)&lt;&gt;"(N/D:",$AG79&lt;&gt;"",ORÇAMENTO.CustoUnitario&gt;$AG79),AND(TIPOORCAMENTO="LICITADO",ORÇAMENTO.PrecoUnitarioLicitado&gt;$AN79)),"ACIMA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 xml:space="preserve"> </v>
      </c>
      <c r="AD79" t="str">
        <f ca="1">IF(C79&lt;=CRONO.NivelExibicao,MAX($AD$15:OFFSET(AD79,-1,0))+IF($C79&lt;&gt;1,1,MAX(1,COUNTIF(QCI!$A$13:$A$24,OFFSET($E79,-1,0)))),"")</f>
        <v/>
      </c>
      <c r="AE79" s="7" t="str">
        <f ca="1">IF(AND($C79="S",ORÇAMENTO.CodBarra&lt;&gt;""),IF(ORÇAMENTO.Fonte="",ORÇAMENTO.CodBarra,CONCATENATE(ORÇAMENTO.Fonte," ",ORÇAMENTO.CodBarra)))</f>
        <v>SINAPI-I 21141</v>
      </c>
      <c r="AF79" s="12">
        <f ca="1">IF(ISERROR(INDIRECT(ORÇAMENTO.BancoRef)),"(abra o arquivo 'Referência "&amp;Excel_BuiltIn_Database&amp;".xlsm)",IF(OR($C79&lt;&gt;"S",ORÇAMENTO.CodBarra=""),"(Sem Código)",IF(ISERROR(MATCH($AE79,INDIRECT(ORÇAMENTO.BancoRef),0)),"(Código não identificado nas referências)",MATCH($AE79,INDIRECT(ORÇAMENTO.BancoRef),0))))</f>
        <v>4200</v>
      </c>
      <c r="AG79" s="429">
        <f ca="1">ROUND(IF(DESONERACAO="sim",REFERENCIA.Desonerado,REFERENCIA.NaoDesonerado),2)</f>
        <v>13.1</v>
      </c>
      <c r="AH79" s="430">
        <f t="shared" ca="1" si="98"/>
        <v>0.27250000000000002</v>
      </c>
      <c r="AJ79" s="432"/>
      <c r="AL79" s="440"/>
      <c r="AM79" s="337">
        <f t="shared" ca="1" si="0"/>
        <v>332.64</v>
      </c>
      <c r="AN79" s="471">
        <f t="shared" ca="1" si="99"/>
        <v>14.95</v>
      </c>
    </row>
    <row r="80" spans="1:40" ht="25.5" x14ac:dyDescent="0.2">
      <c r="A80" t="str">
        <f t="shared" si="96"/>
        <v>S</v>
      </c>
      <c r="B80">
        <f t="shared" ca="1" si="122"/>
        <v>2</v>
      </c>
      <c r="C80" t="str">
        <f t="shared" ca="1" si="123"/>
        <v>S</v>
      </c>
      <c r="D80">
        <f t="shared" ca="1" si="124"/>
        <v>0</v>
      </c>
      <c r="E80">
        <f ca="1">IF($C80=1,OFFSET(E80,-1,0)+MAX(1,COUNTIF(QCI!$A$13:$A$24,OFFSET(ORÇAMENTO!E80,-1,0))),OFFSET(E80,-1,0))</f>
        <v>1</v>
      </c>
      <c r="F80">
        <f t="shared" ca="1" si="125"/>
        <v>6</v>
      </c>
      <c r="G80">
        <f t="shared" ca="1" si="126"/>
        <v>0</v>
      </c>
      <c r="H80">
        <f t="shared" ca="1" si="127"/>
        <v>0</v>
      </c>
      <c r="I80">
        <f t="shared" ca="1" si="128"/>
        <v>30</v>
      </c>
      <c r="J80">
        <f t="shared" ca="1" si="80"/>
        <v>0</v>
      </c>
      <c r="K80">
        <f ca="1">IF(OR($C80="S",$C80=0),0,MATCH(OFFSET($D80,0,$C80)+IF($C80&lt;&gt;1,1,COUNTIF(QCI!$A$13:$A$24,ORÇAMENTO!E80)),OFFSET($D80,1,$C80,ROW($C$105)-ROW($C80)),0))</f>
        <v>0</v>
      </c>
      <c r="L80" s="115" t="str">
        <f t="shared" ca="1" si="129"/>
        <v>F</v>
      </c>
      <c r="M80" s="116" t="s">
        <v>706</v>
      </c>
      <c r="N80" s="117" t="str">
        <f t="shared" ca="1" si="130"/>
        <v>Serviço</v>
      </c>
      <c r="O80" s="118" t="str">
        <f t="shared" ca="1" si="131"/>
        <v>1.6.30.</v>
      </c>
      <c r="P80" s="119" t="s">
        <v>959</v>
      </c>
      <c r="Q80" s="120" t="s">
        <v>1052</v>
      </c>
      <c r="R80" s="121" t="str">
        <f ca="1">IF($C80="S",REFERENCIA.Descricao,"(digite a descrição aqui)")</f>
        <v>PISO DE BORRACHA PASTILHADO EM PLACAS 50 X 50 CM, E = *3,5* MM, PARA COLA, PRETO</v>
      </c>
      <c r="S80" s="122" t="str">
        <f ca="1">REFERENCIA.Unidade</f>
        <v>M2</v>
      </c>
      <c r="T80" s="123">
        <f ca="1">OFFSET(CÁLCULO!H$15,ROW($T80)-ROW(T$15),0)</f>
        <v>6.9</v>
      </c>
      <c r="U80" s="124">
        <v>43.6</v>
      </c>
      <c r="V80" s="125" t="s">
        <v>664</v>
      </c>
      <c r="W80" s="123">
        <f ca="1">IF($C80="S",ROUND(IF(TIPOORCAMENTO="Proposto",ORÇAMENTO.CustoUnitario*(1+$AH80),ORÇAMENTO.PrecoUnitarioLicitado),15-13*$AF$10),0)</f>
        <v>55.48</v>
      </c>
      <c r="X80" s="126" cm="1">
        <f t="array" aca="1" ref="X80" ca="1">IF($C80="S",IF(OR(Import.TipoArredondamento&lt;&gt;"TransfereGOV",ACOMPANHAMENTO="BM"),VTOTAL1,SUM(OFFSET(CÁLCULO!$AA$15,ROW($X80)-ROW($X$15),1):OFFSET(CÁLCULO!$AL$15,ROW($X80)-ROW($X$15),-1))),IF($C80=0,0,ROUND(SomaAgrup,15-13*$AF$11)))</f>
        <v>382.81</v>
      </c>
      <c r="Y80" s="127" t="s">
        <v>752</v>
      </c>
      <c r="Z80" t="str">
        <f t="shared" ca="1" si="132"/>
        <v>RA</v>
      </c>
      <c r="AA80" s="128">
        <f ca="1">IF($C80="S",IF($Z80="CP",$X80,IF($Z80="RA",(($X80)*QCI!$AA$3),0)),SomaAgrup)</f>
        <v>382.81</v>
      </c>
      <c r="AB80" s="129">
        <f t="shared" ca="1" si="97"/>
        <v>0</v>
      </c>
      <c r="AC80" s="566" t="str" cm="1">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IF(AND(_xlfn.SINGLE(TIPOORCAMENTO)="Licitado",$AL80=0,$AN80&gt;0),"SEM PREÇO",
IF(AND($C80="S",$P80&lt;&gt;"",$Q80&lt;&gt;"",$U80&gt;0,$V80=0),"BDI",
IF(OR(AND(TIPOORCAMENTO="Proposto",LEFT($O$8,5)&lt;&gt;"(N/D:",$AG80&lt;&gt;"",ORÇAMENTO.CustoUnitario&gt;$AG80),AND(TIPOORCAMENTO="LICITADO",ORÇAMENTO.PrecoUnitarioLicitado&gt;$AN80)),"ACIMA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 xml:space="preserve"> </v>
      </c>
      <c r="AD80" t="str">
        <f ca="1">IF(C80&lt;=CRONO.NivelExibicao,MAX($AD$15:OFFSET(AD80,-1,0))+IF($C80&lt;&gt;1,1,MAX(1,COUNTIF(QCI!$A$13:$A$24,OFFSET($E80,-1,0)))),"")</f>
        <v/>
      </c>
      <c r="AE80" s="7" t="str">
        <f ca="1">IF(AND($C80="S",ORÇAMENTO.CodBarra&lt;&gt;""),IF(ORÇAMENTO.Fonte="",ORÇAMENTO.CodBarra,CONCATENATE(ORÇAMENTO.Fonte," ",ORÇAMENTO.CodBarra)))</f>
        <v>SINAPI-I 4800</v>
      </c>
      <c r="AF80" s="12">
        <f ca="1">IF(ISERROR(INDIRECT(ORÇAMENTO.BancoRef)),"(abra o arquivo 'Referência "&amp;Excel_BuiltIn_Database&amp;".xlsm)",IF(OR($C80&lt;&gt;"S",ORÇAMENTO.CodBarra=""),"(Sem Código)",IF(ISERROR(MATCH($AE80,INDIRECT(ORÇAMENTO.BancoRef),0)),"(Código não identificado nas referências)",MATCH($AE80,INDIRECT(ORÇAMENTO.BancoRef),0))))</f>
        <v>3369</v>
      </c>
      <c r="AG80" s="429">
        <f ca="1">ROUND(IF(DESONERACAO="sim",REFERENCIA.Desonerado,REFERENCIA.NaoDesonerado),2)</f>
        <v>48.46</v>
      </c>
      <c r="AH80" s="430">
        <f t="shared" ca="1" si="98"/>
        <v>0.27250000000000002</v>
      </c>
      <c r="AJ80" s="432"/>
      <c r="AL80" s="440"/>
      <c r="AM80" s="337">
        <f t="shared" ca="1" si="0"/>
        <v>382.81</v>
      </c>
      <c r="AN80" s="471">
        <f t="shared" ca="1" si="99"/>
        <v>55.48</v>
      </c>
    </row>
    <row r="81" spans="1:40" x14ac:dyDescent="0.2">
      <c r="A81" t="str">
        <f t="shared" si="96"/>
        <v>S</v>
      </c>
      <c r="B81">
        <f t="shared" ca="1" si="122"/>
        <v>2</v>
      </c>
      <c r="C81" t="str">
        <f t="shared" ca="1" si="123"/>
        <v>S</v>
      </c>
      <c r="D81">
        <f t="shared" ca="1" si="124"/>
        <v>0</v>
      </c>
      <c r="E81">
        <f ca="1">IF($C81=1,OFFSET(E81,-1,0)+MAX(1,COUNTIF(QCI!$A$13:$A$24,OFFSET(ORÇAMENTO!E81,-1,0))),OFFSET(E81,-1,0))</f>
        <v>1</v>
      </c>
      <c r="F81">
        <f t="shared" ca="1" si="125"/>
        <v>6</v>
      </c>
      <c r="G81">
        <f t="shared" ca="1" si="126"/>
        <v>0</v>
      </c>
      <c r="H81">
        <f t="shared" ca="1" si="127"/>
        <v>0</v>
      </c>
      <c r="I81">
        <f t="shared" ca="1" si="128"/>
        <v>31</v>
      </c>
      <c r="J81">
        <f t="shared" ca="1" si="80"/>
        <v>0</v>
      </c>
      <c r="K81">
        <f ca="1">IF(OR($C81="S",$C81=0),0,MATCH(OFFSET($D81,0,$C81)+IF($C81&lt;&gt;1,1,COUNTIF(QCI!$A$13:$A$24,ORÇAMENTO!E81)),OFFSET($D81,1,$C81,ROW($C$105)-ROW($C81)),0))</f>
        <v>0</v>
      </c>
      <c r="L81" s="115" t="str">
        <f t="shared" ca="1" si="129"/>
        <v>F</v>
      </c>
      <c r="M81" s="116" t="s">
        <v>706</v>
      </c>
      <c r="N81" s="117" t="str">
        <f t="shared" ca="1" si="130"/>
        <v>Serviço</v>
      </c>
      <c r="O81" s="118" t="str">
        <f t="shared" ca="1" si="131"/>
        <v>1.6.31.</v>
      </c>
      <c r="P81" s="119" t="s">
        <v>959</v>
      </c>
      <c r="Q81" s="120" t="s">
        <v>1053</v>
      </c>
      <c r="R81" s="121" t="str">
        <f ca="1">IF($C81="S",REFERENCIA.Descricao,"(digite a descrição aqui)")</f>
        <v>ADESIVO ACRILICO DE BASE AQUOSA / COLA DE CONTATO</v>
      </c>
      <c r="S81" s="122" t="str">
        <f ca="1">REFERENCIA.Unidade</f>
        <v>KG</v>
      </c>
      <c r="T81" s="123">
        <f ca="1">OFFSET(CÁLCULO!H$15,ROW($T81)-ROW(T$15),0)</f>
        <v>5</v>
      </c>
      <c r="U81" s="124">
        <v>34.25</v>
      </c>
      <c r="V81" s="125" t="s">
        <v>664</v>
      </c>
      <c r="W81" s="123">
        <f ca="1">IF($C81="S",ROUND(IF(TIPOORCAMENTO="Proposto",ORÇAMENTO.CustoUnitario*(1+$AH81),ORÇAMENTO.PrecoUnitarioLicitado),15-13*$AF$10),0)</f>
        <v>43.58</v>
      </c>
      <c r="X81" s="126" cm="1">
        <f t="array" aca="1" ref="X81" ca="1">IF($C81="S",IF(OR(Import.TipoArredondamento&lt;&gt;"TransfereGOV",ACOMPANHAMENTO="BM"),VTOTAL1,SUM(OFFSET(CÁLCULO!$AA$15,ROW($X81)-ROW($X$15),1):OFFSET(CÁLCULO!$AL$15,ROW($X81)-ROW($X$15),-1))),IF($C81=0,0,ROUND(SomaAgrup,15-13*$AF$11)))</f>
        <v>217.9</v>
      </c>
      <c r="Y81" s="127" t="s">
        <v>752</v>
      </c>
      <c r="Z81" t="str">
        <f t="shared" ca="1" si="132"/>
        <v>RA</v>
      </c>
      <c r="AA81" s="128">
        <f ca="1">IF($C81="S",IF($Z81="CP",$X81,IF($Z81="RA",(($X81)*QCI!$AA$3),0)),SomaAgrup)</f>
        <v>217.9</v>
      </c>
      <c r="AB81" s="129">
        <f t="shared" ca="1" si="97"/>
        <v>0</v>
      </c>
      <c r="AC81" s="566" t="str" cm="1">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IF(AND(_xlfn.SINGLE(TIPOORCAMENTO)="Licitado",$AL81=0,$AN81&gt;0),"SEM PREÇO",
IF(AND($C81="S",$P81&lt;&gt;"",$Q81&lt;&gt;"",$U81&gt;0,$V81=0),"BDI",
IF(OR(AND(TIPOORCAMENTO="Proposto",LEFT($O$8,5)&lt;&gt;"(N/D:",$AG81&lt;&gt;"",ORÇAMENTO.CustoUnitario&gt;$AG81),AND(TIPOORCAMENTO="LICITADO",ORÇAMENTO.PrecoUnitarioLicitado&gt;$AN81)),"ACIMA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 xml:space="preserve"> </v>
      </c>
      <c r="AD81" t="str">
        <f ca="1">IF(C81&lt;=CRONO.NivelExibicao,MAX($AD$15:OFFSET(AD81,-1,0))+IF($C81&lt;&gt;1,1,MAX(1,COUNTIF(QCI!$A$13:$A$24,OFFSET($E81,-1,0)))),"")</f>
        <v/>
      </c>
      <c r="AE81" s="7" t="str">
        <f ca="1">IF(AND($C81="S",ORÇAMENTO.CodBarra&lt;&gt;""),IF(ORÇAMENTO.Fonte="",ORÇAMENTO.CodBarra,CONCATENATE(ORÇAMENTO.Fonte," ",ORÇAMENTO.CodBarra)))</f>
        <v>SINAPI-I 4791</v>
      </c>
      <c r="AF81" s="12">
        <f ca="1">IF(ISERROR(INDIRECT(ORÇAMENTO.BancoRef)),"(abra o arquivo 'Referência "&amp;Excel_BuiltIn_Database&amp;".xlsm)",IF(OR($C81&lt;&gt;"S",ORÇAMENTO.CodBarra=""),"(Sem Código)",IF(ISERROR(MATCH($AE81,INDIRECT(ORÇAMENTO.BancoRef),0)),"(Código não identificado nas referências)",MATCH($AE81,INDIRECT(ORÇAMENTO.BancoRef),0))))</f>
        <v>143</v>
      </c>
      <c r="AG81" s="429">
        <f ca="1">ROUND(IF(DESONERACAO="sim",REFERENCIA.Desonerado,REFERENCIA.NaoDesonerado),2)</f>
        <v>38.08</v>
      </c>
      <c r="AH81" s="430">
        <f t="shared" ca="1" si="98"/>
        <v>0.27250000000000002</v>
      </c>
      <c r="AJ81" s="432"/>
      <c r="AL81" s="440"/>
      <c r="AM81" s="337">
        <f t="shared" ca="1" si="0"/>
        <v>217.9</v>
      </c>
      <c r="AN81" s="471">
        <f t="shared" ca="1" si="99"/>
        <v>43.58</v>
      </c>
    </row>
    <row r="82" spans="1:40" ht="38.25" x14ac:dyDescent="0.2">
      <c r="A82" t="str">
        <f t="shared" si="96"/>
        <v>S</v>
      </c>
      <c r="B82">
        <f t="shared" ca="1" si="122"/>
        <v>2</v>
      </c>
      <c r="C82" t="str">
        <f t="shared" ca="1" si="123"/>
        <v>S</v>
      </c>
      <c r="D82">
        <f t="shared" ca="1" si="124"/>
        <v>0</v>
      </c>
      <c r="E82">
        <f ca="1">IF($C82=1,OFFSET(E82,-1,0)+MAX(1,COUNTIF(QCI!$A$13:$A$24,OFFSET(ORÇAMENTO!E82,-1,0))),OFFSET(E82,-1,0))</f>
        <v>1</v>
      </c>
      <c r="F82">
        <f t="shared" ca="1" si="125"/>
        <v>6</v>
      </c>
      <c r="G82">
        <f t="shared" ca="1" si="126"/>
        <v>0</v>
      </c>
      <c r="H82">
        <f t="shared" ca="1" si="127"/>
        <v>0</v>
      </c>
      <c r="I82">
        <f t="shared" ca="1" si="128"/>
        <v>32</v>
      </c>
      <c r="J82">
        <f t="shared" ca="1" si="80"/>
        <v>0</v>
      </c>
      <c r="K82">
        <f ca="1">IF(OR($C82="S",$C82=0),0,MATCH(OFFSET($D82,0,$C82)+IF($C82&lt;&gt;1,1,COUNTIF(QCI!$A$13:$A$24,ORÇAMENTO!E82)),OFFSET($D82,1,$C82,ROW($C$105)-ROW($C82)),0))</f>
        <v>0</v>
      </c>
      <c r="L82" s="115" t="str">
        <f t="shared" ca="1" si="129"/>
        <v>F</v>
      </c>
      <c r="M82" s="116" t="s">
        <v>706</v>
      </c>
      <c r="N82" s="117" t="str">
        <f t="shared" ca="1" si="130"/>
        <v>Serviço</v>
      </c>
      <c r="O82" s="118" t="str">
        <f t="shared" ca="1" si="131"/>
        <v>1.6.32.</v>
      </c>
      <c r="P82" s="119" t="s">
        <v>959</v>
      </c>
      <c r="Q82" s="120" t="s">
        <v>1065</v>
      </c>
      <c r="R82" s="121" t="str">
        <f ca="1">IF($C82="S",REFERENCIA.Descricao,"(digite a descrição aqui)")</f>
        <v>PORTAO DE ABRIR / GIRO, EM GRADIL DE METALON REDONDO DE 3/4" VERTICAL, COM REQUADRO, ACABAMENTO NATURAL - COMPLETO</v>
      </c>
      <c r="S82" s="122" t="str">
        <f ca="1">REFERENCIA.Unidade</f>
        <v>M2</v>
      </c>
      <c r="T82" s="123">
        <f ca="1">OFFSET(CÁLCULO!H$15,ROW($T82)-ROW(T$15),0)</f>
        <v>2.5</v>
      </c>
      <c r="U82" s="124">
        <v>583.4</v>
      </c>
      <c r="V82" s="125" t="s">
        <v>664</v>
      </c>
      <c r="W82" s="123">
        <f ca="1">IF($C82="S",ROUND(IF(TIPOORCAMENTO="Proposto",ORÇAMENTO.CustoUnitario*(1+$AH82),ORÇAMENTO.PrecoUnitarioLicitado),15-13*$AF$10),0)</f>
        <v>742.38</v>
      </c>
      <c r="X82" s="126" cm="1">
        <f t="array" aca="1" ref="X82" ca="1">IF($C82="S",IF(OR(Import.TipoArredondamento&lt;&gt;"TransfereGOV",ACOMPANHAMENTO="BM"),VTOTAL1,SUM(OFFSET(CÁLCULO!$AA$15,ROW($X82)-ROW($X$15),1):OFFSET(CÁLCULO!$AL$15,ROW($X82)-ROW($X$15),-1))),IF($C82=0,0,ROUND(SomaAgrup,15-13*$AF$11)))</f>
        <v>1855.95</v>
      </c>
      <c r="Y82" s="127" t="s">
        <v>752</v>
      </c>
      <c r="Z82" t="str">
        <f t="shared" ca="1" si="132"/>
        <v>RA</v>
      </c>
      <c r="AA82" s="128">
        <f ca="1">IF($C82="S",IF($Z82="CP",$X82,IF($Z82="RA",(($X82)*QCI!$AA$3),0)),SomaAgrup)</f>
        <v>1855.95</v>
      </c>
      <c r="AB82" s="129">
        <f t="shared" ca="1" si="97"/>
        <v>0</v>
      </c>
      <c r="AC82" s="566" t="str" cm="1">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IF(AND(_xlfn.SINGLE(TIPOORCAMENTO)="Licitado",$AL82=0,$AN82&gt;0),"SEM PREÇO",
IF(AND($C82="S",$P82&lt;&gt;"",$Q82&lt;&gt;"",$U82&gt;0,$V82=0),"BDI",
IF(OR(AND(TIPOORCAMENTO="Proposto",LEFT($O$8,5)&lt;&gt;"(N/D:",$AG82&lt;&gt;"",ORÇAMENTO.CustoUnitario&gt;$AG82),AND(TIPOORCAMENTO="LICITADO",ORÇAMENTO.PrecoUnitarioLicitado&gt;$AN82)),"ACIMA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 xml:space="preserve"> </v>
      </c>
      <c r="AD82" t="str">
        <f ca="1">IF(C82&lt;=CRONO.NivelExibicao,MAX($AD$15:OFFSET(AD82,-1,0))+IF($C82&lt;&gt;1,1,MAX(1,COUNTIF(QCI!$A$13:$A$24,OFFSET($E82,-1,0)))),"")</f>
        <v/>
      </c>
      <c r="AE82" s="7" t="str">
        <f ca="1">IF(AND($C82="S",ORÇAMENTO.CodBarra&lt;&gt;""),IF(ORÇAMENTO.Fonte="",ORÇAMENTO.CodBarra,CONCATENATE(ORÇAMENTO.Fonte," ",ORÇAMENTO.CodBarra)))</f>
        <v>SINAPI-I 4948</v>
      </c>
      <c r="AF82" s="12">
        <f ca="1">IF(ISERROR(INDIRECT(ORÇAMENTO.BancoRef)),"(abra o arquivo 'Referência "&amp;Excel_BuiltIn_Database&amp;".xlsm)",IF(OR($C82&lt;&gt;"S",ORÇAMENTO.CodBarra=""),"(Sem Código)",IF(ISERROR(MATCH($AE82,INDIRECT(ORÇAMENTO.BancoRef),0)),"(Código não identificado nas referências)",MATCH($AE82,INDIRECT(ORÇAMENTO.BancoRef),0))))</f>
        <v>3519</v>
      </c>
      <c r="AG82" s="429">
        <f ca="1">ROUND(IF(DESONERACAO="sim",REFERENCIA.Desonerado,REFERENCIA.NaoDesonerado),2)</f>
        <v>648.25</v>
      </c>
      <c r="AH82" s="430">
        <f t="shared" ca="1" si="98"/>
        <v>0.27250000000000002</v>
      </c>
      <c r="AJ82" s="432"/>
      <c r="AL82" s="440"/>
      <c r="AM82" s="337">
        <f t="shared" ca="1" si="0"/>
        <v>1855.95</v>
      </c>
      <c r="AN82" s="471">
        <f t="shared" ca="1" si="99"/>
        <v>742.38</v>
      </c>
    </row>
    <row r="83" spans="1:40" ht="25.5" x14ac:dyDescent="0.2">
      <c r="A83" t="str">
        <f t="shared" si="96"/>
        <v>S</v>
      </c>
      <c r="B83">
        <f t="shared" ca="1" si="122"/>
        <v>2</v>
      </c>
      <c r="C83" t="str">
        <f t="shared" ca="1" si="123"/>
        <v>S</v>
      </c>
      <c r="D83">
        <f t="shared" ca="1" si="124"/>
        <v>0</v>
      </c>
      <c r="E83">
        <f ca="1">IF($C83=1,OFFSET(E83,-1,0)+MAX(1,COUNTIF(QCI!$A$13:$A$24,OFFSET(ORÇAMENTO!E83,-1,0))),OFFSET(E83,-1,0))</f>
        <v>1</v>
      </c>
      <c r="F83">
        <f t="shared" ca="1" si="125"/>
        <v>6</v>
      </c>
      <c r="G83">
        <f t="shared" ca="1" si="126"/>
        <v>0</v>
      </c>
      <c r="H83">
        <f t="shared" ca="1" si="127"/>
        <v>0</v>
      </c>
      <c r="I83">
        <f t="shared" ca="1" si="128"/>
        <v>33</v>
      </c>
      <c r="J83">
        <f t="shared" ca="1" si="80"/>
        <v>0</v>
      </c>
      <c r="K83">
        <f ca="1">IF(OR($C83="S",$C83=0),0,MATCH(OFFSET($D83,0,$C83)+IF($C83&lt;&gt;1,1,COUNTIF(QCI!$A$13:$A$24,ORÇAMENTO!E83)),OFFSET($D83,1,$C83,ROW($C$105)-ROW($C83)),0))</f>
        <v>0</v>
      </c>
      <c r="L83" s="115" t="str">
        <f t="shared" ca="1" si="129"/>
        <v>F</v>
      </c>
      <c r="M83" s="116" t="s">
        <v>706</v>
      </c>
      <c r="N83" s="117" t="str">
        <f t="shared" ca="1" si="130"/>
        <v>Serviço</v>
      </c>
      <c r="O83" s="118" t="str">
        <f t="shared" ca="1" si="131"/>
        <v>1.6.33.</v>
      </c>
      <c r="P83" s="119" t="s">
        <v>751</v>
      </c>
      <c r="Q83" s="120" t="s">
        <v>1081</v>
      </c>
      <c r="R83" s="121" t="str">
        <f ca="1">IF($C83="S",REFERENCIA.Descricao,"(digite a descrição aqui)")</f>
        <v>LUMINÁRIA TIPO PLAFON CIRCULAR, DE SOBREPOR, COM LED DE 12/13 W - FORNECIMENTO E INSTALAÇÃO. AF_09/2024</v>
      </c>
      <c r="S83" s="122" t="str">
        <f ca="1">REFERENCIA.Unidade</f>
        <v>UN</v>
      </c>
      <c r="T83" s="123">
        <f ca="1">OFFSET(CÁLCULO!H$15,ROW($T83)-ROW(T$15),0)</f>
        <v>3</v>
      </c>
      <c r="U83" s="124">
        <v>28.3</v>
      </c>
      <c r="V83" s="125" t="s">
        <v>664</v>
      </c>
      <c r="W83" s="123">
        <f ca="1">IF($C83="S",ROUND(IF(TIPOORCAMENTO="Proposto",ORÇAMENTO.CustoUnitario*(1+$AH83),ORÇAMENTO.PrecoUnitarioLicitado),15-13*$AF$10),0)</f>
        <v>36.01</v>
      </c>
      <c r="X83" s="126" cm="1">
        <f t="array" aca="1" ref="X83" ca="1">IF($C83="S",IF(OR(Import.TipoArredondamento&lt;&gt;"TransfereGOV",ACOMPANHAMENTO="BM"),VTOTAL1,SUM(OFFSET(CÁLCULO!$AA$15,ROW($X83)-ROW($X$15),1):OFFSET(CÁLCULO!$AL$15,ROW($X83)-ROW($X$15),-1))),IF($C83=0,0,ROUND(SomaAgrup,15-13*$AF$11)))</f>
        <v>108.03</v>
      </c>
      <c r="Y83" s="127" t="s">
        <v>752</v>
      </c>
      <c r="Z83" t="str">
        <f t="shared" ca="1" si="132"/>
        <v>RA</v>
      </c>
      <c r="AA83" s="128">
        <f ca="1">IF($C83="S",IF($Z83="CP",$X83,IF($Z83="RA",(($X83)*QCI!$AA$3),0)),SomaAgrup)</f>
        <v>108.03</v>
      </c>
      <c r="AB83" s="129">
        <f t="shared" ca="1" si="97"/>
        <v>0</v>
      </c>
      <c r="AC83" s="566" t="str" cm="1">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IF(AND(_xlfn.SINGLE(TIPOORCAMENTO)="Licitado",$AL83=0,$AN83&gt;0),"SEM PREÇO",
IF(AND($C83="S",$P83&lt;&gt;"",$Q83&lt;&gt;"",$U83&gt;0,$V83=0),"BDI",
IF(OR(AND(TIPOORCAMENTO="Proposto",LEFT($O$8,5)&lt;&gt;"(N/D:",$AG83&lt;&gt;"",ORÇAMENTO.CustoUnitario&gt;$AG83),AND(TIPOORCAMENTO="LICITADO",ORÇAMENTO.PrecoUnitarioLicitado&gt;$AN83)),"ACIMA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 xml:space="preserve"> </v>
      </c>
      <c r="AD83" t="str">
        <f ca="1">IF(C83&lt;=CRONO.NivelExibicao,MAX($AD$15:OFFSET(AD83,-1,0))+IF($C83&lt;&gt;1,1,MAX(1,COUNTIF(QCI!$A$13:$A$24,OFFSET($E83,-1,0)))),"")</f>
        <v/>
      </c>
      <c r="AE83" s="7" t="str">
        <f ca="1">IF(AND($C83="S",ORÇAMENTO.CodBarra&lt;&gt;""),IF(ORÇAMENTO.Fonte="",ORÇAMENTO.CodBarra,CONCATENATE(ORÇAMENTO.Fonte," ",ORÇAMENTO.CodBarra)))</f>
        <v>SINAPI 103782</v>
      </c>
      <c r="AF83" s="12">
        <f ca="1">IF(ISERROR(INDIRECT(ORÇAMENTO.BancoRef)),"(abra o arquivo 'Referência "&amp;Excel_BuiltIn_Database&amp;".xlsm)",IF(OR($C83&lt;&gt;"S",ORÇAMENTO.CodBarra=""),"(Sem Código)",IF(ISERROR(MATCH($AE83,INDIRECT(ORÇAMENTO.BancoRef),0)),"(Código não identificado nas referências)",MATCH($AE83,INDIRECT(ORÇAMENTO.BancoRef),0))))</f>
        <v>10793</v>
      </c>
      <c r="AG83" s="429">
        <f ca="1">ROUND(IF(DESONERACAO="sim",REFERENCIA.Desonerado,REFERENCIA.NaoDesonerado),2)</f>
        <v>28.34</v>
      </c>
      <c r="AH83" s="430">
        <f t="shared" ca="1" si="98"/>
        <v>0.27250000000000002</v>
      </c>
      <c r="AJ83" s="432"/>
      <c r="AL83" s="440"/>
      <c r="AM83" s="337">
        <f t="shared" ca="1" si="0"/>
        <v>108.03</v>
      </c>
      <c r="AN83" s="471">
        <f t="shared" ca="1" si="99"/>
        <v>36.01</v>
      </c>
    </row>
    <row r="84" spans="1:40" ht="38.25" x14ac:dyDescent="0.2">
      <c r="A84" t="str">
        <f t="shared" si="96"/>
        <v>S</v>
      </c>
      <c r="B84">
        <f t="shared" ca="1" si="122"/>
        <v>2</v>
      </c>
      <c r="C84" t="str">
        <f t="shared" ca="1" si="123"/>
        <v>S</v>
      </c>
      <c r="D84">
        <f t="shared" ca="1" si="124"/>
        <v>0</v>
      </c>
      <c r="E84">
        <f ca="1">IF($C84=1,OFFSET(E84,-1,0)+MAX(1,COUNTIF(QCI!$A$13:$A$24,OFFSET(ORÇAMENTO!E84,-1,0))),OFFSET(E84,-1,0))</f>
        <v>1</v>
      </c>
      <c r="F84">
        <f t="shared" ca="1" si="125"/>
        <v>6</v>
      </c>
      <c r="G84">
        <f t="shared" ca="1" si="126"/>
        <v>0</v>
      </c>
      <c r="H84">
        <f t="shared" ca="1" si="127"/>
        <v>0</v>
      </c>
      <c r="I84">
        <f t="shared" ca="1" si="128"/>
        <v>34</v>
      </c>
      <c r="J84">
        <f t="shared" ca="1" si="80"/>
        <v>0</v>
      </c>
      <c r="K84">
        <f ca="1">IF(OR($C84="S",$C84=0),0,MATCH(OFFSET($D84,0,$C84)+IF($C84&lt;&gt;1,1,COUNTIF(QCI!$A$13:$A$24,ORÇAMENTO!E84)),OFFSET($D84,1,$C84,ROW($C$105)-ROW($C84)),0))</f>
        <v>0</v>
      </c>
      <c r="L84" s="115" t="str">
        <f t="shared" ca="1" si="129"/>
        <v>F</v>
      </c>
      <c r="M84" s="116" t="s">
        <v>706</v>
      </c>
      <c r="N84" s="117" t="str">
        <f t="shared" ca="1" si="130"/>
        <v>Serviço</v>
      </c>
      <c r="O84" s="118" t="str">
        <f t="shared" ca="1" si="131"/>
        <v>1.6.34.</v>
      </c>
      <c r="P84" s="119" t="s">
        <v>751</v>
      </c>
      <c r="Q84" s="120" t="s">
        <v>1082</v>
      </c>
      <c r="R84" s="121" t="str">
        <f ca="1">IF($C84="S",REFERENCIA.Descricao,"(digite a descrição aqui)")</f>
        <v>CABO DE COBRE FLEXÍVEL ISOLADO, 2,5 MM², ANTI-CHAMA 0,6/1,0 KV, PARA CIRCUITOS TERMINAIS - FORNECIMENTO E INSTALAÇÃO. AF_03/2023</v>
      </c>
      <c r="S84" s="122" t="str">
        <f ca="1">REFERENCIA.Unidade</f>
        <v>M</v>
      </c>
      <c r="T84" s="123">
        <f ca="1">OFFSET(CÁLCULO!H$15,ROW($T84)-ROW(T$15),0)</f>
        <v>30</v>
      </c>
      <c r="U84" s="124">
        <v>5.5</v>
      </c>
      <c r="V84" s="125" t="s">
        <v>664</v>
      </c>
      <c r="W84" s="123">
        <f ca="1">IF($C84="S",ROUND(IF(TIPOORCAMENTO="Proposto",ORÇAMENTO.CustoUnitario*(1+$AH84),ORÇAMENTO.PrecoUnitarioLicitado),15-13*$AF$10),0)</f>
        <v>7</v>
      </c>
      <c r="X84" s="126" cm="1">
        <f t="array" aca="1" ref="X84" ca="1">IF($C84="S",IF(OR(Import.TipoArredondamento&lt;&gt;"TransfereGOV",ACOMPANHAMENTO="BM"),VTOTAL1,SUM(OFFSET(CÁLCULO!$AA$15,ROW($X84)-ROW($X$15),1):OFFSET(CÁLCULO!$AL$15,ROW($X84)-ROW($X$15),-1))),IF($C84=0,0,ROUND(SomaAgrup,15-13*$AF$11)))</f>
        <v>210</v>
      </c>
      <c r="Y84" s="127" t="s">
        <v>752</v>
      </c>
      <c r="Z84" t="str">
        <f t="shared" ca="1" si="132"/>
        <v>RA</v>
      </c>
      <c r="AA84" s="128">
        <f ca="1">IF($C84="S",IF($Z84="CP",$X84,IF($Z84="RA",(($X84)*QCI!$AA$3),0)),SomaAgrup)</f>
        <v>210</v>
      </c>
      <c r="AB84" s="129">
        <f t="shared" ca="1" si="97"/>
        <v>0</v>
      </c>
      <c r="AC84" s="566" t="str" cm="1">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IF(AND(_xlfn.SINGLE(TIPOORCAMENTO)="Licitado",$AL84=0,$AN84&gt;0),"SEM PREÇO",
IF(AND($C84="S",$P84&lt;&gt;"",$Q84&lt;&gt;"",$U84&gt;0,$V84=0),"BDI",
IF(OR(AND(TIPOORCAMENTO="Proposto",LEFT($O$8,5)&lt;&gt;"(N/D:",$AG84&lt;&gt;"",ORÇAMENTO.CustoUnitario&gt;$AG84),AND(TIPOORCAMENTO="LICITADO",ORÇAMENTO.PrecoUnitarioLicitado&gt;$AN84)),"ACIMA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 xml:space="preserve"> </v>
      </c>
      <c r="AD84" t="str">
        <f ca="1">IF(C84&lt;=CRONO.NivelExibicao,MAX($AD$15:OFFSET(AD84,-1,0))+IF($C84&lt;&gt;1,1,MAX(1,COUNTIF(QCI!$A$13:$A$24,OFFSET($E84,-1,0)))),"")</f>
        <v/>
      </c>
      <c r="AE84" s="7" t="str">
        <f ca="1">IF(AND($C84="S",ORÇAMENTO.CodBarra&lt;&gt;""),IF(ORÇAMENTO.Fonte="",ORÇAMENTO.CodBarra,CONCATENATE(ORÇAMENTO.Fonte," ",ORÇAMENTO.CodBarra)))</f>
        <v>SINAPI 91927</v>
      </c>
      <c r="AF84" s="12">
        <f ca="1">IF(ISERROR(INDIRECT(ORÇAMENTO.BancoRef)),"(abra o arquivo 'Referência "&amp;Excel_BuiltIn_Database&amp;".xlsm)",IF(OR($C84&lt;&gt;"S",ORÇAMENTO.CodBarra=""),"(Sem Código)",IF(ISERROR(MATCH($AE84,INDIRECT(ORÇAMENTO.BancoRef),0)),"(Código não identificado nas referências)",MATCH($AE84,INDIRECT(ORÇAMENTO.BancoRef),0))))</f>
        <v>10847</v>
      </c>
      <c r="AG84" s="429">
        <f ca="1">ROUND(IF(DESONERACAO="sim",REFERENCIA.Desonerado,REFERENCIA.NaoDesonerado),2)</f>
        <v>5.52</v>
      </c>
      <c r="AH84" s="430">
        <f t="shared" ca="1" si="98"/>
        <v>0.27250000000000002</v>
      </c>
      <c r="AJ84" s="432"/>
      <c r="AL84" s="440"/>
      <c r="AM84" s="337">
        <f t="shared" ca="1" si="0"/>
        <v>210</v>
      </c>
      <c r="AN84" s="471">
        <f t="shared" ca="1" si="99"/>
        <v>7</v>
      </c>
    </row>
    <row r="85" spans="1:40" ht="25.5" x14ac:dyDescent="0.2">
      <c r="A85" t="str">
        <f>CHOOSE(1+LOG(1+2*(ORÇAMENTO.Nivel="Meta")+4*(ORÇAMENTO.Nivel="Nível 2")+8*(ORÇAMENTO.Nivel="Nível 3")+16*(ORÇAMENTO.Nivel="Nível 4")+32*(ORÇAMENTO.Nivel="Serviço"),2),0,1,2,3,4,"S")</f>
        <v>S</v>
      </c>
      <c r="B85">
        <f ca="1">IF(OR(C85="s",C85=0),OFFSET(B85,-1,0),C85)</f>
        <v>2</v>
      </c>
      <c r="C85" t="str">
        <f ca="1">IF(OFFSET(C85,-1,0)="L",1,IF(OFFSET(C85,-1,0)=1,2,IF(OR(A85="s",A85=0),"S",IF(AND(OFFSET(C85,-1,0)=2,A85=4),3,IF(AND(OR(OFFSET(C85,-1,0)="s",OFFSET(C85,-1,0)=0),A85&lt;&gt;"s",A85&gt;OFFSET(B85,-1,0)),OFFSET(B85,-1,0),A85)))))</f>
        <v>S</v>
      </c>
      <c r="D85">
        <f ca="1">IF(OR(C85="S",C85=0),0,IF(ISERROR(K85),J85,SMALL(J85:K85,1)))</f>
        <v>0</v>
      </c>
      <c r="E85">
        <f ca="1">IF($C85=1,OFFSET(E85,-1,0)+MAX(1,COUNTIF(QCI!$A$13:$A$24,OFFSET(ORÇAMENTO!E85,-1,0))),OFFSET(E85,-1,0))</f>
        <v>1</v>
      </c>
      <c r="F85">
        <f ca="1">IF($C85=1,0,IF($C85=2,OFFSET(F85,-1,0)+1,OFFSET(F85,-1,0)))</f>
        <v>6</v>
      </c>
      <c r="G85">
        <f ca="1">IF(AND($C85&lt;=2,$C85&lt;&gt;0),0,IF($C85=3,OFFSET(G85,-1,0)+1,OFFSET(G85,-1,0)))</f>
        <v>0</v>
      </c>
      <c r="H85">
        <f ca="1">IF(AND($C85&lt;=3,$C85&lt;&gt;0),0,IF($C85=4,OFFSET(H85,-1,0)+1,OFFSET(H85,-1,0)))</f>
        <v>0</v>
      </c>
      <c r="I85">
        <f ca="1">IF(AND($C85&lt;=4,$C85&lt;&gt;0),0,IF(AND($C85="S",$X85&gt;0),OFFSET(I85,-1,0)+1,OFFSET(I85,-1,0)))</f>
        <v>35</v>
      </c>
      <c r="J85">
        <f ca="1">IF(OR($C85="S",$C85=0),0,MATCH(0,OFFSET($D85,1,$C85,ROW($C$105)-ROW($C85)),0))</f>
        <v>0</v>
      </c>
      <c r="K85">
        <f ca="1">IF(OR($C85="S",$C85=0),0,MATCH(OFFSET($D85,0,$C85)+IF($C85&lt;&gt;1,1,COUNTIF(QCI!$A$13:$A$24,ORÇAMENTO!E85)),OFFSET($D85,1,$C85,ROW($C$105)-ROW($C85)),0))</f>
        <v>0</v>
      </c>
      <c r="L85" s="115" t="str">
        <f ca="1">IF(OR($X85&gt;0,$C85=1,$C85=2,$C85=3,$C85=4),"F","")</f>
        <v>F</v>
      </c>
      <c r="M85" s="116" t="s">
        <v>706</v>
      </c>
      <c r="N85" s="117" t="str">
        <f ca="1">CHOOSE(1+LOG(1+2*(C85=1)+4*(C85=2)+8*(C85=3)+16*(C85=4)+32*(C85="S"),2),"","Meta","Nível 2","Nível 3","Nível 4","Serviço")</f>
        <v>Serviço</v>
      </c>
      <c r="O85" s="118" t="str">
        <f ca="1">IF(OR($C85=0,$L85=""),"-",CONCATENATE(E85&amp;".",IF(AND($A$5&gt;=2,$C85&gt;=2),F85&amp;".",""),IF(AND($A$5&gt;=3,$C85&gt;=3),G85&amp;".",""),IF(AND($A$5&gt;=4,$C85&gt;=4),H85&amp;".",""),IF($C85="S",I85&amp;".","")))</f>
        <v>1.6.35.</v>
      </c>
      <c r="P85" s="119" t="s">
        <v>751</v>
      </c>
      <c r="Q85" s="120" t="s">
        <v>1083</v>
      </c>
      <c r="R85" s="121" t="str">
        <f ca="1">IF($C85="S",REFERENCIA.Descricao,"(digite a descrição aqui)")</f>
        <v>TOMADA BAIXA DE EMBUTIR (1 MÓDULO), 2P+T 20 A, INCLUINDO SUPORTE E PLACA - FORNECIMENTO E INSTALAÇÃO. AF_03/2023</v>
      </c>
      <c r="S85" s="122" t="str">
        <f ca="1">REFERENCIA.Unidade</f>
        <v>UN</v>
      </c>
      <c r="T85" s="123">
        <f ca="1">OFFSET(CÁLCULO!H$15,ROW($T85)-ROW(T$15),0)</f>
        <v>1</v>
      </c>
      <c r="U85" s="124">
        <v>37</v>
      </c>
      <c r="V85" s="125" t="s">
        <v>664</v>
      </c>
      <c r="W85" s="123">
        <f ca="1">IF($C85="S",ROUND(IF(TIPOORCAMENTO="Proposto",ORÇAMENTO.CustoUnitario*(1+$AH85),ORÇAMENTO.PrecoUnitarioLicitado),15-13*$AF$10),0)</f>
        <v>47.08</v>
      </c>
      <c r="X85" s="126" cm="1">
        <f t="array" aca="1" ref="X85" ca="1">IF($C85="S",IF(OR(Import.TipoArredondamento&lt;&gt;"TransfereGOV",ACOMPANHAMENTO="BM"),VTOTAL1,SUM(OFFSET(CÁLCULO!$AA$15,ROW($X85)-ROW($X$15),1):OFFSET(CÁLCULO!$AL$15,ROW($X85)-ROW($X$15),-1))),IF($C85=0,0,ROUND(SomaAgrup,15-13*$AF$11)))</f>
        <v>47.08</v>
      </c>
      <c r="Y85" s="127" t="s">
        <v>752</v>
      </c>
      <c r="Z85" t="str">
        <f ca="1">IF(AND($C85="S",$X85&gt;0),IF(ISBLANK($Y85),"RA",LEFT($Y85,2)),"")</f>
        <v>RA</v>
      </c>
      <c r="AA85" s="128">
        <f ca="1">IF($C85="S",IF($Z85="CP",$X85,IF($Z85="RA",(($X85)*QCI!$AA$3),0)),SomaAgrup)</f>
        <v>47.08</v>
      </c>
      <c r="AB85" s="129">
        <f ca="1">IF($C85="S",IF($Z85="OU",ROUND($X85,2),0),SomaAgrup)</f>
        <v>0</v>
      </c>
      <c r="AC85" s="566" t="str" cm="1">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IF(AND(_xlfn.SINGLE(TIPOORCAMENTO)="Licitado",$AL85=0,$AN85&gt;0),"SEM PREÇO",
IF(AND($C85="S",$P85&lt;&gt;"",$Q85&lt;&gt;"",$U85&gt;0,$V85=0),"BDI",
IF(OR(AND(TIPOORCAMENTO="Proposto",LEFT($O$8,5)&lt;&gt;"(N/D:",$AG85&lt;&gt;"",ORÇAMENTO.CustoUnitario&gt;$AG85),AND(TIPOORCAMENTO="LICITADO",ORÇAMENTO.PrecoUnitarioLicitado&gt;$AN85)),"ACIMA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 xml:space="preserve"> </v>
      </c>
      <c r="AD85" t="str">
        <f ca="1">IF(C85&lt;=CRONO.NivelExibicao,MAX($AD$15:OFFSET(AD85,-1,0))+IF($C85&lt;&gt;1,1,MAX(1,COUNTIF(QCI!$A$13:$A$24,OFFSET($E85,-1,0)))),"")</f>
        <v/>
      </c>
      <c r="AE85" s="7" t="str">
        <f ca="1">IF(AND($C85="S",ORÇAMENTO.CodBarra&lt;&gt;""),IF(ORÇAMENTO.Fonte="",ORÇAMENTO.CodBarra,CONCATENATE(ORÇAMENTO.Fonte," ",ORÇAMENTO.CodBarra)))</f>
        <v>SINAPI 92001</v>
      </c>
      <c r="AF85" s="12">
        <f ca="1">IF(ISERROR(INDIRECT(ORÇAMENTO.BancoRef)),"(abra o arquivo 'Referência "&amp;Excel_BuiltIn_Database&amp;".xlsm)",IF(OR($C85&lt;&gt;"S",ORÇAMENTO.CodBarra=""),"(Sem Código)",IF(ISERROR(MATCH($AE85,INDIRECT(ORÇAMENTO.BancoRef),0)),"(Código não identificado nas referências)",MATCH($AE85,INDIRECT(ORÇAMENTO.BancoRef),0))))</f>
        <v>11017</v>
      </c>
      <c r="AG85" s="429">
        <f ca="1">ROUND(IF(DESONERACAO="sim",REFERENCIA.Desonerado,REFERENCIA.NaoDesonerado),2)</f>
        <v>37.049999999999997</v>
      </c>
      <c r="AH85" s="430">
        <f ca="1">ROUND(IF(ISNUMBER(ORÇAMENTO.OpcaoBDI),ORÇAMENTO.OpcaoBDI,IF(LEFT(ORÇAMENTO.OpcaoBDI,3)="BDI",HLOOKUP(ORÇAMENTO.OpcaoBDI,$F$4:$H$5,2,FALSE),0)),15-11*$AF$9)</f>
        <v>0.27250000000000002</v>
      </c>
      <c r="AJ85" s="432"/>
      <c r="AL85" s="440"/>
      <c r="AM85" s="337">
        <f t="shared" ca="1" si="0"/>
        <v>47.08</v>
      </c>
      <c r="AN85" s="471">
        <f ca="1">ROUND(ORÇAMENTO.CustoUnitario*(1+$AH85),2)</f>
        <v>47.08</v>
      </c>
    </row>
    <row r="86" spans="1:40" ht="38.25" x14ac:dyDescent="0.2">
      <c r="A86" t="str">
        <f>CHOOSE(1+LOG(1+2*(ORÇAMENTO.Nivel="Meta")+4*(ORÇAMENTO.Nivel="Nível 2")+8*(ORÇAMENTO.Nivel="Nível 3")+16*(ORÇAMENTO.Nivel="Nível 4")+32*(ORÇAMENTO.Nivel="Serviço"),2),0,1,2,3,4,"S")</f>
        <v>S</v>
      </c>
      <c r="B86">
        <f ca="1">IF(OR(C86="s",C86=0),OFFSET(B86,-1,0),C86)</f>
        <v>2</v>
      </c>
      <c r="C86" t="str">
        <f ca="1">IF(OFFSET(C86,-1,0)="L",1,IF(OFFSET(C86,-1,0)=1,2,IF(OR(A86="s",A86=0),"S",IF(AND(OFFSET(C86,-1,0)=2,A86=4),3,IF(AND(OR(OFFSET(C86,-1,0)="s",OFFSET(C86,-1,0)=0),A86&lt;&gt;"s",A86&gt;OFFSET(B86,-1,0)),OFFSET(B86,-1,0),A86)))))</f>
        <v>S</v>
      </c>
      <c r="D86">
        <f ca="1">IF(OR(C86="S",C86=0),0,IF(ISERROR(K86),J86,SMALL(J86:K86,1)))</f>
        <v>0</v>
      </c>
      <c r="E86">
        <f ca="1">IF($C86=1,OFFSET(E86,-1,0)+MAX(1,COUNTIF(QCI!$A$13:$A$24,OFFSET(ORÇAMENTO!E86,-1,0))),OFFSET(E86,-1,0))</f>
        <v>1</v>
      </c>
      <c r="F86">
        <f ca="1">IF($C86=1,0,IF($C86=2,OFFSET(F86,-1,0)+1,OFFSET(F86,-1,0)))</f>
        <v>6</v>
      </c>
      <c r="G86">
        <f ca="1">IF(AND($C86&lt;=2,$C86&lt;&gt;0),0,IF($C86=3,OFFSET(G86,-1,0)+1,OFFSET(G86,-1,0)))</f>
        <v>0</v>
      </c>
      <c r="H86">
        <f ca="1">IF(AND($C86&lt;=3,$C86&lt;&gt;0),0,IF($C86=4,OFFSET(H86,-1,0)+1,OFFSET(H86,-1,0)))</f>
        <v>0</v>
      </c>
      <c r="I86">
        <f ca="1">IF(AND($C86&lt;=4,$C86&lt;&gt;0),0,IF(AND($C86="S",$X86&gt;0),OFFSET(I86,-1,0)+1,OFFSET(I86,-1,0)))</f>
        <v>36</v>
      </c>
      <c r="J86">
        <f ca="1">IF(OR($C86="S",$C86=0),0,MATCH(0,OFFSET($D86,1,$C86,ROW($C$105)-ROW($C86)),0))</f>
        <v>0</v>
      </c>
      <c r="K86">
        <f ca="1">IF(OR($C86="S",$C86=0),0,MATCH(OFFSET($D86,0,$C86)+IF($C86&lt;&gt;1,1,COUNTIF(QCI!$A$13:$A$24,ORÇAMENTO!E86)),OFFSET($D86,1,$C86,ROW($C$105)-ROW($C86)),0))</f>
        <v>0</v>
      </c>
      <c r="L86" s="115" t="str">
        <f ca="1">IF(OR($X86&gt;0,$C86=1,$C86=2,$C86=3,$C86=4),"F","")</f>
        <v>F</v>
      </c>
      <c r="M86" s="116" t="s">
        <v>706</v>
      </c>
      <c r="N86" s="117" t="str">
        <f ca="1">CHOOSE(1+LOG(1+2*(C86=1)+4*(C86=2)+8*(C86=3)+16*(C86=4)+32*(C86="S"),2),"","Meta","Nível 2","Nível 3","Nível 4","Serviço")</f>
        <v>Serviço</v>
      </c>
      <c r="O86" s="118" t="str">
        <f ca="1">IF(OR($C86=0,$L86=""),"-",CONCATENATE(E86&amp;".",IF(AND($A$5&gt;=2,$C86&gt;=2),F86&amp;".",""),IF(AND($A$5&gt;=3,$C86&gt;=3),G86&amp;".",""),IF(AND($A$5&gt;=4,$C86&gt;=4),H86&amp;".",""),IF($C86="S",I86&amp;".","")))</f>
        <v>1.6.36.</v>
      </c>
      <c r="P86" s="119" t="s">
        <v>751</v>
      </c>
      <c r="Q86" s="120" t="s">
        <v>1084</v>
      </c>
      <c r="R86" s="121" t="str">
        <f ca="1">IF($C86="S",REFERENCIA.Descricao,"(digite a descrição aqui)")</f>
        <v>INTERRUPTOR SIMPLES (1 MÓDULO) COM 1 TOMADA DE EMBUTIR 2P+T 10 A, INCLUINDO SUPORTE E PLACA - FORNECIMENTO E INSTALAÇÃO. AF_03/2023</v>
      </c>
      <c r="S86" s="122" t="str">
        <f ca="1">REFERENCIA.Unidade</f>
        <v>UN</v>
      </c>
      <c r="T86" s="123">
        <f ca="1">OFFSET(CÁLCULO!H$15,ROW($T86)-ROW(T$15),0)</f>
        <v>1</v>
      </c>
      <c r="U86" s="124">
        <v>56</v>
      </c>
      <c r="V86" s="125" t="s">
        <v>664</v>
      </c>
      <c r="W86" s="123">
        <f ca="1">IF($C86="S",ROUND(IF(TIPOORCAMENTO="Proposto",ORÇAMENTO.CustoUnitario*(1+$AH86),ORÇAMENTO.PrecoUnitarioLicitado),15-13*$AF$10),0)</f>
        <v>71.260000000000005</v>
      </c>
      <c r="X86" s="126" cm="1">
        <f t="array" aca="1" ref="X86" ca="1">IF($C86="S",IF(OR(Import.TipoArredondamento&lt;&gt;"TransfereGOV",ACOMPANHAMENTO="BM"),VTOTAL1,SUM(OFFSET(CÁLCULO!$AA$15,ROW($X86)-ROW($X$15),1):OFFSET(CÁLCULO!$AL$15,ROW($X86)-ROW($X$15),-1))),IF($C86=0,0,ROUND(SomaAgrup,15-13*$AF$11)))</f>
        <v>71.260000000000005</v>
      </c>
      <c r="Y86" s="127" t="s">
        <v>752</v>
      </c>
      <c r="Z86" t="str">
        <f ca="1">IF(AND($C86="S",$X86&gt;0),IF(ISBLANK($Y86),"RA",LEFT($Y86,2)),"")</f>
        <v>RA</v>
      </c>
      <c r="AA86" s="128">
        <f ca="1">IF($C86="S",IF($Z86="CP",$X86,IF($Z86="RA",(($X86)*QCI!$AA$3),0)),SomaAgrup)</f>
        <v>71.260000000000005</v>
      </c>
      <c r="AB86" s="129">
        <f ca="1">IF($C86="S",IF($Z86="OU",ROUND($X86,2),0),SomaAgrup)</f>
        <v>0</v>
      </c>
      <c r="AC86" s="566" t="str" cm="1">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IF(AND(_xlfn.SINGLE(TIPOORCAMENTO)="Licitado",$AL86=0,$AN86&gt;0),"SEM PREÇO",
IF(AND($C86="S",$P86&lt;&gt;"",$Q86&lt;&gt;"",$U86&gt;0,$V86=0),"BDI",
IF(OR(AND(TIPOORCAMENTO="Proposto",LEFT($O$8,5)&lt;&gt;"(N/D:",$AG86&lt;&gt;"",ORÇAMENTO.CustoUnitario&gt;$AG86),AND(TIPOORCAMENTO="LICITADO",ORÇAMENTO.PrecoUnitarioLicitado&gt;$AN86)),"ACIMA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 xml:space="preserve"> </v>
      </c>
      <c r="AD86" t="str">
        <f ca="1">IF(C86&lt;=CRONO.NivelExibicao,MAX($AD$15:OFFSET(AD86,-1,0))+IF($C86&lt;&gt;1,1,MAX(1,COUNTIF(QCI!$A$13:$A$24,OFFSET($E86,-1,0)))),"")</f>
        <v/>
      </c>
      <c r="AE86" s="7" t="str">
        <f ca="1">IF(AND($C86="S",ORÇAMENTO.CodBarra&lt;&gt;""),IF(ORÇAMENTO.Fonte="",ORÇAMENTO.CodBarra,CONCATENATE(ORÇAMENTO.Fonte," ",ORÇAMENTO.CodBarra)))</f>
        <v>SINAPI 92023</v>
      </c>
      <c r="AF86" s="12">
        <f ca="1">IF(ISERROR(INDIRECT(ORÇAMENTO.BancoRef)),"(abra o arquivo 'Referência "&amp;Excel_BuiltIn_Database&amp;".xlsm)",IF(OR($C86&lt;&gt;"S",ORÇAMENTO.CodBarra=""),"(Sem Código)",IF(ISERROR(MATCH($AE86,INDIRECT(ORÇAMENTO.BancoRef),0)),"(Código não identificado nas referências)",MATCH($AE86,INDIRECT(ORÇAMENTO.BancoRef),0))))</f>
        <v>10965</v>
      </c>
      <c r="AG86" s="429">
        <f ca="1">ROUND(IF(DESONERACAO="sim",REFERENCIA.Desonerado,REFERENCIA.NaoDesonerado),2)</f>
        <v>56.06</v>
      </c>
      <c r="AH86" s="430">
        <f ca="1">ROUND(IF(ISNUMBER(ORÇAMENTO.OpcaoBDI),ORÇAMENTO.OpcaoBDI,IF(LEFT(ORÇAMENTO.OpcaoBDI,3)="BDI",HLOOKUP(ORÇAMENTO.OpcaoBDI,$F$4:$H$5,2,FALSE),0)),15-11*$AF$9)</f>
        <v>0.27250000000000002</v>
      </c>
      <c r="AJ86" s="432"/>
      <c r="AL86" s="440"/>
      <c r="AM86" s="337">
        <f t="shared" ca="1" si="0"/>
        <v>71.260000000000005</v>
      </c>
      <c r="AN86" s="471">
        <f ca="1">ROUND(ORÇAMENTO.CustoUnitario*(1+$AH86),2)</f>
        <v>71.260000000000005</v>
      </c>
    </row>
    <row r="87" spans="1:40" x14ac:dyDescent="0.2">
      <c r="A87">
        <f t="shared" si="96"/>
        <v>2</v>
      </c>
      <c r="B87">
        <f t="shared" ca="1" si="122"/>
        <v>2</v>
      </c>
      <c r="C87">
        <f t="shared" ca="1" si="123"/>
        <v>2</v>
      </c>
      <c r="D87">
        <f t="shared" ca="1" si="124"/>
        <v>18</v>
      </c>
      <c r="E87">
        <f ca="1">IF($C87=1,OFFSET(E87,-1,0)+MAX(1,COUNTIF(QCI!$A$13:$A$24,OFFSET(ORÇAMENTO!E87,-1,0))),OFFSET(E87,-1,0))</f>
        <v>1</v>
      </c>
      <c r="F87">
        <f t="shared" ca="1" si="125"/>
        <v>7</v>
      </c>
      <c r="G87">
        <f t="shared" ca="1" si="126"/>
        <v>0</v>
      </c>
      <c r="H87">
        <f t="shared" ca="1" si="127"/>
        <v>0</v>
      </c>
      <c r="I87">
        <f t="shared" ca="1" si="128"/>
        <v>0</v>
      </c>
      <c r="J87">
        <f t="shared" ref="J87:J104" ca="1" si="133">IF(OR($C87="S",$C87=0),0,MATCH(0,OFFSET($D87,1,$C87,ROW($C$105)-ROW($C87)),0))</f>
        <v>18</v>
      </c>
      <c r="K87" t="e">
        <f ca="1">IF(OR($C87="S",$C87=0),0,MATCH(OFFSET($D87,0,$C87)+IF($C87&lt;&gt;1,1,COUNTIF(QCI!$A$13:$A$24,ORÇAMENTO!E87)),OFFSET($D87,1,$C87,ROW($C$105)-ROW($C87)),0))</f>
        <v>#N/A</v>
      </c>
      <c r="L87" s="115" t="str">
        <f t="shared" ca="1" si="129"/>
        <v>F</v>
      </c>
      <c r="M87" s="116" t="s">
        <v>703</v>
      </c>
      <c r="N87" s="117" t="str">
        <f t="shared" ca="1" si="130"/>
        <v>Nível 2</v>
      </c>
      <c r="O87" s="118" t="str">
        <f t="shared" ca="1" si="131"/>
        <v>1.7.</v>
      </c>
      <c r="P87" s="119" t="s">
        <v>751</v>
      </c>
      <c r="Q87" s="120"/>
      <c r="R87" s="121" t="s">
        <v>1056</v>
      </c>
      <c r="S87" s="122" t="str">
        <f ca="1">REFERENCIA.Unidade</f>
        <v>-</v>
      </c>
      <c r="T87" s="123">
        <f ca="1">OFFSET(CÁLCULO!H$15,ROW($T87)-ROW(T$15),0)</f>
        <v>0</v>
      </c>
      <c r="U87" s="124"/>
      <c r="V87" s="125" t="s">
        <v>664</v>
      </c>
      <c r="W87" s="123">
        <f ca="1">IF($C87="S",ROUND(IF(TIPOORCAMENTO="Proposto",ORÇAMENTO.CustoUnitario*(1+$AH87),ORÇAMENTO.PrecoUnitarioLicitado),15-13*$AF$10),0)</f>
        <v>0</v>
      </c>
      <c r="X87" s="126" cm="1">
        <f t="array" aca="1" ref="X87" ca="1">IF($C87="S",IF(OR(Import.TipoArredondamento&lt;&gt;"TransfereGOV",ACOMPANHAMENTO="BM"),VTOTAL1,SUM(OFFSET(CÁLCULO!$AA$15,ROW($X87)-ROW($X$15),1):OFFSET(CÁLCULO!$AL$15,ROW($X87)-ROW($X$15),-1))),IF($C87=0,0,ROUND(SomaAgrup,15-13*$AF$11)))</f>
        <v>70981.37</v>
      </c>
      <c r="Y87" s="127" t="s">
        <v>752</v>
      </c>
      <c r="Z87" t="str">
        <f t="shared" ca="1" si="132"/>
        <v/>
      </c>
      <c r="AA87" s="128">
        <f ca="1">IF($C87="S",IF($Z87="CP",$X87,IF($Z87="RA",(($X87)*QCI!$AA$3),0)),SomaAgrup)</f>
        <v>70981.37</v>
      </c>
      <c r="AB87" s="129">
        <f t="shared" ca="1" si="97"/>
        <v>0</v>
      </c>
      <c r="AC87" s="566" t="str" cm="1">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IF(AND(_xlfn.SINGLE(TIPOORCAMENTO)="Licitado",$AL87=0,$AN87&gt;0),"SEM PREÇO",
IF(AND($C87="S",$P87&lt;&gt;"",$Q87&lt;&gt;"",$U87&gt;0,$V87=0),"BDI",
IF(OR(AND(TIPOORCAMENTO="Proposto",LEFT($O$8,5)&lt;&gt;"(N/D:",$AG87&lt;&gt;"",ORÇAMENTO.CustoUnitario&gt;$AG87),AND(TIPOORCAMENTO="LICITADO",ORÇAMENTO.PrecoUnitarioLicitado&gt;$AN87)),"ACIMA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 xml:space="preserve"> </v>
      </c>
      <c r="AD87">
        <f ca="1">IF(C87&lt;=CRONO.NivelExibicao,MAX($AD$15:OFFSET(AD87,-1,0))+IF($C87&lt;&gt;1,1,MAX(1,COUNTIF(QCI!$A$13:$A$24,OFFSET($E87,-1,0)))),"")</f>
        <v>8</v>
      </c>
      <c r="AE87" s="7" t="b">
        <f ca="1">IF(AND($C87="S",ORÇAMENTO.CodBarra&lt;&gt;""),IF(ORÇAMENTO.Fonte="",ORÇAMENTO.CodBarra,CONCATENATE(ORÇAMENTO.Fonte," ",ORÇAMENTO.CodBarra)))</f>
        <v>0</v>
      </c>
      <c r="AF87" s="12" t="str">
        <f ca="1">IF(ISERROR(INDIRECT(ORÇAMENTO.BancoRef)),"(abra o arquivo 'Referência "&amp;Excel_BuiltIn_Database&amp;".xlsm)",IF(OR($C87&lt;&gt;"S",ORÇAMENTO.CodBarra=""),"(Sem Código)",IF(ISERROR(MATCH($AE87,INDIRECT(ORÇAMENTO.BancoRef),0)),"(Código não identificado nas referências)",MATCH($AE87,INDIRECT(ORÇAMENTO.BancoRef),0))))</f>
        <v>(Sem Código)</v>
      </c>
      <c r="AG87" s="429">
        <f ca="1">ROUND(IF(DESONERACAO="sim",REFERENCIA.Desonerado,REFERENCIA.NaoDesonerado),2)</f>
        <v>0</v>
      </c>
      <c r="AH87" s="430">
        <f t="shared" ca="1" si="98"/>
        <v>0.27250000000000002</v>
      </c>
      <c r="AJ87" s="432"/>
      <c r="AL87" s="440"/>
      <c r="AM87" s="337">
        <f t="shared" ca="1" si="0"/>
        <v>70981.37</v>
      </c>
      <c r="AN87" s="471">
        <f t="shared" ca="1" si="99"/>
        <v>0</v>
      </c>
    </row>
    <row r="88" spans="1:40" ht="38.25" x14ac:dyDescent="0.2">
      <c r="A88" t="str">
        <f t="shared" si="96"/>
        <v>S</v>
      </c>
      <c r="B88">
        <f t="shared" ca="1" si="122"/>
        <v>2</v>
      </c>
      <c r="C88" t="str">
        <f t="shared" ca="1" si="123"/>
        <v>S</v>
      </c>
      <c r="D88">
        <f t="shared" ca="1" si="124"/>
        <v>0</v>
      </c>
      <c r="E88">
        <f ca="1">IF($C88=1,OFFSET(E88,-1,0)+MAX(1,COUNTIF(QCI!$A$13:$A$24,OFFSET(ORÇAMENTO!E88,-1,0))),OFFSET(E88,-1,0))</f>
        <v>1</v>
      </c>
      <c r="F88">
        <f t="shared" ca="1" si="125"/>
        <v>7</v>
      </c>
      <c r="G88">
        <f t="shared" ca="1" si="126"/>
        <v>0</v>
      </c>
      <c r="H88">
        <f t="shared" ca="1" si="127"/>
        <v>0</v>
      </c>
      <c r="I88">
        <f t="shared" ca="1" si="128"/>
        <v>1</v>
      </c>
      <c r="J88">
        <f t="shared" ca="1" si="133"/>
        <v>0</v>
      </c>
      <c r="K88">
        <f ca="1">IF(OR($C88="S",$C88=0),0,MATCH(OFFSET($D88,0,$C88)+IF($C88&lt;&gt;1,1,COUNTIF(QCI!$A$13:$A$24,ORÇAMENTO!E88)),OFFSET($D88,1,$C88,ROW($C$105)-ROW($C88)),0))</f>
        <v>0</v>
      </c>
      <c r="L88" s="115" t="str">
        <f t="shared" ca="1" si="129"/>
        <v>F</v>
      </c>
      <c r="M88" s="116" t="s">
        <v>706</v>
      </c>
      <c r="N88" s="117" t="str">
        <f t="shared" ca="1" si="130"/>
        <v>Serviço</v>
      </c>
      <c r="O88" s="118" t="str">
        <f t="shared" ca="1" si="131"/>
        <v>1.7.1.</v>
      </c>
      <c r="P88" s="119" t="s">
        <v>751</v>
      </c>
      <c r="Q88" s="120" t="s">
        <v>1057</v>
      </c>
      <c r="R88" s="121" t="str">
        <f ca="1">IF($C88="S",REFERENCIA.Descricao,"(digite a descrição aqui)")</f>
        <v>ALVENARIA DE VEDAÇÃO DE BLOCOS CERÂMICOS MACIÇOS DE 5X10X20CM (ESPESSURA 10CM) E ARGAMASSA DE ASSENTAMENTO COM PREPARO EM BETONEIRA. AF_05/2020</v>
      </c>
      <c r="S88" s="122" t="str">
        <f ca="1">REFERENCIA.Unidade</f>
        <v>M2</v>
      </c>
      <c r="T88" s="123">
        <f ca="1">OFFSET(CÁLCULO!H$15,ROW($T88)-ROW(T$15),0)</f>
        <v>71</v>
      </c>
      <c r="U88" s="124">
        <v>129.94999999999999</v>
      </c>
      <c r="V88" s="125" t="s">
        <v>664</v>
      </c>
      <c r="W88" s="123">
        <f ca="1">IF($C88="S",ROUND(IF(TIPOORCAMENTO="Proposto",ORÇAMENTO.CustoUnitario*(1+$AH88),ORÇAMENTO.PrecoUnitarioLicitado),15-13*$AF$10),0)</f>
        <v>165.36</v>
      </c>
      <c r="X88" s="126" cm="1">
        <f t="array" aca="1" ref="X88" ca="1">IF($C88="S",IF(OR(Import.TipoArredondamento&lt;&gt;"TransfereGOV",ACOMPANHAMENTO="BM"),VTOTAL1,SUM(OFFSET(CÁLCULO!$AA$15,ROW($X88)-ROW($X$15),1):OFFSET(CÁLCULO!$AL$15,ROW($X88)-ROW($X$15),-1))),IF($C88=0,0,ROUND(SomaAgrup,15-13*$AF$11)))</f>
        <v>11740.56</v>
      </c>
      <c r="Y88" s="127" t="s">
        <v>752</v>
      </c>
      <c r="Z88" t="str">
        <f t="shared" ca="1" si="132"/>
        <v>RA</v>
      </c>
      <c r="AA88" s="128">
        <f ca="1">IF($C88="S",IF($Z88="CP",$X88,IF($Z88="RA",(($X88)*QCI!$AA$3),0)),SomaAgrup)</f>
        <v>11740.56</v>
      </c>
      <c r="AB88" s="129">
        <f t="shared" ca="1" si="97"/>
        <v>0</v>
      </c>
      <c r="AC88" s="566" t="str" cm="1">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IF(AND(_xlfn.SINGLE(TIPOORCAMENTO)="Licitado",$AL88=0,$AN88&gt;0),"SEM PREÇO",
IF(AND($C88="S",$P88&lt;&gt;"",$Q88&lt;&gt;"",$U88&gt;0,$V88=0),"BDI",
IF(OR(AND(TIPOORCAMENTO="Proposto",LEFT($O$8,5)&lt;&gt;"(N/D:",$AG88&lt;&gt;"",ORÇAMENTO.CustoUnitario&gt;$AG88),AND(TIPOORCAMENTO="LICITADO",ORÇAMENTO.PrecoUnitarioLicitado&gt;$AN88)),"ACIMA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 xml:space="preserve"> </v>
      </c>
      <c r="AD88" t="str">
        <f ca="1">IF(C88&lt;=CRONO.NivelExibicao,MAX($AD$15:OFFSET(AD88,-1,0))+IF($C88&lt;&gt;1,1,MAX(1,COUNTIF(QCI!$A$13:$A$24,OFFSET($E88,-1,0)))),"")</f>
        <v/>
      </c>
      <c r="AE88" s="7" t="str">
        <f ca="1">IF(AND($C88="S",ORÇAMENTO.CodBarra&lt;&gt;""),IF(ORÇAMENTO.Fonte="",ORÇAMENTO.CodBarra,CONCATENATE(ORÇAMENTO.Fonte," ",ORÇAMENTO.CodBarra)))</f>
        <v>SINAPI 101159</v>
      </c>
      <c r="AF88" s="12">
        <f ca="1">IF(ISERROR(INDIRECT(ORÇAMENTO.BancoRef)),"(abra o arquivo 'Referência "&amp;Excel_BuiltIn_Database&amp;".xlsm)",IF(OR($C88&lt;&gt;"S",ORÇAMENTO.CodBarra=""),"(Sem Código)",IF(ISERROR(MATCH($AE88,INDIRECT(ORÇAMENTO.BancoRef),0)),"(Código não identificado nas referências)",MATCH($AE88,INDIRECT(ORÇAMENTO.BancoRef),0))))</f>
        <v>6289</v>
      </c>
      <c r="AG88" s="429">
        <f ca="1">ROUND(IF(DESONERACAO="sim",REFERENCIA.Desonerado,REFERENCIA.NaoDesonerado),2)</f>
        <v>144.4</v>
      </c>
      <c r="AH88" s="430">
        <f t="shared" ca="1" si="98"/>
        <v>0.27250000000000002</v>
      </c>
      <c r="AJ88" s="432"/>
      <c r="AL88" s="440"/>
      <c r="AM88" s="337">
        <f t="shared" ca="1" si="0"/>
        <v>11740.56</v>
      </c>
      <c r="AN88" s="471">
        <f t="shared" ca="1" si="99"/>
        <v>165.36</v>
      </c>
    </row>
    <row r="89" spans="1:40" ht="51" x14ac:dyDescent="0.2">
      <c r="A89" t="str">
        <f t="shared" si="96"/>
        <v>S</v>
      </c>
      <c r="B89">
        <f t="shared" ca="1" si="122"/>
        <v>2</v>
      </c>
      <c r="C89" t="str">
        <f t="shared" ca="1" si="123"/>
        <v>S</v>
      </c>
      <c r="D89">
        <f t="shared" ca="1" si="124"/>
        <v>0</v>
      </c>
      <c r="E89">
        <f ca="1">IF($C89=1,OFFSET(E89,-1,0)+MAX(1,COUNTIF(QCI!$A$13:$A$24,OFFSET(ORÇAMENTO!E89,-1,0))),OFFSET(E89,-1,0))</f>
        <v>1</v>
      </c>
      <c r="F89">
        <f t="shared" ca="1" si="125"/>
        <v>7</v>
      </c>
      <c r="G89">
        <f t="shared" ca="1" si="126"/>
        <v>0</v>
      </c>
      <c r="H89">
        <f t="shared" ca="1" si="127"/>
        <v>0</v>
      </c>
      <c r="I89">
        <f t="shared" ca="1" si="128"/>
        <v>2</v>
      </c>
      <c r="J89">
        <f t="shared" ca="1" si="133"/>
        <v>0</v>
      </c>
      <c r="K89">
        <f ca="1">IF(OR($C89="S",$C89=0),0,MATCH(OFFSET($D89,0,$C89)+IF($C89&lt;&gt;1,1,COUNTIF(QCI!$A$13:$A$24,ORÇAMENTO!E89)),OFFSET($D89,1,$C89,ROW($C$105)-ROW($C89)),0))</f>
        <v>0</v>
      </c>
      <c r="L89" s="115" t="str">
        <f t="shared" ca="1" si="129"/>
        <v>F</v>
      </c>
      <c r="M89" s="116" t="s">
        <v>706</v>
      </c>
      <c r="N89" s="117" t="str">
        <f t="shared" ca="1" si="130"/>
        <v>Serviço</v>
      </c>
      <c r="O89" s="118" t="str">
        <f t="shared" ca="1" si="131"/>
        <v>1.7.2.</v>
      </c>
      <c r="P89" s="119" t="s">
        <v>751</v>
      </c>
      <c r="Q89" s="120" t="s">
        <v>1079</v>
      </c>
      <c r="R89" s="121" t="str">
        <f ca="1">IF($C89="S",REFERENCIA.Descricao,"(digite a descrição aqui)")</f>
        <v>ARGAMASSA TRAÇO 1:1,5:7,5 (EM VOLUME DE CIMENTO, CAL E AREIA MÉDIA ÚMIDA) PARA EMBOÇO/MASSA ÚNICA/ASSENTAMENTO DE ALVENARIA DE VEDAÇÃO, PREPARO MECÂNICO COM BETONEIRA ATÉ 600 L. AF_07/2026</v>
      </c>
      <c r="S89" s="122" t="str">
        <f ca="1">REFERENCIA.Unidade</f>
        <v>M3</v>
      </c>
      <c r="T89" s="123">
        <f ca="1">OFFSET(CÁLCULO!H$15,ROW($T89)-ROW(T$15),0)</f>
        <v>0.4</v>
      </c>
      <c r="U89" s="124">
        <v>562.29999999999995</v>
      </c>
      <c r="V89" s="125" t="s">
        <v>664</v>
      </c>
      <c r="W89" s="123">
        <f ca="1">IF($C89="S",ROUND(IF(TIPOORCAMENTO="Proposto",ORÇAMENTO.CustoUnitario*(1+$AH89),ORÇAMENTO.PrecoUnitarioLicitado),15-13*$AF$10),0)</f>
        <v>715.53</v>
      </c>
      <c r="X89" s="126" cm="1">
        <f t="array" aca="1" ref="X89" ca="1">IF($C89="S",IF(OR(Import.TipoArredondamento&lt;&gt;"TransfereGOV",ACOMPANHAMENTO="BM"),VTOTAL1,SUM(OFFSET(CÁLCULO!$AA$15,ROW($X89)-ROW($X$15),1):OFFSET(CÁLCULO!$AL$15,ROW($X89)-ROW($X$15),-1))),IF($C89=0,0,ROUND(SomaAgrup,15-13*$AF$11)))</f>
        <v>286.20999999999998</v>
      </c>
      <c r="Y89" s="127" t="s">
        <v>752</v>
      </c>
      <c r="Z89" t="str">
        <f t="shared" ca="1" si="132"/>
        <v>RA</v>
      </c>
      <c r="AA89" s="128">
        <f ca="1">IF($C89="S",IF($Z89="CP",$X89,IF($Z89="RA",(($X89)*QCI!$AA$3),0)),SomaAgrup)</f>
        <v>286.20999999999998</v>
      </c>
      <c r="AB89" s="129">
        <f t="shared" ca="1" si="97"/>
        <v>0</v>
      </c>
      <c r="AC89" s="566" t="str" cm="1">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IF(AND(_xlfn.SINGLE(TIPOORCAMENTO)="Licitado",$AL89=0,$AN89&gt;0),"SEM PREÇO",
IF(AND($C89="S",$P89&lt;&gt;"",$Q89&lt;&gt;"",$U89&gt;0,$V89=0),"BDI",
IF(OR(AND(TIPOORCAMENTO="Proposto",LEFT($O$8,5)&lt;&gt;"(N/D:",$AG89&lt;&gt;"",ORÇAMENTO.CustoUnitario&gt;$AG89),AND(TIPOORCAMENTO="LICITADO",ORÇAMENTO.PrecoUnitarioLicitado&gt;$AN89)),"ACIMA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 xml:space="preserve"> </v>
      </c>
      <c r="AD89" t="str">
        <f ca="1">IF(C89&lt;=CRONO.NivelExibicao,MAX($AD$15:OFFSET(AD89,-1,0))+IF($C89&lt;&gt;1,1,MAX(1,COUNTIF(QCI!$A$13:$A$24,OFFSET($E89,-1,0)))),"")</f>
        <v/>
      </c>
      <c r="AE89" s="7" t="str">
        <f ca="1">IF(AND($C89="S",ORÇAMENTO.CodBarra&lt;&gt;""),IF(ORÇAMENTO.Fonte="",ORÇAMENTO.CodBarra,CONCATENATE(ORÇAMENTO.Fonte," ",ORÇAMENTO.CodBarra)))</f>
        <v>SINAPI 87289</v>
      </c>
      <c r="AF89" s="12">
        <f ca="1">IF(ISERROR(INDIRECT(ORÇAMENTO.BancoRef)),"(abra o arquivo 'Referência "&amp;Excel_BuiltIn_Database&amp;".xlsm)",IF(OR($C89&lt;&gt;"S",ORÇAMENTO.CodBarra=""),"(Sem Código)",IF(ISERROR(MATCH($AE89,INDIRECT(ORÇAMENTO.BancoRef),0)),"(Código não identificado nas referências)",MATCH($AE89,INDIRECT(ORÇAMENTO.BancoRef),0))))</f>
        <v>6323</v>
      </c>
      <c r="AG89" s="429">
        <f ca="1">ROUND(IF(DESONERACAO="sim",REFERENCIA.Desonerado,REFERENCIA.NaoDesonerado),2)</f>
        <v>624.78</v>
      </c>
      <c r="AH89" s="430">
        <f t="shared" ca="1" si="98"/>
        <v>0.27250000000000002</v>
      </c>
      <c r="AJ89" s="432"/>
      <c r="AL89" s="440"/>
      <c r="AM89" s="337">
        <f t="shared" ca="1" si="0"/>
        <v>286.20999999999998</v>
      </c>
      <c r="AN89" s="471">
        <f t="shared" ca="1" si="99"/>
        <v>715.53</v>
      </c>
    </row>
    <row r="90" spans="1:40" ht="38.25" x14ac:dyDescent="0.2">
      <c r="A90" t="str">
        <f t="shared" si="96"/>
        <v>S</v>
      </c>
      <c r="B90">
        <f t="shared" ca="1" si="122"/>
        <v>2</v>
      </c>
      <c r="C90" t="str">
        <f t="shared" ca="1" si="123"/>
        <v>S</v>
      </c>
      <c r="D90">
        <f t="shared" ca="1" si="124"/>
        <v>0</v>
      </c>
      <c r="E90">
        <f ca="1">IF($C90=1,OFFSET(E90,-1,0)+MAX(1,COUNTIF(QCI!$A$13:$A$24,OFFSET(ORÇAMENTO!E90,-1,0))),OFFSET(E90,-1,0))</f>
        <v>1</v>
      </c>
      <c r="F90">
        <f t="shared" ca="1" si="125"/>
        <v>7</v>
      </c>
      <c r="G90">
        <f t="shared" ca="1" si="126"/>
        <v>0</v>
      </c>
      <c r="H90">
        <f t="shared" ca="1" si="127"/>
        <v>0</v>
      </c>
      <c r="I90">
        <f t="shared" ca="1" si="128"/>
        <v>3</v>
      </c>
      <c r="J90">
        <f t="shared" ca="1" si="133"/>
        <v>0</v>
      </c>
      <c r="K90">
        <f ca="1">IF(OR($C90="S",$C90=0),0,MATCH(OFFSET($D90,0,$C90)+IF($C90&lt;&gt;1,1,COUNTIF(QCI!$A$13:$A$24,ORÇAMENTO!E90)),OFFSET($D90,1,$C90,ROW($C$105)-ROW($C90)),0))</f>
        <v>0</v>
      </c>
      <c r="L90" s="115" t="str">
        <f t="shared" ca="1" si="129"/>
        <v>F</v>
      </c>
      <c r="M90" s="116" t="s">
        <v>706</v>
      </c>
      <c r="N90" s="117" t="str">
        <f t="shared" ca="1" si="130"/>
        <v>Serviço</v>
      </c>
      <c r="O90" s="118" t="str">
        <f t="shared" ca="1" si="131"/>
        <v>1.7.3.</v>
      </c>
      <c r="P90" s="119" t="s">
        <v>751</v>
      </c>
      <c r="Q90" s="120" t="s">
        <v>1080</v>
      </c>
      <c r="R90" s="121" t="str">
        <f ca="1">IF($C90="S",REFERENCIA.Descricao,"(digite a descrição aqui)")</f>
        <v>ARGAMASSA TRAÇO 1:3 (EM VOLUME DE CIMENTO E AREIA GROSSA ÚMIDA) PARA CHAPISCO CONVENCIONAL, PREPARO MECÂNICO COM BETONEIRA ATÉ 600 L. AF_07/2026</v>
      </c>
      <c r="S90" s="122" t="str">
        <f ca="1">REFERENCIA.Unidade</f>
        <v>M3</v>
      </c>
      <c r="T90" s="123">
        <f ca="1">OFFSET(CÁLCULO!H$15,ROW($T90)-ROW(T$15),0)</f>
        <v>1.5</v>
      </c>
      <c r="U90" s="124">
        <v>574.85</v>
      </c>
      <c r="V90" s="125" t="s">
        <v>664</v>
      </c>
      <c r="W90" s="123">
        <f ca="1">IF($C90="S",ROUND(IF(TIPOORCAMENTO="Proposto",ORÇAMENTO.CustoUnitario*(1+$AH90),ORÇAMENTO.PrecoUnitarioLicitado),15-13*$AF$10),0)</f>
        <v>731.5</v>
      </c>
      <c r="X90" s="126" cm="1">
        <f t="array" aca="1" ref="X90" ca="1">IF($C90="S",IF(OR(Import.TipoArredondamento&lt;&gt;"TransfereGOV",ACOMPANHAMENTO="BM"),VTOTAL1,SUM(OFFSET(CÁLCULO!$AA$15,ROW($X90)-ROW($X$15),1):OFFSET(CÁLCULO!$AL$15,ROW($X90)-ROW($X$15),-1))),IF($C90=0,0,ROUND(SomaAgrup,15-13*$AF$11)))</f>
        <v>1097.25</v>
      </c>
      <c r="Y90" s="127" t="s">
        <v>752</v>
      </c>
      <c r="Z90" t="str">
        <f t="shared" ca="1" si="132"/>
        <v>RA</v>
      </c>
      <c r="AA90" s="128">
        <f ca="1">IF($C90="S",IF($Z90="CP",$X90,IF($Z90="RA",(($X90)*QCI!$AA$3),0)),SomaAgrup)</f>
        <v>1097.25</v>
      </c>
      <c r="AB90" s="129">
        <f t="shared" ca="1" si="97"/>
        <v>0</v>
      </c>
      <c r="AC90" s="566" t="str" cm="1">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IF(AND(_xlfn.SINGLE(TIPOORCAMENTO)="Licitado",$AL90=0,$AN90&gt;0),"SEM PREÇO",
IF(AND($C90="S",$P90&lt;&gt;"",$Q90&lt;&gt;"",$U90&gt;0,$V90=0),"BDI",
IF(OR(AND(TIPOORCAMENTO="Proposto",LEFT($O$8,5)&lt;&gt;"(N/D:",$AG90&lt;&gt;"",ORÇAMENTO.CustoUnitario&gt;$AG90),AND(TIPOORCAMENTO="LICITADO",ORÇAMENTO.PrecoUnitarioLicitado&gt;$AN90)),"ACIMA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 xml:space="preserve"> </v>
      </c>
      <c r="AD90" t="str">
        <f ca="1">IF(C90&lt;=CRONO.NivelExibicao,MAX($AD$15:OFFSET(AD90,-1,0))+IF($C90&lt;&gt;1,1,MAX(1,COUNTIF(QCI!$A$13:$A$24,OFFSET($E90,-1,0)))),"")</f>
        <v/>
      </c>
      <c r="AE90" s="7" t="str">
        <f ca="1">IF(AND($C90="S",ORÇAMENTO.CodBarra&lt;&gt;""),IF(ORÇAMENTO.Fonte="",ORÇAMENTO.CodBarra,CONCATENATE(ORÇAMENTO.Fonte," ",ORÇAMENTO.CodBarra)))</f>
        <v>SINAPI 87313</v>
      </c>
      <c r="AF90" s="12">
        <f ca="1">IF(ISERROR(INDIRECT(ORÇAMENTO.BancoRef)),"(abra o arquivo 'Referência "&amp;Excel_BuiltIn_Database&amp;".xlsm)",IF(OR($C90&lt;&gt;"S",ORÇAMENTO.CodBarra=""),"(Sem Código)",IF(ISERROR(MATCH($AE90,INDIRECT(ORÇAMENTO.BancoRef),0)),"(Código não identificado nas referências)",MATCH($AE90,INDIRECT(ORÇAMENTO.BancoRef),0))))</f>
        <v>6350</v>
      </c>
      <c r="AG90" s="429">
        <f ca="1">ROUND(IF(DESONERACAO="sim",REFERENCIA.Desonerado,REFERENCIA.NaoDesonerado),2)</f>
        <v>638.74</v>
      </c>
      <c r="AH90" s="430">
        <f t="shared" ca="1" si="98"/>
        <v>0.27250000000000002</v>
      </c>
      <c r="AJ90" s="432"/>
      <c r="AL90" s="440"/>
      <c r="AM90" s="337">
        <f t="shared" ca="1" si="0"/>
        <v>1097.25</v>
      </c>
      <c r="AN90" s="471">
        <f t="shared" ca="1" si="99"/>
        <v>731.5</v>
      </c>
    </row>
    <row r="91" spans="1:40" ht="25.5" x14ac:dyDescent="0.2">
      <c r="A91" t="str">
        <f t="shared" si="96"/>
        <v>S</v>
      </c>
      <c r="B91">
        <f t="shared" ca="1" si="122"/>
        <v>2</v>
      </c>
      <c r="C91" t="str">
        <f t="shared" ca="1" si="123"/>
        <v>S</v>
      </c>
      <c r="D91">
        <f t="shared" ca="1" si="124"/>
        <v>0</v>
      </c>
      <c r="E91">
        <f ca="1">IF($C91=1,OFFSET(E91,-1,0)+MAX(1,COUNTIF(QCI!$A$13:$A$24,OFFSET(ORÇAMENTO!E91,-1,0))),OFFSET(E91,-1,0))</f>
        <v>1</v>
      </c>
      <c r="F91">
        <f t="shared" ca="1" si="125"/>
        <v>7</v>
      </c>
      <c r="G91">
        <f t="shared" ca="1" si="126"/>
        <v>0</v>
      </c>
      <c r="H91">
        <f t="shared" ca="1" si="127"/>
        <v>0</v>
      </c>
      <c r="I91">
        <f t="shared" ca="1" si="128"/>
        <v>4</v>
      </c>
      <c r="J91">
        <f t="shared" ca="1" si="133"/>
        <v>0</v>
      </c>
      <c r="K91">
        <f ca="1">IF(OR($C91="S",$C91=0),0,MATCH(OFFSET($D91,0,$C91)+IF($C91&lt;&gt;1,1,COUNTIF(QCI!$A$13:$A$24,ORÇAMENTO!E91)),OFFSET($D91,1,$C91,ROW($C$105)-ROW($C91)),0))</f>
        <v>0</v>
      </c>
      <c r="L91" s="115" t="str">
        <f t="shared" ca="1" si="129"/>
        <v>F</v>
      </c>
      <c r="M91" s="116" t="s">
        <v>706</v>
      </c>
      <c r="N91" s="117" t="str">
        <f t="shared" ca="1" si="130"/>
        <v>Serviço</v>
      </c>
      <c r="O91" s="118" t="str">
        <f t="shared" ca="1" si="131"/>
        <v>1.7.4.</v>
      </c>
      <c r="P91" s="119" t="s">
        <v>751</v>
      </c>
      <c r="Q91" s="120" t="s">
        <v>1019</v>
      </c>
      <c r="R91" s="121" t="str">
        <f ca="1">IF($C91="S",REFERENCIA.Descricao,"(digite a descrição aqui)")</f>
        <v>FABRICAÇÃO DE FÔRMA PARA PILARES E ESTRUTURAS SIMILARES, EM MADEIRA SERRADA, E=25 MM. AF_09/2020</v>
      </c>
      <c r="S91" s="122" t="str">
        <f ca="1">REFERENCIA.Unidade</f>
        <v>M2</v>
      </c>
      <c r="T91" s="123">
        <f ca="1">OFFSET(CÁLCULO!H$15,ROW($T91)-ROW(T$15),0)</f>
        <v>23.5</v>
      </c>
      <c r="U91" s="124">
        <v>107.25</v>
      </c>
      <c r="V91" s="125" t="s">
        <v>664</v>
      </c>
      <c r="W91" s="123">
        <f ca="1">IF($C91="S",ROUND(IF(TIPOORCAMENTO="Proposto",ORÇAMENTO.CustoUnitario*(1+$AH91),ORÇAMENTO.PrecoUnitarioLicitado),15-13*$AF$10),0)</f>
        <v>136.47999999999999</v>
      </c>
      <c r="X91" s="126" cm="1">
        <f t="array" aca="1" ref="X91" ca="1">IF($C91="S",IF(OR(Import.TipoArredondamento&lt;&gt;"TransfereGOV",ACOMPANHAMENTO="BM"),VTOTAL1,SUM(OFFSET(CÁLCULO!$AA$15,ROW($X91)-ROW($X$15),1):OFFSET(CÁLCULO!$AL$15,ROW($X91)-ROW($X$15),-1))),IF($C91=0,0,ROUND(SomaAgrup,15-13*$AF$11)))</f>
        <v>3207.28</v>
      </c>
      <c r="Y91" s="127" t="s">
        <v>752</v>
      </c>
      <c r="Z91" t="str">
        <f t="shared" ca="1" si="132"/>
        <v>RA</v>
      </c>
      <c r="AA91" s="128">
        <f ca="1">IF($C91="S",IF($Z91="CP",$X91,IF($Z91="RA",(($X91)*QCI!$AA$3),0)),SomaAgrup)</f>
        <v>3207.28</v>
      </c>
      <c r="AB91" s="129">
        <f t="shared" ca="1" si="97"/>
        <v>0</v>
      </c>
      <c r="AC91" s="566" t="str" cm="1">
        <f t="array" aca="1" ref="AC91" ca="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IF(AND(_xlfn.SINGLE(TIPOORCAMENTO)="Licitado",$AL91=0,$AN91&gt;0),"SEM PREÇO",
IF(AND($C91="S",$P91&lt;&gt;"",$Q91&lt;&gt;"",$U91&gt;0,$V91=0),"BDI",
IF(OR(AND(TIPOORCAMENTO="Proposto",LEFT($O$8,5)&lt;&gt;"(N/D:",$AG91&lt;&gt;"",ORÇAMENTO.CustoUnitario&gt;$AG91),AND(TIPOORCAMENTO="LICITADO",ORÇAMENTO.PrecoUnitarioLicitado&gt;$AN91)),"ACIMA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 xml:space="preserve"> </v>
      </c>
      <c r="AD91" t="str">
        <f ca="1">IF(C91&lt;=CRONO.NivelExibicao,MAX($AD$15:OFFSET(AD91,-1,0))+IF($C91&lt;&gt;1,1,MAX(1,COUNTIF(QCI!$A$13:$A$24,OFFSET($E91,-1,0)))),"")</f>
        <v/>
      </c>
      <c r="AE91" s="7" t="str">
        <f ca="1">IF(AND($C91="S",ORÇAMENTO.CodBarra&lt;&gt;""),IF(ORÇAMENTO.Fonte="",ORÇAMENTO.CodBarra,CONCATENATE(ORÇAMENTO.Fonte," ",ORÇAMENTO.CodBarra)))</f>
        <v>SINAPI 92269</v>
      </c>
      <c r="AF91" s="12">
        <f ca="1">IF(ISERROR(INDIRECT(ORÇAMENTO.BancoRef)),"(abra o arquivo 'Referência "&amp;Excel_BuiltIn_Database&amp;".xlsm)",IF(OR($C91&lt;&gt;"S",ORÇAMENTO.CodBarra=""),"(Sem Código)",IF(ISERROR(MATCH($AE91,INDIRECT(ORÇAMENTO.BancoRef),0)),"(Código não identificado nas referências)",MATCH($AE91,INDIRECT(ORÇAMENTO.BancoRef),0))))</f>
        <v>10494</v>
      </c>
      <c r="AG91" s="429">
        <f ca="1">ROUND(IF(DESONERACAO="sim",REFERENCIA.Desonerado,REFERENCIA.NaoDesonerado),2)</f>
        <v>119.2</v>
      </c>
      <c r="AH91" s="430">
        <f t="shared" ca="1" si="98"/>
        <v>0.27250000000000002</v>
      </c>
      <c r="AJ91" s="432"/>
      <c r="AL91" s="440"/>
      <c r="AM91" s="337">
        <f t="shared" ca="1" si="0"/>
        <v>3207.28</v>
      </c>
      <c r="AN91" s="471">
        <f t="shared" ca="1" si="99"/>
        <v>136.47999999999999</v>
      </c>
    </row>
    <row r="92" spans="1:40" ht="25.5" x14ac:dyDescent="0.2">
      <c r="A92" t="str">
        <f t="shared" si="96"/>
        <v>S</v>
      </c>
      <c r="B92">
        <f t="shared" ca="1" si="122"/>
        <v>2</v>
      </c>
      <c r="C92" t="str">
        <f t="shared" ca="1" si="123"/>
        <v>S</v>
      </c>
      <c r="D92">
        <f t="shared" ca="1" si="124"/>
        <v>0</v>
      </c>
      <c r="E92">
        <f ca="1">IF($C92=1,OFFSET(E92,-1,0)+MAX(1,COUNTIF(QCI!$A$13:$A$24,OFFSET(ORÇAMENTO!E92,-1,0))),OFFSET(E92,-1,0))</f>
        <v>1</v>
      </c>
      <c r="F92">
        <f t="shared" ca="1" si="125"/>
        <v>7</v>
      </c>
      <c r="G92">
        <f t="shared" ca="1" si="126"/>
        <v>0</v>
      </c>
      <c r="H92">
        <f t="shared" ca="1" si="127"/>
        <v>0</v>
      </c>
      <c r="I92">
        <f t="shared" ca="1" si="128"/>
        <v>5</v>
      </c>
      <c r="J92">
        <f t="shared" ca="1" si="133"/>
        <v>0</v>
      </c>
      <c r="K92">
        <f ca="1">IF(OR($C92="S",$C92=0),0,MATCH(OFFSET($D92,0,$C92)+IF($C92&lt;&gt;1,1,COUNTIF(QCI!$A$13:$A$24,ORÇAMENTO!E92)),OFFSET($D92,1,$C92,ROW($C$105)-ROW($C92)),0))</f>
        <v>0</v>
      </c>
      <c r="L92" s="115" t="str">
        <f t="shared" ca="1" si="129"/>
        <v>F</v>
      </c>
      <c r="M92" s="116" t="s">
        <v>706</v>
      </c>
      <c r="N92" s="117" t="str">
        <f t="shared" ca="1" si="130"/>
        <v>Serviço</v>
      </c>
      <c r="O92" s="118" t="str">
        <f t="shared" ca="1" si="131"/>
        <v>1.7.5.</v>
      </c>
      <c r="P92" s="119" t="s">
        <v>751</v>
      </c>
      <c r="Q92" s="120" t="s">
        <v>1020</v>
      </c>
      <c r="R92" s="121" t="str">
        <f ca="1">IF($C92="S",REFERENCIA.Descricao,"(digite a descrição aqui)")</f>
        <v>FABRICAÇÃO DE FÔRMA PARA VIGAS, COM MADEIRA SERRADA, E = 25 MM. AF_09/2020</v>
      </c>
      <c r="S92" s="122" t="str">
        <f ca="1">REFERENCIA.Unidade</f>
        <v>M2</v>
      </c>
      <c r="T92" s="123">
        <f ca="1">OFFSET(CÁLCULO!H$15,ROW($T92)-ROW(T$15),0)</f>
        <v>45</v>
      </c>
      <c r="U92" s="124">
        <v>156.94999999999999</v>
      </c>
      <c r="V92" s="125" t="s">
        <v>664</v>
      </c>
      <c r="W92" s="123">
        <f ca="1">IF($C92="S",ROUND(IF(TIPOORCAMENTO="Proposto",ORÇAMENTO.CustoUnitario*(1+$AH92),ORÇAMENTO.PrecoUnitarioLicitado),15-13*$AF$10),0)</f>
        <v>199.72</v>
      </c>
      <c r="X92" s="126" cm="1">
        <f t="array" aca="1" ref="X92" ca="1">IF($C92="S",IF(OR(Import.TipoArredondamento&lt;&gt;"TransfereGOV",ACOMPANHAMENTO="BM"),VTOTAL1,SUM(OFFSET(CÁLCULO!$AA$15,ROW($X92)-ROW($X$15),1):OFFSET(CÁLCULO!$AL$15,ROW($X92)-ROW($X$15),-1))),IF($C92=0,0,ROUND(SomaAgrup,15-13*$AF$11)))</f>
        <v>8987.4</v>
      </c>
      <c r="Y92" s="127" t="s">
        <v>752</v>
      </c>
      <c r="Z92" t="str">
        <f t="shared" ca="1" si="132"/>
        <v>RA</v>
      </c>
      <c r="AA92" s="128">
        <f ca="1">IF($C92="S",IF($Z92="CP",$X92,IF($Z92="RA",(($X92)*QCI!$AA$3),0)),SomaAgrup)</f>
        <v>8987.4</v>
      </c>
      <c r="AB92" s="129">
        <f t="shared" ca="1" si="97"/>
        <v>0</v>
      </c>
      <c r="AC92" s="566" t="str" cm="1">
        <f t="array" aca="1" ref="AC92" ca="1">IF($N92=""," ",
IF(AND($C92&lt;&gt;"S",OR($R92="",$R92="(digite a descrição aqui)")),"DESCRIÇÃO",
IF(AND($C92="S",OR($Q92&lt;&gt;"",$T92&gt;0,$U92&gt;0),$P92=""),"FONTE",
IF(AND($C92="S",$P92&lt;&gt;"",OR($T92&gt;0,$U92&gt;0),$Q92=""),"CÓDIGO",
IF(AND($C92="S",$P92&lt;&gt;"",$Q92&lt;&gt;"",$R92="(Código não identificado nas referências)"),"CÓDIGO N/ID",
IF(AND($C92="S",OR($R92="",$R92="(digite a descrição aqui)"),OR($Q92&lt;&gt;"",$T92&gt;0,$U92&gt;0)),"DESCRIÇÃO",
IF(AND($C92="S",$P92&lt;&gt;"",$Q92&lt;&gt;"",$S92=""),"UNIDADE",
IF(AND($C92="S",$P92&lt;&gt;"",$Q92&lt;&gt;"",$U92=0),"SEM CUSTO",
IF(AND(_xlfn.SINGLE(TIPOORCAMENTO)="Licitado",$AL92=0,$AN92&gt;0),"SEM PREÇO",
IF(AND($C92="S",$P92&lt;&gt;"",$Q92&lt;&gt;"",$U92&gt;0,$V92=0),"BDI",
IF(OR(AND(TIPOORCAMENTO="Proposto",LEFT($O$8,5)&lt;&gt;"(N/D:",$AG92&lt;&gt;"",ORÇAMENTO.CustoUnitario&gt;$AG92),AND(TIPOORCAMENTO="LICITADO",ORÇAMENTO.PrecoUnitarioLicitado&gt;$AN92)),"ACIMA REF.",
IF(AND($C92="S",$P92&lt;&gt;"",$Q92&lt;&gt;"",$T92=0,$U92&gt;0),"QUANT.",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 xml:space="preserve"> </v>
      </c>
      <c r="AD92" t="str">
        <f ca="1">IF(C92&lt;=CRONO.NivelExibicao,MAX($AD$15:OFFSET(AD92,-1,0))+IF($C92&lt;&gt;1,1,MAX(1,COUNTIF(QCI!$A$13:$A$24,OFFSET($E92,-1,0)))),"")</f>
        <v/>
      </c>
      <c r="AE92" s="7" t="str">
        <f ca="1">IF(AND($C92="S",ORÇAMENTO.CodBarra&lt;&gt;""),IF(ORÇAMENTO.Fonte="",ORÇAMENTO.CodBarra,CONCATENATE(ORÇAMENTO.Fonte," ",ORÇAMENTO.CodBarra)))</f>
        <v>SINAPI 92270</v>
      </c>
      <c r="AF92" s="12">
        <f ca="1">IF(ISERROR(INDIRECT(ORÇAMENTO.BancoRef)),"(abra o arquivo 'Referência "&amp;Excel_BuiltIn_Database&amp;".xlsm)",IF(OR($C92&lt;&gt;"S",ORÇAMENTO.CodBarra=""),"(Sem Código)",IF(ISERROR(MATCH($AE92,INDIRECT(ORÇAMENTO.BancoRef),0)),"(Código não identificado nas referências)",MATCH($AE92,INDIRECT(ORÇAMENTO.BancoRef),0))))</f>
        <v>10495</v>
      </c>
      <c r="AG92" s="429">
        <f ca="1">ROUND(IF(DESONERACAO="sim",REFERENCIA.Desonerado,REFERENCIA.NaoDesonerado),2)</f>
        <v>174.42</v>
      </c>
      <c r="AH92" s="430">
        <f t="shared" ca="1" si="98"/>
        <v>0.27250000000000002</v>
      </c>
      <c r="AJ92" s="432"/>
      <c r="AL92" s="440"/>
      <c r="AM92" s="337">
        <f t="shared" ca="1" si="0"/>
        <v>8987.4</v>
      </c>
      <c r="AN92" s="471">
        <f t="shared" ca="1" si="99"/>
        <v>199.72</v>
      </c>
    </row>
    <row r="93" spans="1:40" ht="38.25" x14ac:dyDescent="0.2">
      <c r="A93" t="str">
        <f t="shared" si="96"/>
        <v>S</v>
      </c>
      <c r="B93">
        <f t="shared" ca="1" si="122"/>
        <v>2</v>
      </c>
      <c r="C93" t="str">
        <f t="shared" ca="1" si="123"/>
        <v>S</v>
      </c>
      <c r="D93">
        <f t="shared" ca="1" si="124"/>
        <v>0</v>
      </c>
      <c r="E93">
        <f ca="1">IF($C93=1,OFFSET(E93,-1,0)+MAX(1,COUNTIF(QCI!$A$13:$A$24,OFFSET(ORÇAMENTO!E93,-1,0))),OFFSET(E93,-1,0))</f>
        <v>1</v>
      </c>
      <c r="F93">
        <f t="shared" ca="1" si="125"/>
        <v>7</v>
      </c>
      <c r="G93">
        <f t="shared" ca="1" si="126"/>
        <v>0</v>
      </c>
      <c r="H93">
        <f t="shared" ca="1" si="127"/>
        <v>0</v>
      </c>
      <c r="I93">
        <f t="shared" ca="1" si="128"/>
        <v>6</v>
      </c>
      <c r="J93">
        <f t="shared" ca="1" si="133"/>
        <v>0</v>
      </c>
      <c r="K93">
        <f ca="1">IF(OR($C93="S",$C93=0),0,MATCH(OFFSET($D93,0,$C93)+IF($C93&lt;&gt;1,1,COUNTIF(QCI!$A$13:$A$24,ORÇAMENTO!E93)),OFFSET($D93,1,$C93,ROW($C$105)-ROW($C93)),0))</f>
        <v>0</v>
      </c>
      <c r="L93" s="115" t="str">
        <f t="shared" ca="1" si="129"/>
        <v>F</v>
      </c>
      <c r="M93" s="116" t="s">
        <v>706</v>
      </c>
      <c r="N93" s="117" t="str">
        <f t="shared" ca="1" si="130"/>
        <v>Serviço</v>
      </c>
      <c r="O93" s="118" t="str">
        <f t="shared" ca="1" si="131"/>
        <v>1.7.6.</v>
      </c>
      <c r="P93" s="119" t="s">
        <v>751</v>
      </c>
      <c r="Q93" s="120" t="s">
        <v>1021</v>
      </c>
      <c r="R93" s="121" t="str">
        <f ca="1">IF($C93="S",REFERENCIA.Descricao,"(digite a descrição aqui)")</f>
        <v>FABRICAÇÃO, MONTAGEM E DESMONTAGEM DE FÔRMA PARA SAPATA, EM MADEIRA SERRADA, E=25 MM, 1 UTILIZAÇÃO. AF_01/2024</v>
      </c>
      <c r="S93" s="122" t="str">
        <f ca="1">REFERENCIA.Unidade</f>
        <v>M2</v>
      </c>
      <c r="T93" s="123">
        <f ca="1">OFFSET(CÁLCULO!H$15,ROW($T93)-ROW(T$15),0)</f>
        <v>19</v>
      </c>
      <c r="U93" s="124">
        <v>229.15</v>
      </c>
      <c r="V93" s="125" t="s">
        <v>664</v>
      </c>
      <c r="W93" s="123">
        <f ca="1">IF($C93="S",ROUND(IF(TIPOORCAMENTO="Proposto",ORÇAMENTO.CustoUnitario*(1+$AH93),ORÇAMENTO.PrecoUnitarioLicitado),15-13*$AF$10),0)</f>
        <v>291.58999999999997</v>
      </c>
      <c r="X93" s="126" cm="1">
        <f t="array" aca="1" ref="X93" ca="1">IF($C93="S",IF(OR(Import.TipoArredondamento&lt;&gt;"TransfereGOV",ACOMPANHAMENTO="BM"),VTOTAL1,SUM(OFFSET(CÁLCULO!$AA$15,ROW($X93)-ROW($X$15),1):OFFSET(CÁLCULO!$AL$15,ROW($X93)-ROW($X$15),-1))),IF($C93=0,0,ROUND(SomaAgrup,15-13*$AF$11)))</f>
        <v>5540.21</v>
      </c>
      <c r="Y93" s="127" t="s">
        <v>752</v>
      </c>
      <c r="Z93" t="str">
        <f t="shared" ca="1" si="132"/>
        <v>RA</v>
      </c>
      <c r="AA93" s="128">
        <f ca="1">IF($C93="S",IF($Z93="CP",$X93,IF($Z93="RA",(($X93)*QCI!$AA$3),0)),SomaAgrup)</f>
        <v>5540.21</v>
      </c>
      <c r="AB93" s="129">
        <f t="shared" ca="1" si="97"/>
        <v>0</v>
      </c>
      <c r="AC93" s="566" t="str" cm="1">
        <f t="array" aca="1" ref="AC93" ca="1">IF($N93=""," ",
IF(AND($C93&lt;&gt;"S",OR($R93="",$R93="(digite a descrição aqui)")),"DESCRIÇÃO",
IF(AND($C93="S",OR($Q93&lt;&gt;"",$T93&gt;0,$U93&gt;0),$P93=""),"FONTE",
IF(AND($C93="S",$P93&lt;&gt;"",OR($T93&gt;0,$U93&gt;0),$Q93=""),"CÓDIGO",
IF(AND($C93="S",$P93&lt;&gt;"",$Q93&lt;&gt;"",$R93="(Código não identificado nas referências)"),"CÓDIGO N/ID",
IF(AND($C93="S",OR($R93="",$R93="(digite a descrição aqui)"),OR($Q93&lt;&gt;"",$T93&gt;0,$U93&gt;0)),"DESCRIÇÃO",
IF(AND($C93="S",$P93&lt;&gt;"",$Q93&lt;&gt;"",$S93=""),"UNIDADE",
IF(AND($C93="S",$P93&lt;&gt;"",$Q93&lt;&gt;"",$U93=0),"SEM CUSTO",
IF(AND(_xlfn.SINGLE(TIPOORCAMENTO)="Licitado",$AL93=0,$AN93&gt;0),"SEM PREÇO",
IF(AND($C93="S",$P93&lt;&gt;"",$Q93&lt;&gt;"",$U93&gt;0,$V93=0),"BDI",
IF(OR(AND(TIPOORCAMENTO="Proposto",LEFT($O$8,5)&lt;&gt;"(N/D:",$AG93&lt;&gt;"",ORÇAMENTO.CustoUnitario&gt;$AG93),AND(TIPOORCAMENTO="LICITADO",ORÇAMENTO.PrecoUnitarioLicitado&gt;$AN93)),"ACIMA REF.",
IF(AND($C93="S",$P93&lt;&gt;"",$Q93&lt;&gt;"",$T93=0,$U93&gt;0),"QUANT.",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 xml:space="preserve"> </v>
      </c>
      <c r="AD93" t="str">
        <f ca="1">IF(C93&lt;=CRONO.NivelExibicao,MAX($AD$15:OFFSET(AD93,-1,0))+IF($C93&lt;&gt;1,1,MAX(1,COUNTIF(QCI!$A$13:$A$24,OFFSET($E93,-1,0)))),"")</f>
        <v/>
      </c>
      <c r="AE93" s="7" t="str">
        <f ca="1">IF(AND($C93="S",ORÇAMENTO.CodBarra&lt;&gt;""),IF(ORÇAMENTO.Fonte="",ORÇAMENTO.CodBarra,CONCATENATE(ORÇAMENTO.Fonte," ",ORÇAMENTO.CodBarra)))</f>
        <v>SINAPI 96529</v>
      </c>
      <c r="AF93" s="12">
        <f ca="1">IF(ISERROR(INDIRECT(ORÇAMENTO.BancoRef)),"(abra o arquivo 'Referência "&amp;Excel_BuiltIn_Database&amp;".xlsm)",IF(OR($C93&lt;&gt;"S",ORÇAMENTO.CodBarra=""),"(Sem Código)",IF(ISERROR(MATCH($AE93,INDIRECT(ORÇAMENTO.BancoRef),0)),"(Código não identificado nas referências)",MATCH($AE93,INDIRECT(ORÇAMENTO.BancoRef),0))))</f>
        <v>10472</v>
      </c>
      <c r="AG93" s="429">
        <f ca="1">ROUND(IF(DESONERACAO="sim",REFERENCIA.Desonerado,REFERENCIA.NaoDesonerado),2)</f>
        <v>254.65</v>
      </c>
      <c r="AH93" s="430">
        <f t="shared" ca="1" si="98"/>
        <v>0.27250000000000002</v>
      </c>
      <c r="AJ93" s="432"/>
      <c r="AL93" s="440"/>
      <c r="AM93" s="337">
        <f t="shared" ca="1" si="0"/>
        <v>5540.21</v>
      </c>
      <c r="AN93" s="471">
        <f t="shared" ca="1" si="99"/>
        <v>291.58999999999997</v>
      </c>
    </row>
    <row r="94" spans="1:40" x14ac:dyDescent="0.2">
      <c r="A94" t="str">
        <f t="shared" si="96"/>
        <v>S</v>
      </c>
      <c r="B94">
        <f t="shared" ca="1" si="122"/>
        <v>2</v>
      </c>
      <c r="C94" t="str">
        <f t="shared" ca="1" si="123"/>
        <v>S</v>
      </c>
      <c r="D94">
        <f t="shared" ca="1" si="124"/>
        <v>0</v>
      </c>
      <c r="E94">
        <f ca="1">IF($C94=1,OFFSET(E94,-1,0)+MAX(1,COUNTIF(QCI!$A$13:$A$24,OFFSET(ORÇAMENTO!E94,-1,0))),OFFSET(E94,-1,0))</f>
        <v>1</v>
      </c>
      <c r="F94">
        <f t="shared" ca="1" si="125"/>
        <v>7</v>
      </c>
      <c r="G94">
        <f t="shared" ca="1" si="126"/>
        <v>0</v>
      </c>
      <c r="H94">
        <f t="shared" ca="1" si="127"/>
        <v>0</v>
      </c>
      <c r="I94">
        <f t="shared" ca="1" si="128"/>
        <v>7</v>
      </c>
      <c r="J94">
        <f t="shared" ca="1" si="133"/>
        <v>0</v>
      </c>
      <c r="K94">
        <f ca="1">IF(OR($C94="S",$C94=0),0,MATCH(OFFSET($D94,0,$C94)+IF($C94&lt;&gt;1,1,COUNTIF(QCI!$A$13:$A$24,ORÇAMENTO!E94)),OFFSET($D94,1,$C94,ROW($C$105)-ROW($C94)),0))</f>
        <v>0</v>
      </c>
      <c r="L94" s="115" t="str">
        <f t="shared" ca="1" si="129"/>
        <v>F</v>
      </c>
      <c r="M94" s="116" t="s">
        <v>706</v>
      </c>
      <c r="N94" s="117" t="str">
        <f t="shared" ca="1" si="130"/>
        <v>Serviço</v>
      </c>
      <c r="O94" s="118" t="str">
        <f t="shared" ca="1" si="131"/>
        <v>1.7.7.</v>
      </c>
      <c r="P94" s="119" t="s">
        <v>959</v>
      </c>
      <c r="Q94" s="120" t="s">
        <v>1031</v>
      </c>
      <c r="R94" s="121" t="str">
        <f ca="1">IF($C94="S",REFERENCIA.Descricao,"(digite a descrição aqui)")</f>
        <v>PREGO DE ACO POLIDO COM CABECA 18 X 30 (2 3/4 X 10)</v>
      </c>
      <c r="S94" s="122" t="str">
        <f ca="1">REFERENCIA.Unidade</f>
        <v>KG</v>
      </c>
      <c r="T94" s="123">
        <f ca="1">OFFSET(CÁLCULO!H$15,ROW($T94)-ROW(T$15),0)</f>
        <v>8</v>
      </c>
      <c r="U94" s="124">
        <v>13.2</v>
      </c>
      <c r="V94" s="125" t="s">
        <v>664</v>
      </c>
      <c r="W94" s="123">
        <f ca="1">IF($C94="S",ROUND(IF(TIPOORCAMENTO="Proposto",ORÇAMENTO.CustoUnitario*(1+$AH94),ORÇAMENTO.PrecoUnitarioLicitado),15-13*$AF$10),0)</f>
        <v>16.8</v>
      </c>
      <c r="X94" s="126" cm="1">
        <f t="array" aca="1" ref="X94" ca="1">IF($C94="S",IF(OR(Import.TipoArredondamento&lt;&gt;"TransfereGOV",ACOMPANHAMENTO="BM"),VTOTAL1,SUM(OFFSET(CÁLCULO!$AA$15,ROW($X94)-ROW($X$15),1):OFFSET(CÁLCULO!$AL$15,ROW($X94)-ROW($X$15),-1))),IF($C94=0,0,ROUND(SomaAgrup,15-13*$AF$11)))</f>
        <v>134.4</v>
      </c>
      <c r="Y94" s="127" t="s">
        <v>752</v>
      </c>
      <c r="Z94" t="str">
        <f t="shared" ca="1" si="132"/>
        <v>RA</v>
      </c>
      <c r="AA94" s="128">
        <f ca="1">IF($C94="S",IF($Z94="CP",$X94,IF($Z94="RA",(($X94)*QCI!$AA$3),0)),SomaAgrup)</f>
        <v>134.4</v>
      </c>
      <c r="AB94" s="129">
        <f t="shared" ca="1" si="97"/>
        <v>0</v>
      </c>
      <c r="AC94" s="566" t="str" cm="1">
        <f t="array" aca="1" ref="AC94" ca="1">IF($N94=""," ",
IF(AND($C94&lt;&gt;"S",OR($R94="",$R94="(digite a descrição aqui)")),"DESCRIÇÃO",
IF(AND($C94="S",OR($Q94&lt;&gt;"",$T94&gt;0,$U94&gt;0),$P94=""),"FONTE",
IF(AND($C94="S",$P94&lt;&gt;"",OR($T94&gt;0,$U94&gt;0),$Q94=""),"CÓDIGO",
IF(AND($C94="S",$P94&lt;&gt;"",$Q94&lt;&gt;"",$R94="(Código não identificado nas referências)"),"CÓDIGO N/ID",
IF(AND($C94="S",OR($R94="",$R94="(digite a descrição aqui)"),OR($Q94&lt;&gt;"",$T94&gt;0,$U94&gt;0)),"DESCRIÇÃO",
IF(AND($C94="S",$P94&lt;&gt;"",$Q94&lt;&gt;"",$S94=""),"UNIDADE",
IF(AND($C94="S",$P94&lt;&gt;"",$Q94&lt;&gt;"",$U94=0),"SEM CUSTO",
IF(AND(_xlfn.SINGLE(TIPOORCAMENTO)="Licitado",$AL94=0,$AN94&gt;0),"SEM PREÇO",
IF(AND($C94="S",$P94&lt;&gt;"",$Q94&lt;&gt;"",$U94&gt;0,$V94=0),"BDI",
IF(OR(AND(TIPOORCAMENTO="Proposto",LEFT($O$8,5)&lt;&gt;"(N/D:",$AG94&lt;&gt;"",ORÇAMENTO.CustoUnitario&gt;$AG94),AND(TIPOORCAMENTO="LICITADO",ORÇAMENTO.PrecoUnitarioLicitado&gt;$AN94)),"ACIMA REF.",
IF(AND($C94="S",$P94&lt;&gt;"",$Q94&lt;&gt;"",$T94=0,$U94&gt;0),"QUANT.",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 xml:space="preserve"> </v>
      </c>
      <c r="AD94" t="str">
        <f ca="1">IF(C94&lt;=CRONO.NivelExibicao,MAX($AD$15:OFFSET(AD94,-1,0))+IF($C94&lt;&gt;1,1,MAX(1,COUNTIF(QCI!$A$13:$A$24,OFFSET($E94,-1,0)))),"")</f>
        <v/>
      </c>
      <c r="AE94" s="7" t="str">
        <f ca="1">IF(AND($C94="S",ORÇAMENTO.CodBarra&lt;&gt;""),IF(ORÇAMENTO.Fonte="",ORÇAMENTO.CodBarra,CONCATENATE(ORÇAMENTO.Fonte," ",ORÇAMENTO.CodBarra)))</f>
        <v>SINAPI-I 5075</v>
      </c>
      <c r="AF94" s="12">
        <f ca="1">IF(ISERROR(INDIRECT(ORÇAMENTO.BancoRef)),"(abra o arquivo 'Referência "&amp;Excel_BuiltIn_Database&amp;".xlsm)",IF(OR($C94&lt;&gt;"S",ORÇAMENTO.CodBarra=""),"(Sem Código)",IF(ISERROR(MATCH($AE94,INDIRECT(ORÇAMENTO.BancoRef),0)),"(Código não identificado nas referências)",MATCH($AE94,INDIRECT(ORÇAMENTO.BancoRef),0))))</f>
        <v>3609</v>
      </c>
      <c r="AG94" s="429">
        <f ca="1">ROUND(IF(DESONERACAO="sim",REFERENCIA.Desonerado,REFERENCIA.NaoDesonerado),2)</f>
        <v>14.7</v>
      </c>
      <c r="AH94" s="430">
        <f t="shared" ca="1" si="98"/>
        <v>0.27250000000000002</v>
      </c>
      <c r="AJ94" s="432"/>
      <c r="AL94" s="440"/>
      <c r="AM94" s="337">
        <f t="shared" ca="1" si="0"/>
        <v>134.4</v>
      </c>
      <c r="AN94" s="471">
        <f t="shared" ca="1" si="99"/>
        <v>16.8</v>
      </c>
    </row>
    <row r="95" spans="1:40" ht="25.5" x14ac:dyDescent="0.2">
      <c r="A95" t="str">
        <f t="shared" si="96"/>
        <v>S</v>
      </c>
      <c r="B95">
        <f t="shared" ca="1" si="122"/>
        <v>2</v>
      </c>
      <c r="C95" t="str">
        <f t="shared" ca="1" si="123"/>
        <v>S</v>
      </c>
      <c r="D95">
        <f t="shared" ca="1" si="124"/>
        <v>0</v>
      </c>
      <c r="E95">
        <f ca="1">IF($C95=1,OFFSET(E95,-1,0)+MAX(1,COUNTIF(QCI!$A$13:$A$24,OFFSET(ORÇAMENTO!E95,-1,0))),OFFSET(E95,-1,0))</f>
        <v>1</v>
      </c>
      <c r="F95">
        <f t="shared" ca="1" si="125"/>
        <v>7</v>
      </c>
      <c r="G95">
        <f t="shared" ca="1" si="126"/>
        <v>0</v>
      </c>
      <c r="H95">
        <f t="shared" ca="1" si="127"/>
        <v>0</v>
      </c>
      <c r="I95">
        <f t="shared" ca="1" si="128"/>
        <v>8</v>
      </c>
      <c r="J95">
        <f t="shared" ca="1" si="133"/>
        <v>0</v>
      </c>
      <c r="K95">
        <f ca="1">IF(OR($C95="S",$C95=0),0,MATCH(OFFSET($D95,0,$C95)+IF($C95&lt;&gt;1,1,COUNTIF(QCI!$A$13:$A$24,ORÇAMENTO!E95)),OFFSET($D95,1,$C95,ROW($C$105)-ROW($C95)),0))</f>
        <v>0</v>
      </c>
      <c r="L95" s="115" t="str">
        <f t="shared" ca="1" si="129"/>
        <v>F</v>
      </c>
      <c r="M95" s="116" t="s">
        <v>706</v>
      </c>
      <c r="N95" s="117" t="str">
        <f t="shared" ca="1" si="130"/>
        <v>Serviço</v>
      </c>
      <c r="O95" s="118" t="str">
        <f t="shared" ca="1" si="131"/>
        <v>1.7.8.</v>
      </c>
      <c r="P95" s="119" t="s">
        <v>959</v>
      </c>
      <c r="Q95" s="120" t="s">
        <v>1030</v>
      </c>
      <c r="R95" s="121" t="str">
        <f ca="1">IF($C95="S",REFERENCIA.Descricao,"(digite a descrição aqui)")</f>
        <v>ARAME RECOZIDO 16 BWG, D = 1,65 MM (0,016 KG/M) OU 18 BWG, D = 1,25 MM (0,01 KG/M)</v>
      </c>
      <c r="S95" s="122" t="str">
        <f ca="1">REFERENCIA.Unidade</f>
        <v>KG</v>
      </c>
      <c r="T95" s="123">
        <f ca="1">OFFSET(CÁLCULO!H$15,ROW($T95)-ROW(T$15),0)</f>
        <v>11</v>
      </c>
      <c r="U95" s="124">
        <v>18.850000000000001</v>
      </c>
      <c r="V95" s="125" t="s">
        <v>664</v>
      </c>
      <c r="W95" s="123">
        <f ca="1">IF($C95="S",ROUND(IF(TIPOORCAMENTO="Proposto",ORÇAMENTO.CustoUnitario*(1+$AH95),ORÇAMENTO.PrecoUnitarioLicitado),15-13*$AF$10),0)</f>
        <v>23.99</v>
      </c>
      <c r="X95" s="126" cm="1">
        <f t="array" aca="1" ref="X95" ca="1">IF($C95="S",IF(OR(Import.TipoArredondamento&lt;&gt;"TransfereGOV",ACOMPANHAMENTO="BM"),VTOTAL1,SUM(OFFSET(CÁLCULO!$AA$15,ROW($X95)-ROW($X$15),1):OFFSET(CÁLCULO!$AL$15,ROW($X95)-ROW($X$15),-1))),IF($C95=0,0,ROUND(SomaAgrup,15-13*$AF$11)))</f>
        <v>263.89</v>
      </c>
      <c r="Y95" s="127" t="s">
        <v>752</v>
      </c>
      <c r="Z95" t="str">
        <f t="shared" ca="1" si="132"/>
        <v>RA</v>
      </c>
      <c r="AA95" s="128">
        <f ca="1">IF($C95="S",IF($Z95="CP",$X95,IF($Z95="RA",(($X95)*QCI!$AA$3),0)),SomaAgrup)</f>
        <v>263.89</v>
      </c>
      <c r="AB95" s="129">
        <f t="shared" ca="1" si="97"/>
        <v>0</v>
      </c>
      <c r="AC95" s="566" t="str" cm="1">
        <f t="array" aca="1" ref="AC95" ca="1">IF($N95=""," ",
IF(AND($C95&lt;&gt;"S",OR($R95="",$R95="(digite a descrição aqui)")),"DESCRIÇÃO",
IF(AND($C95="S",OR($Q95&lt;&gt;"",$T95&gt;0,$U95&gt;0),$P95=""),"FONTE",
IF(AND($C95="S",$P95&lt;&gt;"",OR($T95&gt;0,$U95&gt;0),$Q95=""),"CÓDIGO",
IF(AND($C95="S",$P95&lt;&gt;"",$Q95&lt;&gt;"",$R95="(Código não identificado nas referências)"),"CÓDIGO N/ID",
IF(AND($C95="S",OR($R95="",$R95="(digite a descrição aqui)"),OR($Q95&lt;&gt;"",$T95&gt;0,$U95&gt;0)),"DESCRIÇÃO",
IF(AND($C95="S",$P95&lt;&gt;"",$Q95&lt;&gt;"",$S95=""),"UNIDADE",
IF(AND($C95="S",$P95&lt;&gt;"",$Q95&lt;&gt;"",$U95=0),"SEM CUSTO",
IF(AND(_xlfn.SINGLE(TIPOORCAMENTO)="Licitado",$AL95=0,$AN95&gt;0),"SEM PREÇO",
IF(AND($C95="S",$P95&lt;&gt;"",$Q95&lt;&gt;"",$U95&gt;0,$V95=0),"BDI",
IF(OR(AND(TIPOORCAMENTO="Proposto",LEFT($O$8,5)&lt;&gt;"(N/D:",$AG95&lt;&gt;"",ORÇAMENTO.CustoUnitario&gt;$AG95),AND(TIPOORCAMENTO="LICITADO",ORÇAMENTO.PrecoUnitarioLicitado&gt;$AN95)),"ACIMA REF.",
IF(AND($C95="S",$P95&lt;&gt;"",$Q95&lt;&gt;"",$T95=0,$U95&gt;0),"QUANT.",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 xml:space="preserve"> </v>
      </c>
      <c r="AD95" t="str">
        <f ca="1">IF(C95&lt;=CRONO.NivelExibicao,MAX($AD$15:OFFSET(AD95,-1,0))+IF($C95&lt;&gt;1,1,MAX(1,COUNTIF(QCI!$A$13:$A$24,OFFSET($E95,-1,0)))),"")</f>
        <v/>
      </c>
      <c r="AE95" s="7" t="str">
        <f ca="1">IF(AND($C95="S",ORÇAMENTO.CodBarra&lt;&gt;""),IF(ORÇAMENTO.Fonte="",ORÇAMENTO.CodBarra,CONCATENATE(ORÇAMENTO.Fonte," ",ORÇAMENTO.CodBarra)))</f>
        <v>SINAPI-I 43132</v>
      </c>
      <c r="AF95" s="12">
        <f ca="1">IF(ISERROR(INDIRECT(ORÇAMENTO.BancoRef)),"(abra o arquivo 'Referência "&amp;Excel_BuiltIn_Database&amp;".xlsm)",IF(OR($C95&lt;&gt;"S",ORÇAMENTO.CodBarra=""),"(Sem Código)",IF(ISERROR(MATCH($AE95,INDIRECT(ORÇAMENTO.BancoRef),0)),"(Código não identificado nas referências)",MATCH($AE95,INDIRECT(ORÇAMENTO.BancoRef),0))))</f>
        <v>322</v>
      </c>
      <c r="AG95" s="429">
        <f ca="1">ROUND(IF(DESONERACAO="sim",REFERENCIA.Desonerado,REFERENCIA.NaoDesonerado),2)</f>
        <v>20.99</v>
      </c>
      <c r="AH95" s="430">
        <f t="shared" ca="1" si="98"/>
        <v>0.27250000000000002</v>
      </c>
      <c r="AJ95" s="432"/>
      <c r="AL95" s="440"/>
      <c r="AM95" s="337">
        <f t="shared" ca="1" si="0"/>
        <v>263.89</v>
      </c>
      <c r="AN95" s="471">
        <f t="shared" ca="1" si="99"/>
        <v>23.99</v>
      </c>
    </row>
    <row r="96" spans="1:40" ht="38.25" x14ac:dyDescent="0.2">
      <c r="A96" t="str">
        <f t="shared" ref="A96:A104" si="134">CHOOSE(1+LOG(1+2*(ORÇAMENTO.Nivel="Meta")+4*(ORÇAMENTO.Nivel="Nível 2")+8*(ORÇAMENTO.Nivel="Nível 3")+16*(ORÇAMENTO.Nivel="Nível 4")+32*(ORÇAMENTO.Nivel="Serviço"),2),0,1,2,3,4,"S")</f>
        <v>S</v>
      </c>
      <c r="B96">
        <f ca="1">IF(OR(C96="s",C96=0),OFFSET(B96,-1,0),C96)</f>
        <v>2</v>
      </c>
      <c r="C96" t="str">
        <f ca="1">IF(OFFSET(C96,-1,0)="L",1,IF(OFFSET(C96,-1,0)=1,2,IF(OR(A96="s",A96=0),"S",IF(AND(OFFSET(C96,-1,0)=2,A96=4),3,IF(AND(OR(OFFSET(C96,-1,0)="s",OFFSET(C96,-1,0)=0),A96&lt;&gt;"s",A96&gt;OFFSET(B96,-1,0)),OFFSET(B96,-1,0),A96)))))</f>
        <v>S</v>
      </c>
      <c r="D96">
        <f ca="1">IF(OR(C96="S",C96=0),0,IF(ISERROR(K96),J96,SMALL(J96:K96,1)))</f>
        <v>0</v>
      </c>
      <c r="E96">
        <f ca="1">IF($C96=1,OFFSET(E96,-1,0)+MAX(1,COUNTIF(QCI!$A$13:$A$24,OFFSET(ORÇAMENTO!E96,-1,0))),OFFSET(E96,-1,0))</f>
        <v>1</v>
      </c>
      <c r="F96">
        <f ca="1">IF($C96=1,0,IF($C96=2,OFFSET(F96,-1,0)+1,OFFSET(F96,-1,0)))</f>
        <v>7</v>
      </c>
      <c r="G96">
        <f ca="1">IF(AND($C96&lt;=2,$C96&lt;&gt;0),0,IF($C96=3,OFFSET(G96,-1,0)+1,OFFSET(G96,-1,0)))</f>
        <v>0</v>
      </c>
      <c r="H96">
        <f ca="1">IF(AND($C96&lt;=3,$C96&lt;&gt;0),0,IF($C96=4,OFFSET(H96,-1,0)+1,OFFSET(H96,-1,0)))</f>
        <v>0</v>
      </c>
      <c r="I96">
        <f ca="1">IF(AND($C96&lt;=4,$C96&lt;&gt;0),0,IF(AND($C96="S",$X96&gt;0),OFFSET(I96,-1,0)+1,OFFSET(I96,-1,0)))</f>
        <v>9</v>
      </c>
      <c r="J96">
        <f t="shared" ca="1" si="133"/>
        <v>0</v>
      </c>
      <c r="K96">
        <f ca="1">IF(OR($C96="S",$C96=0),0,MATCH(OFFSET($D96,0,$C96)+IF($C96&lt;&gt;1,1,COUNTIF(QCI!$A$13:$A$24,ORÇAMENTO!E96)),OFFSET($D96,1,$C96,ROW($C$105)-ROW($C96)),0))</f>
        <v>0</v>
      </c>
      <c r="L96" s="115" t="str">
        <f ca="1">IF(OR($X96&gt;0,$C96=1,$C96=2,$C96=3,$C96=4),"F","")</f>
        <v>F</v>
      </c>
      <c r="M96" s="116" t="s">
        <v>706</v>
      </c>
      <c r="N96" s="117" t="str">
        <f ca="1">CHOOSE(1+LOG(1+2*(C96=1)+4*(C96=2)+8*(C96=3)+16*(C96=4)+32*(C96="S"),2),"","Meta","Nível 2","Nível 3","Nível 4","Serviço")</f>
        <v>Serviço</v>
      </c>
      <c r="O96" s="118" t="str">
        <f ca="1">IF(OR($C96=0,$L96=""),"-",CONCATENATE(E96&amp;".",IF(AND($A$5&gt;=2,$C96&gt;=2),F96&amp;".",""),IF(AND($A$5&gt;=3,$C96&gt;=3),G96&amp;".",""),IF(AND($A$5&gt;=4,$C96&gt;=4),H96&amp;".",""),IF($C96="S",I96&amp;".","")))</f>
        <v>1.7.9.</v>
      </c>
      <c r="P96" s="119" t="s">
        <v>751</v>
      </c>
      <c r="Q96" s="120" t="s">
        <v>1027</v>
      </c>
      <c r="R96" s="121" t="str">
        <f ca="1">IF($C96="S",REFERENCIA.Descricao,"(digite a descrição aqui)")</f>
        <v>ARMAÇÃO DE PILAR OU VIGA DE ESTRUTURA CONVENCIONAL DE CONCRETO ARMADO UTILIZANDO AÇO CA-50 DE 10,0 MM - MONTAGEM. AF_06/2022</v>
      </c>
      <c r="S96" s="122" t="str">
        <f ca="1">REFERENCIA.Unidade</f>
        <v>KG</v>
      </c>
      <c r="T96" s="123">
        <f ca="1">OFFSET(CÁLCULO!H$15,ROW($T96)-ROW(T$15),0)</f>
        <v>422.1</v>
      </c>
      <c r="U96" s="124">
        <v>9.0500000000000007</v>
      </c>
      <c r="V96" s="125" t="s">
        <v>664</v>
      </c>
      <c r="W96" s="123">
        <f ca="1">IF($C96="S",ROUND(IF(TIPOORCAMENTO="Proposto",ORÇAMENTO.CustoUnitario*(1+$AH96),ORÇAMENTO.PrecoUnitarioLicitado),15-13*$AF$10),0)</f>
        <v>11.52</v>
      </c>
      <c r="X96" s="126" cm="1">
        <f t="array" aca="1" ref="X96" ca="1">IF($C96="S",IF(OR(Import.TipoArredondamento&lt;&gt;"TransfereGOV",ACOMPANHAMENTO="BM"),VTOTAL1,SUM(OFFSET(CÁLCULO!$AA$15,ROW($X96)-ROW($X$15),1):OFFSET(CÁLCULO!$AL$15,ROW($X96)-ROW($X$15),-1))),IF($C96=0,0,ROUND(SomaAgrup,15-13*$AF$11)))</f>
        <v>4862.59</v>
      </c>
      <c r="Y96" s="127" t="s">
        <v>752</v>
      </c>
      <c r="Z96" t="str">
        <f ca="1">IF(AND($C96="S",$X96&gt;0),IF(ISBLANK($Y96),"RA",LEFT($Y96,2)),"")</f>
        <v>RA</v>
      </c>
      <c r="AA96" s="128">
        <f ca="1">IF($C96="S",IF($Z96="CP",$X96,IF($Z96="RA",(($X96)*QCI!$AA$3),0)),SomaAgrup)</f>
        <v>4862.59</v>
      </c>
      <c r="AB96" s="129">
        <f t="shared" ref="AB96:AB104" ca="1" si="135">IF($C96="S",IF($Z96="OU",ROUND($X96,2),0),SomaAgrup)</f>
        <v>0</v>
      </c>
      <c r="AC96" s="566" t="str" cm="1">
        <f t="array" aca="1" ref="AC96" ca="1">IF($N96=""," ",
IF(AND($C96&lt;&gt;"S",OR($R96="",$R96="(digite a descrição aqui)")),"DESCRIÇÃO",
IF(AND($C96="S",OR($Q96&lt;&gt;"",$T96&gt;0,$U96&gt;0),$P96=""),"FONTE",
IF(AND($C96="S",$P96&lt;&gt;"",OR($T96&gt;0,$U96&gt;0),$Q96=""),"CÓDIGO",
IF(AND($C96="S",$P96&lt;&gt;"",$Q96&lt;&gt;"",$R96="(Código não identificado nas referências)"),"CÓDIGO N/ID",
IF(AND($C96="S",OR($R96="",$R96="(digite a descrição aqui)"),OR($Q96&lt;&gt;"",$T96&gt;0,$U96&gt;0)),"DESCRIÇÃO",
IF(AND($C96="S",$P96&lt;&gt;"",$Q96&lt;&gt;"",$S96=""),"UNIDADE",
IF(AND($C96="S",$P96&lt;&gt;"",$Q96&lt;&gt;"",$U96=0),"SEM CUSTO",
IF(AND(_xlfn.SINGLE(TIPOORCAMENTO)="Licitado",$AL96=0,$AN96&gt;0),"SEM PREÇO",
IF(AND($C96="S",$P96&lt;&gt;"",$Q96&lt;&gt;"",$U96&gt;0,$V96=0),"BDI",
IF(OR(AND(TIPOORCAMENTO="Proposto",LEFT($O$8,5)&lt;&gt;"(N/D:",$AG96&lt;&gt;"",ORÇAMENTO.CustoUnitario&gt;$AG96),AND(TIPOORCAMENTO="LICITADO",ORÇAMENTO.PrecoUnitarioLicitado&gt;$AN96)),"ACIMA REF.",
IF(AND($C96="S",$P96&lt;&gt;"",$Q96&lt;&gt;"",$T96=0,$U96&gt;0),"QUANT.",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 xml:space="preserve"> </v>
      </c>
      <c r="AD96" t="str">
        <f ca="1">IF(C96&lt;=CRONO.NivelExibicao,MAX($AD$15:OFFSET(AD96,-1,0))+IF($C96&lt;&gt;1,1,MAX(1,COUNTIF(QCI!$A$13:$A$24,OFFSET($E96,-1,0)))),"")</f>
        <v/>
      </c>
      <c r="AE96" s="7" t="str">
        <f ca="1">IF(AND($C96="S",ORÇAMENTO.CodBarra&lt;&gt;""),IF(ORÇAMENTO.Fonte="",ORÇAMENTO.CodBarra,CONCATENATE(ORÇAMENTO.Fonte," ",ORÇAMENTO.CodBarra)))</f>
        <v>SINAPI 92762</v>
      </c>
      <c r="AF96" s="12">
        <f ca="1">IF(ISERROR(INDIRECT(ORÇAMENTO.BancoRef)),"(abra o arquivo 'Referência "&amp;Excel_BuiltIn_Database&amp;".xlsm)",IF(OR($C96&lt;&gt;"S",ORÇAMENTO.CodBarra=""),"(Sem Código)",IF(ISERROR(MATCH($AE96,INDIRECT(ORÇAMENTO.BancoRef),0)),"(Código não identificado nas referências)",MATCH($AE96,INDIRECT(ORÇAMENTO.BancoRef),0))))</f>
        <v>6472</v>
      </c>
      <c r="AG96" s="429">
        <f ca="1">ROUND(IF(DESONERACAO="sim",REFERENCIA.Desonerado,REFERENCIA.NaoDesonerado),2)</f>
        <v>10.1</v>
      </c>
      <c r="AH96" s="430">
        <f t="shared" ref="AH96:AH104" ca="1" si="136">ROUND(IF(ISNUMBER(ORÇAMENTO.OpcaoBDI),ORÇAMENTO.OpcaoBDI,IF(LEFT(ORÇAMENTO.OpcaoBDI,3)="BDI",HLOOKUP(ORÇAMENTO.OpcaoBDI,$F$4:$H$5,2,FALSE),0)),15-11*$AF$9)</f>
        <v>0.27250000000000002</v>
      </c>
      <c r="AJ96" s="432"/>
      <c r="AL96" s="440"/>
      <c r="AM96" s="337">
        <f t="shared" ca="1" si="0"/>
        <v>4862.59</v>
      </c>
      <c r="AN96" s="471">
        <f t="shared" ref="AN96:AN104" ca="1" si="137">ROUND(ORÇAMENTO.CustoUnitario*(1+$AH96),2)</f>
        <v>11.52</v>
      </c>
    </row>
    <row r="97" spans="1:40" ht="38.25" x14ac:dyDescent="0.2">
      <c r="A97" t="str">
        <f t="shared" si="134"/>
        <v>S</v>
      </c>
      <c r="B97">
        <f t="shared" ref="B97:B104" ca="1" si="138">IF(OR(C97="s",C97=0),OFFSET(B97,-1,0),C97)</f>
        <v>2</v>
      </c>
      <c r="C97" t="str">
        <f t="shared" ref="C97:C104" ca="1" si="139">IF(OFFSET(C97,-1,0)="L",1,IF(OFFSET(C97,-1,0)=1,2,IF(OR(A97="s",A97=0),"S",IF(AND(OFFSET(C97,-1,0)=2,A97=4),3,IF(AND(OR(OFFSET(C97,-1,0)="s",OFFSET(C97,-1,0)=0),A97&lt;&gt;"s",A97&gt;OFFSET(B97,-1,0)),OFFSET(B97,-1,0),A97)))))</f>
        <v>S</v>
      </c>
      <c r="D97">
        <f t="shared" ref="D97:D104" ca="1" si="140">IF(OR(C97="S",C97=0),0,IF(ISERROR(K97),J97,SMALL(J97:K97,1)))</f>
        <v>0</v>
      </c>
      <c r="E97">
        <f ca="1">IF($C97=1,OFFSET(E97,-1,0)+MAX(1,COUNTIF(QCI!$A$13:$A$24,OFFSET(ORÇAMENTO!E97,-1,0))),OFFSET(E97,-1,0))</f>
        <v>1</v>
      </c>
      <c r="F97">
        <f t="shared" ref="F97:F104" ca="1" si="141">IF($C97=1,0,IF($C97=2,OFFSET(F97,-1,0)+1,OFFSET(F97,-1,0)))</f>
        <v>7</v>
      </c>
      <c r="G97">
        <f t="shared" ref="G97:G104" ca="1" si="142">IF(AND($C97&lt;=2,$C97&lt;&gt;0),0,IF($C97=3,OFFSET(G97,-1,0)+1,OFFSET(G97,-1,0)))</f>
        <v>0</v>
      </c>
      <c r="H97">
        <f t="shared" ref="H97:H104" ca="1" si="143">IF(AND($C97&lt;=3,$C97&lt;&gt;0),0,IF($C97=4,OFFSET(H97,-1,0)+1,OFFSET(H97,-1,0)))</f>
        <v>0</v>
      </c>
      <c r="I97">
        <f t="shared" ref="I97:I104" ca="1" si="144">IF(AND($C97&lt;=4,$C97&lt;&gt;0),0,IF(AND($C97="S",$X97&gt;0),OFFSET(I97,-1,0)+1,OFFSET(I97,-1,0)))</f>
        <v>10</v>
      </c>
      <c r="J97">
        <f t="shared" ca="1" si="133"/>
        <v>0</v>
      </c>
      <c r="K97">
        <f ca="1">IF(OR($C97="S",$C97=0),0,MATCH(OFFSET($D97,0,$C97)+IF($C97&lt;&gt;1,1,COUNTIF(QCI!$A$13:$A$24,ORÇAMENTO!E97)),OFFSET($D97,1,$C97,ROW($C$105)-ROW($C97)),0))</f>
        <v>0</v>
      </c>
      <c r="L97" s="115" t="str">
        <f t="shared" ref="L97:L104" ca="1" si="145">IF(OR($X97&gt;0,$C97=1,$C97=2,$C97=3,$C97=4),"F","")</f>
        <v>F</v>
      </c>
      <c r="M97" s="116" t="s">
        <v>706</v>
      </c>
      <c r="N97" s="117" t="str">
        <f t="shared" ref="N97:N104" ca="1" si="146">CHOOSE(1+LOG(1+2*(C97=1)+4*(C97=2)+8*(C97=3)+16*(C97=4)+32*(C97="S"),2),"","Meta","Nível 2","Nível 3","Nível 4","Serviço")</f>
        <v>Serviço</v>
      </c>
      <c r="O97" s="118" t="str">
        <f t="shared" ref="O97:O104" ca="1" si="147">IF(OR($C97=0,$L97=""),"-",CONCATENATE(E97&amp;".",IF(AND($A$5&gt;=2,$C97&gt;=2),F97&amp;".",""),IF(AND($A$5&gt;=3,$C97&gt;=3),G97&amp;".",""),IF(AND($A$5&gt;=4,$C97&gt;=4),H97&amp;".",""),IF($C97="S",I97&amp;".","")))</f>
        <v>1.7.10.</v>
      </c>
      <c r="P97" s="119" t="s">
        <v>751</v>
      </c>
      <c r="Q97" s="120" t="s">
        <v>1028</v>
      </c>
      <c r="R97" s="121" t="str">
        <f ca="1">IF($C97="S",REFERENCIA.Descricao,"(digite a descrição aqui)")</f>
        <v>ARMAÇÃO DE PILAR OU VIGA DE ESTRUTURA CONVENCIONAL DE CONCRETO ARMADO UTILIZANDO AÇO CA-60 DE 5,0 MM - MONTAGEM. AF_06/2022</v>
      </c>
      <c r="S97" s="122" t="str">
        <f ca="1">REFERENCIA.Unidade</f>
        <v>KG</v>
      </c>
      <c r="T97" s="123">
        <f ca="1">OFFSET(CÁLCULO!H$15,ROW($T97)-ROW(T$15),0)</f>
        <v>175.5</v>
      </c>
      <c r="U97" s="124">
        <v>12</v>
      </c>
      <c r="V97" s="125" t="s">
        <v>664</v>
      </c>
      <c r="W97" s="123">
        <f ca="1">IF($C97="S",ROUND(IF(TIPOORCAMENTO="Proposto",ORÇAMENTO.CustoUnitario*(1+$AH97),ORÇAMENTO.PrecoUnitarioLicitado),15-13*$AF$10),0)</f>
        <v>15.27</v>
      </c>
      <c r="X97" s="126" cm="1">
        <f t="array" aca="1" ref="X97" ca="1">IF($C97="S",IF(OR(Import.TipoArredondamento&lt;&gt;"TransfereGOV",ACOMPANHAMENTO="BM"),VTOTAL1,SUM(OFFSET(CÁLCULO!$AA$15,ROW($X97)-ROW($X$15),1):OFFSET(CÁLCULO!$AL$15,ROW($X97)-ROW($X$15),-1))),IF($C97=0,0,ROUND(SomaAgrup,15-13*$AF$11)))</f>
        <v>2679.89</v>
      </c>
      <c r="Y97" s="127" t="s">
        <v>752</v>
      </c>
      <c r="Z97" t="str">
        <f t="shared" ref="Z97:Z104" ca="1" si="148">IF(AND($C97="S",$X97&gt;0),IF(ISBLANK($Y97),"RA",LEFT($Y97,2)),"")</f>
        <v>RA</v>
      </c>
      <c r="AA97" s="128">
        <f ca="1">IF($C97="S",IF($Z97="CP",$X97,IF($Z97="RA",(($X97)*QCI!$AA$3),0)),SomaAgrup)</f>
        <v>2679.89</v>
      </c>
      <c r="AB97" s="129">
        <f t="shared" ca="1" si="135"/>
        <v>0</v>
      </c>
      <c r="AC97" s="566" t="str" cm="1">
        <f t="array" aca="1" ref="AC97" ca="1">IF($N97=""," ",
IF(AND($C97&lt;&gt;"S",OR($R97="",$R97="(digite a descrição aqui)")),"DESCRIÇÃO",
IF(AND($C97="S",OR($Q97&lt;&gt;"",$T97&gt;0,$U97&gt;0),$P97=""),"FONTE",
IF(AND($C97="S",$P97&lt;&gt;"",OR($T97&gt;0,$U97&gt;0),$Q97=""),"CÓDIGO",
IF(AND($C97="S",$P97&lt;&gt;"",$Q97&lt;&gt;"",$R97="(Código não identificado nas referências)"),"CÓDIGO N/ID",
IF(AND($C97="S",OR($R97="",$R97="(digite a descrição aqui)"),OR($Q97&lt;&gt;"",$T97&gt;0,$U97&gt;0)),"DESCRIÇÃO",
IF(AND($C97="S",$P97&lt;&gt;"",$Q97&lt;&gt;"",$S97=""),"UNIDADE",
IF(AND($C97="S",$P97&lt;&gt;"",$Q97&lt;&gt;"",$U97=0),"SEM CUSTO",
IF(AND(_xlfn.SINGLE(TIPOORCAMENTO)="Licitado",$AL97=0,$AN97&gt;0),"SEM PREÇO",
IF(AND($C97="S",$P97&lt;&gt;"",$Q97&lt;&gt;"",$U97&gt;0,$V97=0),"BDI",
IF(OR(AND(TIPOORCAMENTO="Proposto",LEFT($O$8,5)&lt;&gt;"(N/D:",$AG97&lt;&gt;"",ORÇAMENTO.CustoUnitario&gt;$AG97),AND(TIPOORCAMENTO="LICITADO",ORÇAMENTO.PrecoUnitarioLicitado&gt;$AN97)),"ACIMA REF.",
IF(AND($C97="S",$P97&lt;&gt;"",$Q97&lt;&gt;"",$T97=0,$U97&gt;0),"QUANT.",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 xml:space="preserve"> </v>
      </c>
      <c r="AD97" t="str">
        <f ca="1">IF(C97&lt;=CRONO.NivelExibicao,MAX($AD$15:OFFSET(AD97,-1,0))+IF($C97&lt;&gt;1,1,MAX(1,COUNTIF(QCI!$A$13:$A$24,OFFSET($E97,-1,0)))),"")</f>
        <v/>
      </c>
      <c r="AE97" s="7" t="str">
        <f ca="1">IF(AND($C97="S",ORÇAMENTO.CodBarra&lt;&gt;""),IF(ORÇAMENTO.Fonte="",ORÇAMENTO.CodBarra,CONCATENATE(ORÇAMENTO.Fonte," ",ORÇAMENTO.CodBarra)))</f>
        <v>SINAPI 92759</v>
      </c>
      <c r="AF97" s="12">
        <f ca="1">IF(ISERROR(INDIRECT(ORÇAMENTO.BancoRef)),"(abra o arquivo 'Referência "&amp;Excel_BuiltIn_Database&amp;".xlsm)",IF(OR($C97&lt;&gt;"S",ORÇAMENTO.CodBarra=""),"(Sem Código)",IF(ISERROR(MATCH($AE97,INDIRECT(ORÇAMENTO.BancoRef),0)),"(Código não identificado nas referências)",MATCH($AE97,INDIRECT(ORÇAMENTO.BancoRef),0))))</f>
        <v>6480</v>
      </c>
      <c r="AG97" s="429">
        <f ca="1">ROUND(IF(DESONERACAO="sim",REFERENCIA.Desonerado,REFERENCIA.NaoDesonerado),2)</f>
        <v>13.38</v>
      </c>
      <c r="AH97" s="430">
        <f t="shared" ca="1" si="136"/>
        <v>0.27250000000000002</v>
      </c>
      <c r="AJ97" s="432"/>
      <c r="AL97" s="440"/>
      <c r="AM97" s="337">
        <f t="shared" ca="1" si="0"/>
        <v>2679.89</v>
      </c>
      <c r="AN97" s="471">
        <f t="shared" ca="1" si="137"/>
        <v>15.27</v>
      </c>
    </row>
    <row r="98" spans="1:40" ht="25.5" x14ac:dyDescent="0.2">
      <c r="A98" t="str">
        <f t="shared" si="134"/>
        <v>S</v>
      </c>
      <c r="B98">
        <f t="shared" ca="1" si="138"/>
        <v>2</v>
      </c>
      <c r="C98" t="str">
        <f t="shared" ca="1" si="139"/>
        <v>S</v>
      </c>
      <c r="D98">
        <f t="shared" ca="1" si="140"/>
        <v>0</v>
      </c>
      <c r="E98">
        <f ca="1">IF($C98=1,OFFSET(E98,-1,0)+MAX(1,COUNTIF(QCI!$A$13:$A$24,OFFSET(ORÇAMENTO!E98,-1,0))),OFFSET(E98,-1,0))</f>
        <v>1</v>
      </c>
      <c r="F98">
        <f t="shared" ca="1" si="141"/>
        <v>7</v>
      </c>
      <c r="G98">
        <f t="shared" ca="1" si="142"/>
        <v>0</v>
      </c>
      <c r="H98">
        <f t="shared" ca="1" si="143"/>
        <v>0</v>
      </c>
      <c r="I98">
        <f t="shared" ca="1" si="144"/>
        <v>11</v>
      </c>
      <c r="J98">
        <f t="shared" ca="1" si="133"/>
        <v>0</v>
      </c>
      <c r="K98">
        <f ca="1">IF(OR($C98="S",$C98=0),0,MATCH(OFFSET($D98,0,$C98)+IF($C98&lt;&gt;1,1,COUNTIF(QCI!$A$13:$A$24,ORÇAMENTO!E98)),OFFSET($D98,1,$C98,ROW($C$105)-ROW($C98)),0))</f>
        <v>0</v>
      </c>
      <c r="L98" s="115" t="str">
        <f t="shared" ca="1" si="145"/>
        <v>F</v>
      </c>
      <c r="M98" s="116" t="s">
        <v>706</v>
      </c>
      <c r="N98" s="117" t="str">
        <f t="shared" ca="1" si="146"/>
        <v>Serviço</v>
      </c>
      <c r="O98" s="118" t="str">
        <f t="shared" ca="1" si="147"/>
        <v>1.7.11.</v>
      </c>
      <c r="P98" s="119" t="s">
        <v>751</v>
      </c>
      <c r="Q98" s="120" t="s">
        <v>1029</v>
      </c>
      <c r="R98" s="121" t="str">
        <f ca="1">IF($C98="S",REFERENCIA.Descricao,"(digite a descrição aqui)")</f>
        <v>ARMAÇÃO DE SAPATA ISOLADA, VIGA BALDRAME E SAPATA CORRIDA UTILIZANDO AÇO CA-50 DE 8 MM - MONTAGEM. AF_01/2024</v>
      </c>
      <c r="S98" s="122" t="str">
        <f ca="1">REFERENCIA.Unidade</f>
        <v>KG</v>
      </c>
      <c r="T98" s="123">
        <f ca="1">OFFSET(CÁLCULO!H$15,ROW($T98)-ROW(T$15),0)</f>
        <v>138.65</v>
      </c>
      <c r="U98" s="124">
        <v>12.1</v>
      </c>
      <c r="V98" s="125" t="s">
        <v>664</v>
      </c>
      <c r="W98" s="123">
        <f ca="1">IF($C98="S",ROUND(IF(TIPOORCAMENTO="Proposto",ORÇAMENTO.CustoUnitario*(1+$AH98),ORÇAMENTO.PrecoUnitarioLicitado),15-13*$AF$10),0)</f>
        <v>15.4</v>
      </c>
      <c r="X98" s="126" cm="1">
        <f t="array" aca="1" ref="X98" ca="1">IF($C98="S",IF(OR(Import.TipoArredondamento&lt;&gt;"TransfereGOV",ACOMPANHAMENTO="BM"),VTOTAL1,SUM(OFFSET(CÁLCULO!$AA$15,ROW($X98)-ROW($X$15),1):OFFSET(CÁLCULO!$AL$15,ROW($X98)-ROW($X$15),-1))),IF($C98=0,0,ROUND(SomaAgrup,15-13*$AF$11)))</f>
        <v>2135.21</v>
      </c>
      <c r="Y98" s="127" t="s">
        <v>752</v>
      </c>
      <c r="Z98" t="str">
        <f t="shared" ca="1" si="148"/>
        <v>RA</v>
      </c>
      <c r="AA98" s="128">
        <f ca="1">IF($C98="S",IF($Z98="CP",$X98,IF($Z98="RA",(($X98)*QCI!$AA$3),0)),SomaAgrup)</f>
        <v>2135.21</v>
      </c>
      <c r="AB98" s="129">
        <f t="shared" ca="1" si="135"/>
        <v>0</v>
      </c>
      <c r="AC98" s="566" t="str" cm="1">
        <f t="array" aca="1" ref="AC98" ca="1">IF($N98=""," ",
IF(AND($C98&lt;&gt;"S",OR($R98="",$R98="(digite a descrição aqui)")),"DESCRIÇÃO",
IF(AND($C98="S",OR($Q98&lt;&gt;"",$T98&gt;0,$U98&gt;0),$P98=""),"FONTE",
IF(AND($C98="S",$P98&lt;&gt;"",OR($T98&gt;0,$U98&gt;0),$Q98=""),"CÓDIGO",
IF(AND($C98="S",$P98&lt;&gt;"",$Q98&lt;&gt;"",$R98="(Código não identificado nas referências)"),"CÓDIGO N/ID",
IF(AND($C98="S",OR($R98="",$R98="(digite a descrição aqui)"),OR($Q98&lt;&gt;"",$T98&gt;0,$U98&gt;0)),"DESCRIÇÃO",
IF(AND($C98="S",$P98&lt;&gt;"",$Q98&lt;&gt;"",$S98=""),"UNIDADE",
IF(AND($C98="S",$P98&lt;&gt;"",$Q98&lt;&gt;"",$U98=0),"SEM CUSTO",
IF(AND(_xlfn.SINGLE(TIPOORCAMENTO)="Licitado",$AL98=0,$AN98&gt;0),"SEM PREÇO",
IF(AND($C98="S",$P98&lt;&gt;"",$Q98&lt;&gt;"",$U98&gt;0,$V98=0),"BDI",
IF(OR(AND(TIPOORCAMENTO="Proposto",LEFT($O$8,5)&lt;&gt;"(N/D:",$AG98&lt;&gt;"",ORÇAMENTO.CustoUnitario&gt;$AG98),AND(TIPOORCAMENTO="LICITADO",ORÇAMENTO.PrecoUnitarioLicitado&gt;$AN98)),"ACIMA REF.",
IF(AND($C98="S",$P98&lt;&gt;"",$Q98&lt;&gt;"",$T98=0,$U98&gt;0),"QUANT.",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 xml:space="preserve"> </v>
      </c>
      <c r="AD98" t="str">
        <f ca="1">IF(C98&lt;=CRONO.NivelExibicao,MAX($AD$15:OFFSET(AD98,-1,0))+IF($C98&lt;&gt;1,1,MAX(1,COUNTIF(QCI!$A$13:$A$24,OFFSET($E98,-1,0)))),"")</f>
        <v/>
      </c>
      <c r="AE98" s="7" t="str">
        <f ca="1">IF(AND($C98="S",ORÇAMENTO.CodBarra&lt;&gt;""),IF(ORÇAMENTO.Fonte="",ORÇAMENTO.CodBarra,CONCATENATE(ORÇAMENTO.Fonte," ",ORÇAMENTO.CodBarra)))</f>
        <v>SINAPI 104918</v>
      </c>
      <c r="AF98" s="12">
        <f ca="1">IF(ISERROR(INDIRECT(ORÇAMENTO.BancoRef)),"(abra o arquivo 'Referência "&amp;Excel_BuiltIn_Database&amp;".xlsm)",IF(OR($C98&lt;&gt;"S",ORÇAMENTO.CodBarra=""),"(Sem Código)",IF(ISERROR(MATCH($AE98,INDIRECT(ORÇAMENTO.BancoRef),0)),"(Código não identificado nas referências)",MATCH($AE98,INDIRECT(ORÇAMENTO.BancoRef),0))))</f>
        <v>10444</v>
      </c>
      <c r="AG98" s="429">
        <f ca="1">ROUND(IF(DESONERACAO="sim",REFERENCIA.Desonerado,REFERENCIA.NaoDesonerado),2)</f>
        <v>13.49</v>
      </c>
      <c r="AH98" s="430">
        <f t="shared" ca="1" si="136"/>
        <v>0.27250000000000002</v>
      </c>
      <c r="AJ98" s="432"/>
      <c r="AL98" s="440"/>
      <c r="AM98" s="337">
        <f t="shared" ca="1" si="0"/>
        <v>2135.21</v>
      </c>
      <c r="AN98" s="471">
        <f t="shared" ca="1" si="137"/>
        <v>15.4</v>
      </c>
    </row>
    <row r="99" spans="1:40" ht="51" x14ac:dyDescent="0.2">
      <c r="A99" t="str">
        <f t="shared" si="134"/>
        <v>S</v>
      </c>
      <c r="B99">
        <f t="shared" ca="1" si="138"/>
        <v>2</v>
      </c>
      <c r="C99" t="str">
        <f t="shared" ca="1" si="139"/>
        <v>S</v>
      </c>
      <c r="D99">
        <f t="shared" ca="1" si="140"/>
        <v>0</v>
      </c>
      <c r="E99">
        <f ca="1">IF($C99=1,OFFSET(E99,-1,0)+MAX(1,COUNTIF(QCI!$A$13:$A$24,OFFSET(ORÇAMENTO!E99,-1,0))),OFFSET(E99,-1,0))</f>
        <v>1</v>
      </c>
      <c r="F99">
        <f t="shared" ca="1" si="141"/>
        <v>7</v>
      </c>
      <c r="G99">
        <f t="shared" ca="1" si="142"/>
        <v>0</v>
      </c>
      <c r="H99">
        <f t="shared" ca="1" si="143"/>
        <v>0</v>
      </c>
      <c r="I99">
        <f t="shared" ca="1" si="144"/>
        <v>12</v>
      </c>
      <c r="J99">
        <f t="shared" ca="1" si="133"/>
        <v>0</v>
      </c>
      <c r="K99">
        <f ca="1">IF(OR($C99="S",$C99=0),0,MATCH(OFFSET($D99,0,$C99)+IF($C99&lt;&gt;1,1,COUNTIF(QCI!$A$13:$A$24,ORÇAMENTO!E99)),OFFSET($D99,1,$C99,ROW($C$105)-ROW($C99)),0))</f>
        <v>0</v>
      </c>
      <c r="L99" s="115" t="str">
        <f t="shared" ca="1" si="145"/>
        <v>F</v>
      </c>
      <c r="M99" s="116" t="s">
        <v>706</v>
      </c>
      <c r="N99" s="117" t="str">
        <f t="shared" ca="1" si="146"/>
        <v>Serviço</v>
      </c>
      <c r="O99" s="118" t="str">
        <f t="shared" ca="1" si="147"/>
        <v>1.7.12.</v>
      </c>
      <c r="P99" s="119" t="s">
        <v>751</v>
      </c>
      <c r="Q99" s="120" t="s">
        <v>1058</v>
      </c>
      <c r="R99" s="121" t="str">
        <f ca="1">IF($C99="S",REFERENCIA.Descricao,"(digite a descrição aqui)")</f>
        <v>DRENO EM MURO DE CONTENÇÃO, EXECUTADO NO PÉ DO MURO, COM TUBO DE PEAD CORRUGADO FLEXÍVEL PERFURADO, ENCHIMENTO COM BRITA, ENVOLVIDO COM MANTA GEOTÊXTIL. AF_07/2021</v>
      </c>
      <c r="S99" s="122" t="str">
        <f ca="1">REFERENCIA.Unidade</f>
        <v>M</v>
      </c>
      <c r="T99" s="123">
        <f ca="1">OFFSET(CÁLCULO!H$15,ROW($T99)-ROW(T$15),0)</f>
        <v>16</v>
      </c>
      <c r="U99" s="124">
        <v>50.9</v>
      </c>
      <c r="V99" s="125" t="s">
        <v>664</v>
      </c>
      <c r="W99" s="123">
        <f ca="1">IF($C99="S",ROUND(IF(TIPOORCAMENTO="Proposto",ORÇAMENTO.CustoUnitario*(1+$AH99),ORÇAMENTO.PrecoUnitarioLicitado),15-13*$AF$10),0)</f>
        <v>64.77</v>
      </c>
      <c r="X99" s="126" cm="1">
        <f t="array" aca="1" ref="X99" ca="1">IF($C99="S",IF(OR(Import.TipoArredondamento&lt;&gt;"TransfereGOV",ACOMPANHAMENTO="BM"),VTOTAL1,SUM(OFFSET(CÁLCULO!$AA$15,ROW($X99)-ROW($X$15),1):OFFSET(CÁLCULO!$AL$15,ROW($X99)-ROW($X$15),-1))),IF($C99=0,0,ROUND(SomaAgrup,15-13*$AF$11)))</f>
        <v>1036.32</v>
      </c>
      <c r="Y99" s="127" t="s">
        <v>752</v>
      </c>
      <c r="Z99" t="str">
        <f t="shared" ca="1" si="148"/>
        <v>RA</v>
      </c>
      <c r="AA99" s="128">
        <f ca="1">IF($C99="S",IF($Z99="CP",$X99,IF($Z99="RA",(($X99)*QCI!$AA$3),0)),SomaAgrup)</f>
        <v>1036.32</v>
      </c>
      <c r="AB99" s="129">
        <f t="shared" ca="1" si="135"/>
        <v>0</v>
      </c>
      <c r="AC99" s="566" t="str" cm="1">
        <f t="array" aca="1" ref="AC99" ca="1">IF($N99=""," ",
IF(AND($C99&lt;&gt;"S",OR($R99="",$R99="(digite a descrição aqui)")),"DESCRIÇÃO",
IF(AND($C99="S",OR($Q99&lt;&gt;"",$T99&gt;0,$U99&gt;0),$P99=""),"FONTE",
IF(AND($C99="S",$P99&lt;&gt;"",OR($T99&gt;0,$U99&gt;0),$Q99=""),"CÓDIGO",
IF(AND($C99="S",$P99&lt;&gt;"",$Q99&lt;&gt;"",$R99="(Código não identificado nas referências)"),"CÓDIGO N/ID",
IF(AND($C99="S",OR($R99="",$R99="(digite a descrição aqui)"),OR($Q99&lt;&gt;"",$T99&gt;0,$U99&gt;0)),"DESCRIÇÃO",
IF(AND($C99="S",$P99&lt;&gt;"",$Q99&lt;&gt;"",$S99=""),"UNIDADE",
IF(AND($C99="S",$P99&lt;&gt;"",$Q99&lt;&gt;"",$U99=0),"SEM CUSTO",
IF(AND(_xlfn.SINGLE(TIPOORCAMENTO)="Licitado",$AL99=0,$AN99&gt;0),"SEM PREÇO",
IF(AND($C99="S",$P99&lt;&gt;"",$Q99&lt;&gt;"",$U99&gt;0,$V99=0),"BDI",
IF(OR(AND(TIPOORCAMENTO="Proposto",LEFT($O$8,5)&lt;&gt;"(N/D:",$AG99&lt;&gt;"",ORÇAMENTO.CustoUnitario&gt;$AG99),AND(TIPOORCAMENTO="LICITADO",ORÇAMENTO.PrecoUnitarioLicitado&gt;$AN99)),"ACIMA REF.",
IF(AND($C99="S",$P99&lt;&gt;"",$Q99&lt;&gt;"",$T99=0,$U99&gt;0),"QUANT.",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 xml:space="preserve"> </v>
      </c>
      <c r="AD99" t="str">
        <f ca="1">IF(C99&lt;=CRONO.NivelExibicao,MAX($AD$15:OFFSET(AD99,-1,0))+IF($C99&lt;&gt;1,1,MAX(1,COUNTIF(QCI!$A$13:$A$24,OFFSET($E99,-1,0)))),"")</f>
        <v/>
      </c>
      <c r="AE99" s="7" t="str">
        <f ca="1">IF(AND($C99="S",ORÇAMENTO.CodBarra&lt;&gt;""),IF(ORÇAMENTO.Fonte="",ORÇAMENTO.CodBarra,CONCATENATE(ORÇAMENTO.Fonte," ",ORÇAMENTO.CodBarra)))</f>
        <v>SINAPI 102722</v>
      </c>
      <c r="AF99" s="12">
        <f ca="1">IF(ISERROR(INDIRECT(ORÇAMENTO.BancoRef)),"(abra o arquivo 'Referência "&amp;Excel_BuiltIn_Database&amp;".xlsm)",IF(OR($C99&lt;&gt;"S",ORÇAMENTO.CodBarra=""),"(Sem Código)",IF(ISERROR(MATCH($AE99,INDIRECT(ORÇAMENTO.BancoRef),0)),"(Código não identificado nas referências)",MATCH($AE99,INDIRECT(ORÇAMENTO.BancoRef),0))))</f>
        <v>9148</v>
      </c>
      <c r="AG99" s="429">
        <f ca="1">ROUND(IF(DESONERACAO="sim",REFERENCIA.Desonerado,REFERENCIA.NaoDesonerado),2)</f>
        <v>56.59</v>
      </c>
      <c r="AH99" s="430">
        <f t="shared" ca="1" si="136"/>
        <v>0.27250000000000002</v>
      </c>
      <c r="AJ99" s="432"/>
      <c r="AL99" s="440"/>
      <c r="AM99" s="337">
        <f t="shared" ca="1" si="0"/>
        <v>1036.32</v>
      </c>
      <c r="AN99" s="471">
        <f t="shared" ca="1" si="137"/>
        <v>64.77</v>
      </c>
    </row>
    <row r="100" spans="1:40" ht="38.25" x14ac:dyDescent="0.2">
      <c r="A100" t="str">
        <f t="shared" si="134"/>
        <v>S</v>
      </c>
      <c r="B100">
        <f t="shared" ca="1" si="138"/>
        <v>2</v>
      </c>
      <c r="C100" t="str">
        <f t="shared" ca="1" si="139"/>
        <v>S</v>
      </c>
      <c r="D100">
        <f t="shared" ca="1" si="140"/>
        <v>0</v>
      </c>
      <c r="E100">
        <f ca="1">IF($C100=1,OFFSET(E100,-1,0)+MAX(1,COUNTIF(QCI!$A$13:$A$24,OFFSET(ORÇAMENTO!E100,-1,0))),OFFSET(E100,-1,0))</f>
        <v>1</v>
      </c>
      <c r="F100">
        <f t="shared" ca="1" si="141"/>
        <v>7</v>
      </c>
      <c r="G100">
        <f t="shared" ca="1" si="142"/>
        <v>0</v>
      </c>
      <c r="H100">
        <f t="shared" ca="1" si="143"/>
        <v>0</v>
      </c>
      <c r="I100">
        <f t="shared" ca="1" si="144"/>
        <v>13</v>
      </c>
      <c r="J100">
        <f t="shared" ca="1" si="133"/>
        <v>0</v>
      </c>
      <c r="K100">
        <f ca="1">IF(OR($C100="S",$C100=0),0,MATCH(OFFSET($D100,0,$C100)+IF($C100&lt;&gt;1,1,COUNTIF(QCI!$A$13:$A$24,ORÇAMENTO!E100)),OFFSET($D100,1,$C100,ROW($C$105)-ROW($C100)),0))</f>
        <v>0</v>
      </c>
      <c r="L100" s="115" t="str">
        <f t="shared" ca="1" si="145"/>
        <v>F</v>
      </c>
      <c r="M100" s="116" t="s">
        <v>706</v>
      </c>
      <c r="N100" s="117" t="str">
        <f t="shared" ca="1" si="146"/>
        <v>Serviço</v>
      </c>
      <c r="O100" s="118" t="str">
        <f t="shared" ca="1" si="147"/>
        <v>1.7.13.</v>
      </c>
      <c r="P100" s="119" t="s">
        <v>751</v>
      </c>
      <c r="Q100" s="120" t="s">
        <v>1059</v>
      </c>
      <c r="R100" s="121" t="str">
        <f ca="1">IF($C100="S",REFERENCIA.Descricao,"(digite a descrição aqui)")</f>
        <v>ESCAVAÇÃO MECANIZADA PARA VIGA BALDRAME OU SAPATA CORRIDA COM MINI-ESCAVADEIRA (INCLUINDO ESCAVAÇÃO PARA COLOCAÇÃO DE FÔRMAS). AF_01/2024</v>
      </c>
      <c r="S100" s="122" t="str">
        <f ca="1">REFERENCIA.Unidade</f>
        <v>M3</v>
      </c>
      <c r="T100" s="123">
        <f ca="1">OFFSET(CÁLCULO!H$15,ROW($T100)-ROW(T$15),0)</f>
        <v>5.75</v>
      </c>
      <c r="U100" s="124">
        <v>50.05</v>
      </c>
      <c r="V100" s="125" t="s">
        <v>664</v>
      </c>
      <c r="W100" s="123">
        <f ca="1">IF($C100="S",ROUND(IF(TIPOORCAMENTO="Proposto",ORÇAMENTO.CustoUnitario*(1+$AH100),ORÇAMENTO.PrecoUnitarioLicitado),15-13*$AF$10),0)</f>
        <v>63.69</v>
      </c>
      <c r="X100" s="126" cm="1">
        <f t="array" aca="1" ref="X100" ca="1">IF($C100="S",IF(OR(Import.TipoArredondamento&lt;&gt;"TransfereGOV",ACOMPANHAMENTO="BM"),VTOTAL1,SUM(OFFSET(CÁLCULO!$AA$15,ROW($X100)-ROW($X$15),1):OFFSET(CÁLCULO!$AL$15,ROW($X100)-ROW($X$15),-1))),IF($C100=0,0,ROUND(SomaAgrup,15-13*$AF$11)))</f>
        <v>366.22</v>
      </c>
      <c r="Y100" s="127" t="s">
        <v>752</v>
      </c>
      <c r="Z100" t="str">
        <f t="shared" ca="1" si="148"/>
        <v>RA</v>
      </c>
      <c r="AA100" s="128">
        <f ca="1">IF($C100="S",IF($Z100="CP",$X100,IF($Z100="RA",(($X100)*QCI!$AA$3),0)),SomaAgrup)</f>
        <v>366.22</v>
      </c>
      <c r="AB100" s="129">
        <f t="shared" ca="1" si="135"/>
        <v>0</v>
      </c>
      <c r="AC100" s="566" t="str" cm="1">
        <f t="array" aca="1" ref="AC100" ca="1">IF($N100=""," ",
IF(AND($C100&lt;&gt;"S",OR($R100="",$R100="(digite a descrição aqui)")),"DESCRIÇÃO",
IF(AND($C100="S",OR($Q100&lt;&gt;"",$T100&gt;0,$U100&gt;0),$P100=""),"FONTE",
IF(AND($C100="S",$P100&lt;&gt;"",OR($T100&gt;0,$U100&gt;0),$Q100=""),"CÓDIGO",
IF(AND($C100="S",$P100&lt;&gt;"",$Q100&lt;&gt;"",$R100="(Código não identificado nas referências)"),"CÓDIGO N/ID",
IF(AND($C100="S",OR($R100="",$R100="(digite a descrição aqui)"),OR($Q100&lt;&gt;"",$T100&gt;0,$U100&gt;0)),"DESCRIÇÃO",
IF(AND($C100="S",$P100&lt;&gt;"",$Q100&lt;&gt;"",$S100=""),"UNIDADE",
IF(AND($C100="S",$P100&lt;&gt;"",$Q100&lt;&gt;"",$U100=0),"SEM CUSTO",
IF(AND(_xlfn.SINGLE(TIPOORCAMENTO)="Licitado",$AL100=0,$AN100&gt;0),"SEM PREÇO",
IF(AND($C100="S",$P100&lt;&gt;"",$Q100&lt;&gt;"",$U100&gt;0,$V100=0),"BDI",
IF(OR(AND(TIPOORCAMENTO="Proposto",LEFT($O$8,5)&lt;&gt;"(N/D:",$AG100&lt;&gt;"",ORÇAMENTO.CustoUnitario&gt;$AG100),AND(TIPOORCAMENTO="LICITADO",ORÇAMENTO.PrecoUnitarioLicitado&gt;$AN100)),"ACIMA REF.",
IF(AND($C100="S",$P100&lt;&gt;"",$Q100&lt;&gt;"",$T100=0,$U100&gt;0),"QUANT.",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 xml:space="preserve"> </v>
      </c>
      <c r="AD100" t="str">
        <f ca="1">IF(C100&lt;=CRONO.NivelExibicao,MAX($AD$15:OFFSET(AD100,-1,0))+IF($C100&lt;&gt;1,1,MAX(1,COUNTIF(QCI!$A$13:$A$24,OFFSET($E100,-1,0)))),"")</f>
        <v/>
      </c>
      <c r="AE100" s="7" t="str">
        <f ca="1">IF(AND($C100="S",ORÇAMENTO.CodBarra&lt;&gt;""),IF(ORÇAMENTO.Fonte="",ORÇAMENTO.CodBarra,CONCATENATE(ORÇAMENTO.Fonte," ",ORÇAMENTO.CodBarra)))</f>
        <v>SINAPI 96525</v>
      </c>
      <c r="AF100" s="12">
        <f ca="1">IF(ISERROR(INDIRECT(ORÇAMENTO.BancoRef)),"(abra o arquivo 'Referência "&amp;Excel_BuiltIn_Database&amp;".xlsm)",IF(OR($C100&lt;&gt;"S",ORÇAMENTO.CodBarra=""),"(Sem Código)",IF(ISERROR(MATCH($AE100,INDIRECT(ORÇAMENTO.BancoRef),0)),"(Código não identificado nas referências)",MATCH($AE100,INDIRECT(ORÇAMENTO.BancoRef),0))))</f>
        <v>10458</v>
      </c>
      <c r="AG100" s="429">
        <f ca="1">ROUND(IF(DESONERACAO="sim",REFERENCIA.Desonerado,REFERENCIA.NaoDesonerado),2)</f>
        <v>55.62</v>
      </c>
      <c r="AH100" s="430">
        <f t="shared" ca="1" si="136"/>
        <v>0.27250000000000002</v>
      </c>
      <c r="AJ100" s="432"/>
      <c r="AL100" s="440"/>
      <c r="AM100" s="337">
        <f t="shared" ca="1" si="0"/>
        <v>366.22</v>
      </c>
      <c r="AN100" s="471">
        <f t="shared" ca="1" si="137"/>
        <v>63.69</v>
      </c>
    </row>
    <row r="101" spans="1:40" x14ac:dyDescent="0.2">
      <c r="A101" t="str">
        <f t="shared" si="134"/>
        <v>S</v>
      </c>
      <c r="B101">
        <f t="shared" ca="1" si="138"/>
        <v>2</v>
      </c>
      <c r="C101" t="str">
        <f t="shared" ca="1" si="139"/>
        <v>S</v>
      </c>
      <c r="D101">
        <f t="shared" ca="1" si="140"/>
        <v>0</v>
      </c>
      <c r="E101">
        <f ca="1">IF($C101=1,OFFSET(E101,-1,0)+MAX(1,COUNTIF(QCI!$A$13:$A$24,OFFSET(ORÇAMENTO!E101,-1,0))),OFFSET(E101,-1,0))</f>
        <v>1</v>
      </c>
      <c r="F101">
        <f t="shared" ca="1" si="141"/>
        <v>7</v>
      </c>
      <c r="G101">
        <f t="shared" ca="1" si="142"/>
        <v>0</v>
      </c>
      <c r="H101">
        <f t="shared" ca="1" si="143"/>
        <v>0</v>
      </c>
      <c r="I101">
        <f t="shared" ca="1" si="144"/>
        <v>14</v>
      </c>
      <c r="J101">
        <f t="shared" ca="1" si="133"/>
        <v>0</v>
      </c>
      <c r="K101">
        <f ca="1">IF(OR($C101="S",$C101=0),0,MATCH(OFFSET($D101,0,$C101)+IF($C101&lt;&gt;1,1,COUNTIF(QCI!$A$13:$A$24,ORÇAMENTO!E101)),OFFSET($D101,1,$C101,ROW($C$105)-ROW($C101)),0))</f>
        <v>0</v>
      </c>
      <c r="L101" s="115" t="str">
        <f t="shared" ca="1" si="145"/>
        <v>F</v>
      </c>
      <c r="M101" s="116" t="s">
        <v>706</v>
      </c>
      <c r="N101" s="117" t="str">
        <f t="shared" ca="1" si="146"/>
        <v>Serviço</v>
      </c>
      <c r="O101" s="118" t="str">
        <f t="shared" ca="1" si="147"/>
        <v>1.7.14.</v>
      </c>
      <c r="P101" s="119" t="s">
        <v>751</v>
      </c>
      <c r="Q101" s="120" t="s">
        <v>1046</v>
      </c>
      <c r="R101" s="121" t="str">
        <f ca="1">IF($C101="S",REFERENCIA.Descricao,"(digite a descrição aqui)")</f>
        <v>PEDREIRO COM ENCARGOS COMPLEMENTARES</v>
      </c>
      <c r="S101" s="122" t="str">
        <f ca="1">REFERENCIA.Unidade</f>
        <v>H</v>
      </c>
      <c r="T101" s="123">
        <f ca="1">OFFSET(CÁLCULO!H$15,ROW($T101)-ROW(T$15),0)</f>
        <v>180</v>
      </c>
      <c r="U101" s="124">
        <v>26.35</v>
      </c>
      <c r="V101" s="125" t="s">
        <v>664</v>
      </c>
      <c r="W101" s="123">
        <f ca="1">IF($C101="S",ROUND(IF(TIPOORCAMENTO="Proposto",ORÇAMENTO.CustoUnitario*(1+$AH101),ORÇAMENTO.PrecoUnitarioLicitado),15-13*$AF$10),0)</f>
        <v>33.53</v>
      </c>
      <c r="X101" s="126" cm="1">
        <f t="array" aca="1" ref="X101" ca="1">IF($C101="S",IF(OR(Import.TipoArredondamento&lt;&gt;"TransfereGOV",ACOMPANHAMENTO="BM"),VTOTAL1,SUM(OFFSET(CÁLCULO!$AA$15,ROW($X101)-ROW($X$15),1):OFFSET(CÁLCULO!$AL$15,ROW($X101)-ROW($X$15),-1))),IF($C101=0,0,ROUND(SomaAgrup,15-13*$AF$11)))</f>
        <v>6035.4</v>
      </c>
      <c r="Y101" s="127" t="s">
        <v>752</v>
      </c>
      <c r="Z101" t="str">
        <f t="shared" ca="1" si="148"/>
        <v>RA</v>
      </c>
      <c r="AA101" s="128">
        <f ca="1">IF($C101="S",IF($Z101="CP",$X101,IF($Z101="RA",(($X101)*QCI!$AA$3),0)),SomaAgrup)</f>
        <v>6035.4</v>
      </c>
      <c r="AB101" s="129">
        <f t="shared" ca="1" si="135"/>
        <v>0</v>
      </c>
      <c r="AC101" s="566" t="str" cm="1">
        <f t="array" aca="1" ref="AC101" ca="1">IF($N101=""," ",
IF(AND($C101&lt;&gt;"S",OR($R101="",$R101="(digite a descrição aqui)")),"DESCRIÇÃO",
IF(AND($C101="S",OR($Q101&lt;&gt;"",$T101&gt;0,$U101&gt;0),$P101=""),"FONTE",
IF(AND($C101="S",$P101&lt;&gt;"",OR($T101&gt;0,$U101&gt;0),$Q101=""),"CÓDIGO",
IF(AND($C101="S",$P101&lt;&gt;"",$Q101&lt;&gt;"",$R101="(Código não identificado nas referências)"),"CÓDIGO N/ID",
IF(AND($C101="S",OR($R101="",$R101="(digite a descrição aqui)"),OR($Q101&lt;&gt;"",$T101&gt;0,$U101&gt;0)),"DESCRIÇÃO",
IF(AND($C101="S",$P101&lt;&gt;"",$Q101&lt;&gt;"",$S101=""),"UNIDADE",
IF(AND($C101="S",$P101&lt;&gt;"",$Q101&lt;&gt;"",$U101=0),"SEM CUSTO",
IF(AND(_xlfn.SINGLE(TIPOORCAMENTO)="Licitado",$AL101=0,$AN101&gt;0),"SEM PREÇO",
IF(AND($C101="S",$P101&lt;&gt;"",$Q101&lt;&gt;"",$U101&gt;0,$V101=0),"BDI",
IF(OR(AND(TIPOORCAMENTO="Proposto",LEFT($O$8,5)&lt;&gt;"(N/D:",$AG101&lt;&gt;"",ORÇAMENTO.CustoUnitario&gt;$AG101),AND(TIPOORCAMENTO="LICITADO",ORÇAMENTO.PrecoUnitarioLicitado&gt;$AN101)),"ACIMA REF.",
IF(AND($C101="S",$P101&lt;&gt;"",$Q101&lt;&gt;"",$T101=0,$U101&gt;0),"QUANT.",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 xml:space="preserve"> </v>
      </c>
      <c r="AD101" t="str">
        <f ca="1">IF(C101&lt;=CRONO.NivelExibicao,MAX($AD$15:OFFSET(AD101,-1,0))+IF($C101&lt;&gt;1,1,MAX(1,COUNTIF(QCI!$A$13:$A$24,OFFSET($E101,-1,0)))),"")</f>
        <v/>
      </c>
      <c r="AE101" s="7" t="str">
        <f ca="1">IF(AND($C101="S",ORÇAMENTO.CodBarra&lt;&gt;""),IF(ORÇAMENTO.Fonte="",ORÇAMENTO.CodBarra,CONCATENATE(ORÇAMENTO.Fonte," ",ORÇAMENTO.CodBarra)))</f>
        <v>SINAPI 88309</v>
      </c>
      <c r="AF101" s="12">
        <f ca="1">IF(ISERROR(INDIRECT(ORÇAMENTO.BancoRef)),"(abra o arquivo 'Referência "&amp;Excel_BuiltIn_Database&amp;".xlsm)",IF(OR($C101&lt;&gt;"S",ORÇAMENTO.CodBarra=""),"(Sem Código)",IF(ISERROR(MATCH($AE101,INDIRECT(ORÇAMENTO.BancoRef),0)),"(Código não identificado nas referências)",MATCH($AE101,INDIRECT(ORÇAMENTO.BancoRef),0))))</f>
        <v>13660</v>
      </c>
      <c r="AG101" s="429">
        <f ca="1">ROUND(IF(DESONERACAO="sim",REFERENCIA.Desonerado,REFERENCIA.NaoDesonerado),2)</f>
        <v>29.29</v>
      </c>
      <c r="AH101" s="430">
        <f t="shared" ca="1" si="136"/>
        <v>0.27250000000000002</v>
      </c>
      <c r="AJ101" s="432"/>
      <c r="AL101" s="440"/>
      <c r="AM101" s="337">
        <f t="shared" ca="1" si="0"/>
        <v>6035.4</v>
      </c>
      <c r="AN101" s="471">
        <f t="shared" ca="1" si="137"/>
        <v>33.53</v>
      </c>
    </row>
    <row r="102" spans="1:40" x14ac:dyDescent="0.2">
      <c r="A102" t="str">
        <f t="shared" si="134"/>
        <v>S</v>
      </c>
      <c r="B102">
        <f t="shared" ca="1" si="138"/>
        <v>2</v>
      </c>
      <c r="C102" t="str">
        <f t="shared" ca="1" si="139"/>
        <v>S</v>
      </c>
      <c r="D102">
        <f t="shared" ca="1" si="140"/>
        <v>0</v>
      </c>
      <c r="E102">
        <f ca="1">IF($C102=1,OFFSET(E102,-1,0)+MAX(1,COUNTIF(QCI!$A$13:$A$24,OFFSET(ORÇAMENTO!E102,-1,0))),OFFSET(E102,-1,0))</f>
        <v>1</v>
      </c>
      <c r="F102">
        <f t="shared" ca="1" si="141"/>
        <v>7</v>
      </c>
      <c r="G102">
        <f t="shared" ca="1" si="142"/>
        <v>0</v>
      </c>
      <c r="H102">
        <f t="shared" ca="1" si="143"/>
        <v>0</v>
      </c>
      <c r="I102">
        <f t="shared" ca="1" si="144"/>
        <v>15</v>
      </c>
      <c r="J102">
        <f t="shared" ca="1" si="133"/>
        <v>0</v>
      </c>
      <c r="K102">
        <f ca="1">IF(OR($C102="S",$C102=0),0,MATCH(OFFSET($D102,0,$C102)+IF($C102&lt;&gt;1,1,COUNTIF(QCI!$A$13:$A$24,ORÇAMENTO!E102)),OFFSET($D102,1,$C102,ROW($C$105)-ROW($C102)),0))</f>
        <v>0</v>
      </c>
      <c r="L102" s="115" t="str">
        <f t="shared" ca="1" si="145"/>
        <v>F</v>
      </c>
      <c r="M102" s="116" t="s">
        <v>706</v>
      </c>
      <c r="N102" s="117" t="str">
        <f t="shared" ca="1" si="146"/>
        <v>Serviço</v>
      </c>
      <c r="O102" s="118" t="str">
        <f t="shared" ca="1" si="147"/>
        <v>1.7.15.</v>
      </c>
      <c r="P102" s="119" t="s">
        <v>751</v>
      </c>
      <c r="Q102" s="120" t="s">
        <v>1045</v>
      </c>
      <c r="R102" s="121" t="str">
        <f ca="1">IF($C102="S",REFERENCIA.Descricao,"(digite a descrição aqui)")</f>
        <v>AJUDANTE DE PEDREIRO COM ENCARGOS COMPLEMENTARES</v>
      </c>
      <c r="S102" s="122" t="str">
        <f ca="1">REFERENCIA.Unidade</f>
        <v>H</v>
      </c>
      <c r="T102" s="123">
        <f ca="1">OFFSET(CÁLCULO!H$15,ROW($T102)-ROW(T$15),0)</f>
        <v>180</v>
      </c>
      <c r="U102" s="124">
        <v>23.05</v>
      </c>
      <c r="V102" s="125" t="s">
        <v>664</v>
      </c>
      <c r="W102" s="123">
        <f ca="1">IF($C102="S",ROUND(IF(TIPOORCAMENTO="Proposto",ORÇAMENTO.CustoUnitario*(1+$AH102),ORÇAMENTO.PrecoUnitarioLicitado),15-13*$AF$10),0)</f>
        <v>29.33</v>
      </c>
      <c r="X102" s="126" cm="1">
        <f t="array" aca="1" ref="X102" ca="1">IF($C102="S",IF(OR(Import.TipoArredondamento&lt;&gt;"TransfereGOV",ACOMPANHAMENTO="BM"),VTOTAL1,SUM(OFFSET(CÁLCULO!$AA$15,ROW($X102)-ROW($X$15),1):OFFSET(CÁLCULO!$AL$15,ROW($X102)-ROW($X$15),-1))),IF($C102=0,0,ROUND(SomaAgrup,15-13*$AF$11)))</f>
        <v>5279.4</v>
      </c>
      <c r="Y102" s="127" t="s">
        <v>752</v>
      </c>
      <c r="Z102" t="str">
        <f t="shared" ca="1" si="148"/>
        <v>RA</v>
      </c>
      <c r="AA102" s="128">
        <f ca="1">IF($C102="S",IF($Z102="CP",$X102,IF($Z102="RA",(($X102)*QCI!$AA$3),0)),SomaAgrup)</f>
        <v>5279.4</v>
      </c>
      <c r="AB102" s="129">
        <f t="shared" ca="1" si="135"/>
        <v>0</v>
      </c>
      <c r="AC102" s="566" t="str" cm="1">
        <f t="array" aca="1" ref="AC102" ca="1">IF($N102=""," ",
IF(AND($C102&lt;&gt;"S",OR($R102="",$R102="(digite a descrição aqui)")),"DESCRIÇÃO",
IF(AND($C102="S",OR($Q102&lt;&gt;"",$T102&gt;0,$U102&gt;0),$P102=""),"FONTE",
IF(AND($C102="S",$P102&lt;&gt;"",OR($T102&gt;0,$U102&gt;0),$Q102=""),"CÓDIGO",
IF(AND($C102="S",$P102&lt;&gt;"",$Q102&lt;&gt;"",$R102="(Código não identificado nas referências)"),"CÓDIGO N/ID",
IF(AND($C102="S",OR($R102="",$R102="(digite a descrição aqui)"),OR($Q102&lt;&gt;"",$T102&gt;0,$U102&gt;0)),"DESCRIÇÃO",
IF(AND($C102="S",$P102&lt;&gt;"",$Q102&lt;&gt;"",$S102=""),"UNIDADE",
IF(AND($C102="S",$P102&lt;&gt;"",$Q102&lt;&gt;"",$U102=0),"SEM CUSTO",
IF(AND(_xlfn.SINGLE(TIPOORCAMENTO)="Licitado",$AL102=0,$AN102&gt;0),"SEM PREÇO",
IF(AND($C102="S",$P102&lt;&gt;"",$Q102&lt;&gt;"",$U102&gt;0,$V102=0),"BDI",
IF(OR(AND(TIPOORCAMENTO="Proposto",LEFT($O$8,5)&lt;&gt;"(N/D:",$AG102&lt;&gt;"",ORÇAMENTO.CustoUnitario&gt;$AG102),AND(TIPOORCAMENTO="LICITADO",ORÇAMENTO.PrecoUnitarioLicitado&gt;$AN102)),"ACIMA REF.",
IF(AND($C102="S",$P102&lt;&gt;"",$Q102&lt;&gt;"",$T102=0,$U102&gt;0),"QUANT.",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 xml:space="preserve"> </v>
      </c>
      <c r="AD102" t="str">
        <f ca="1">IF(C102&lt;=CRONO.NivelExibicao,MAX($AD$15:OFFSET(AD102,-1,0))+IF($C102&lt;&gt;1,1,MAX(1,COUNTIF(QCI!$A$13:$A$24,OFFSET($E102,-1,0)))),"")</f>
        <v/>
      </c>
      <c r="AE102" s="7" t="str">
        <f ca="1">IF(AND($C102="S",ORÇAMENTO.CodBarra&lt;&gt;""),IF(ORÇAMENTO.Fonte="",ORÇAMENTO.CodBarra,CONCATENATE(ORÇAMENTO.Fonte," ",ORÇAMENTO.CodBarra)))</f>
        <v>SINAPI 88242</v>
      </c>
      <c r="AF102" s="12">
        <f ca="1">IF(ISERROR(INDIRECT(ORÇAMENTO.BancoRef)),"(abra o arquivo 'Referência "&amp;Excel_BuiltIn_Database&amp;".xlsm)",IF(OR($C102&lt;&gt;"S",ORÇAMENTO.CodBarra=""),"(Sem Código)",IF(ISERROR(MATCH($AE102,INDIRECT(ORÇAMENTO.BancoRef),0)),"(Código não identificado nas referências)",MATCH($AE102,INDIRECT(ORÇAMENTO.BancoRef),0))))</f>
        <v>13328</v>
      </c>
      <c r="AG102" s="429">
        <f ca="1">ROUND(IF(DESONERACAO="sim",REFERENCIA.Desonerado,REFERENCIA.NaoDesonerado),2)</f>
        <v>25.65</v>
      </c>
      <c r="AH102" s="430">
        <f t="shared" ca="1" si="136"/>
        <v>0.27250000000000002</v>
      </c>
      <c r="AJ102" s="432"/>
      <c r="AL102" s="440"/>
      <c r="AM102" s="337">
        <f t="shared" ca="1" si="0"/>
        <v>5279.4</v>
      </c>
      <c r="AN102" s="471">
        <f t="shared" ca="1" si="137"/>
        <v>29.33</v>
      </c>
    </row>
    <row r="103" spans="1:40" ht="25.5" x14ac:dyDescent="0.2">
      <c r="A103" t="str">
        <f t="shared" si="134"/>
        <v>S</v>
      </c>
      <c r="B103">
        <f t="shared" ca="1" si="138"/>
        <v>2</v>
      </c>
      <c r="C103" t="str">
        <f t="shared" ca="1" si="139"/>
        <v>S</v>
      </c>
      <c r="D103">
        <f t="shared" ca="1" si="140"/>
        <v>0</v>
      </c>
      <c r="E103">
        <f ca="1">IF($C103=1,OFFSET(E103,-1,0)+MAX(1,COUNTIF(QCI!$A$13:$A$24,OFFSET(ORÇAMENTO!E103,-1,0))),OFFSET(E103,-1,0))</f>
        <v>1</v>
      </c>
      <c r="F103">
        <f t="shared" ca="1" si="141"/>
        <v>7</v>
      </c>
      <c r="G103">
        <f t="shared" ca="1" si="142"/>
        <v>0</v>
      </c>
      <c r="H103">
        <f t="shared" ca="1" si="143"/>
        <v>0</v>
      </c>
      <c r="I103">
        <f t="shared" ca="1" si="144"/>
        <v>16</v>
      </c>
      <c r="J103">
        <f t="shared" ca="1" si="133"/>
        <v>0</v>
      </c>
      <c r="K103">
        <f ca="1">IF(OR($C103="S",$C103=0),0,MATCH(OFFSET($D103,0,$C103)+IF($C103&lt;&gt;1,1,COUNTIF(QCI!$A$13:$A$24,ORÇAMENTO!E103)),OFFSET($D103,1,$C103,ROW($C$105)-ROW($C103)),0))</f>
        <v>0</v>
      </c>
      <c r="L103" s="115" t="str">
        <f t="shared" ca="1" si="145"/>
        <v>F</v>
      </c>
      <c r="M103" s="116" t="s">
        <v>706</v>
      </c>
      <c r="N103" s="117" t="str">
        <f t="shared" ca="1" si="146"/>
        <v>Serviço</v>
      </c>
      <c r="O103" s="118" t="str">
        <f t="shared" ca="1" si="147"/>
        <v>1.7.16.</v>
      </c>
      <c r="P103" s="119" t="s">
        <v>959</v>
      </c>
      <c r="Q103" s="120" t="s">
        <v>1063</v>
      </c>
      <c r="R103" s="121" t="str">
        <f ca="1">IF($C103="S",REFERENCIA.Descricao,"(digite a descrição aqui)")</f>
        <v>MANTA TERMOPLASTICA, PEAD, GEOMEMBRANA LISA, E = 0,50 MM (NBR 15352)</v>
      </c>
      <c r="S103" s="122" t="str">
        <f ca="1">REFERENCIA.Unidade</f>
        <v>M2</v>
      </c>
      <c r="T103" s="123">
        <f ca="1">OFFSET(CÁLCULO!H$15,ROW($T103)-ROW(T$15),0)</f>
        <v>75</v>
      </c>
      <c r="U103" s="124">
        <v>13.25</v>
      </c>
      <c r="V103" s="125" t="s">
        <v>664</v>
      </c>
      <c r="W103" s="123">
        <f ca="1">IF($C103="S",ROUND(IF(TIPOORCAMENTO="Proposto",ORÇAMENTO.CustoUnitario*(1+$AH103),ORÇAMENTO.PrecoUnitarioLicitado),15-13*$AF$10),0)</f>
        <v>16.86</v>
      </c>
      <c r="X103" s="126" cm="1">
        <f t="array" aca="1" ref="X103" ca="1">IF($C103="S",IF(OR(Import.TipoArredondamento&lt;&gt;"TransfereGOV",ACOMPANHAMENTO="BM"),VTOTAL1,SUM(OFFSET(CÁLCULO!$AA$15,ROW($X103)-ROW($X$15),1):OFFSET(CÁLCULO!$AL$15,ROW($X103)-ROW($X$15),-1))),IF($C103=0,0,ROUND(SomaAgrup,15-13*$AF$11)))</f>
        <v>1264.5</v>
      </c>
      <c r="Y103" s="127" t="s">
        <v>752</v>
      </c>
      <c r="Z103" t="str">
        <f t="shared" ca="1" si="148"/>
        <v>RA</v>
      </c>
      <c r="AA103" s="128">
        <f ca="1">IF($C103="S",IF($Z103="CP",$X103,IF($Z103="RA",(($X103)*QCI!$AA$3),0)),SomaAgrup)</f>
        <v>1264.5</v>
      </c>
      <c r="AB103" s="129">
        <f t="shared" ca="1" si="135"/>
        <v>0</v>
      </c>
      <c r="AC103" s="566" t="str" cm="1">
        <f t="array" aca="1" ref="AC103" ca="1">IF($N103=""," ",
IF(AND($C103&lt;&gt;"S",OR($R103="",$R103="(digite a descrição aqui)")),"DESCRIÇÃO",
IF(AND($C103="S",OR($Q103&lt;&gt;"",$T103&gt;0,$U103&gt;0),$P103=""),"FONTE",
IF(AND($C103="S",$P103&lt;&gt;"",OR($T103&gt;0,$U103&gt;0),$Q103=""),"CÓDIGO",
IF(AND($C103="S",$P103&lt;&gt;"",$Q103&lt;&gt;"",$R103="(Código não identificado nas referências)"),"CÓDIGO N/ID",
IF(AND($C103="S",OR($R103="",$R103="(digite a descrição aqui)"),OR($Q103&lt;&gt;"",$T103&gt;0,$U103&gt;0)),"DESCRIÇÃO",
IF(AND($C103="S",$P103&lt;&gt;"",$Q103&lt;&gt;"",$S103=""),"UNIDADE",
IF(AND($C103="S",$P103&lt;&gt;"",$Q103&lt;&gt;"",$U103=0),"SEM CUSTO",
IF(AND(_xlfn.SINGLE(TIPOORCAMENTO)="Licitado",$AL103=0,$AN103&gt;0),"SEM PREÇO",
IF(AND($C103="S",$P103&lt;&gt;"",$Q103&lt;&gt;"",$U103&gt;0,$V103=0),"BDI",
IF(OR(AND(TIPOORCAMENTO="Proposto",LEFT($O$8,5)&lt;&gt;"(N/D:",$AG103&lt;&gt;"",ORÇAMENTO.CustoUnitario&gt;$AG103),AND(TIPOORCAMENTO="LICITADO",ORÇAMENTO.PrecoUnitarioLicitado&gt;$AN103)),"ACIMA REF.",
IF(AND($C103="S",$P103&lt;&gt;"",$Q103&lt;&gt;"",$T103=0,$U103&gt;0),"QUANT.",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 xml:space="preserve"> </v>
      </c>
      <c r="AD103" t="str">
        <f ca="1">IF(C103&lt;=CRONO.NivelExibicao,MAX($AD$15:OFFSET(AD103,-1,0))+IF($C103&lt;&gt;1,1,MAX(1,COUNTIF(QCI!$A$13:$A$24,OFFSET($E103,-1,0)))),"")</f>
        <v/>
      </c>
      <c r="AE103" s="7" t="str">
        <f ca="1">IF(AND($C103="S",ORÇAMENTO.CodBarra&lt;&gt;""),IF(ORÇAMENTO.Fonte="",ORÇAMENTO.CodBarra,CONCATENATE(ORÇAMENTO.Fonte," ",ORÇAMENTO.CodBarra)))</f>
        <v>SINAPI-I 44504</v>
      </c>
      <c r="AF103" s="12">
        <f ca="1">IF(ISERROR(INDIRECT(ORÇAMENTO.BancoRef)),"(abra o arquivo 'Referência "&amp;Excel_BuiltIn_Database&amp;".xlsm)",IF(OR($C103&lt;&gt;"S",ORÇAMENTO.CodBarra=""),"(Sem Código)",IF(ISERROR(MATCH($AE103,INDIRECT(ORÇAMENTO.BancoRef),0)),"(Código não identificado nas referências)",MATCH($AE103,INDIRECT(ORÇAMENTO.BancoRef),0))))</f>
        <v>2917</v>
      </c>
      <c r="AG103" s="429">
        <f ca="1">ROUND(IF(DESONERACAO="sim",REFERENCIA.Desonerado,REFERENCIA.NaoDesonerado),2)</f>
        <v>14.75</v>
      </c>
      <c r="AH103" s="430">
        <f t="shared" ca="1" si="136"/>
        <v>0.27250000000000002</v>
      </c>
      <c r="AJ103" s="432"/>
      <c r="AL103" s="440"/>
      <c r="AM103" s="337">
        <f t="shared" ca="1" si="0"/>
        <v>1264.5</v>
      </c>
      <c r="AN103" s="471">
        <f t="shared" ca="1" si="137"/>
        <v>16.86</v>
      </c>
    </row>
    <row r="104" spans="1:40" ht="51" x14ac:dyDescent="0.2">
      <c r="A104" t="str">
        <f t="shared" si="134"/>
        <v>S</v>
      </c>
      <c r="B104">
        <f t="shared" ca="1" si="138"/>
        <v>2</v>
      </c>
      <c r="C104" t="str">
        <f t="shared" ca="1" si="139"/>
        <v>S</v>
      </c>
      <c r="D104">
        <f t="shared" ca="1" si="140"/>
        <v>0</v>
      </c>
      <c r="E104">
        <f ca="1">IF($C104=1,OFFSET(E104,-1,0)+MAX(1,COUNTIF(QCI!$A$13:$A$24,OFFSET(ORÇAMENTO!E104,-1,0))),OFFSET(E104,-1,0))</f>
        <v>1</v>
      </c>
      <c r="F104">
        <f t="shared" ca="1" si="141"/>
        <v>7</v>
      </c>
      <c r="G104">
        <f t="shared" ca="1" si="142"/>
        <v>0</v>
      </c>
      <c r="H104">
        <f t="shared" ca="1" si="143"/>
        <v>0</v>
      </c>
      <c r="I104">
        <f t="shared" ca="1" si="144"/>
        <v>17</v>
      </c>
      <c r="J104">
        <f t="shared" ca="1" si="133"/>
        <v>0</v>
      </c>
      <c r="K104">
        <f ca="1">IF(OR($C104="S",$C104=0),0,MATCH(OFFSET($D104,0,$C104)+IF($C104&lt;&gt;1,1,COUNTIF(QCI!$A$13:$A$24,ORÇAMENTO!E104)),OFFSET($D104,1,$C104,ROW($C$105)-ROW($C104)),0))</f>
        <v>0</v>
      </c>
      <c r="L104" s="115" t="str">
        <f t="shared" ca="1" si="145"/>
        <v>F</v>
      </c>
      <c r="M104" s="116" t="s">
        <v>706</v>
      </c>
      <c r="N104" s="117" t="str">
        <f t="shared" ca="1" si="146"/>
        <v>Serviço</v>
      </c>
      <c r="O104" s="118" t="str">
        <f t="shared" ca="1" si="147"/>
        <v>1.7.17.</v>
      </c>
      <c r="P104" s="119" t="s">
        <v>751</v>
      </c>
      <c r="Q104" s="120" t="s">
        <v>1064</v>
      </c>
      <c r="R104" s="121" t="str">
        <f ca="1">IF($C104="S",REFERENCIA.Descricao,"(digite a descrição aqui)")</f>
        <v>ATERRO MECANIZADO DE VALA COM ESCAVADEIRA HIDRÁULICA (CAPACIDADE DA CAÇAMBA: 0,8 M³ / POTÊNCIA: 111 HP), LARGURA ATÉ 2,5 M, PROFUNDIDADE DE 1,5 A 3,0 M, COM SOLO ARGILO-ARENOSO. AF_08/2023</v>
      </c>
      <c r="S104" s="122" t="str">
        <f ca="1">REFERENCIA.Unidade</f>
        <v>M3</v>
      </c>
      <c r="T104" s="123">
        <f ca="1">OFFSET(CÁLCULO!H$15,ROW($T104)-ROW(T$15),0)</f>
        <v>192</v>
      </c>
      <c r="U104" s="124">
        <v>65.75</v>
      </c>
      <c r="V104" s="125" t="s">
        <v>664</v>
      </c>
      <c r="W104" s="123">
        <f ca="1">IF($C104="S",ROUND(IF(TIPOORCAMENTO="Proposto",ORÇAMENTO.CustoUnitario*(1+$AH104),ORÇAMENTO.PrecoUnitarioLicitado),15-13*$AF$10),0)</f>
        <v>83.67</v>
      </c>
      <c r="X104" s="126" cm="1">
        <f t="array" aca="1" ref="X104" ca="1">IF($C104="S",IF(OR(Import.TipoArredondamento&lt;&gt;"TransfereGOV",ACOMPANHAMENTO="BM"),VTOTAL1,SUM(OFFSET(CÁLCULO!$AA$15,ROW($X104)-ROW($X$15),1):OFFSET(CÁLCULO!$AL$15,ROW($X104)-ROW($X$15),-1))),IF($C104=0,0,ROUND(SomaAgrup,15-13*$AF$11)))</f>
        <v>16064.64</v>
      </c>
      <c r="Y104" s="127" t="s">
        <v>752</v>
      </c>
      <c r="Z104" t="str">
        <f t="shared" ca="1" si="148"/>
        <v>RA</v>
      </c>
      <c r="AA104" s="128">
        <f ca="1">IF($C104="S",IF($Z104="CP",$X104,IF($Z104="RA",(($X104)*QCI!$AA$3),0)),SomaAgrup)</f>
        <v>16064.64</v>
      </c>
      <c r="AB104" s="129">
        <f t="shared" ca="1" si="135"/>
        <v>0</v>
      </c>
      <c r="AC104" s="566" t="str" cm="1">
        <f t="array" aca="1" ref="AC104" ca="1">IF($N104=""," ",
IF(AND($C104&lt;&gt;"S",OR($R104="",$R104="(digite a descrição aqui)")),"DESCRIÇÃO",
IF(AND($C104="S",OR($Q104&lt;&gt;"",$T104&gt;0,$U104&gt;0),$P104=""),"FONTE",
IF(AND($C104="S",$P104&lt;&gt;"",OR($T104&gt;0,$U104&gt;0),$Q104=""),"CÓDIGO",
IF(AND($C104="S",$P104&lt;&gt;"",$Q104&lt;&gt;"",$R104="(Código não identificado nas referências)"),"CÓDIGO N/ID",
IF(AND($C104="S",OR($R104="",$R104="(digite a descrição aqui)"),OR($Q104&lt;&gt;"",$T104&gt;0,$U104&gt;0)),"DESCRIÇÃO",
IF(AND($C104="S",$P104&lt;&gt;"",$Q104&lt;&gt;"",$S104=""),"UNIDADE",
IF(AND($C104="S",$P104&lt;&gt;"",$Q104&lt;&gt;"",$U104=0),"SEM CUSTO",
IF(AND(_xlfn.SINGLE(TIPOORCAMENTO)="Licitado",$AL104=0,$AN104&gt;0),"SEM PREÇO",
IF(AND($C104="S",$P104&lt;&gt;"",$Q104&lt;&gt;"",$U104&gt;0,$V104=0),"BDI",
IF(OR(AND(TIPOORCAMENTO="Proposto",LEFT($O$8,5)&lt;&gt;"(N/D:",$AG104&lt;&gt;"",ORÇAMENTO.CustoUnitario&gt;$AG104),AND(TIPOORCAMENTO="LICITADO",ORÇAMENTO.PrecoUnitarioLicitado&gt;$AN104)),"ACIMA REF.",
IF(AND($C104="S",$P104&lt;&gt;"",$Q104&lt;&gt;"",$T104=0,$U104&gt;0),"QUANT.",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 xml:space="preserve"> </v>
      </c>
      <c r="AD104" t="str">
        <f ca="1">IF(C104&lt;=CRONO.NivelExibicao,MAX($AD$15:OFFSET(AD104,-1,0))+IF($C104&lt;&gt;1,1,MAX(1,COUNTIF(QCI!$A$13:$A$24,OFFSET($E104,-1,0)))),"")</f>
        <v/>
      </c>
      <c r="AE104" s="7" t="str">
        <f ca="1">IF(AND($C104="S",ORÇAMENTO.CodBarra&lt;&gt;""),IF(ORÇAMENTO.Fonte="",ORÇAMENTO.CodBarra,CONCATENATE(ORÇAMENTO.Fonte," ",ORÇAMENTO.CodBarra)))</f>
        <v>SINAPI 94306</v>
      </c>
      <c r="AF104" s="12">
        <f ca="1">IF(ISERROR(INDIRECT(ORÇAMENTO.BancoRef)),"(abra o arquivo 'Referência "&amp;Excel_BuiltIn_Database&amp;".xlsm)",IF(OR($C104&lt;&gt;"S",ORÇAMENTO.CodBarra=""),"(Sem Código)",IF(ISERROR(MATCH($AE104,INDIRECT(ORÇAMENTO.BancoRef),0)),"(Código não identificado nas referências)",MATCH($AE104,INDIRECT(ORÇAMENTO.BancoRef),0))))</f>
        <v>6905</v>
      </c>
      <c r="AG104" s="429">
        <f ca="1">ROUND(IF(DESONERACAO="sim",REFERENCIA.Desonerado,REFERENCIA.NaoDesonerado),2)</f>
        <v>73.08</v>
      </c>
      <c r="AH104" s="430">
        <f t="shared" ca="1" si="136"/>
        <v>0.27250000000000002</v>
      </c>
      <c r="AJ104" s="432"/>
      <c r="AL104" s="440"/>
      <c r="AM104" s="337">
        <f t="shared" ca="1" si="0"/>
        <v>16064.64</v>
      </c>
      <c r="AN104" s="471">
        <f t="shared" ca="1" si="137"/>
        <v>83.67</v>
      </c>
    </row>
    <row r="105" spans="1:40" ht="5.0999999999999996" customHeight="1" x14ac:dyDescent="0.2">
      <c r="A105">
        <v>-1</v>
      </c>
      <c r="C105">
        <v>-1</v>
      </c>
      <c r="E105">
        <v>0</v>
      </c>
      <c r="F105">
        <v>0</v>
      </c>
      <c r="G105">
        <v>0</v>
      </c>
      <c r="H105">
        <v>0</v>
      </c>
      <c r="I105">
        <v>0</v>
      </c>
      <c r="L105" s="115" t="s">
        <v>537</v>
      </c>
      <c r="M105" s="617"/>
      <c r="N105" s="425"/>
      <c r="O105" s="617"/>
      <c r="P105" s="618"/>
      <c r="Q105" s="618"/>
      <c r="R105" s="618"/>
      <c r="S105" s="618"/>
      <c r="T105" s="618"/>
      <c r="U105" s="618"/>
      <c r="V105" s="618"/>
      <c r="W105" s="618"/>
      <c r="X105" s="425"/>
      <c r="Y105" s="425"/>
      <c r="AC105" s="566" t="str" cm="1">
        <f t="array" ref="AC105">IF($N105=""," ",
IF(AND($C105&lt;&gt;"S",OR($R105="",$R105="(digite a descrição aqui)")),"DESCRIÇÃO",
IF(AND($C105="S",OR($Q105&lt;&gt;"",$T105&gt;0,$U105&gt;0),$P105=""),"FONTE",
IF(AND($C105="S",$P105&lt;&gt;"",OR($T105&gt;0,$U105&gt;0),$Q105=""),"CÓDIGO",
IF(AND($C105="S",$P105&lt;&gt;"",$Q105&lt;&gt;"",$R105="(Código não identificado nas referências)"),"CÓDIGO N/ID",
IF(AND($C105="S",OR($R105="",$R105="(digite a descrição aqui)"),OR($Q105&lt;&gt;"",$T105&gt;0,$U105&gt;0)),"DESCRIÇÃO",
IF(AND($C105="S",$P105&lt;&gt;"",$Q105&lt;&gt;"",$S105=""),"UNIDADE",
IF(AND($C105="S",$P105&lt;&gt;"",$Q105&lt;&gt;"",$U105=0),"SEM CUSTO",
IF(AND(_xlfn.SINGLE(TIPOORCAMENTO)="Licitado",$AL105=0,$AN105&gt;0),"SEM PREÇO",
IF(AND($C105="S",$P105&lt;&gt;"",$Q105&lt;&gt;"",$U105&gt;0,$V105=0),"BDI",
IF(OR(AND(TIPOORCAMENTO="Proposto",LEFT($O$8,5)&lt;&gt;"(N/D:",$AG105&lt;&gt;"",ORÇAMENTO.CustoUnitario&gt;$AG105),AND(TIPOORCAMENTO="LICITADO",ORÇAMENTO.PrecoUnitarioLicitado&gt;$AN105)),"ACIMA REF.",
IF(AND($C105="S",$P105&lt;&gt;"",$Q105&lt;&gt;"",$T105=0,$U105&gt;0),"QUANT.",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 xml:space="preserve"> </v>
      </c>
      <c r="AG105" s="619"/>
      <c r="AH105" s="420"/>
      <c r="AJ105" s="426"/>
      <c r="AL105" s="619"/>
      <c r="AM105" s="620"/>
      <c r="AN105" s="420"/>
    </row>
    <row r="108" spans="1:40" ht="14.25" x14ac:dyDescent="0.2">
      <c r="O108" s="135" t="s">
        <v>754</v>
      </c>
      <c r="Q108" s="726" t="s">
        <v>755</v>
      </c>
      <c r="R108" s="726"/>
      <c r="S108" s="726"/>
      <c r="T108" s="726"/>
      <c r="U108" s="726"/>
      <c r="V108" s="726"/>
      <c r="W108" s="726"/>
      <c r="X108" s="726"/>
    </row>
    <row r="110" spans="1:40" ht="14.25" x14ac:dyDescent="0.2">
      <c r="O110" s="136" t="s">
        <v>690</v>
      </c>
      <c r="X110" s="4"/>
    </row>
    <row r="111" spans="1:40" ht="12.75" customHeight="1" x14ac:dyDescent="0.2">
      <c r="O111" s="727"/>
      <c r="P111" s="727"/>
      <c r="Q111" s="727"/>
      <c r="R111" s="727"/>
      <c r="S111" s="727"/>
      <c r="T111" s="727"/>
      <c r="U111" s="727"/>
      <c r="V111" s="727"/>
      <c r="W111" s="727"/>
      <c r="X111" s="727"/>
    </row>
    <row r="112" spans="1:40" x14ac:dyDescent="0.2">
      <c r="O112" s="727"/>
      <c r="P112" s="727"/>
      <c r="Q112" s="727"/>
      <c r="R112" s="727"/>
      <c r="S112" s="727"/>
      <c r="T112" s="727"/>
      <c r="U112" s="727"/>
      <c r="V112" s="727"/>
      <c r="W112" s="727"/>
      <c r="X112" s="727"/>
    </row>
    <row r="113" spans="15:28" x14ac:dyDescent="0.2">
      <c r="O113" s="727"/>
      <c r="P113" s="727"/>
      <c r="Q113" s="727"/>
      <c r="R113" s="727"/>
      <c r="S113" s="727"/>
      <c r="T113" s="727"/>
      <c r="U113" s="727"/>
      <c r="V113" s="727"/>
      <c r="W113" s="727"/>
      <c r="X113" s="727"/>
    </row>
    <row r="114" spans="15:28" ht="14.25" x14ac:dyDescent="0.2">
      <c r="O114" s="444"/>
      <c r="P114" s="444"/>
      <c r="Q114" s="444"/>
      <c r="R114" s="444"/>
      <c r="S114" s="444"/>
      <c r="T114" s="444"/>
      <c r="U114" s="444"/>
      <c r="V114" s="444"/>
      <c r="W114" s="444"/>
      <c r="X114" s="444"/>
      <c r="Y114" s="444"/>
      <c r="Z114" s="137"/>
      <c r="AA114" s="137"/>
      <c r="AB114" s="137"/>
    </row>
    <row r="115" spans="15:28" ht="15" x14ac:dyDescent="0.25">
      <c r="O115" s="728"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115" s="728"/>
      <c r="Q115" s="728"/>
      <c r="R115" s="728"/>
      <c r="S115" s="728"/>
      <c r="T115" s="728"/>
      <c r="U115" s="728"/>
      <c r="V115" s="728"/>
      <c r="W115" s="728"/>
      <c r="X115" s="728"/>
      <c r="Y115" s="138"/>
      <c r="Z115" s="138"/>
      <c r="AA115" s="138"/>
      <c r="AB115" s="138"/>
    </row>
    <row r="116" spans="15:28" ht="15" customHeight="1" x14ac:dyDescent="0.25">
      <c r="O116" s="729" t="s">
        <v>756</v>
      </c>
      <c r="P116" s="729"/>
      <c r="Q116" s="729"/>
      <c r="R116" s="729"/>
      <c r="S116" s="729"/>
      <c r="T116" s="729"/>
      <c r="U116" s="729"/>
      <c r="V116" s="729"/>
      <c r="W116" s="729"/>
      <c r="X116" s="729"/>
      <c r="Y116" s="138"/>
      <c r="Z116" s="138"/>
      <c r="AA116" s="138"/>
      <c r="AB116" s="138"/>
    </row>
    <row r="118" spans="15:28" ht="30" customHeight="1" x14ac:dyDescent="0.2">
      <c r="O118" s="675" t="str">
        <f>Import.Município</f>
        <v>RODEIO BONITO/RS</v>
      </c>
      <c r="P118" s="675"/>
      <c r="Q118" s="675"/>
      <c r="S118" s="461"/>
      <c r="T118" s="461"/>
      <c r="U118" s="461"/>
      <c r="V118" s="461"/>
      <c r="W118" s="418"/>
    </row>
    <row r="119" spans="15:28" x14ac:dyDescent="0.2">
      <c r="O119" s="9" t="s">
        <v>694</v>
      </c>
      <c r="S119" s="182" t="s">
        <v>697</v>
      </c>
      <c r="T119" s="182"/>
      <c r="U119" s="182"/>
      <c r="V119" s="182"/>
    </row>
    <row r="120" spans="15:28" x14ac:dyDescent="0.2">
      <c r="S120" s="77" t="s">
        <v>240</v>
      </c>
      <c r="T120" s="78" t="str">
        <f t="array" ref="T120:T122">Import.RespOrçamento</f>
        <v>VIVIANE CARBONI TAFFAREL LUCAS</v>
      </c>
      <c r="V120" s="79"/>
    </row>
    <row r="121" spans="15:28" x14ac:dyDescent="0.2">
      <c r="O121" s="723">
        <f>DADOS!$C$25</f>
        <v>46254</v>
      </c>
      <c r="P121" s="723"/>
      <c r="Q121" s="723"/>
      <c r="S121" s="77" t="s">
        <v>243</v>
      </c>
      <c r="T121" s="78" t="str">
        <v>247947</v>
      </c>
      <c r="U121" s="79"/>
      <c r="V121" s="79"/>
    </row>
    <row r="122" spans="15:28" x14ac:dyDescent="0.2">
      <c r="O122" s="141" t="s">
        <v>695</v>
      </c>
      <c r="P122" s="1"/>
      <c r="Q122" s="1"/>
      <c r="S122" s="77" t="s">
        <v>246</v>
      </c>
      <c r="T122" s="78" t="str">
        <v>0</v>
      </c>
      <c r="U122" s="79"/>
      <c r="V122" s="79"/>
    </row>
  </sheetData>
  <sheetProtection algorithmName="SHA-512" hashValue="P6cuPGd/LqrbFaxAEy7HpV+3xn0370nOQMoztLBzbnV7cCWrv9sV4st7ZJJVy12IN6RJjzWF9I6HY+qBXCCdGw==" saltValue="9+dMIfgP5X5Q4FSdfRJYzQ==" spinCount="100000" sheet="1" objects="1" scenarios="1" autoFilter="0"/>
  <autoFilter ref="L15:L105" xr:uid="{00000000-0009-0000-0000-000004000000}"/>
  <mergeCells count="24">
    <mergeCell ref="O121:Q121"/>
    <mergeCell ref="O15:R15"/>
    <mergeCell ref="Q108:X108"/>
    <mergeCell ref="O111:X113"/>
    <mergeCell ref="O115:X115"/>
    <mergeCell ref="O118:Q118"/>
    <mergeCell ref="O116:X116"/>
    <mergeCell ref="O4:P4"/>
    <mergeCell ref="S4:X4"/>
    <mergeCell ref="O5:P5"/>
    <mergeCell ref="S5:X5"/>
    <mergeCell ref="F8:K8"/>
    <mergeCell ref="L8:L12"/>
    <mergeCell ref="O8:P8"/>
    <mergeCell ref="S8:U8"/>
    <mergeCell ref="F9:K9"/>
    <mergeCell ref="AE5:AF5"/>
    <mergeCell ref="O7:P7"/>
    <mergeCell ref="S7:U7"/>
    <mergeCell ref="AL7:AL11"/>
    <mergeCell ref="Y8:Y12"/>
    <mergeCell ref="Z8:Z12"/>
    <mergeCell ref="AA12:AB12"/>
    <mergeCell ref="AJ7:AJ11"/>
  </mergeCells>
  <phoneticPr fontId="38" type="noConversion"/>
  <conditionalFormatting sqref="M14 M16 M18:M19 M30:M32 M48:M104">
    <cfRule type="cellIs" dxfId="827" priority="32128" stopIfTrue="1" operator="notEqual">
      <formula>$N14</formula>
    </cfRule>
  </conditionalFormatting>
  <conditionalFormatting sqref="N14:O14 R14 W14 N16:O16 R16 W16:X16 W18:X19 R18:R19 N18:O19 N30:O32 R30:R32 W30:X32 W48:X49 X50:X56 W50:W81 X97:X104 W82:X82 N48:O104 R48:R104 W83:W104">
    <cfRule type="expression" dxfId="826" priority="32129" stopIfTrue="1">
      <formula>$C14=1</formula>
    </cfRule>
    <cfRule type="expression" dxfId="825" priority="32130" stopIfTrue="1">
      <formula>OR($C14=0,$C14=2,$C14=3,$C14=4)</formula>
    </cfRule>
  </conditionalFormatting>
  <conditionalFormatting sqref="U14:V14 U16:V16 U18:V19 U30:V32 U48:V104">
    <cfRule type="expression" dxfId="824" priority="32131" stopIfTrue="1">
      <formula>$C14=1</formula>
    </cfRule>
    <cfRule type="expression" dxfId="823" priority="32132" stopIfTrue="1">
      <formula>OR($C14=0,$C14=2,$C14=3,$C14=4)</formula>
    </cfRule>
    <cfRule type="expression" dxfId="822" priority="32133" stopIfTrue="1">
      <formula>AND(TIPOORCAMENTO="Licitado",$C14&lt;&gt;"L",$C14&lt;&gt;-1)</formula>
    </cfRule>
  </conditionalFormatting>
  <conditionalFormatting sqref="P14:Q14 S14:T14 Y14 AG14:AH14 P16:Q16 S16:T16 Y16 AG16:AH16 AG18:AH19 Y18:Y19 S18:T19 P18:Q19 P30:Q32 S30:T32 Y30:Y32 AG30:AH32 P48:Q104 S48:T104 Y48:Y104 AG48:AH104">
    <cfRule type="expression" dxfId="821" priority="32134" stopIfTrue="1">
      <formula>$C14=1</formula>
    </cfRule>
    <cfRule type="expression" dxfId="820" priority="32135" stopIfTrue="1">
      <formula>OR($C14=0,$C14=2,$C14=3,$C14=4)</formula>
    </cfRule>
  </conditionalFormatting>
  <conditionalFormatting sqref="AJ7:AJ19 AJ30:AJ32 AJ48:AJ105">
    <cfRule type="expression" dxfId="819" priority="32136" stopIfTrue="1">
      <formula>OR(ACOMPANHAMENTO&lt;&gt;"BM",TIPOORCAMENTO="Licitado")</formula>
    </cfRule>
    <cfRule type="expression" dxfId="818" priority="32137" stopIfTrue="1">
      <formula>$C7=1</formula>
    </cfRule>
    <cfRule type="expression" dxfId="817" priority="32138" stopIfTrue="1">
      <formula>OR(AND(ISNUMBER($C7),$C7=0),$C7=2,$C7=3,$C7=4)</formula>
    </cfRule>
  </conditionalFormatting>
  <conditionalFormatting sqref="AL7:AL19 AL30:AL32 AL48:AL105">
    <cfRule type="expression" dxfId="816" priority="32139" stopIfTrue="1">
      <formula>TIPOORCAMENTO="PROPOSTO"</formula>
    </cfRule>
    <cfRule type="expression" dxfId="815" priority="32140" stopIfTrue="1">
      <formula>$C7=1</formula>
    </cfRule>
    <cfRule type="expression" dxfId="814" priority="32141" stopIfTrue="1">
      <formula>OR(AND(ISNUMBER($C7),$C7=0),$C7=2,$C7=3,$C7=4)</formula>
    </cfRule>
  </conditionalFormatting>
  <conditionalFormatting sqref="O8:P8">
    <cfRule type="expression" dxfId="813" priority="32145" stopIfTrue="1">
      <formula>ISERROR(INDIRECT($F$9))</formula>
    </cfRule>
  </conditionalFormatting>
  <conditionalFormatting sqref="S7:V8">
    <cfRule type="expression" dxfId="812" priority="32146" stopIfTrue="1">
      <formula>TIPOORCAMENTO="Proposto"</formula>
    </cfRule>
  </conditionalFormatting>
  <conditionalFormatting sqref="S9:V9">
    <cfRule type="expression" dxfId="811" priority="32093" stopIfTrue="1">
      <formula>TIPOORCAMENTO="Proposto"</formula>
    </cfRule>
  </conditionalFormatting>
  <conditionalFormatting sqref="AM7:AN19 AM30:AN32 AM48:AN105">
    <cfRule type="expression" dxfId="810" priority="32142" stopIfTrue="1">
      <formula>TIPOORCAMENTO="PROPOSTO"</formula>
    </cfRule>
    <cfRule type="expression" dxfId="809" priority="32143" stopIfTrue="1">
      <formula>$C7=1</formula>
    </cfRule>
    <cfRule type="expression" dxfId="808" priority="32144" stopIfTrue="1">
      <formula>OR(AND(ISNUMBER($C7),$C7=0),$C7=2,$C7=3,$C7=4)</formula>
    </cfRule>
  </conditionalFormatting>
  <conditionalFormatting sqref="R14 R30:R32 R18:R19 R50:R56">
    <cfRule type="beginsWith" dxfId="807" priority="19438" operator="beginsWith" text="(">
      <formula>LEFT(R14,LEN("("))="("</formula>
    </cfRule>
  </conditionalFormatting>
  <conditionalFormatting sqref="X14">
    <cfRule type="expression" dxfId="806" priority="17718" stopIfTrue="1">
      <formula>$C14=1</formula>
    </cfRule>
    <cfRule type="expression" dxfId="805" priority="17719" stopIfTrue="1">
      <formula>OR($C14=0,$C14=2,$C14=3,$C14=4)</formula>
    </cfRule>
  </conditionalFormatting>
  <conditionalFormatting sqref="AC11">
    <cfRule type="cellIs" dxfId="804" priority="8553" operator="equal">
      <formula>"OK"</formula>
    </cfRule>
  </conditionalFormatting>
  <conditionalFormatting sqref="M17">
    <cfRule type="cellIs" dxfId="803" priority="1778" stopIfTrue="1" operator="notEqual">
      <formula>$N17</formula>
    </cfRule>
  </conditionalFormatting>
  <conditionalFormatting sqref="W17 R17 N17:O17">
    <cfRule type="expression" dxfId="802" priority="1779" stopIfTrue="1">
      <formula>$C17=1</formula>
    </cfRule>
    <cfRule type="expression" dxfId="801" priority="1780" stopIfTrue="1">
      <formula>OR($C17=0,$C17=2,$C17=3,$C17=4)</formula>
    </cfRule>
  </conditionalFormatting>
  <conditionalFormatting sqref="U17:V17">
    <cfRule type="expression" dxfId="800" priority="1781" stopIfTrue="1">
      <formula>$C17=1</formula>
    </cfRule>
    <cfRule type="expression" dxfId="799" priority="1782" stopIfTrue="1">
      <formula>OR($C17=0,$C17=2,$C17=3,$C17=4)</formula>
    </cfRule>
    <cfRule type="expression" dxfId="798" priority="1783" stopIfTrue="1">
      <formula>AND(TIPOORCAMENTO="Licitado",$C17&lt;&gt;"L",$C17&lt;&gt;-1)</formula>
    </cfRule>
  </conditionalFormatting>
  <conditionalFormatting sqref="AG17:AH17 Y17 S17:T17 P17:Q17">
    <cfRule type="expression" dxfId="797" priority="1784" stopIfTrue="1">
      <formula>$C17=1</formula>
    </cfRule>
    <cfRule type="expression" dxfId="796" priority="1785" stopIfTrue="1">
      <formula>OR($C17=0,$C17=2,$C17=3,$C17=4)</formula>
    </cfRule>
  </conditionalFormatting>
  <conditionalFormatting sqref="R16:R17">
    <cfRule type="beginsWith" dxfId="795" priority="1777" operator="beginsWith" text="(">
      <formula>LEFT(R16,LEN("("))="("</formula>
    </cfRule>
  </conditionalFormatting>
  <conditionalFormatting sqref="X17">
    <cfRule type="expression" dxfId="794" priority="1775" stopIfTrue="1">
      <formula>$C17=1</formula>
    </cfRule>
    <cfRule type="expression" dxfId="793" priority="1776" stopIfTrue="1">
      <formula>OR($C17=0,$C17=2,$C17=3,$C17=4)</formula>
    </cfRule>
  </conditionalFormatting>
  <conditionalFormatting sqref="M33:M34 M36">
    <cfRule type="cellIs" dxfId="792" priority="501" stopIfTrue="1" operator="notEqual">
      <formula>$N33</formula>
    </cfRule>
  </conditionalFormatting>
  <conditionalFormatting sqref="N33:O34 R33:R34 W33:W34 W36 R36 N36:O36">
    <cfRule type="expression" dxfId="791" priority="502" stopIfTrue="1">
      <formula>$C33=1</formula>
    </cfRule>
    <cfRule type="expression" dxfId="790" priority="503" stopIfTrue="1">
      <formula>OR($C33=0,$C33=2,$C33=3,$C33=4)</formula>
    </cfRule>
  </conditionalFormatting>
  <conditionalFormatting sqref="U33:V34 U36:V36">
    <cfRule type="expression" dxfId="789" priority="504" stopIfTrue="1">
      <formula>$C33=1</formula>
    </cfRule>
    <cfRule type="expression" dxfId="788" priority="505" stopIfTrue="1">
      <formula>OR($C33=0,$C33=2,$C33=3,$C33=4)</formula>
    </cfRule>
    <cfRule type="expression" dxfId="787" priority="506" stopIfTrue="1">
      <formula>AND(TIPOORCAMENTO="Licitado",$C33&lt;&gt;"L",$C33&lt;&gt;-1)</formula>
    </cfRule>
  </conditionalFormatting>
  <conditionalFormatting sqref="P33:Q34 S33:T34 Y33:Y34 AG33:AH34 AG36:AH36 Y36 S36:T36 P36:Q36">
    <cfRule type="expression" dxfId="786" priority="507" stopIfTrue="1">
      <formula>$C33=1</formula>
    </cfRule>
    <cfRule type="expression" dxfId="785" priority="508" stopIfTrue="1">
      <formula>OR($C33=0,$C33=2,$C33=3,$C33=4)</formula>
    </cfRule>
  </conditionalFormatting>
  <conditionalFormatting sqref="AJ33:AJ34 AJ36">
    <cfRule type="expression" dxfId="784" priority="509" stopIfTrue="1">
      <formula>OR(ACOMPANHAMENTO&lt;&gt;"BM",TIPOORCAMENTO="Licitado")</formula>
    </cfRule>
    <cfRule type="expression" dxfId="783" priority="510" stopIfTrue="1">
      <formula>$C33=1</formula>
    </cfRule>
    <cfRule type="expression" dxfId="782" priority="511" stopIfTrue="1">
      <formula>OR(AND(ISNUMBER($C33),$C33=0),$C33=2,$C33=3,$C33=4)</formula>
    </cfRule>
  </conditionalFormatting>
  <conditionalFormatting sqref="AL33:AL34 AL36">
    <cfRule type="expression" dxfId="781" priority="512" stopIfTrue="1">
      <formula>TIPOORCAMENTO="PROPOSTO"</formula>
    </cfRule>
    <cfRule type="expression" dxfId="780" priority="513" stopIfTrue="1">
      <formula>$C33=1</formula>
    </cfRule>
    <cfRule type="expression" dxfId="779" priority="514" stopIfTrue="1">
      <formula>OR(AND(ISNUMBER($C33),$C33=0),$C33=2,$C33=3,$C33=4)</formula>
    </cfRule>
  </conditionalFormatting>
  <conditionalFormatting sqref="AM33:AN34 AM36:AN36">
    <cfRule type="expression" dxfId="778" priority="515" stopIfTrue="1">
      <formula>TIPOORCAMENTO="PROPOSTO"</formula>
    </cfRule>
    <cfRule type="expression" dxfId="777" priority="516" stopIfTrue="1">
      <formula>$C33=1</formula>
    </cfRule>
    <cfRule type="expression" dxfId="776" priority="517" stopIfTrue="1">
      <formula>OR(AND(ISNUMBER($C33),$C33=0),$C33=2,$C33=3,$C33=4)</formula>
    </cfRule>
  </conditionalFormatting>
  <conditionalFormatting sqref="R33:R34 R36">
    <cfRule type="beginsWith" dxfId="775" priority="500" operator="beginsWith" text="(">
      <formula>LEFT(R33,LEN("("))="("</formula>
    </cfRule>
  </conditionalFormatting>
  <conditionalFormatting sqref="X33:X34 X36">
    <cfRule type="expression" dxfId="774" priority="498" stopIfTrue="1">
      <formula>$C33=1</formula>
    </cfRule>
    <cfRule type="expression" dxfId="773" priority="499" stopIfTrue="1">
      <formula>OR($C33=0,$C33=2,$C33=3,$C33=4)</formula>
    </cfRule>
  </conditionalFormatting>
  <conditionalFormatting sqref="M20">
    <cfRule type="cellIs" dxfId="772" priority="481" stopIfTrue="1" operator="notEqual">
      <formula>$N20</formula>
    </cfRule>
  </conditionalFormatting>
  <conditionalFormatting sqref="N20:O20 R20 W20">
    <cfRule type="expression" dxfId="771" priority="482" stopIfTrue="1">
      <formula>$C20=1</formula>
    </cfRule>
    <cfRule type="expression" dxfId="770" priority="483" stopIfTrue="1">
      <formula>OR($C20=0,$C20=2,$C20=3,$C20=4)</formula>
    </cfRule>
  </conditionalFormatting>
  <conditionalFormatting sqref="U20:V20">
    <cfRule type="expression" dxfId="769" priority="484" stopIfTrue="1">
      <formula>$C20=1</formula>
    </cfRule>
    <cfRule type="expression" dxfId="768" priority="485" stopIfTrue="1">
      <formula>OR($C20=0,$C20=2,$C20=3,$C20=4)</formula>
    </cfRule>
    <cfRule type="expression" dxfId="767" priority="486" stopIfTrue="1">
      <formula>AND(TIPOORCAMENTO="Licitado",$C20&lt;&gt;"L",$C20&lt;&gt;-1)</formula>
    </cfRule>
  </conditionalFormatting>
  <conditionalFormatting sqref="P20:Q20 S20:T20 Y20 AG20:AH20">
    <cfRule type="expression" dxfId="766" priority="487" stopIfTrue="1">
      <formula>$C20=1</formula>
    </cfRule>
    <cfRule type="expression" dxfId="765" priority="488" stopIfTrue="1">
      <formula>OR($C20=0,$C20=2,$C20=3,$C20=4)</formula>
    </cfRule>
  </conditionalFormatting>
  <conditionalFormatting sqref="AJ20">
    <cfRule type="expression" dxfId="764" priority="489" stopIfTrue="1">
      <formula>OR(ACOMPANHAMENTO&lt;&gt;"BM",TIPOORCAMENTO="Licitado")</formula>
    </cfRule>
    <cfRule type="expression" dxfId="763" priority="490" stopIfTrue="1">
      <formula>$C20=1</formula>
    </cfRule>
    <cfRule type="expression" dxfId="762" priority="491" stopIfTrue="1">
      <formula>OR(AND(ISNUMBER($C20),$C20=0),$C20=2,$C20=3,$C20=4)</formula>
    </cfRule>
  </conditionalFormatting>
  <conditionalFormatting sqref="AL20">
    <cfRule type="expression" dxfId="761" priority="492" stopIfTrue="1">
      <formula>TIPOORCAMENTO="PROPOSTO"</formula>
    </cfRule>
    <cfRule type="expression" dxfId="760" priority="493" stopIfTrue="1">
      <formula>$C20=1</formula>
    </cfRule>
    <cfRule type="expression" dxfId="759" priority="494" stopIfTrue="1">
      <formula>OR(AND(ISNUMBER($C20),$C20=0),$C20=2,$C20=3,$C20=4)</formula>
    </cfRule>
  </conditionalFormatting>
  <conditionalFormatting sqref="AM20:AN20">
    <cfRule type="expression" dxfId="758" priority="495" stopIfTrue="1">
      <formula>TIPOORCAMENTO="PROPOSTO"</formula>
    </cfRule>
    <cfRule type="expression" dxfId="757" priority="496" stopIfTrue="1">
      <formula>$C20=1</formula>
    </cfRule>
    <cfRule type="expression" dxfId="756" priority="497" stopIfTrue="1">
      <formula>OR(AND(ISNUMBER($C20),$C20=0),$C20=2,$C20=3,$C20=4)</formula>
    </cfRule>
  </conditionalFormatting>
  <conditionalFormatting sqref="R20">
    <cfRule type="beginsWith" dxfId="755" priority="480" operator="beginsWith" text="(">
      <formula>LEFT(R20,LEN("("))="("</formula>
    </cfRule>
  </conditionalFormatting>
  <conditionalFormatting sqref="X20">
    <cfRule type="expression" dxfId="754" priority="478" stopIfTrue="1">
      <formula>$C20=1</formula>
    </cfRule>
    <cfRule type="expression" dxfId="753" priority="479" stopIfTrue="1">
      <formula>OR($C20=0,$C20=2,$C20=3,$C20=4)</formula>
    </cfRule>
  </conditionalFormatting>
  <conditionalFormatting sqref="M41">
    <cfRule type="cellIs" dxfId="752" priority="461" stopIfTrue="1" operator="notEqual">
      <formula>$N41</formula>
    </cfRule>
  </conditionalFormatting>
  <conditionalFormatting sqref="N41:O41 R41 W41">
    <cfRule type="expression" dxfId="751" priority="462" stopIfTrue="1">
      <formula>$C41=1</formula>
    </cfRule>
    <cfRule type="expression" dxfId="750" priority="463" stopIfTrue="1">
      <formula>OR($C41=0,$C41=2,$C41=3,$C41=4)</formula>
    </cfRule>
  </conditionalFormatting>
  <conditionalFormatting sqref="U41:V41">
    <cfRule type="expression" dxfId="749" priority="464" stopIfTrue="1">
      <formula>$C41=1</formula>
    </cfRule>
    <cfRule type="expression" dxfId="748" priority="465" stopIfTrue="1">
      <formula>OR($C41=0,$C41=2,$C41=3,$C41=4)</formula>
    </cfRule>
    <cfRule type="expression" dxfId="747" priority="466" stopIfTrue="1">
      <formula>AND(TIPOORCAMENTO="Licitado",$C41&lt;&gt;"L",$C41&lt;&gt;-1)</formula>
    </cfRule>
  </conditionalFormatting>
  <conditionalFormatting sqref="P41:Q41 S41:T41 Y41 AG41:AH41">
    <cfRule type="expression" dxfId="746" priority="467" stopIfTrue="1">
      <formula>$C41=1</formula>
    </cfRule>
    <cfRule type="expression" dxfId="745" priority="468" stopIfTrue="1">
      <formula>OR($C41=0,$C41=2,$C41=3,$C41=4)</formula>
    </cfRule>
  </conditionalFormatting>
  <conditionalFormatting sqref="AJ41">
    <cfRule type="expression" dxfId="744" priority="469" stopIfTrue="1">
      <formula>OR(ACOMPANHAMENTO&lt;&gt;"BM",TIPOORCAMENTO="Licitado")</formula>
    </cfRule>
    <cfRule type="expression" dxfId="743" priority="470" stopIfTrue="1">
      <formula>$C41=1</formula>
    </cfRule>
    <cfRule type="expression" dxfId="742" priority="471" stopIfTrue="1">
      <formula>OR(AND(ISNUMBER($C41),$C41=0),$C41=2,$C41=3,$C41=4)</formula>
    </cfRule>
  </conditionalFormatting>
  <conditionalFormatting sqref="AL41">
    <cfRule type="expression" dxfId="741" priority="472" stopIfTrue="1">
      <formula>TIPOORCAMENTO="PROPOSTO"</formula>
    </cfRule>
    <cfRule type="expression" dxfId="740" priority="473" stopIfTrue="1">
      <formula>$C41=1</formula>
    </cfRule>
    <cfRule type="expression" dxfId="739" priority="474" stopIfTrue="1">
      <formula>OR(AND(ISNUMBER($C41),$C41=0),$C41=2,$C41=3,$C41=4)</formula>
    </cfRule>
  </conditionalFormatting>
  <conditionalFormatting sqref="AM41:AN41">
    <cfRule type="expression" dxfId="738" priority="475" stopIfTrue="1">
      <formula>TIPOORCAMENTO="PROPOSTO"</formula>
    </cfRule>
    <cfRule type="expression" dxfId="737" priority="476" stopIfTrue="1">
      <formula>$C41=1</formula>
    </cfRule>
    <cfRule type="expression" dxfId="736" priority="477" stopIfTrue="1">
      <formula>OR(AND(ISNUMBER($C41),$C41=0),$C41=2,$C41=3,$C41=4)</formula>
    </cfRule>
  </conditionalFormatting>
  <conditionalFormatting sqref="R41">
    <cfRule type="beginsWith" dxfId="735" priority="460" operator="beginsWith" text="(">
      <formula>LEFT(R41,LEN("("))="("</formula>
    </cfRule>
  </conditionalFormatting>
  <conditionalFormatting sqref="X41">
    <cfRule type="expression" dxfId="734" priority="458" stopIfTrue="1">
      <formula>$C41=1</formula>
    </cfRule>
    <cfRule type="expression" dxfId="733" priority="459" stopIfTrue="1">
      <formula>OR($C41=0,$C41=2,$C41=3,$C41=4)</formula>
    </cfRule>
  </conditionalFormatting>
  <conditionalFormatting sqref="M42:M43">
    <cfRule type="cellIs" dxfId="732" priority="441" stopIfTrue="1" operator="notEqual">
      <formula>$N42</formula>
    </cfRule>
  </conditionalFormatting>
  <conditionalFormatting sqref="N42:O43 R42:R43 W42:W43">
    <cfRule type="expression" dxfId="731" priority="442" stopIfTrue="1">
      <formula>$C42=1</formula>
    </cfRule>
    <cfRule type="expression" dxfId="730" priority="443" stopIfTrue="1">
      <formula>OR($C42=0,$C42=2,$C42=3,$C42=4)</formula>
    </cfRule>
  </conditionalFormatting>
  <conditionalFormatting sqref="U42:V43">
    <cfRule type="expression" dxfId="729" priority="444" stopIfTrue="1">
      <formula>$C42=1</formula>
    </cfRule>
    <cfRule type="expression" dxfId="728" priority="445" stopIfTrue="1">
      <formula>OR($C42=0,$C42=2,$C42=3,$C42=4)</formula>
    </cfRule>
    <cfRule type="expression" dxfId="727" priority="446" stopIfTrue="1">
      <formula>AND(TIPOORCAMENTO="Licitado",$C42&lt;&gt;"L",$C42&lt;&gt;-1)</formula>
    </cfRule>
  </conditionalFormatting>
  <conditionalFormatting sqref="P42:Q43 S42:T43 Y42:Y43 AG42:AH43">
    <cfRule type="expression" dxfId="726" priority="447" stopIfTrue="1">
      <formula>$C42=1</formula>
    </cfRule>
    <cfRule type="expression" dxfId="725" priority="448" stopIfTrue="1">
      <formula>OR($C42=0,$C42=2,$C42=3,$C42=4)</formula>
    </cfRule>
  </conditionalFormatting>
  <conditionalFormatting sqref="AJ42:AJ43">
    <cfRule type="expression" dxfId="724" priority="449" stopIfTrue="1">
      <formula>OR(ACOMPANHAMENTO&lt;&gt;"BM",TIPOORCAMENTO="Licitado")</formula>
    </cfRule>
    <cfRule type="expression" dxfId="723" priority="450" stopIfTrue="1">
      <formula>$C42=1</formula>
    </cfRule>
    <cfRule type="expression" dxfId="722" priority="451" stopIfTrue="1">
      <formula>OR(AND(ISNUMBER($C42),$C42=0),$C42=2,$C42=3,$C42=4)</formula>
    </cfRule>
  </conditionalFormatting>
  <conditionalFormatting sqref="AL42:AL43">
    <cfRule type="expression" dxfId="721" priority="452" stopIfTrue="1">
      <formula>TIPOORCAMENTO="PROPOSTO"</formula>
    </cfRule>
    <cfRule type="expression" dxfId="720" priority="453" stopIfTrue="1">
      <formula>$C42=1</formula>
    </cfRule>
    <cfRule type="expression" dxfId="719" priority="454" stopIfTrue="1">
      <formula>OR(AND(ISNUMBER($C42),$C42=0),$C42=2,$C42=3,$C42=4)</formula>
    </cfRule>
  </conditionalFormatting>
  <conditionalFormatting sqref="AM42:AN43">
    <cfRule type="expression" dxfId="718" priority="455" stopIfTrue="1">
      <formula>TIPOORCAMENTO="PROPOSTO"</formula>
    </cfRule>
    <cfRule type="expression" dxfId="717" priority="456" stopIfTrue="1">
      <formula>$C42=1</formula>
    </cfRule>
    <cfRule type="expression" dxfId="716" priority="457" stopIfTrue="1">
      <formula>OR(AND(ISNUMBER($C42),$C42=0),$C42=2,$C42=3,$C42=4)</formula>
    </cfRule>
  </conditionalFormatting>
  <conditionalFormatting sqref="R42:R43">
    <cfRule type="beginsWith" dxfId="715" priority="440" operator="beginsWith" text="(">
      <formula>LEFT(R42,LEN("("))="("</formula>
    </cfRule>
  </conditionalFormatting>
  <conditionalFormatting sqref="X42:X43">
    <cfRule type="expression" dxfId="714" priority="438" stopIfTrue="1">
      <formula>$C42=1</formula>
    </cfRule>
    <cfRule type="expression" dxfId="713" priority="439" stopIfTrue="1">
      <formula>OR($C42=0,$C42=2,$C42=3,$C42=4)</formula>
    </cfRule>
  </conditionalFormatting>
  <conditionalFormatting sqref="M46:M47">
    <cfRule type="cellIs" dxfId="712" priority="421" stopIfTrue="1" operator="notEqual">
      <formula>$N46</formula>
    </cfRule>
  </conditionalFormatting>
  <conditionalFormatting sqref="N46:O47 R46:R47 W46:W47">
    <cfRule type="expression" dxfId="711" priority="422" stopIfTrue="1">
      <formula>$C46=1</formula>
    </cfRule>
    <cfRule type="expression" dxfId="710" priority="423" stopIfTrue="1">
      <formula>OR($C46=0,$C46=2,$C46=3,$C46=4)</formula>
    </cfRule>
  </conditionalFormatting>
  <conditionalFormatting sqref="U46:V47">
    <cfRule type="expression" dxfId="709" priority="424" stopIfTrue="1">
      <formula>$C46=1</formula>
    </cfRule>
    <cfRule type="expression" dxfId="708" priority="425" stopIfTrue="1">
      <formula>OR($C46=0,$C46=2,$C46=3,$C46=4)</formula>
    </cfRule>
    <cfRule type="expression" dxfId="707" priority="426" stopIfTrue="1">
      <formula>AND(TIPOORCAMENTO="Licitado",$C46&lt;&gt;"L",$C46&lt;&gt;-1)</formula>
    </cfRule>
  </conditionalFormatting>
  <conditionalFormatting sqref="P46:Q47 S46:T47 Y46:Y47 AG46:AH47">
    <cfRule type="expression" dxfId="706" priority="427" stopIfTrue="1">
      <formula>$C46=1</formula>
    </cfRule>
    <cfRule type="expression" dxfId="705" priority="428" stopIfTrue="1">
      <formula>OR($C46=0,$C46=2,$C46=3,$C46=4)</formula>
    </cfRule>
  </conditionalFormatting>
  <conditionalFormatting sqref="AJ46:AJ47">
    <cfRule type="expression" dxfId="704" priority="429" stopIfTrue="1">
      <formula>OR(ACOMPANHAMENTO&lt;&gt;"BM",TIPOORCAMENTO="Licitado")</formula>
    </cfRule>
    <cfRule type="expression" dxfId="703" priority="430" stopIfTrue="1">
      <formula>$C46=1</formula>
    </cfRule>
    <cfRule type="expression" dxfId="702" priority="431" stopIfTrue="1">
      <formula>OR(AND(ISNUMBER($C46),$C46=0),$C46=2,$C46=3,$C46=4)</formula>
    </cfRule>
  </conditionalFormatting>
  <conditionalFormatting sqref="AL46:AL47">
    <cfRule type="expression" dxfId="701" priority="432" stopIfTrue="1">
      <formula>TIPOORCAMENTO="PROPOSTO"</formula>
    </cfRule>
    <cfRule type="expression" dxfId="700" priority="433" stopIfTrue="1">
      <formula>$C46=1</formula>
    </cfRule>
    <cfRule type="expression" dxfId="699" priority="434" stopIfTrue="1">
      <formula>OR(AND(ISNUMBER($C46),$C46=0),$C46=2,$C46=3,$C46=4)</formula>
    </cfRule>
  </conditionalFormatting>
  <conditionalFormatting sqref="AM46:AN47">
    <cfRule type="expression" dxfId="698" priority="435" stopIfTrue="1">
      <formula>TIPOORCAMENTO="PROPOSTO"</formula>
    </cfRule>
    <cfRule type="expression" dxfId="697" priority="436" stopIfTrue="1">
      <formula>$C46=1</formula>
    </cfRule>
    <cfRule type="expression" dxfId="696" priority="437" stopIfTrue="1">
      <formula>OR(AND(ISNUMBER($C46),$C46=0),$C46=2,$C46=3,$C46=4)</formula>
    </cfRule>
  </conditionalFormatting>
  <conditionalFormatting sqref="R46:R47">
    <cfRule type="beginsWith" dxfId="695" priority="420" operator="beginsWith" text="(">
      <formula>LEFT(R46,LEN("("))="("</formula>
    </cfRule>
  </conditionalFormatting>
  <conditionalFormatting sqref="X46:X47">
    <cfRule type="expression" dxfId="694" priority="418" stopIfTrue="1">
      <formula>$C46=1</formula>
    </cfRule>
    <cfRule type="expression" dxfId="693" priority="419" stopIfTrue="1">
      <formula>OR($C46=0,$C46=2,$C46=3,$C46=4)</formula>
    </cfRule>
  </conditionalFormatting>
  <conditionalFormatting sqref="M22:M23">
    <cfRule type="cellIs" dxfId="692" priority="361" stopIfTrue="1" operator="notEqual">
      <formula>$N22</formula>
    </cfRule>
  </conditionalFormatting>
  <conditionalFormatting sqref="N22:O23 R22:R23 W22:W23">
    <cfRule type="expression" dxfId="691" priority="362" stopIfTrue="1">
      <formula>$C22=1</formula>
    </cfRule>
    <cfRule type="expression" dxfId="690" priority="363" stopIfTrue="1">
      <formula>OR($C22=0,$C22=2,$C22=3,$C22=4)</formula>
    </cfRule>
  </conditionalFormatting>
  <conditionalFormatting sqref="U22:V23">
    <cfRule type="expression" dxfId="689" priority="364" stopIfTrue="1">
      <formula>$C22=1</formula>
    </cfRule>
    <cfRule type="expression" dxfId="688" priority="365" stopIfTrue="1">
      <formula>OR($C22=0,$C22=2,$C22=3,$C22=4)</formula>
    </cfRule>
    <cfRule type="expression" dxfId="687" priority="366" stopIfTrue="1">
      <formula>AND(TIPOORCAMENTO="Licitado",$C22&lt;&gt;"L",$C22&lt;&gt;-1)</formula>
    </cfRule>
  </conditionalFormatting>
  <conditionalFormatting sqref="P22:Q23 S22:T23 Y22:Y23 AG22:AH23">
    <cfRule type="expression" dxfId="686" priority="367" stopIfTrue="1">
      <formula>$C22=1</formula>
    </cfRule>
    <cfRule type="expression" dxfId="685" priority="368" stopIfTrue="1">
      <formula>OR($C22=0,$C22=2,$C22=3,$C22=4)</formula>
    </cfRule>
  </conditionalFormatting>
  <conditionalFormatting sqref="AJ22:AJ23">
    <cfRule type="expression" dxfId="684" priority="369" stopIfTrue="1">
      <formula>OR(ACOMPANHAMENTO&lt;&gt;"BM",TIPOORCAMENTO="Licitado")</formula>
    </cfRule>
    <cfRule type="expression" dxfId="683" priority="370" stopIfTrue="1">
      <formula>$C22=1</formula>
    </cfRule>
    <cfRule type="expression" dxfId="682" priority="371" stopIfTrue="1">
      <formula>OR(AND(ISNUMBER($C22),$C22=0),$C22=2,$C22=3,$C22=4)</formula>
    </cfRule>
  </conditionalFormatting>
  <conditionalFormatting sqref="AL22:AL23">
    <cfRule type="expression" dxfId="681" priority="372" stopIfTrue="1">
      <formula>TIPOORCAMENTO="PROPOSTO"</formula>
    </cfRule>
    <cfRule type="expression" dxfId="680" priority="373" stopIfTrue="1">
      <formula>$C22=1</formula>
    </cfRule>
    <cfRule type="expression" dxfId="679" priority="374" stopIfTrue="1">
      <formula>OR(AND(ISNUMBER($C22),$C22=0),$C22=2,$C22=3,$C22=4)</formula>
    </cfRule>
  </conditionalFormatting>
  <conditionalFormatting sqref="AM22:AN23">
    <cfRule type="expression" dxfId="678" priority="375" stopIfTrue="1">
      <formula>TIPOORCAMENTO="PROPOSTO"</formula>
    </cfRule>
    <cfRule type="expression" dxfId="677" priority="376" stopIfTrue="1">
      <formula>$C22=1</formula>
    </cfRule>
    <cfRule type="expression" dxfId="676" priority="377" stopIfTrue="1">
      <formula>OR(AND(ISNUMBER($C22),$C22=0),$C22=2,$C22=3,$C22=4)</formula>
    </cfRule>
  </conditionalFormatting>
  <conditionalFormatting sqref="R22:R23">
    <cfRule type="beginsWith" dxfId="675" priority="360" operator="beginsWith" text="(">
      <formula>LEFT(R22,LEN("("))="("</formula>
    </cfRule>
  </conditionalFormatting>
  <conditionalFormatting sqref="X22:X23">
    <cfRule type="expression" dxfId="674" priority="358" stopIfTrue="1">
      <formula>$C22=1</formula>
    </cfRule>
    <cfRule type="expression" dxfId="673" priority="359" stopIfTrue="1">
      <formula>OR($C22=0,$C22=2,$C22=3,$C22=4)</formula>
    </cfRule>
  </conditionalFormatting>
  <conditionalFormatting sqref="M35">
    <cfRule type="cellIs" dxfId="672" priority="321" stopIfTrue="1" operator="notEqual">
      <formula>$N35</formula>
    </cfRule>
  </conditionalFormatting>
  <conditionalFormatting sqref="N35:O35 R35 W35">
    <cfRule type="expression" dxfId="671" priority="322" stopIfTrue="1">
      <formula>$C35=1</formula>
    </cfRule>
    <cfRule type="expression" dxfId="670" priority="323" stopIfTrue="1">
      <formula>OR($C35=0,$C35=2,$C35=3,$C35=4)</formula>
    </cfRule>
  </conditionalFormatting>
  <conditionalFormatting sqref="U35:V35">
    <cfRule type="expression" dxfId="669" priority="324" stopIfTrue="1">
      <formula>$C35=1</formula>
    </cfRule>
    <cfRule type="expression" dxfId="668" priority="325" stopIfTrue="1">
      <formula>OR($C35=0,$C35=2,$C35=3,$C35=4)</formula>
    </cfRule>
    <cfRule type="expression" dxfId="667" priority="326" stopIfTrue="1">
      <formula>AND(TIPOORCAMENTO="Licitado",$C35&lt;&gt;"L",$C35&lt;&gt;-1)</formula>
    </cfRule>
  </conditionalFormatting>
  <conditionalFormatting sqref="P35:Q35 S35:T35 Y35 AG35:AH35">
    <cfRule type="expression" dxfId="666" priority="327" stopIfTrue="1">
      <formula>$C35=1</formula>
    </cfRule>
    <cfRule type="expression" dxfId="665" priority="328" stopIfTrue="1">
      <formula>OR($C35=0,$C35=2,$C35=3,$C35=4)</formula>
    </cfRule>
  </conditionalFormatting>
  <conditionalFormatting sqref="AJ35">
    <cfRule type="expression" dxfId="664" priority="329" stopIfTrue="1">
      <formula>OR(ACOMPANHAMENTO&lt;&gt;"BM",TIPOORCAMENTO="Licitado")</formula>
    </cfRule>
    <cfRule type="expression" dxfId="663" priority="330" stopIfTrue="1">
      <formula>$C35=1</formula>
    </cfRule>
    <cfRule type="expression" dxfId="662" priority="331" stopIfTrue="1">
      <formula>OR(AND(ISNUMBER($C35),$C35=0),$C35=2,$C35=3,$C35=4)</formula>
    </cfRule>
  </conditionalFormatting>
  <conditionalFormatting sqref="AL35">
    <cfRule type="expression" dxfId="661" priority="332" stopIfTrue="1">
      <formula>TIPOORCAMENTO="PROPOSTO"</formula>
    </cfRule>
    <cfRule type="expression" dxfId="660" priority="333" stopIfTrue="1">
      <formula>$C35=1</formula>
    </cfRule>
    <cfRule type="expression" dxfId="659" priority="334" stopIfTrue="1">
      <formula>OR(AND(ISNUMBER($C35),$C35=0),$C35=2,$C35=3,$C35=4)</formula>
    </cfRule>
  </conditionalFormatting>
  <conditionalFormatting sqref="AM35:AN35">
    <cfRule type="expression" dxfId="658" priority="335" stopIfTrue="1">
      <formula>TIPOORCAMENTO="PROPOSTO"</formula>
    </cfRule>
    <cfRule type="expression" dxfId="657" priority="336" stopIfTrue="1">
      <formula>$C35=1</formula>
    </cfRule>
    <cfRule type="expression" dxfId="656" priority="337" stopIfTrue="1">
      <formula>OR(AND(ISNUMBER($C35),$C35=0),$C35=2,$C35=3,$C35=4)</formula>
    </cfRule>
  </conditionalFormatting>
  <conditionalFormatting sqref="R35">
    <cfRule type="beginsWith" dxfId="655" priority="320" operator="beginsWith" text="(">
      <formula>LEFT(R35,LEN("("))="("</formula>
    </cfRule>
  </conditionalFormatting>
  <conditionalFormatting sqref="X35">
    <cfRule type="expression" dxfId="654" priority="318" stopIfTrue="1">
      <formula>$C35=1</formula>
    </cfRule>
    <cfRule type="expression" dxfId="653" priority="319" stopIfTrue="1">
      <formula>OR($C35=0,$C35=2,$C35=3,$C35=4)</formula>
    </cfRule>
  </conditionalFormatting>
  <conditionalFormatting sqref="M44">
    <cfRule type="cellIs" dxfId="652" priority="301" stopIfTrue="1" operator="notEqual">
      <formula>$N44</formula>
    </cfRule>
  </conditionalFormatting>
  <conditionalFormatting sqref="N44:O44 R44 W44">
    <cfRule type="expression" dxfId="651" priority="302" stopIfTrue="1">
      <formula>$C44=1</formula>
    </cfRule>
    <cfRule type="expression" dxfId="650" priority="303" stopIfTrue="1">
      <formula>OR($C44=0,$C44=2,$C44=3,$C44=4)</formula>
    </cfRule>
  </conditionalFormatting>
  <conditionalFormatting sqref="U44:V44">
    <cfRule type="expression" dxfId="649" priority="304" stopIfTrue="1">
      <formula>$C44=1</formula>
    </cfRule>
    <cfRule type="expression" dxfId="648" priority="305" stopIfTrue="1">
      <formula>OR($C44=0,$C44=2,$C44=3,$C44=4)</formula>
    </cfRule>
    <cfRule type="expression" dxfId="647" priority="306" stopIfTrue="1">
      <formula>AND(TIPOORCAMENTO="Licitado",$C44&lt;&gt;"L",$C44&lt;&gt;-1)</formula>
    </cfRule>
  </conditionalFormatting>
  <conditionalFormatting sqref="P44:Q44 S44:T44 Y44 AG44:AH44">
    <cfRule type="expression" dxfId="646" priority="307" stopIfTrue="1">
      <formula>$C44=1</formula>
    </cfRule>
    <cfRule type="expression" dxfId="645" priority="308" stopIfTrue="1">
      <formula>OR($C44=0,$C44=2,$C44=3,$C44=4)</formula>
    </cfRule>
  </conditionalFormatting>
  <conditionalFormatting sqref="AJ44">
    <cfRule type="expression" dxfId="644" priority="309" stopIfTrue="1">
      <formula>OR(ACOMPANHAMENTO&lt;&gt;"BM",TIPOORCAMENTO="Licitado")</formula>
    </cfRule>
    <cfRule type="expression" dxfId="643" priority="310" stopIfTrue="1">
      <formula>$C44=1</formula>
    </cfRule>
    <cfRule type="expression" dxfId="642" priority="311" stopIfTrue="1">
      <formula>OR(AND(ISNUMBER($C44),$C44=0),$C44=2,$C44=3,$C44=4)</formula>
    </cfRule>
  </conditionalFormatting>
  <conditionalFormatting sqref="AL44">
    <cfRule type="expression" dxfId="641" priority="312" stopIfTrue="1">
      <formula>TIPOORCAMENTO="PROPOSTO"</formula>
    </cfRule>
    <cfRule type="expression" dxfId="640" priority="313" stopIfTrue="1">
      <formula>$C44=1</formula>
    </cfRule>
    <cfRule type="expression" dxfId="639" priority="314" stopIfTrue="1">
      <formula>OR(AND(ISNUMBER($C44),$C44=0),$C44=2,$C44=3,$C44=4)</formula>
    </cfRule>
  </conditionalFormatting>
  <conditionalFormatting sqref="AM44:AN44">
    <cfRule type="expression" dxfId="638" priority="315" stopIfTrue="1">
      <formula>TIPOORCAMENTO="PROPOSTO"</formula>
    </cfRule>
    <cfRule type="expression" dxfId="637" priority="316" stopIfTrue="1">
      <formula>$C44=1</formula>
    </cfRule>
    <cfRule type="expression" dxfId="636" priority="317" stopIfTrue="1">
      <formula>OR(AND(ISNUMBER($C44),$C44=0),$C44=2,$C44=3,$C44=4)</formula>
    </cfRule>
  </conditionalFormatting>
  <conditionalFormatting sqref="R44">
    <cfRule type="beginsWith" dxfId="635" priority="300" operator="beginsWith" text="(">
      <formula>LEFT(R44,LEN("("))="("</formula>
    </cfRule>
  </conditionalFormatting>
  <conditionalFormatting sqref="X44">
    <cfRule type="expression" dxfId="634" priority="298" stopIfTrue="1">
      <formula>$C44=1</formula>
    </cfRule>
    <cfRule type="expression" dxfId="633" priority="299" stopIfTrue="1">
      <formula>OR($C44=0,$C44=2,$C44=3,$C44=4)</formula>
    </cfRule>
  </conditionalFormatting>
  <conditionalFormatting sqref="M45">
    <cfRule type="cellIs" dxfId="632" priority="281" stopIfTrue="1" operator="notEqual">
      <formula>$N45</formula>
    </cfRule>
  </conditionalFormatting>
  <conditionalFormatting sqref="N45:O45 R45 W45">
    <cfRule type="expression" dxfId="631" priority="282" stopIfTrue="1">
      <formula>$C45=1</formula>
    </cfRule>
    <cfRule type="expression" dxfId="630" priority="283" stopIfTrue="1">
      <formula>OR($C45=0,$C45=2,$C45=3,$C45=4)</formula>
    </cfRule>
  </conditionalFormatting>
  <conditionalFormatting sqref="U45:V45">
    <cfRule type="expression" dxfId="629" priority="284" stopIfTrue="1">
      <formula>$C45=1</formula>
    </cfRule>
    <cfRule type="expression" dxfId="628" priority="285" stopIfTrue="1">
      <formula>OR($C45=0,$C45=2,$C45=3,$C45=4)</formula>
    </cfRule>
    <cfRule type="expression" dxfId="627" priority="286" stopIfTrue="1">
      <formula>AND(TIPOORCAMENTO="Licitado",$C45&lt;&gt;"L",$C45&lt;&gt;-1)</formula>
    </cfRule>
  </conditionalFormatting>
  <conditionalFormatting sqref="P45:Q45 S45:T45 Y45 AG45:AH45">
    <cfRule type="expression" dxfId="626" priority="287" stopIfTrue="1">
      <formula>$C45=1</formula>
    </cfRule>
    <cfRule type="expression" dxfId="625" priority="288" stopIfTrue="1">
      <formula>OR($C45=0,$C45=2,$C45=3,$C45=4)</formula>
    </cfRule>
  </conditionalFormatting>
  <conditionalFormatting sqref="AJ45">
    <cfRule type="expression" dxfId="624" priority="289" stopIfTrue="1">
      <formula>OR(ACOMPANHAMENTO&lt;&gt;"BM",TIPOORCAMENTO="Licitado")</formula>
    </cfRule>
    <cfRule type="expression" dxfId="623" priority="290" stopIfTrue="1">
      <formula>$C45=1</formula>
    </cfRule>
    <cfRule type="expression" dxfId="622" priority="291" stopIfTrue="1">
      <formula>OR(AND(ISNUMBER($C45),$C45=0),$C45=2,$C45=3,$C45=4)</formula>
    </cfRule>
  </conditionalFormatting>
  <conditionalFormatting sqref="AL45">
    <cfRule type="expression" dxfId="621" priority="292" stopIfTrue="1">
      <formula>TIPOORCAMENTO="PROPOSTO"</formula>
    </cfRule>
    <cfRule type="expression" dxfId="620" priority="293" stopIfTrue="1">
      <formula>$C45=1</formula>
    </cfRule>
    <cfRule type="expression" dxfId="619" priority="294" stopIfTrue="1">
      <formula>OR(AND(ISNUMBER($C45),$C45=0),$C45=2,$C45=3,$C45=4)</formula>
    </cfRule>
  </conditionalFormatting>
  <conditionalFormatting sqref="AM45:AN45">
    <cfRule type="expression" dxfId="618" priority="295" stopIfTrue="1">
      <formula>TIPOORCAMENTO="PROPOSTO"</formula>
    </cfRule>
    <cfRule type="expression" dxfId="617" priority="296" stopIfTrue="1">
      <formula>$C45=1</formula>
    </cfRule>
    <cfRule type="expression" dxfId="616" priority="297" stopIfTrue="1">
      <formula>OR(AND(ISNUMBER($C45),$C45=0),$C45=2,$C45=3,$C45=4)</formula>
    </cfRule>
  </conditionalFormatting>
  <conditionalFormatting sqref="R45">
    <cfRule type="beginsWith" dxfId="615" priority="280" operator="beginsWith" text="(">
      <formula>LEFT(R45,LEN("("))="("</formula>
    </cfRule>
  </conditionalFormatting>
  <conditionalFormatting sqref="X45">
    <cfRule type="expression" dxfId="614" priority="278" stopIfTrue="1">
      <formula>$C45=1</formula>
    </cfRule>
    <cfRule type="expression" dxfId="613" priority="279" stopIfTrue="1">
      <formula>OR($C45=0,$C45=2,$C45=3,$C45=4)</formula>
    </cfRule>
  </conditionalFormatting>
  <conditionalFormatting sqref="M25">
    <cfRule type="cellIs" dxfId="612" priority="261" stopIfTrue="1" operator="notEqual">
      <formula>$N25</formula>
    </cfRule>
  </conditionalFormatting>
  <conditionalFormatting sqref="N25:O25 R25 W25">
    <cfRule type="expression" dxfId="611" priority="262" stopIfTrue="1">
      <formula>$C25=1</formula>
    </cfRule>
    <cfRule type="expression" dxfId="610" priority="263" stopIfTrue="1">
      <formula>OR($C25=0,$C25=2,$C25=3,$C25=4)</formula>
    </cfRule>
  </conditionalFormatting>
  <conditionalFormatting sqref="U25:V25">
    <cfRule type="expression" dxfId="609" priority="264" stopIfTrue="1">
      <formula>$C25=1</formula>
    </cfRule>
    <cfRule type="expression" dxfId="608" priority="265" stopIfTrue="1">
      <formula>OR($C25=0,$C25=2,$C25=3,$C25=4)</formula>
    </cfRule>
    <cfRule type="expression" dxfId="607" priority="266" stopIfTrue="1">
      <formula>AND(TIPOORCAMENTO="Licitado",$C25&lt;&gt;"L",$C25&lt;&gt;-1)</formula>
    </cfRule>
  </conditionalFormatting>
  <conditionalFormatting sqref="P25:Q25 S25:T25 Y25 AG25:AH25">
    <cfRule type="expression" dxfId="606" priority="267" stopIfTrue="1">
      <formula>$C25=1</formula>
    </cfRule>
    <cfRule type="expression" dxfId="605" priority="268" stopIfTrue="1">
      <formula>OR($C25=0,$C25=2,$C25=3,$C25=4)</formula>
    </cfRule>
  </conditionalFormatting>
  <conditionalFormatting sqref="AJ25">
    <cfRule type="expression" dxfId="604" priority="269" stopIfTrue="1">
      <formula>OR(ACOMPANHAMENTO&lt;&gt;"BM",TIPOORCAMENTO="Licitado")</formula>
    </cfRule>
    <cfRule type="expression" dxfId="603" priority="270" stopIfTrue="1">
      <formula>$C25=1</formula>
    </cfRule>
    <cfRule type="expression" dxfId="602" priority="271" stopIfTrue="1">
      <formula>OR(AND(ISNUMBER($C25),$C25=0),$C25=2,$C25=3,$C25=4)</formula>
    </cfRule>
  </conditionalFormatting>
  <conditionalFormatting sqref="AL25">
    <cfRule type="expression" dxfId="601" priority="272" stopIfTrue="1">
      <formula>TIPOORCAMENTO="PROPOSTO"</formula>
    </cfRule>
    <cfRule type="expression" dxfId="600" priority="273" stopIfTrue="1">
      <formula>$C25=1</formula>
    </cfRule>
    <cfRule type="expression" dxfId="599" priority="274" stopIfTrue="1">
      <formula>OR(AND(ISNUMBER($C25),$C25=0),$C25=2,$C25=3,$C25=4)</formula>
    </cfRule>
  </conditionalFormatting>
  <conditionalFormatting sqref="AM25:AN25">
    <cfRule type="expression" dxfId="598" priority="275" stopIfTrue="1">
      <formula>TIPOORCAMENTO="PROPOSTO"</formula>
    </cfRule>
    <cfRule type="expression" dxfId="597" priority="276" stopIfTrue="1">
      <formula>$C25=1</formula>
    </cfRule>
    <cfRule type="expression" dxfId="596" priority="277" stopIfTrue="1">
      <formula>OR(AND(ISNUMBER($C25),$C25=0),$C25=2,$C25=3,$C25=4)</formula>
    </cfRule>
  </conditionalFormatting>
  <conditionalFormatting sqref="R25">
    <cfRule type="beginsWith" dxfId="595" priority="260" operator="beginsWith" text="(">
      <formula>LEFT(R25,LEN("("))="("</formula>
    </cfRule>
  </conditionalFormatting>
  <conditionalFormatting sqref="X25">
    <cfRule type="expression" dxfId="594" priority="258" stopIfTrue="1">
      <formula>$C25=1</formula>
    </cfRule>
    <cfRule type="expression" dxfId="593" priority="259" stopIfTrue="1">
      <formula>OR($C25=0,$C25=2,$C25=3,$C25=4)</formula>
    </cfRule>
  </conditionalFormatting>
  <conditionalFormatting sqref="M26:M27">
    <cfRule type="cellIs" dxfId="592" priority="241" stopIfTrue="1" operator="notEqual">
      <formula>$N26</formula>
    </cfRule>
  </conditionalFormatting>
  <conditionalFormatting sqref="N26:O27 R26:R27 W26:W27">
    <cfRule type="expression" dxfId="591" priority="242" stopIfTrue="1">
      <formula>$C26=1</formula>
    </cfRule>
    <cfRule type="expression" dxfId="590" priority="243" stopIfTrue="1">
      <formula>OR($C26=0,$C26=2,$C26=3,$C26=4)</formula>
    </cfRule>
  </conditionalFormatting>
  <conditionalFormatting sqref="U26:V27">
    <cfRule type="expression" dxfId="589" priority="244" stopIfTrue="1">
      <formula>$C26=1</formula>
    </cfRule>
    <cfRule type="expression" dxfId="588" priority="245" stopIfTrue="1">
      <formula>OR($C26=0,$C26=2,$C26=3,$C26=4)</formula>
    </cfRule>
    <cfRule type="expression" dxfId="587" priority="246" stopIfTrue="1">
      <formula>AND(TIPOORCAMENTO="Licitado",$C26&lt;&gt;"L",$C26&lt;&gt;-1)</formula>
    </cfRule>
  </conditionalFormatting>
  <conditionalFormatting sqref="P26:Q27 S26:T27 Y26:Y27 AG26:AH27">
    <cfRule type="expression" dxfId="586" priority="247" stopIfTrue="1">
      <formula>$C26=1</formula>
    </cfRule>
    <cfRule type="expression" dxfId="585" priority="248" stopIfTrue="1">
      <formula>OR($C26=0,$C26=2,$C26=3,$C26=4)</formula>
    </cfRule>
  </conditionalFormatting>
  <conditionalFormatting sqref="AJ26:AJ27">
    <cfRule type="expression" dxfId="584" priority="249" stopIfTrue="1">
      <formula>OR(ACOMPANHAMENTO&lt;&gt;"BM",TIPOORCAMENTO="Licitado")</formula>
    </cfRule>
    <cfRule type="expression" dxfId="583" priority="250" stopIfTrue="1">
      <formula>$C26=1</formula>
    </cfRule>
    <cfRule type="expression" dxfId="582" priority="251" stopIfTrue="1">
      <formula>OR(AND(ISNUMBER($C26),$C26=0),$C26=2,$C26=3,$C26=4)</formula>
    </cfRule>
  </conditionalFormatting>
  <conditionalFormatting sqref="AL26:AL27">
    <cfRule type="expression" dxfId="581" priority="252" stopIfTrue="1">
      <formula>TIPOORCAMENTO="PROPOSTO"</formula>
    </cfRule>
    <cfRule type="expression" dxfId="580" priority="253" stopIfTrue="1">
      <formula>$C26=1</formula>
    </cfRule>
    <cfRule type="expression" dxfId="579" priority="254" stopIfTrue="1">
      <formula>OR(AND(ISNUMBER($C26),$C26=0),$C26=2,$C26=3,$C26=4)</formula>
    </cfRule>
  </conditionalFormatting>
  <conditionalFormatting sqref="AM26:AN27">
    <cfRule type="expression" dxfId="578" priority="255" stopIfTrue="1">
      <formula>TIPOORCAMENTO="PROPOSTO"</formula>
    </cfRule>
    <cfRule type="expression" dxfId="577" priority="256" stopIfTrue="1">
      <formula>$C26=1</formula>
    </cfRule>
    <cfRule type="expression" dxfId="576" priority="257" stopIfTrue="1">
      <formula>OR(AND(ISNUMBER($C26),$C26=0),$C26=2,$C26=3,$C26=4)</formula>
    </cfRule>
  </conditionalFormatting>
  <conditionalFormatting sqref="R26:R27">
    <cfRule type="beginsWith" dxfId="575" priority="240" operator="beginsWith" text="(">
      <formula>LEFT(R26,LEN("("))="("</formula>
    </cfRule>
  </conditionalFormatting>
  <conditionalFormatting sqref="X26:X27">
    <cfRule type="expression" dxfId="574" priority="238" stopIfTrue="1">
      <formula>$C26=1</formula>
    </cfRule>
    <cfRule type="expression" dxfId="573" priority="239" stopIfTrue="1">
      <formula>OR($C26=0,$C26=2,$C26=3,$C26=4)</formula>
    </cfRule>
  </conditionalFormatting>
  <conditionalFormatting sqref="M24">
    <cfRule type="cellIs" dxfId="572" priority="221" stopIfTrue="1" operator="notEqual">
      <formula>$N24</formula>
    </cfRule>
  </conditionalFormatting>
  <conditionalFormatting sqref="N24:O24 R24 W24">
    <cfRule type="expression" dxfId="571" priority="222" stopIfTrue="1">
      <formula>$C24=1</formula>
    </cfRule>
    <cfRule type="expression" dxfId="570" priority="223" stopIfTrue="1">
      <formula>OR($C24=0,$C24=2,$C24=3,$C24=4)</formula>
    </cfRule>
  </conditionalFormatting>
  <conditionalFormatting sqref="U24:V24">
    <cfRule type="expression" dxfId="569" priority="224" stopIfTrue="1">
      <formula>$C24=1</formula>
    </cfRule>
    <cfRule type="expression" dxfId="568" priority="225" stopIfTrue="1">
      <formula>OR($C24=0,$C24=2,$C24=3,$C24=4)</formula>
    </cfRule>
    <cfRule type="expression" dxfId="567" priority="226" stopIfTrue="1">
      <formula>AND(TIPOORCAMENTO="Licitado",$C24&lt;&gt;"L",$C24&lt;&gt;-1)</formula>
    </cfRule>
  </conditionalFormatting>
  <conditionalFormatting sqref="P24:Q24 S24:T24 Y24 AG24:AH24">
    <cfRule type="expression" dxfId="566" priority="227" stopIfTrue="1">
      <formula>$C24=1</formula>
    </cfRule>
    <cfRule type="expression" dxfId="565" priority="228" stopIfTrue="1">
      <formula>OR($C24=0,$C24=2,$C24=3,$C24=4)</formula>
    </cfRule>
  </conditionalFormatting>
  <conditionalFormatting sqref="AJ24">
    <cfRule type="expression" dxfId="564" priority="229" stopIfTrue="1">
      <formula>OR(ACOMPANHAMENTO&lt;&gt;"BM",TIPOORCAMENTO="Licitado")</formula>
    </cfRule>
    <cfRule type="expression" dxfId="563" priority="230" stopIfTrue="1">
      <formula>$C24=1</formula>
    </cfRule>
    <cfRule type="expression" dxfId="562" priority="231" stopIfTrue="1">
      <formula>OR(AND(ISNUMBER($C24),$C24=0),$C24=2,$C24=3,$C24=4)</formula>
    </cfRule>
  </conditionalFormatting>
  <conditionalFormatting sqref="AL24">
    <cfRule type="expression" dxfId="561" priority="232" stopIfTrue="1">
      <formula>TIPOORCAMENTO="PROPOSTO"</formula>
    </cfRule>
    <cfRule type="expression" dxfId="560" priority="233" stopIfTrue="1">
      <formula>$C24=1</formula>
    </cfRule>
    <cfRule type="expression" dxfId="559" priority="234" stopIfTrue="1">
      <formula>OR(AND(ISNUMBER($C24),$C24=0),$C24=2,$C24=3,$C24=4)</formula>
    </cfRule>
  </conditionalFormatting>
  <conditionalFormatting sqref="AM24:AN24">
    <cfRule type="expression" dxfId="558" priority="235" stopIfTrue="1">
      <formula>TIPOORCAMENTO="PROPOSTO"</formula>
    </cfRule>
    <cfRule type="expression" dxfId="557" priority="236" stopIfTrue="1">
      <formula>$C24=1</formula>
    </cfRule>
    <cfRule type="expression" dxfId="556" priority="237" stopIfTrue="1">
      <formula>OR(AND(ISNUMBER($C24),$C24=0),$C24=2,$C24=3,$C24=4)</formula>
    </cfRule>
  </conditionalFormatting>
  <conditionalFormatting sqref="R24">
    <cfRule type="beginsWith" dxfId="555" priority="220" operator="beginsWith" text="(">
      <formula>LEFT(R24,LEN("("))="("</formula>
    </cfRule>
  </conditionalFormatting>
  <conditionalFormatting sqref="X24">
    <cfRule type="expression" dxfId="554" priority="218" stopIfTrue="1">
      <formula>$C24=1</formula>
    </cfRule>
    <cfRule type="expression" dxfId="553" priority="219" stopIfTrue="1">
      <formula>OR($C24=0,$C24=2,$C24=3,$C24=4)</formula>
    </cfRule>
  </conditionalFormatting>
  <conditionalFormatting sqref="M28:M29">
    <cfRule type="cellIs" dxfId="552" priority="201" stopIfTrue="1" operator="notEqual">
      <formula>$N28</formula>
    </cfRule>
  </conditionalFormatting>
  <conditionalFormatting sqref="N28:O29 R28:R29 W28:W29">
    <cfRule type="expression" dxfId="551" priority="202" stopIfTrue="1">
      <formula>$C28=1</formula>
    </cfRule>
    <cfRule type="expression" dxfId="550" priority="203" stopIfTrue="1">
      <formula>OR($C28=0,$C28=2,$C28=3,$C28=4)</formula>
    </cfRule>
  </conditionalFormatting>
  <conditionalFormatting sqref="U28:V29">
    <cfRule type="expression" dxfId="549" priority="204" stopIfTrue="1">
      <formula>$C28=1</formula>
    </cfRule>
    <cfRule type="expression" dxfId="548" priority="205" stopIfTrue="1">
      <formula>OR($C28=0,$C28=2,$C28=3,$C28=4)</formula>
    </cfRule>
    <cfRule type="expression" dxfId="547" priority="206" stopIfTrue="1">
      <formula>AND(TIPOORCAMENTO="Licitado",$C28&lt;&gt;"L",$C28&lt;&gt;-1)</formula>
    </cfRule>
  </conditionalFormatting>
  <conditionalFormatting sqref="P28:Q29 S28:T29 Y28:Y29 AG28:AH29">
    <cfRule type="expression" dxfId="546" priority="207" stopIfTrue="1">
      <formula>$C28=1</formula>
    </cfRule>
    <cfRule type="expression" dxfId="545" priority="208" stopIfTrue="1">
      <formula>OR($C28=0,$C28=2,$C28=3,$C28=4)</formula>
    </cfRule>
  </conditionalFormatting>
  <conditionalFormatting sqref="AJ28:AJ29">
    <cfRule type="expression" dxfId="544" priority="209" stopIfTrue="1">
      <formula>OR(ACOMPANHAMENTO&lt;&gt;"BM",TIPOORCAMENTO="Licitado")</formula>
    </cfRule>
    <cfRule type="expression" dxfId="543" priority="210" stopIfTrue="1">
      <formula>$C28=1</formula>
    </cfRule>
    <cfRule type="expression" dxfId="542" priority="211" stopIfTrue="1">
      <formula>OR(AND(ISNUMBER($C28),$C28=0),$C28=2,$C28=3,$C28=4)</formula>
    </cfRule>
  </conditionalFormatting>
  <conditionalFormatting sqref="AL28:AL29">
    <cfRule type="expression" dxfId="541" priority="212" stopIfTrue="1">
      <formula>TIPOORCAMENTO="PROPOSTO"</formula>
    </cfRule>
    <cfRule type="expression" dxfId="540" priority="213" stopIfTrue="1">
      <formula>$C28=1</formula>
    </cfRule>
    <cfRule type="expression" dxfId="539" priority="214" stopIfTrue="1">
      <formula>OR(AND(ISNUMBER($C28),$C28=0),$C28=2,$C28=3,$C28=4)</formula>
    </cfRule>
  </conditionalFormatting>
  <conditionalFormatting sqref="AM28:AN29">
    <cfRule type="expression" dxfId="538" priority="215" stopIfTrue="1">
      <formula>TIPOORCAMENTO="PROPOSTO"</formula>
    </cfRule>
    <cfRule type="expression" dxfId="537" priority="216" stopIfTrue="1">
      <formula>$C28=1</formula>
    </cfRule>
    <cfRule type="expression" dxfId="536" priority="217" stopIfTrue="1">
      <formula>OR(AND(ISNUMBER($C28),$C28=0),$C28=2,$C28=3,$C28=4)</formula>
    </cfRule>
  </conditionalFormatting>
  <conditionalFormatting sqref="R28:R29">
    <cfRule type="beginsWith" dxfId="535" priority="200" operator="beginsWith" text="(">
      <formula>LEFT(R28,LEN("("))="("</formula>
    </cfRule>
  </conditionalFormatting>
  <conditionalFormatting sqref="X28:X29">
    <cfRule type="expression" dxfId="534" priority="198" stopIfTrue="1">
      <formula>$C28=1</formula>
    </cfRule>
    <cfRule type="expression" dxfId="533" priority="199" stopIfTrue="1">
      <formula>OR($C28=0,$C28=2,$C28=3,$C28=4)</formula>
    </cfRule>
  </conditionalFormatting>
  <conditionalFormatting sqref="M37">
    <cfRule type="cellIs" dxfId="532" priority="161" stopIfTrue="1" operator="notEqual">
      <formula>$N37</formula>
    </cfRule>
  </conditionalFormatting>
  <conditionalFormatting sqref="N37:O37 R37 W37">
    <cfRule type="expression" dxfId="531" priority="162" stopIfTrue="1">
      <formula>$C37=1</formula>
    </cfRule>
    <cfRule type="expression" dxfId="530" priority="163" stopIfTrue="1">
      <formula>OR($C37=0,$C37=2,$C37=3,$C37=4)</formula>
    </cfRule>
  </conditionalFormatting>
  <conditionalFormatting sqref="U37:V37">
    <cfRule type="expression" dxfId="529" priority="164" stopIfTrue="1">
      <formula>$C37=1</formula>
    </cfRule>
    <cfRule type="expression" dxfId="528" priority="165" stopIfTrue="1">
      <formula>OR($C37=0,$C37=2,$C37=3,$C37=4)</formula>
    </cfRule>
    <cfRule type="expression" dxfId="527" priority="166" stopIfTrue="1">
      <formula>AND(TIPOORCAMENTO="Licitado",$C37&lt;&gt;"L",$C37&lt;&gt;-1)</formula>
    </cfRule>
  </conditionalFormatting>
  <conditionalFormatting sqref="P37:Q37 S37:T37 Y37 AG37:AH37">
    <cfRule type="expression" dxfId="526" priority="167" stopIfTrue="1">
      <formula>$C37=1</formula>
    </cfRule>
    <cfRule type="expression" dxfId="525" priority="168" stopIfTrue="1">
      <formula>OR($C37=0,$C37=2,$C37=3,$C37=4)</formula>
    </cfRule>
  </conditionalFormatting>
  <conditionalFormatting sqref="AJ37">
    <cfRule type="expression" dxfId="524" priority="169" stopIfTrue="1">
      <formula>OR(ACOMPANHAMENTO&lt;&gt;"BM",TIPOORCAMENTO="Licitado")</formula>
    </cfRule>
    <cfRule type="expression" dxfId="523" priority="170" stopIfTrue="1">
      <formula>$C37=1</formula>
    </cfRule>
    <cfRule type="expression" dxfId="522" priority="171" stopIfTrue="1">
      <formula>OR(AND(ISNUMBER($C37),$C37=0),$C37=2,$C37=3,$C37=4)</formula>
    </cfRule>
  </conditionalFormatting>
  <conditionalFormatting sqref="AL37">
    <cfRule type="expression" dxfId="521" priority="172" stopIfTrue="1">
      <formula>TIPOORCAMENTO="PROPOSTO"</formula>
    </cfRule>
    <cfRule type="expression" dxfId="520" priority="173" stopIfTrue="1">
      <formula>$C37=1</formula>
    </cfRule>
    <cfRule type="expression" dxfId="519" priority="174" stopIfTrue="1">
      <formula>OR(AND(ISNUMBER($C37),$C37=0),$C37=2,$C37=3,$C37=4)</formula>
    </cfRule>
  </conditionalFormatting>
  <conditionalFormatting sqref="AM37:AN37">
    <cfRule type="expression" dxfId="518" priority="175" stopIfTrue="1">
      <formula>TIPOORCAMENTO="PROPOSTO"</formula>
    </cfRule>
    <cfRule type="expression" dxfId="517" priority="176" stopIfTrue="1">
      <formula>$C37=1</formula>
    </cfRule>
    <cfRule type="expression" dxfId="516" priority="177" stopIfTrue="1">
      <formula>OR(AND(ISNUMBER($C37),$C37=0),$C37=2,$C37=3,$C37=4)</formula>
    </cfRule>
  </conditionalFormatting>
  <conditionalFormatting sqref="R37">
    <cfRule type="beginsWith" dxfId="515" priority="160" operator="beginsWith" text="(">
      <formula>LEFT(R37,LEN("("))="("</formula>
    </cfRule>
  </conditionalFormatting>
  <conditionalFormatting sqref="X37">
    <cfRule type="expression" dxfId="514" priority="158" stopIfTrue="1">
      <formula>$C37=1</formula>
    </cfRule>
    <cfRule type="expression" dxfId="513" priority="159" stopIfTrue="1">
      <formula>OR($C37=0,$C37=2,$C37=3,$C37=4)</formula>
    </cfRule>
  </conditionalFormatting>
  <conditionalFormatting sqref="M38">
    <cfRule type="cellIs" dxfId="512" priority="141" stopIfTrue="1" operator="notEqual">
      <formula>$N38</formula>
    </cfRule>
  </conditionalFormatting>
  <conditionalFormatting sqref="N38:O38 R38 W38">
    <cfRule type="expression" dxfId="511" priority="142" stopIfTrue="1">
      <formula>$C38=1</formula>
    </cfRule>
    <cfRule type="expression" dxfId="510" priority="143" stopIfTrue="1">
      <formula>OR($C38=0,$C38=2,$C38=3,$C38=4)</formula>
    </cfRule>
  </conditionalFormatting>
  <conditionalFormatting sqref="U38:V38">
    <cfRule type="expression" dxfId="509" priority="144" stopIfTrue="1">
      <formula>$C38=1</formula>
    </cfRule>
    <cfRule type="expression" dxfId="508" priority="145" stopIfTrue="1">
      <formula>OR($C38=0,$C38=2,$C38=3,$C38=4)</formula>
    </cfRule>
    <cfRule type="expression" dxfId="507" priority="146" stopIfTrue="1">
      <formula>AND(TIPOORCAMENTO="Licitado",$C38&lt;&gt;"L",$C38&lt;&gt;-1)</formula>
    </cfRule>
  </conditionalFormatting>
  <conditionalFormatting sqref="P38:Q38 S38:T38 Y38 AG38:AH38">
    <cfRule type="expression" dxfId="506" priority="147" stopIfTrue="1">
      <formula>$C38=1</formula>
    </cfRule>
    <cfRule type="expression" dxfId="505" priority="148" stopIfTrue="1">
      <formula>OR($C38=0,$C38=2,$C38=3,$C38=4)</formula>
    </cfRule>
  </conditionalFormatting>
  <conditionalFormatting sqref="AJ38">
    <cfRule type="expression" dxfId="504" priority="149" stopIfTrue="1">
      <formula>OR(ACOMPANHAMENTO&lt;&gt;"BM",TIPOORCAMENTO="Licitado")</formula>
    </cfRule>
    <cfRule type="expression" dxfId="503" priority="150" stopIfTrue="1">
      <formula>$C38=1</formula>
    </cfRule>
    <cfRule type="expression" dxfId="502" priority="151" stopIfTrue="1">
      <formula>OR(AND(ISNUMBER($C38),$C38=0),$C38=2,$C38=3,$C38=4)</formula>
    </cfRule>
  </conditionalFormatting>
  <conditionalFormatting sqref="AL38">
    <cfRule type="expression" dxfId="501" priority="152" stopIfTrue="1">
      <formula>TIPOORCAMENTO="PROPOSTO"</formula>
    </cfRule>
    <cfRule type="expression" dxfId="500" priority="153" stopIfTrue="1">
      <formula>$C38=1</formula>
    </cfRule>
    <cfRule type="expression" dxfId="499" priority="154" stopIfTrue="1">
      <formula>OR(AND(ISNUMBER($C38),$C38=0),$C38=2,$C38=3,$C38=4)</formula>
    </cfRule>
  </conditionalFormatting>
  <conditionalFormatting sqref="AM38:AN38">
    <cfRule type="expression" dxfId="498" priority="155" stopIfTrue="1">
      <formula>TIPOORCAMENTO="PROPOSTO"</formula>
    </cfRule>
    <cfRule type="expression" dxfId="497" priority="156" stopIfTrue="1">
      <formula>$C38=1</formula>
    </cfRule>
    <cfRule type="expression" dxfId="496" priority="157" stopIfTrue="1">
      <formula>OR(AND(ISNUMBER($C38),$C38=0),$C38=2,$C38=3,$C38=4)</formula>
    </cfRule>
  </conditionalFormatting>
  <conditionalFormatting sqref="R38">
    <cfRule type="beginsWith" dxfId="495" priority="140" operator="beginsWith" text="(">
      <formula>LEFT(R38,LEN("("))="("</formula>
    </cfRule>
  </conditionalFormatting>
  <conditionalFormatting sqref="X38">
    <cfRule type="expression" dxfId="494" priority="138" stopIfTrue="1">
      <formula>$C38=1</formula>
    </cfRule>
    <cfRule type="expression" dxfId="493" priority="139" stopIfTrue="1">
      <formula>OR($C38=0,$C38=2,$C38=3,$C38=4)</formula>
    </cfRule>
  </conditionalFormatting>
  <conditionalFormatting sqref="M21">
    <cfRule type="cellIs" dxfId="492" priority="121" stopIfTrue="1" operator="notEqual">
      <formula>$N21</formula>
    </cfRule>
  </conditionalFormatting>
  <conditionalFormatting sqref="N21:O21 R21 W21">
    <cfRule type="expression" dxfId="491" priority="122" stopIfTrue="1">
      <formula>$C21=1</formula>
    </cfRule>
    <cfRule type="expression" dxfId="490" priority="123" stopIfTrue="1">
      <formula>OR($C21=0,$C21=2,$C21=3,$C21=4)</formula>
    </cfRule>
  </conditionalFormatting>
  <conditionalFormatting sqref="U21:V21">
    <cfRule type="expression" dxfId="489" priority="124" stopIfTrue="1">
      <formula>$C21=1</formula>
    </cfRule>
    <cfRule type="expression" dxfId="488" priority="125" stopIfTrue="1">
      <formula>OR($C21=0,$C21=2,$C21=3,$C21=4)</formula>
    </cfRule>
    <cfRule type="expression" dxfId="487" priority="126" stopIfTrue="1">
      <formula>AND(TIPOORCAMENTO="Licitado",$C21&lt;&gt;"L",$C21&lt;&gt;-1)</formula>
    </cfRule>
  </conditionalFormatting>
  <conditionalFormatting sqref="P21:Q21 S21:T21 Y21 AG21:AH21">
    <cfRule type="expression" dxfId="486" priority="127" stopIfTrue="1">
      <formula>$C21=1</formula>
    </cfRule>
    <cfRule type="expression" dxfId="485" priority="128" stopIfTrue="1">
      <formula>OR($C21=0,$C21=2,$C21=3,$C21=4)</formula>
    </cfRule>
  </conditionalFormatting>
  <conditionalFormatting sqref="AJ21">
    <cfRule type="expression" dxfId="484" priority="129" stopIfTrue="1">
      <formula>OR(ACOMPANHAMENTO&lt;&gt;"BM",TIPOORCAMENTO="Licitado")</formula>
    </cfRule>
    <cfRule type="expression" dxfId="483" priority="130" stopIfTrue="1">
      <formula>$C21=1</formula>
    </cfRule>
    <cfRule type="expression" dxfId="482" priority="131" stopIfTrue="1">
      <formula>OR(AND(ISNUMBER($C21),$C21=0),$C21=2,$C21=3,$C21=4)</formula>
    </cfRule>
  </conditionalFormatting>
  <conditionalFormatting sqref="AL21">
    <cfRule type="expression" dxfId="481" priority="132" stopIfTrue="1">
      <formula>TIPOORCAMENTO="PROPOSTO"</formula>
    </cfRule>
    <cfRule type="expression" dxfId="480" priority="133" stopIfTrue="1">
      <formula>$C21=1</formula>
    </cfRule>
    <cfRule type="expression" dxfId="479" priority="134" stopIfTrue="1">
      <formula>OR(AND(ISNUMBER($C21),$C21=0),$C21=2,$C21=3,$C21=4)</formula>
    </cfRule>
  </conditionalFormatting>
  <conditionalFormatting sqref="AM21:AN21">
    <cfRule type="expression" dxfId="478" priority="135" stopIfTrue="1">
      <formula>TIPOORCAMENTO="PROPOSTO"</formula>
    </cfRule>
    <cfRule type="expression" dxfId="477" priority="136" stopIfTrue="1">
      <formula>$C21=1</formula>
    </cfRule>
    <cfRule type="expression" dxfId="476" priority="137" stopIfTrue="1">
      <formula>OR(AND(ISNUMBER($C21),$C21=0),$C21=2,$C21=3,$C21=4)</formula>
    </cfRule>
  </conditionalFormatting>
  <conditionalFormatting sqref="R21">
    <cfRule type="beginsWith" dxfId="475" priority="120" operator="beginsWith" text="(">
      <formula>LEFT(R21,LEN("("))="("</formula>
    </cfRule>
  </conditionalFormatting>
  <conditionalFormatting sqref="X21">
    <cfRule type="expression" dxfId="474" priority="118" stopIfTrue="1">
      <formula>$C21=1</formula>
    </cfRule>
    <cfRule type="expression" dxfId="473" priority="119" stopIfTrue="1">
      <formula>OR($C21=0,$C21=2,$C21=3,$C21=4)</formula>
    </cfRule>
  </conditionalFormatting>
  <conditionalFormatting sqref="R48:R49">
    <cfRule type="beginsWith" dxfId="472" priority="106" operator="beginsWith" text="(">
      <formula>LEFT(R48,LEN("("))="("</formula>
    </cfRule>
  </conditionalFormatting>
  <conditionalFormatting sqref="M39:M40">
    <cfRule type="cellIs" dxfId="471" priority="87" stopIfTrue="1" operator="notEqual">
      <formula>$N39</formula>
    </cfRule>
  </conditionalFormatting>
  <conditionalFormatting sqref="N39:O40 R39:R40 W39:W40">
    <cfRule type="expression" dxfId="470" priority="88" stopIfTrue="1">
      <formula>$C39=1</formula>
    </cfRule>
    <cfRule type="expression" dxfId="469" priority="89" stopIfTrue="1">
      <formula>OR($C39=0,$C39=2,$C39=3,$C39=4)</formula>
    </cfRule>
  </conditionalFormatting>
  <conditionalFormatting sqref="U39:V40">
    <cfRule type="expression" dxfId="468" priority="90" stopIfTrue="1">
      <formula>$C39=1</formula>
    </cfRule>
    <cfRule type="expression" dxfId="467" priority="91" stopIfTrue="1">
      <formula>OR($C39=0,$C39=2,$C39=3,$C39=4)</formula>
    </cfRule>
    <cfRule type="expression" dxfId="466" priority="92" stopIfTrue="1">
      <formula>AND(TIPOORCAMENTO="Licitado",$C39&lt;&gt;"L",$C39&lt;&gt;-1)</formula>
    </cfRule>
  </conditionalFormatting>
  <conditionalFormatting sqref="P39:Q40 S39:T40 Y39:Y40 AG39:AH40">
    <cfRule type="expression" dxfId="465" priority="93" stopIfTrue="1">
      <formula>$C39=1</formula>
    </cfRule>
    <cfRule type="expression" dxfId="464" priority="94" stopIfTrue="1">
      <formula>OR($C39=0,$C39=2,$C39=3,$C39=4)</formula>
    </cfRule>
  </conditionalFormatting>
  <conditionalFormatting sqref="AJ39:AJ40">
    <cfRule type="expression" dxfId="463" priority="95" stopIfTrue="1">
      <formula>OR(ACOMPANHAMENTO&lt;&gt;"BM",TIPOORCAMENTO="Licitado")</formula>
    </cfRule>
    <cfRule type="expression" dxfId="462" priority="96" stopIfTrue="1">
      <formula>$C39=1</formula>
    </cfRule>
    <cfRule type="expression" dxfId="461" priority="97" stopIfTrue="1">
      <formula>OR(AND(ISNUMBER($C39),$C39=0),$C39=2,$C39=3,$C39=4)</formula>
    </cfRule>
  </conditionalFormatting>
  <conditionalFormatting sqref="AL39:AL40">
    <cfRule type="expression" dxfId="460" priority="98" stopIfTrue="1">
      <formula>TIPOORCAMENTO="PROPOSTO"</formula>
    </cfRule>
    <cfRule type="expression" dxfId="459" priority="99" stopIfTrue="1">
      <formula>$C39=1</formula>
    </cfRule>
    <cfRule type="expression" dxfId="458" priority="100" stopIfTrue="1">
      <formula>OR(AND(ISNUMBER($C39),$C39=0),$C39=2,$C39=3,$C39=4)</formula>
    </cfRule>
  </conditionalFormatting>
  <conditionalFormatting sqref="AM39:AN40">
    <cfRule type="expression" dxfId="457" priority="101" stopIfTrue="1">
      <formula>TIPOORCAMENTO="PROPOSTO"</formula>
    </cfRule>
    <cfRule type="expression" dxfId="456" priority="102" stopIfTrue="1">
      <formula>$C39=1</formula>
    </cfRule>
    <cfRule type="expression" dxfId="455" priority="103" stopIfTrue="1">
      <formula>OR(AND(ISNUMBER($C39),$C39=0),$C39=2,$C39=3,$C39=4)</formula>
    </cfRule>
  </conditionalFormatting>
  <conditionalFormatting sqref="R39:R40">
    <cfRule type="beginsWith" dxfId="454" priority="86" operator="beginsWith" text="(">
      <formula>LEFT(R39,LEN("("))="("</formula>
    </cfRule>
  </conditionalFormatting>
  <conditionalFormatting sqref="X39:X40">
    <cfRule type="expression" dxfId="453" priority="84" stopIfTrue="1">
      <formula>$C39=1</formula>
    </cfRule>
    <cfRule type="expression" dxfId="452" priority="85" stopIfTrue="1">
      <formula>OR($C39=0,$C39=2,$C39=3,$C39=4)</formula>
    </cfRule>
  </conditionalFormatting>
  <conditionalFormatting sqref="R57">
    <cfRule type="beginsWith" dxfId="451" priority="80" operator="beginsWith" text="(">
      <formula>LEFT(R57,LEN("("))="("</formula>
    </cfRule>
  </conditionalFormatting>
  <conditionalFormatting sqref="X57">
    <cfRule type="expression" dxfId="450" priority="78" stopIfTrue="1">
      <formula>$C57=1</formula>
    </cfRule>
    <cfRule type="expression" dxfId="449" priority="79" stopIfTrue="1">
      <formula>OR($C57=0,$C57=2,$C57=3,$C57=4)</formula>
    </cfRule>
  </conditionalFormatting>
  <conditionalFormatting sqref="R58:R62">
    <cfRule type="beginsWith" dxfId="448" priority="77" operator="beginsWith" text="(">
      <formula>LEFT(R58,LEN("("))="("</formula>
    </cfRule>
  </conditionalFormatting>
  <conditionalFormatting sqref="X58:X62">
    <cfRule type="expression" dxfId="447" priority="75" stopIfTrue="1">
      <formula>$C58=1</formula>
    </cfRule>
    <cfRule type="expression" dxfId="446" priority="76" stopIfTrue="1">
      <formula>OR($C58=0,$C58=2,$C58=3,$C58=4)</formula>
    </cfRule>
  </conditionalFormatting>
  <conditionalFormatting sqref="R63:R64">
    <cfRule type="beginsWith" dxfId="445" priority="74" operator="beginsWith" text="(">
      <formula>LEFT(R63,LEN("("))="("</formula>
    </cfRule>
  </conditionalFormatting>
  <conditionalFormatting sqref="X63:X64">
    <cfRule type="expression" dxfId="444" priority="72" stopIfTrue="1">
      <formula>$C63=1</formula>
    </cfRule>
    <cfRule type="expression" dxfId="443" priority="73" stopIfTrue="1">
      <formula>OR($C63=0,$C63=2,$C63=3,$C63=4)</formula>
    </cfRule>
  </conditionalFormatting>
  <conditionalFormatting sqref="R67:R68">
    <cfRule type="beginsWith" dxfId="442" priority="71" operator="beginsWith" text="(">
      <formula>LEFT(R67,LEN("("))="("</formula>
    </cfRule>
  </conditionalFormatting>
  <conditionalFormatting sqref="X67:X68">
    <cfRule type="expression" dxfId="441" priority="69" stopIfTrue="1">
      <formula>$C67=1</formula>
    </cfRule>
    <cfRule type="expression" dxfId="440" priority="70" stopIfTrue="1">
      <formula>OR($C67=0,$C67=2,$C67=3,$C67=4)</formula>
    </cfRule>
  </conditionalFormatting>
  <conditionalFormatting sqref="R69">
    <cfRule type="beginsWith" dxfId="439" priority="68" operator="beginsWith" text="(">
      <formula>LEFT(R69,LEN("("))="("</formula>
    </cfRule>
  </conditionalFormatting>
  <conditionalFormatting sqref="X69">
    <cfRule type="expression" dxfId="438" priority="66" stopIfTrue="1">
      <formula>$C69=1</formula>
    </cfRule>
    <cfRule type="expression" dxfId="437" priority="67" stopIfTrue="1">
      <formula>OR($C69=0,$C69=2,$C69=3,$C69=4)</formula>
    </cfRule>
  </conditionalFormatting>
  <conditionalFormatting sqref="R65">
    <cfRule type="beginsWith" dxfId="436" priority="65" operator="beginsWith" text="(">
      <formula>LEFT(R65,LEN("("))="("</formula>
    </cfRule>
  </conditionalFormatting>
  <conditionalFormatting sqref="X65">
    <cfRule type="expression" dxfId="435" priority="63" stopIfTrue="1">
      <formula>$C65=1</formula>
    </cfRule>
    <cfRule type="expression" dxfId="434" priority="64" stopIfTrue="1">
      <formula>OR($C65=0,$C65=2,$C65=3,$C65=4)</formula>
    </cfRule>
  </conditionalFormatting>
  <conditionalFormatting sqref="R66">
    <cfRule type="beginsWith" dxfId="433" priority="62" operator="beginsWith" text="(">
      <formula>LEFT(R66,LEN("("))="("</formula>
    </cfRule>
  </conditionalFormatting>
  <conditionalFormatting sqref="X66">
    <cfRule type="expression" dxfId="432" priority="60" stopIfTrue="1">
      <formula>$C66=1</formula>
    </cfRule>
    <cfRule type="expression" dxfId="431" priority="61" stopIfTrue="1">
      <formula>OR($C66=0,$C66=2,$C66=3,$C66=4)</formula>
    </cfRule>
  </conditionalFormatting>
  <conditionalFormatting sqref="R70:R72">
    <cfRule type="beginsWith" dxfId="430" priority="59" operator="beginsWith" text="(">
      <formula>LEFT(R70,LEN("("))="("</formula>
    </cfRule>
  </conditionalFormatting>
  <conditionalFormatting sqref="X70:X72">
    <cfRule type="expression" dxfId="429" priority="57" stopIfTrue="1">
      <formula>$C70=1</formula>
    </cfRule>
    <cfRule type="expression" dxfId="428" priority="58" stopIfTrue="1">
      <formula>OR($C70=0,$C70=2,$C70=3,$C70=4)</formula>
    </cfRule>
  </conditionalFormatting>
  <conditionalFormatting sqref="R73">
    <cfRule type="beginsWith" dxfId="427" priority="56" operator="beginsWith" text="(">
      <formula>LEFT(R73,LEN("("))="("</formula>
    </cfRule>
  </conditionalFormatting>
  <conditionalFormatting sqref="X73">
    <cfRule type="expression" dxfId="426" priority="54" stopIfTrue="1">
      <formula>$C73=1</formula>
    </cfRule>
    <cfRule type="expression" dxfId="425" priority="55" stopIfTrue="1">
      <formula>OR($C73=0,$C73=2,$C73=3,$C73=4)</formula>
    </cfRule>
  </conditionalFormatting>
  <conditionalFormatting sqref="R74:R76">
    <cfRule type="beginsWith" dxfId="424" priority="53" operator="beginsWith" text="(">
      <formula>LEFT(R74,LEN("("))="("</formula>
    </cfRule>
  </conditionalFormatting>
  <conditionalFormatting sqref="X74:X76">
    <cfRule type="expression" dxfId="423" priority="51" stopIfTrue="1">
      <formula>$C74=1</formula>
    </cfRule>
    <cfRule type="expression" dxfId="422" priority="52" stopIfTrue="1">
      <formula>OR($C74=0,$C74=2,$C74=3,$C74=4)</formula>
    </cfRule>
  </conditionalFormatting>
  <conditionalFormatting sqref="R77">
    <cfRule type="beginsWith" dxfId="421" priority="50" operator="beginsWith" text="(">
      <formula>LEFT(R77,LEN("("))="("</formula>
    </cfRule>
  </conditionalFormatting>
  <conditionalFormatting sqref="X77">
    <cfRule type="expression" dxfId="420" priority="48" stopIfTrue="1">
      <formula>$C77=1</formula>
    </cfRule>
    <cfRule type="expression" dxfId="419" priority="49" stopIfTrue="1">
      <formula>OR($C77=0,$C77=2,$C77=3,$C77=4)</formula>
    </cfRule>
  </conditionalFormatting>
  <conditionalFormatting sqref="R78:R79">
    <cfRule type="beginsWith" dxfId="418" priority="47" operator="beginsWith" text="(">
      <formula>LEFT(R78,LEN("("))="("</formula>
    </cfRule>
  </conditionalFormatting>
  <conditionalFormatting sqref="X78:X79">
    <cfRule type="expression" dxfId="417" priority="45" stopIfTrue="1">
      <formula>$C78=1</formula>
    </cfRule>
    <cfRule type="expression" dxfId="416" priority="46" stopIfTrue="1">
      <formula>OR($C78=0,$C78=2,$C78=3,$C78=4)</formula>
    </cfRule>
  </conditionalFormatting>
  <conditionalFormatting sqref="R80:R81">
    <cfRule type="beginsWith" dxfId="415" priority="44" operator="beginsWith" text="(">
      <formula>LEFT(R80,LEN("("))="("</formula>
    </cfRule>
  </conditionalFormatting>
  <conditionalFormatting sqref="X80:X81">
    <cfRule type="expression" dxfId="414" priority="42" stopIfTrue="1">
      <formula>$C80=1</formula>
    </cfRule>
    <cfRule type="expression" dxfId="413" priority="43" stopIfTrue="1">
      <formula>OR($C80=0,$C80=2,$C80=3,$C80=4)</formula>
    </cfRule>
  </conditionalFormatting>
  <conditionalFormatting sqref="R87:R95">
    <cfRule type="beginsWith" dxfId="412" priority="41" operator="beginsWith" text="(">
      <formula>LEFT(R87,LEN("("))="("</formula>
    </cfRule>
  </conditionalFormatting>
  <conditionalFormatting sqref="X87:X95">
    <cfRule type="expression" dxfId="411" priority="39" stopIfTrue="1">
      <formula>$C87=1</formula>
    </cfRule>
    <cfRule type="expression" dxfId="410" priority="40" stopIfTrue="1">
      <formula>OR($C87=0,$C87=2,$C87=3,$C87=4)</formula>
    </cfRule>
  </conditionalFormatting>
  <conditionalFormatting sqref="R96">
    <cfRule type="beginsWith" dxfId="409" priority="38" operator="beginsWith" text="(">
      <formula>LEFT(R96,LEN("("))="("</formula>
    </cfRule>
  </conditionalFormatting>
  <conditionalFormatting sqref="X96">
    <cfRule type="expression" dxfId="408" priority="36" stopIfTrue="1">
      <formula>$C96=1</formula>
    </cfRule>
    <cfRule type="expression" dxfId="407" priority="37" stopIfTrue="1">
      <formula>OR($C96=0,$C96=2,$C96=3,$C96=4)</formula>
    </cfRule>
  </conditionalFormatting>
  <conditionalFormatting sqref="R97:R104">
    <cfRule type="beginsWith" dxfId="406" priority="35" operator="beginsWith" text="(">
      <formula>LEFT(R97,LEN("("))="("</formula>
    </cfRule>
  </conditionalFormatting>
  <conditionalFormatting sqref="R82">
    <cfRule type="beginsWith" dxfId="405" priority="12" operator="beginsWith" text="(">
      <formula>LEFT(R82,LEN("("))="("</formula>
    </cfRule>
  </conditionalFormatting>
  <conditionalFormatting sqref="R83:R84">
    <cfRule type="beginsWith" dxfId="404" priority="9" operator="beginsWith" text="(">
      <formula>LEFT(R83,LEN("("))="("</formula>
    </cfRule>
  </conditionalFormatting>
  <conditionalFormatting sqref="X83:X84">
    <cfRule type="expression" dxfId="403" priority="7" stopIfTrue="1">
      <formula>$C83=1</formula>
    </cfRule>
    <cfRule type="expression" dxfId="402" priority="8" stopIfTrue="1">
      <formula>OR($C83=0,$C83=2,$C83=3,$C83=4)</formula>
    </cfRule>
  </conditionalFormatting>
  <conditionalFormatting sqref="R85">
    <cfRule type="beginsWith" dxfId="401" priority="6" operator="beginsWith" text="(">
      <formula>LEFT(R85,LEN("("))="("</formula>
    </cfRule>
  </conditionalFormatting>
  <conditionalFormatting sqref="X85">
    <cfRule type="expression" dxfId="400" priority="4" stopIfTrue="1">
      <formula>$C85=1</formula>
    </cfRule>
    <cfRule type="expression" dxfId="399" priority="5" stopIfTrue="1">
      <formula>OR($C85=0,$C85=2,$C85=3,$C85=4)</formula>
    </cfRule>
  </conditionalFormatting>
  <conditionalFormatting sqref="R86">
    <cfRule type="beginsWith" dxfId="398" priority="3" operator="beginsWith" text="(">
      <formula>LEFT(R86,LEN("("))="("</formula>
    </cfRule>
  </conditionalFormatting>
  <conditionalFormatting sqref="X86">
    <cfRule type="expression" dxfId="397" priority="1" stopIfTrue="1">
      <formula>$C86=1</formula>
    </cfRule>
    <cfRule type="expression" dxfId="396" priority="2" stopIfTrue="1">
      <formula>OR($C86=0,$C86=2,$C86=3,$C86=4)</formula>
    </cfRule>
  </conditionalFormatting>
  <dataValidations count="8">
    <dataValidation type="decimal" operator="greaterThan" allowBlank="1" showErrorMessage="1" error="Apenas números decimais maiores que zero." sqref="U14 AL14 AJ14 AL16:AL104 U16:U104 AJ16:AJ104" xr:uid="{00000000-0002-0000-0400-000000000000}">
      <formula1>0</formula1>
      <formula2>0</formula2>
    </dataValidation>
    <dataValidation type="list" allowBlank="1" sqref="P14 P16:P104" xr:uid="{00000000-0002-0000-0400-000001000000}">
      <formula1>"SINAPI,SINAPI-I,SICRO,Composição,Cotação"</formula1>
      <formula2>0</formula2>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104" xr:uid="{00000000-0002-0000-0400-000002000000}">
      <formula1>"RA,RP,CP,OU"</formula1>
      <formula2>0</formula2>
    </dataValidation>
    <dataValidation type="list" showErrorMessage="1" errorTitle="Erro de Entrada" error="Selecione somente os itens da lista." promptTitle="Nível:" prompt="Selecione na lista o nível de itemização da Planilha." sqref="M14 M16:M104" xr:uid="{00000000-0002-0000-0400-000003000000}">
      <formula1>"Meta,Nível 2,Nível 3,Nível 4,Serviço"</formula1>
      <formula2>0</formula2>
    </dataValidation>
    <dataValidation allowBlank="1" showInputMessage="1" showErrorMessage="1" prompt="A entrada de quantidades é feita na coluna AJ se acompanhamento por BM, ou na aba &quot;Memória de Cálculo/PLQ&quot; se acompanhamento por PLE." sqref="T14 T16:T104" xr:uid="{00000000-0002-0000-0400-000004000000}"/>
    <dataValidation allowBlank="1" showInputMessage="1" showErrorMessage="1" prompt="Para Orçamento Proposto, o Preço Unitário é resultado do produto do Custo Unitário pelo BDI._x000a_Para Orçamento Licitado, deve ser preenchido na Coluna AL." sqref="W14 W16:W104" xr:uid="{00000000-0002-0000-0400-000005000000}"/>
    <dataValidation type="list" errorStyle="information" allowBlank="1" showInputMessage="1" prompt="Selecione uma sigla de unidade na lista suspensa." sqref="S14 S16:S104" xr:uid="{00000000-0002-0000-0400-000006000000}">
      <formula1>ListaTgov.Unidades</formula1>
    </dataValidation>
    <dataValidation type="list" errorStyle="warning" allowBlank="1" showErrorMessage="1" errorTitle="Aviso BDI" error="Selecione um dos 3 BDI da lista._x000a__x000a_Caso tenha mais de 3 BDI nesta Planilha Orçamentária digite apenas valor percentual." sqref="V14 V16:V104" xr:uid="{00000000-0002-0000-0400-000007000000}">
      <formula1>"BDI 1; BDI 2; BDI 3; 0,00%"</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&amp;LPMv3.12&amp;R&amp;P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457200</xdr:colOff>
                    <xdr:row>9</xdr:row>
                    <xdr:rowOff>66675</xdr:rowOff>
                  </from>
                  <to>
                    <xdr:col>19</xdr:col>
                    <xdr:colOff>904875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447675</xdr:colOff>
                    <xdr:row>9</xdr:row>
                    <xdr:rowOff>66675</xdr:rowOff>
                  </from>
                  <to>
                    <xdr:col>20</xdr:col>
                    <xdr:colOff>876300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295275</xdr:colOff>
                    <xdr:row>9</xdr:row>
                    <xdr:rowOff>66675</xdr:rowOff>
                  </from>
                  <to>
                    <xdr:col>22</xdr:col>
                    <xdr:colOff>0</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371475</xdr:colOff>
                    <xdr:row>9</xdr:row>
                    <xdr:rowOff>66675</xdr:rowOff>
                  </from>
                  <to>
                    <xdr:col>22</xdr:col>
                    <xdr:colOff>790575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447675</xdr:colOff>
                    <xdr:row>9</xdr:row>
                    <xdr:rowOff>47625</xdr:rowOff>
                  </from>
                  <to>
                    <xdr:col>23</xdr:col>
                    <xdr:colOff>876300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8">
    <pageSetUpPr fitToPage="1"/>
  </sheetPr>
  <dimension ref="A1:Z30"/>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7"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7" t="str">
        <f t="shared" ref="A1" si="0">IF(D1="","","F")</f>
        <v/>
      </c>
      <c r="B1" t="e">
        <f ca="1">IF(OR(C1=" ",D1=""),"",CONCATENATE(C1,". ",D1))</f>
        <v>#REF!</v>
      </c>
      <c r="C1" s="183" t="e" cm="1">
        <f t="array" aca="1" ref="C1" ca="1">IF(OR(ROW(C1)=ROW(EVENTOS.firstrow)+1,AND(OFFSET(C1,-1,0)&lt;&gt;" ",OFFSET(C1,-1,1)&lt;&gt;"")),OFFSET(C1,-1,0)+1," ")</f>
        <v>#REF!</v>
      </c>
      <c r="D1" s="497"/>
      <c r="E1" s="621" cm="1">
        <f t="array" aca="1" ref="E1" ca="1">IF(AUTOEVENTO="Manual",ROUND(SUMPRODUCT((CÁLCULO!$M$15:$M$105=EVENTOS!$C1)*(OFFSET(CÁLCULO!$AA$15:$AA$105,0,E$13))),2),0)</f>
        <v>0</v>
      </c>
      <c r="F1" s="184">
        <f ca="1">IF(AUTOEVENTO="Manual",ROUND(SUMPRODUCT((CÁLCULO!$M$15:$M$105=EVENTOS!$C1)*(OFFSET(CÁLCULO!$AA$15,0,1):OFFSET(CÁLCULO!$AL$105,0,-1))),2),0)</f>
        <v>0</v>
      </c>
      <c r="G1" s="622" t="str">
        <f ca="1">IF(AND(D1=0,F1&gt;0),"NOME",
 IF(AND(D1&lt;&gt;0,$F$14&gt;0,F1=0),"VALOR",
 IF(AND(Import.TipoArredondamento="TransfereGOV",$A1="F",LEN(D1)&gt;100),"Nome &gt;100","")))</f>
        <v/>
      </c>
      <c r="H1" s="621" cm="1">
        <f t="array" aca="1" ref="H1" ca="1">IF(AUTOEVENTO="Manual",ROUND(SUMPRODUCT((CÁLCULO!$M$15:$M$105=EVENTOS!$C1)*(OFFSET(CÁLCULO!$AA$15:$AA$105,0,H$13))),2),0)</f>
        <v>0</v>
      </c>
      <c r="I1" s="621" cm="1">
        <f t="array" aca="1" ref="I1" ca="1">IF(AUTOEVENTO="Manual",ROUND(SUMPRODUCT((CÁLCULO!$M$15:$M$105=EVENTOS!$C1)*(OFFSET(CÁLCULO!$AA$15:$AA$105,0,I$13))),2),0)</f>
        <v>0</v>
      </c>
      <c r="J1" s="621" cm="1">
        <f t="array" aca="1" ref="J1" ca="1">IF(AUTOEVENTO="Manual",ROUND(SUMPRODUCT((CÁLCULO!$M$15:$M$105=EVENTOS!$C1)*(OFFSET(CÁLCULO!$AA$15:$AA$105,0,J$13))),2),0)</f>
        <v>0</v>
      </c>
      <c r="K1" s="621" cm="1">
        <f t="array" aca="1" ref="K1" ca="1">IF(AUTOEVENTO="Manual",ROUND(SUMPRODUCT((CÁLCULO!$M$15:$M$105=EVENTOS!$C1)*(OFFSET(CÁLCULO!$AA$15:$AA$105,0,K$13))),2),0)</f>
        <v>0</v>
      </c>
      <c r="L1" s="621" cm="1">
        <f t="array" aca="1" ref="L1" ca="1">IF(AUTOEVENTO="Manual",ROUND(SUMPRODUCT((CÁLCULO!$M$15:$M$105=EVENTOS!$C1)*(OFFSET(CÁLCULO!$AA$15:$AA$105,0,L$13))),2),0)</f>
        <v>0</v>
      </c>
      <c r="M1" s="621" cm="1">
        <f t="array" aca="1" ref="M1" ca="1">IF(AUTOEVENTO="Manual",ROUND(SUMPRODUCT((CÁLCULO!$M$15:$M$105=EVENTOS!$C1)*(OFFSET(CÁLCULO!$AA$15:$AA$105,0,M$13))),2),0)</f>
        <v>0</v>
      </c>
      <c r="N1" s="621" cm="1">
        <f t="array" aca="1" ref="N1" ca="1">IF(AUTOEVENTO="Manual",ROUND(SUMPRODUCT((CÁLCULO!$M$15:$M$105=EVENTOS!$C1)*(OFFSET(CÁLCULO!$AA$15:$AA$105,0,N$13))),2),0)</f>
        <v>0</v>
      </c>
      <c r="O1" s="621" cm="1">
        <f t="array" aca="1" ref="O1" ca="1">IF(AUTOEVENTO="Manual",ROUND(SUMPRODUCT((CÁLCULO!$M$15:$M$105=EVENTOS!$C1)*(OFFSET(CÁLCULO!$AA$15:$AA$105,0,O$13))),2),0)</f>
        <v>0</v>
      </c>
      <c r="P1" s="621" cm="1">
        <f t="array" aca="1" ref="P1" ca="1">IF(AUTOEVENTO="Manual",ROUND(SUMPRODUCT((CÁLCULO!$M$15:$M$105=EVENTOS!$C1)*(OFFSET(CÁLCULO!$AA$15:$AA$105,0,P$13))),2),0)</f>
        <v>0</v>
      </c>
      <c r="Q1" s="621" cm="1">
        <f t="array" aca="1" ref="Q1" ca="1">IF(AUTOEVENTO="Manual",ROUND(SUMPRODUCT((CÁLCULO!$M$15:$M$105=EVENTOS!$C1)*(OFFSET(CÁLCULO!$AA$15:$AA$105,0,Q$13))),2),0)</f>
        <v>0</v>
      </c>
      <c r="R1" s="621" cm="1">
        <f t="array" aca="1" ref="R1" ca="1">IF(AUTOEVENTO="Manual",ROUND(SUMPRODUCT((CÁLCULO!$M$15:$M$105=EVENTOS!$C1)*(OFFSET(CÁLCULO!$AA$15:$AA$105,0,R$13))),2),0)</f>
        <v>0</v>
      </c>
      <c r="S1" s="621" cm="1">
        <f t="array" aca="1" ref="S1" ca="1">IF(AUTOEVENTO="Manual",ROUND(SUMPRODUCT((CÁLCULO!$M$15:$M$105=EVENTOS!$C1)*(OFFSET(CÁLCULO!$AA$15:$AA$105,0,S$13))),2),0)</f>
        <v>0</v>
      </c>
      <c r="T1" s="621" cm="1">
        <f t="array" aca="1" ref="T1" ca="1">IF(AUTOEVENTO="Manual",ROUND(SUMPRODUCT((CÁLCULO!$M$15:$M$105=EVENTOS!$C1)*(OFFSET(CÁLCULO!$AA$15:$AA$105,0,T$13))),2),0)</f>
        <v>0</v>
      </c>
      <c r="U1" s="621" cm="1">
        <f t="array" aca="1" ref="U1" ca="1">IF(AUTOEVENTO="Manual",ROUND(SUMPRODUCT((CÁLCULO!$M$15:$M$105=EVENTOS!$C1)*(OFFSET(CÁLCULO!$AA$15:$AA$105,0,U$13))),2),0)</f>
        <v>0</v>
      </c>
      <c r="V1" s="621" cm="1">
        <f t="array" aca="1" ref="V1" ca="1">IF(AUTOEVENTO="Manual",ROUND(SUMPRODUCT((CÁLCULO!$M$15:$M$105=EVENTOS!$C1)*(OFFSET(CÁLCULO!$AA$15:$AA$105,0,V$13))),2),0)</f>
        <v>0</v>
      </c>
      <c r="W1" s="621" cm="1">
        <f t="array" aca="1" ref="W1" ca="1">IF(AUTOEVENTO="Manual",ROUND(SUMPRODUCT((CÁLCULO!$M$15:$M$105=EVENTOS!$C1)*(OFFSET(CÁLCULO!$AA$15:$AA$105,0,W$13))),2),0)</f>
        <v>0</v>
      </c>
      <c r="X1" s="621" cm="1">
        <f t="array" aca="1" ref="X1" ca="1">IF(AUTOEVENTO="Manual",ROUND(SUMPRODUCT((CÁLCULO!$M$15:$M$105=EVENTOS!$C1)*(OFFSET(CÁLCULO!$AA$15:$AA$105,0,X$13))),2),0)</f>
        <v>0</v>
      </c>
      <c r="Y1" s="621" cm="1">
        <f t="array" aca="1" ref="Y1" ca="1">IF(AUTOEVENTO="Manual",ROUND(SUMPRODUCT((CÁLCULO!$M$15:$M$105=EVENTOS!$C1)*(OFFSET(CÁLCULO!$AA$15:$AA$105,0,Y$13))),2),0)</f>
        <v>0</v>
      </c>
    </row>
    <row r="2" spans="1:26" ht="30" customHeight="1" x14ac:dyDescent="0.2">
      <c r="F2" s="82" t="s">
        <v>757</v>
      </c>
      <c r="O2" s="623" t="s">
        <v>758</v>
      </c>
      <c r="Y2" s="623" t="s">
        <v>758</v>
      </c>
    </row>
    <row r="4" spans="1:26" ht="12.75" customHeight="1" x14ac:dyDescent="0.2">
      <c r="C4" s="55" t="s">
        <v>653</v>
      </c>
      <c r="D4" s="97"/>
      <c r="E4" s="77"/>
      <c r="F4" s="209" t="s">
        <v>759</v>
      </c>
      <c r="G4" s="77"/>
      <c r="H4" s="485"/>
      <c r="I4" s="485"/>
      <c r="J4" s="485"/>
      <c r="K4" s="485"/>
      <c r="L4" s="485"/>
      <c r="N4" s="55" t="s">
        <v>651</v>
      </c>
      <c r="O4" s="505" t="s">
        <v>708</v>
      </c>
      <c r="P4" s="209" t="s">
        <v>759</v>
      </c>
      <c r="Q4" s="77"/>
      <c r="R4" s="485"/>
      <c r="S4" s="485"/>
      <c r="T4" s="485"/>
      <c r="U4" s="485"/>
      <c r="V4" s="485"/>
      <c r="X4" s="55" t="s">
        <v>651</v>
      </c>
      <c r="Y4" s="505" t="s">
        <v>708</v>
      </c>
    </row>
    <row r="5" spans="1:26" ht="12.75" customHeight="1" x14ac:dyDescent="0.2">
      <c r="C5" s="506" t="str">
        <f>Import.Proponente</f>
        <v>CONSÓRCIO INTERMUNICIPAL DO MÉDIO ALTO URUGUAI - CIMAU</v>
      </c>
      <c r="D5" s="504"/>
      <c r="E5" s="504"/>
      <c r="F5" s="730" t="str">
        <f>Import.Apelido</f>
        <v>REFORMA CASA DA CRIANÇA</v>
      </c>
      <c r="G5" s="731"/>
      <c r="H5" s="731"/>
      <c r="I5" s="731"/>
      <c r="J5" s="731"/>
      <c r="K5" s="731"/>
      <c r="L5" s="731"/>
      <c r="M5" s="732"/>
      <c r="N5" s="56" t="str">
        <f>Import.CR</f>
        <v>0</v>
      </c>
      <c r="O5" s="56" t="str">
        <f>Import.SICONV</f>
        <v>0</v>
      </c>
      <c r="P5" s="730" t="str">
        <f>Import.Apelido</f>
        <v>REFORMA CASA DA CRIANÇA</v>
      </c>
      <c r="Q5" s="731"/>
      <c r="R5" s="731"/>
      <c r="S5" s="731"/>
      <c r="T5" s="731"/>
      <c r="U5" s="731"/>
      <c r="V5" s="731"/>
      <c r="W5" s="732"/>
      <c r="X5" s="56" t="str">
        <f>Import.CR</f>
        <v>0</v>
      </c>
      <c r="Y5" s="56" t="str">
        <f>Import.SICONV</f>
        <v>0</v>
      </c>
      <c r="Z5" t="s">
        <v>753</v>
      </c>
    </row>
    <row r="6" spans="1:26" ht="24.95" customHeight="1" x14ac:dyDescent="0.25">
      <c r="B6" t="s">
        <v>938</v>
      </c>
      <c r="C6" t="s">
        <v>760</v>
      </c>
      <c r="F6" s="522" t="str">
        <f>IF(AUTOEVENTO="MANUAL",
  IF(COUNTIF($G$15:$G$23,"NOME")&gt;0,"Falta preencher o nome do Título do Evento nº "&amp;INDEX($C$15:$C$23,MATCH("NOME",$G$15:$G$23,0)),
  IF(COUNTIF($G$15:$G$23,"VALOR")&gt;0,"Falta atribuir serviços ao Evento nº "&amp;INDEX($C$15:$C$23,MATCH("VALOR",$G$15:$G$23,0))&amp;". Corrigir a atribuição dos eventos na aba CÁLCULO. Ou excluir linhas dos eventos não utilizados.",
  IF(ROUND($F$14,2)&lt;&gt;ROUND(ORÇAMENTO!$X$15,2),"O valor total dos Eventos é diferente do valor total do Orçamento. Corrigir a atribuição dos eventos na aba CÁLCULO",
  IF(COUNTIF($G$15:$G$23,"Nome &gt;100")&gt;0,"O tamanho do Título do Evento no TransfereGOV é limitado a 100 caracteres. Resuma o nome do Título do Evento nº "&amp;INDEX($C$15:$C$23,MATCH("Nome &gt;100",$G$15:$G$23,0)),"")))),"")</f>
        <v/>
      </c>
    </row>
    <row r="7" spans="1:26" ht="3.95" customHeight="1" thickBot="1" x14ac:dyDescent="0.25">
      <c r="B7" t="s">
        <v>941</v>
      </c>
    </row>
    <row r="8" spans="1:26" ht="16.5" thickBot="1" x14ac:dyDescent="0.3">
      <c r="B8" t="s">
        <v>942</v>
      </c>
      <c r="C8" s="676" t="s">
        <v>938</v>
      </c>
      <c r="D8" s="678"/>
      <c r="F8" s="522" t="str">
        <f>IF(ACOMPANHAMENTO="BM","",
 IF(Import.Eventos.Nível="","◄ Selecione a forma de definição dos agrupadores de eventos",
 IF(Import.Eventos.Nível="","◄ Selecione a forma de definição dos agrupadores de eventos","")))</f>
        <v/>
      </c>
    </row>
    <row r="9" spans="1:26" ht="12" customHeight="1" x14ac:dyDescent="0.2">
      <c r="B9" t="s">
        <v>940</v>
      </c>
    </row>
    <row r="10" spans="1:26" ht="33.75" customHeight="1" x14ac:dyDescent="0.2">
      <c r="C10" s="587">
        <f ca="1">COUNTIF($C$15:$C$23,"&gt;0")-1</f>
        <v>0</v>
      </c>
      <c r="D10" t="s">
        <v>753</v>
      </c>
      <c r="E10" s="733" t="str">
        <f ca="1">OFFSET(CÁLCULO!$P$12,0,EVENTOS!E$13)</f>
        <v>Iluminação Publica</v>
      </c>
      <c r="F10" t="s">
        <v>753</v>
      </c>
      <c r="G10" s="734"/>
      <c r="H10" s="733" t="str">
        <f ca="1">OFFSET(CÁLCULO!$P$12,0,EVENTOS!H$13)</f>
        <v>Iluminação Publica</v>
      </c>
      <c r="I10" s="733" t="str">
        <f ca="1">OFFSET(CÁLCULO!$P$12,0,EVENTOS!I$13)</f>
        <v>.</v>
      </c>
      <c r="J10" s="733" t="str">
        <f ca="1">OFFSET(CÁLCULO!$P$12,0,EVENTOS!J$13)</f>
        <v>.</v>
      </c>
      <c r="K10" s="734" t="str">
        <f ca="1">OFFSET(CÁLCULO!$P$12,0,EVENTOS!K$13)</f>
        <v>.</v>
      </c>
      <c r="L10" s="734" t="str">
        <f ca="1">OFFSET(CÁLCULO!$P$12,0,EVENTOS!L$13)</f>
        <v>.</v>
      </c>
      <c r="M10" s="734" t="str">
        <f ca="1">OFFSET(CÁLCULO!$P$12,0,EVENTOS!M$13)</f>
        <v>.</v>
      </c>
      <c r="N10" s="734" t="str">
        <f ca="1">OFFSET(CÁLCULO!$P$12,0,EVENTOS!N$13)</f>
        <v>.</v>
      </c>
      <c r="O10" s="734" t="str">
        <f ca="1">OFFSET(CÁLCULO!$P$12,0,EVENTOS!O$13)</f>
        <v>.</v>
      </c>
      <c r="P10" s="734" t="str">
        <f ca="1">OFFSET(CÁLCULO!$P$12,0,EVENTOS!P$13)</f>
        <v>.</v>
      </c>
      <c r="Q10" s="734" t="str">
        <f ca="1">OFFSET(CÁLCULO!$P$12,0,EVENTOS!Q$13)</f>
        <v>.</v>
      </c>
      <c r="R10" s="734" t="str">
        <f ca="1">OFFSET(CÁLCULO!$P$12,0,EVENTOS!R$13)</f>
        <v>.</v>
      </c>
      <c r="S10" s="734" t="str">
        <f ca="1">OFFSET(CÁLCULO!$P$12,0,EVENTOS!S$13)</f>
        <v>.</v>
      </c>
      <c r="T10" s="734" t="str">
        <f ca="1">OFFSET(CÁLCULO!$P$12,0,EVENTOS!T$13)</f>
        <v>.</v>
      </c>
      <c r="U10" s="734" t="str">
        <f ca="1">OFFSET(CÁLCULO!$P$12,0,EVENTOS!U$13)</f>
        <v>.</v>
      </c>
      <c r="V10" s="734" t="str">
        <f ca="1">OFFSET(CÁLCULO!$P$12,0,EVENTOS!V$13)</f>
        <v>.</v>
      </c>
      <c r="W10" s="734" t="str">
        <f ca="1">OFFSET(CÁLCULO!$P$12,0,EVENTOS!W$13)</f>
        <v>.</v>
      </c>
      <c r="X10" s="734" t="str">
        <f ca="1">OFFSET(CÁLCULO!$P$12,0,EVENTOS!X$13)</f>
        <v>.</v>
      </c>
      <c r="Y10" s="734" t="str">
        <f ca="1">OFFSET(CÁLCULO!$P$12,0,EVENTOS!Y$13)</f>
        <v>.</v>
      </c>
    </row>
    <row r="11" spans="1:26" ht="35.1" customHeight="1" x14ac:dyDescent="0.2">
      <c r="A11" s="508" t="s">
        <v>656</v>
      </c>
      <c r="C11" s="737"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selecionada a forma automática de definição dos agrupadores de eventos.</v>
      </c>
      <c r="D11" s="737"/>
      <c r="E11" s="733"/>
      <c r="F11" s="498"/>
      <c r="G11" s="735"/>
      <c r="H11" s="733"/>
      <c r="I11" s="733"/>
      <c r="J11" s="733"/>
      <c r="K11" s="735"/>
      <c r="L11" s="735"/>
      <c r="M11" s="735"/>
      <c r="N11" s="735"/>
      <c r="O11" s="735"/>
      <c r="P11" s="735"/>
      <c r="Q11" s="735"/>
      <c r="R11" s="735"/>
      <c r="S11" s="735"/>
      <c r="T11" s="735"/>
      <c r="U11" s="735"/>
      <c r="V11" s="735"/>
      <c r="W11" s="735"/>
      <c r="X11" s="735"/>
      <c r="Y11" s="735"/>
    </row>
    <row r="12" spans="1:26" ht="12" customHeight="1" x14ac:dyDescent="0.2">
      <c r="A12" s="509" t="s">
        <v>661</v>
      </c>
      <c r="E12" s="733"/>
      <c r="G12" s="736"/>
      <c r="H12" s="733"/>
      <c r="I12" s="733"/>
      <c r="J12" s="733"/>
      <c r="K12" s="736"/>
      <c r="L12" s="736"/>
      <c r="M12" s="736"/>
      <c r="N12" s="736"/>
      <c r="O12" s="736"/>
      <c r="P12" s="736"/>
      <c r="Q12" s="736"/>
      <c r="R12" s="736"/>
      <c r="S12" s="736"/>
      <c r="T12" s="736"/>
      <c r="U12" s="736"/>
      <c r="V12" s="736"/>
      <c r="W12" s="736"/>
      <c r="X12" s="736"/>
      <c r="Y12" s="736"/>
    </row>
    <row r="13" spans="1:26" ht="15" x14ac:dyDescent="0.25">
      <c r="A13" s="509"/>
      <c r="C13" s="499" t="s">
        <v>761</v>
      </c>
      <c r="D13" s="624" t="s">
        <v>762</v>
      </c>
      <c r="E13" s="625">
        <f ca="1">IF(NOT(ISNUMBER(OFFSET(E13,0,-1))),1,IF(OR(OFFSET(E13,0,-1)=0,OFFSET(E13,0,-1)+1&gt;CÁLCULO.FrentesPreenchidas),0,OFFSET(E13,0,-1)+1))</f>
        <v>1</v>
      </c>
      <c r="F13" s="546" t="s">
        <v>763</v>
      </c>
      <c r="G13" s="496"/>
      <c r="H13" s="625">
        <f t="shared" ref="H13:Y13" ca="1" si="1">IF(NOT(ISNUMBER(OFFSET(H13,0,-1))),1,IF(OR(OFFSET(H13,0,-1)=0,OFFSET(H13,0,-1)+1&gt;CÁLCULO.FrentesPreenchidas),0,OFFSET(H13,0,-1)+1))</f>
        <v>1</v>
      </c>
      <c r="I13" s="625">
        <f t="shared" ca="1" si="1"/>
        <v>0</v>
      </c>
      <c r="J13" s="625">
        <f t="shared" ca="1" si="1"/>
        <v>0</v>
      </c>
      <c r="K13" s="625">
        <f t="shared" ca="1" si="1"/>
        <v>0</v>
      </c>
      <c r="L13" s="625">
        <f t="shared" ca="1" si="1"/>
        <v>0</v>
      </c>
      <c r="M13" s="625">
        <f t="shared" ca="1" si="1"/>
        <v>0</v>
      </c>
      <c r="N13" s="625">
        <f t="shared" ca="1" si="1"/>
        <v>0</v>
      </c>
      <c r="O13" s="625">
        <f t="shared" ca="1" si="1"/>
        <v>0</v>
      </c>
      <c r="P13" s="625">
        <f t="shared" ca="1" si="1"/>
        <v>0</v>
      </c>
      <c r="Q13" s="625">
        <f t="shared" ca="1" si="1"/>
        <v>0</v>
      </c>
      <c r="R13" s="625">
        <f t="shared" ca="1" si="1"/>
        <v>0</v>
      </c>
      <c r="S13" s="625">
        <f t="shared" ca="1" si="1"/>
        <v>0</v>
      </c>
      <c r="T13" s="625">
        <f t="shared" ca="1" si="1"/>
        <v>0</v>
      </c>
      <c r="U13" s="625">
        <f t="shared" ca="1" si="1"/>
        <v>0</v>
      </c>
      <c r="V13" s="625">
        <f t="shared" ca="1" si="1"/>
        <v>0</v>
      </c>
      <c r="W13" s="625">
        <f t="shared" ca="1" si="1"/>
        <v>0</v>
      </c>
      <c r="X13" s="625">
        <f t="shared" ca="1" si="1"/>
        <v>0</v>
      </c>
      <c r="Y13" s="625">
        <f t="shared" ca="1" si="1"/>
        <v>0</v>
      </c>
    </row>
    <row r="14" spans="1:26" ht="15" customHeight="1" x14ac:dyDescent="0.2">
      <c r="A14" s="507" t="s">
        <v>537</v>
      </c>
      <c r="C14" s="542"/>
      <c r="D14" s="543" t="s">
        <v>764</v>
      </c>
      <c r="E14" s="626">
        <f ca="1">SUM(E$15:E$23)</f>
        <v>0</v>
      </c>
      <c r="F14" s="544">
        <f ca="1">SUM(F$15:F$23)</f>
        <v>0</v>
      </c>
      <c r="H14" s="626">
        <f t="shared" ref="H14:Y14" ca="1" si="2">SUM(H$15:H$23)</f>
        <v>0</v>
      </c>
      <c r="I14" s="626">
        <f t="shared" ca="1" si="2"/>
        <v>0</v>
      </c>
      <c r="J14" s="626">
        <f t="shared" ca="1" si="2"/>
        <v>0</v>
      </c>
      <c r="K14" s="626">
        <f t="shared" ca="1" si="2"/>
        <v>0</v>
      </c>
      <c r="L14" s="626">
        <f t="shared" ca="1" si="2"/>
        <v>0</v>
      </c>
      <c r="M14" s="626">
        <f t="shared" ca="1" si="2"/>
        <v>0</v>
      </c>
      <c r="N14" s="626">
        <f t="shared" ca="1" si="2"/>
        <v>0</v>
      </c>
      <c r="O14" s="626">
        <f t="shared" ca="1" si="2"/>
        <v>0</v>
      </c>
      <c r="P14" s="626">
        <f t="shared" ca="1" si="2"/>
        <v>0</v>
      </c>
      <c r="Q14" s="626">
        <f t="shared" ca="1" si="2"/>
        <v>0</v>
      </c>
      <c r="R14" s="626">
        <f t="shared" ca="1" si="2"/>
        <v>0</v>
      </c>
      <c r="S14" s="626">
        <f t="shared" ca="1" si="2"/>
        <v>0</v>
      </c>
      <c r="T14" s="626">
        <f t="shared" ca="1" si="2"/>
        <v>0</v>
      </c>
      <c r="U14" s="626">
        <f t="shared" ca="1" si="2"/>
        <v>0</v>
      </c>
      <c r="V14" s="626">
        <f t="shared" ca="1" si="2"/>
        <v>0</v>
      </c>
      <c r="W14" s="626">
        <f t="shared" ca="1" si="2"/>
        <v>0</v>
      </c>
      <c r="X14" s="626">
        <f t="shared" ca="1" si="2"/>
        <v>0</v>
      </c>
      <c r="Y14" s="626">
        <f t="shared" ca="1" si="2"/>
        <v>0</v>
      </c>
    </row>
    <row r="15" spans="1:26" x14ac:dyDescent="0.2">
      <c r="A15" s="507" t="str">
        <f t="shared" ref="A15:A22" si="3">IF(D15="","","F")</f>
        <v/>
      </c>
      <c r="B15" t="str">
        <f>IF(OR(C15=" ",D15=""),"",CONCATENATE(C15,". ",D15))</f>
        <v/>
      </c>
      <c r="C15" s="547" cm="1">
        <f t="array" ref="C15">IF(AdmLocal="Automática",1,0)</f>
        <v>0</v>
      </c>
      <c r="D15" s="627" t="str">
        <f>IF(C15=1,"Administração Local","")</f>
        <v/>
      </c>
      <c r="E15" s="628">
        <f ca="1">IF($F$15=0,0,IF(E13=1,$F$15-SUM($I$15:$Z$15),ROUND(SUM(OFFSET(E15,1,0):OFFSET(E$23,-1,0))/SUM(OFFSET($F15,1,0):OFFSET($F$23,-1,0))*$F$15,2)))</f>
        <v>0</v>
      </c>
      <c r="F15" s="548" cm="1">
        <f t="array" ref="F15">IF($C$15=0,0,ROUND(SUMPRODUCT((CÁLCULO!$M$15:$M$105=EVENTOS!$C15)*(ORÇAMENTO!$X$15:'ORÇAMENTO'!$X$105)),2))</f>
        <v>0</v>
      </c>
      <c r="G15" s="629"/>
      <c r="H15" s="628">
        <f ca="1">IF($F$15=0,0,IF(H13=1,$F$15-SUM($I$15:$Z$15),ROUND(SUM(OFFSET(H15,1,0):OFFSET(H$23,-1,0))/SUM(OFFSET($F15,1,0):OFFSET($F$23,-1,0))*$F$15,2)))</f>
        <v>0</v>
      </c>
      <c r="I15" s="628">
        <f ca="1">IF($F$15=0,0,IF(I13=1,$F$15-SUM($I$15:$Z$15),ROUND(SUM(OFFSET(I15,1,0):OFFSET(I$23,-1,0))/SUM(OFFSET($F15,1,0):OFFSET($F$23,-1,0))*$F$15,2)))</f>
        <v>0</v>
      </c>
      <c r="J15" s="628">
        <f ca="1">IF($F$15=0,0,IF(J13=1,$F$15-SUM($I$15:$Z$15),ROUND(SUM(OFFSET(J15,1,0):OFFSET(J$23,-1,0))/SUM(OFFSET($F15,1,0):OFFSET($F$23,-1,0))*$F$15,2)))</f>
        <v>0</v>
      </c>
      <c r="K15" s="628">
        <f ca="1">IF($F$15=0,0,IF(K13=1,$F$15-SUM($I$15:$Z$15),ROUND(SUM(OFFSET(K15,1,0):OFFSET(K$23,-1,0))/SUM(OFFSET($F15,1,0):OFFSET($F$23,-1,0))*$F$15,2)))</f>
        <v>0</v>
      </c>
      <c r="L15" s="628">
        <f ca="1">IF($F$15=0,0,IF(L13=1,$F$15-SUM($I$15:$Z$15),ROUND(SUM(OFFSET(L15,1,0):OFFSET(L$23,-1,0))/SUM(OFFSET($F15,1,0):OFFSET($F$23,-1,0))*$F$15,2)))</f>
        <v>0</v>
      </c>
      <c r="M15" s="628">
        <f ca="1">IF($F$15=0,0,IF(M13=1,$F$15-SUM($I$15:$Z$15),ROUND(SUM(OFFSET(M15,1,0):OFFSET(M$23,-1,0))/SUM(OFFSET($F15,1,0):OFFSET($F$23,-1,0))*$F$15,2)))</f>
        <v>0</v>
      </c>
      <c r="N15" s="628">
        <f ca="1">IF($F$15=0,0,IF(N13=1,$F$15-SUM($I$15:$Z$15),ROUND(SUM(OFFSET(N15,1,0):OFFSET(N$23,-1,0))/SUM(OFFSET($F15,1,0):OFFSET($F$23,-1,0))*$F$15,2)))</f>
        <v>0</v>
      </c>
      <c r="O15" s="628">
        <f ca="1">IF($F$15=0,0,IF(O13=1,$F$15-SUM($I$15:$Z$15),ROUND(SUM(OFFSET(O15,1,0):OFFSET(O$23,-1,0))/SUM(OFFSET($F15,1,0):OFFSET($F$23,-1,0))*$F$15,2)))</f>
        <v>0</v>
      </c>
      <c r="P15" s="628">
        <f ca="1">IF($F$15=0,0,IF(P13=1,$F$15-SUM($I$15:$Z$15),ROUND(SUM(OFFSET(P15,1,0):OFFSET(P$23,-1,0))/SUM(OFFSET($F15,1,0):OFFSET($F$23,-1,0))*$F$15,2)))</f>
        <v>0</v>
      </c>
      <c r="Q15" s="628">
        <f ca="1">IF($F$15=0,0,IF(Q13=1,$F$15-SUM($I$15:$Z$15),ROUND(SUM(OFFSET(Q15,1,0):OFFSET(Q$23,-1,0))/SUM(OFFSET($F15,1,0):OFFSET($F$23,-1,0))*$F$15,2)))</f>
        <v>0</v>
      </c>
      <c r="R15" s="628">
        <f ca="1">IF($F$15=0,0,IF(R13=1,$F$15-SUM($I$15:$Z$15),ROUND(SUM(OFFSET(R15,1,0):OFFSET(R$23,-1,0))/SUM(OFFSET($F15,1,0):OFFSET($F$23,-1,0))*$F$15,2)))</f>
        <v>0</v>
      </c>
      <c r="S15" s="628">
        <f ca="1">IF($F$15=0,0,IF(S13=1,$F$15-SUM($I$15:$Z$15),ROUND(SUM(OFFSET(S15,1,0):OFFSET(S$23,-1,0))/SUM(OFFSET($F15,1,0):OFFSET($F$23,-1,0))*$F$15,2)))</f>
        <v>0</v>
      </c>
      <c r="T15" s="628">
        <f ca="1">IF($F$15=0,0,IF(T13=1,$F$15-SUM($I$15:$Z$15),ROUND(SUM(OFFSET(T15,1,0):OFFSET(T$23,-1,0))/SUM(OFFSET($F15,1,0):OFFSET($F$23,-1,0))*$F$15,2)))</f>
        <v>0</v>
      </c>
      <c r="U15" s="628">
        <f ca="1">IF($F$15=0,0,IF(U13=1,$F$15-SUM($I$15:$Z$15),ROUND(SUM(OFFSET(U15,1,0):OFFSET(U$23,-1,0))/SUM(OFFSET($F15,1,0):OFFSET($F$23,-1,0))*$F$15,2)))</f>
        <v>0</v>
      </c>
      <c r="V15" s="628">
        <f ca="1">IF($F$15=0,0,IF(V13=1,$F$15-SUM($I$15:$Z$15),ROUND(SUM(OFFSET(V15,1,0):OFFSET(V$23,-1,0))/SUM(OFFSET($F15,1,0):OFFSET($F$23,-1,0))*$F$15,2)))</f>
        <v>0</v>
      </c>
      <c r="W15" s="628">
        <f ca="1">IF($F$15=0,0,IF(W13=1,$F$15-SUM($I$15:$Z$15),ROUND(SUM(OFFSET(W15,1,0):OFFSET(W$23,-1,0))/SUM(OFFSET($F15,1,0):OFFSET($F$23,-1,0))*$F$15,2)))</f>
        <v>0</v>
      </c>
      <c r="X15" s="628">
        <f ca="1">IF($F$15=0,0,IF(X13=1,$F$15-SUM($I$15:$Z$15),ROUND(SUM(OFFSET(X15,1,0):OFFSET(X$23,-1,0))/SUM(OFFSET($F15,1,0):OFFSET($F$23,-1,0))*$F$15,2)))</f>
        <v>0</v>
      </c>
      <c r="Y15" s="628">
        <f ca="1">IF($F$15=0,0,IF(Y13=1,$F$15-SUM($I$15:$Z$15),ROUND(SUM(OFFSET(Y15,1,0):OFFSET(Y$23,-1,0))/SUM(OFFSET($F15,1,0):OFFSET($F$23,-1,0))*$F$15,2)))</f>
        <v>0</v>
      </c>
    </row>
    <row r="16" spans="1:26" x14ac:dyDescent="0.2">
      <c r="A16" s="507" t="str">
        <f t="shared" si="3"/>
        <v/>
      </c>
      <c r="B16" t="str">
        <f t="shared" ref="B16:B22" ca="1" si="4">IF(OR(C16=" ",D16=""),"",CONCATENATE(C16,". ",D16))</f>
        <v/>
      </c>
      <c r="C16" s="183" cm="1">
        <f t="array" aca="1" ref="C16" ca="1">IF(OR(ROW(C16)=ROW(EVENTOS.firstrow)+1,AND(OFFSET(C16,-1,0)&lt;&gt;" ",OFFSET(C16,-1,1)&lt;&gt;"")),OFFSET(C16,-1,0)+1," ")</f>
        <v>1</v>
      </c>
      <c r="D16" s="497"/>
      <c r="E16" s="621" cm="1">
        <f t="array" aca="1" ref="E16" ca="1">IF(AUTOEVENTO="Manual",ROUND(SUMPRODUCT((CÁLCULO!$M$15:$M$105=EVENTOS!$C16)*(OFFSET(CÁLCULO!$AA$15:$AA$105,0,E$13))),2),0)</f>
        <v>0</v>
      </c>
      <c r="F16" s="184">
        <f ca="1">IF(AUTOEVENTO="Manual",ROUND(SUMPRODUCT((CÁLCULO!$M$15:$M$105=EVENTOS!$C16)*(OFFSET(CÁLCULO!$AA$15,0,1):OFFSET(CÁLCULO!$AL$105,0,-1))),2),0)</f>
        <v>0</v>
      </c>
      <c r="G16" s="622" t="str">
        <f t="shared" ref="G16:G22" ca="1" si="5">IF(AND(D16=0,F16&gt;0),"NOME",
 IF(AND(D16&lt;&gt;0,$F$14&gt;0,F16=0),"VALOR",
 IF(AND(Import.TipoArredondamento="TransfereGOV",$A16="F",LEN(D16)&gt;100),"Nome &gt;100","")))</f>
        <v/>
      </c>
      <c r="H16" s="621" cm="1">
        <f t="array" aca="1" ref="H16" ca="1">IF(AUTOEVENTO="Manual",ROUND(SUMPRODUCT((CÁLCULO!$M$15:$M$105=EVENTOS!$C16)*(OFFSET(CÁLCULO!$AA$15:$AA$105,0,H$13))),2),0)</f>
        <v>0</v>
      </c>
      <c r="I16" s="621" cm="1">
        <f t="array" aca="1" ref="I16" ca="1">IF(AUTOEVENTO="Manual",ROUND(SUMPRODUCT((CÁLCULO!$M$15:$M$105=EVENTOS!$C16)*(OFFSET(CÁLCULO!$AA$15:$AA$105,0,I$13))),2),0)</f>
        <v>0</v>
      </c>
      <c r="J16" s="621" cm="1">
        <f t="array" aca="1" ref="J16" ca="1">IF(AUTOEVENTO="Manual",ROUND(SUMPRODUCT((CÁLCULO!$M$15:$M$105=EVENTOS!$C16)*(OFFSET(CÁLCULO!$AA$15:$AA$105,0,J$13))),2),0)</f>
        <v>0</v>
      </c>
      <c r="K16" s="621" cm="1">
        <f t="array" aca="1" ref="K16" ca="1">IF(AUTOEVENTO="Manual",ROUND(SUMPRODUCT((CÁLCULO!$M$15:$M$105=EVENTOS!$C16)*(OFFSET(CÁLCULO!$AA$15:$AA$105,0,K$13))),2),0)</f>
        <v>0</v>
      </c>
      <c r="L16" s="621" cm="1">
        <f t="array" aca="1" ref="L16" ca="1">IF(AUTOEVENTO="Manual",ROUND(SUMPRODUCT((CÁLCULO!$M$15:$M$105=EVENTOS!$C16)*(OFFSET(CÁLCULO!$AA$15:$AA$105,0,L$13))),2),0)</f>
        <v>0</v>
      </c>
      <c r="M16" s="621" cm="1">
        <f t="array" aca="1" ref="M16" ca="1">IF(AUTOEVENTO="Manual",ROUND(SUMPRODUCT((CÁLCULO!$M$15:$M$105=EVENTOS!$C16)*(OFFSET(CÁLCULO!$AA$15:$AA$105,0,M$13))),2),0)</f>
        <v>0</v>
      </c>
      <c r="N16" s="621" cm="1">
        <f t="array" aca="1" ref="N16" ca="1">IF(AUTOEVENTO="Manual",ROUND(SUMPRODUCT((CÁLCULO!$M$15:$M$105=EVENTOS!$C16)*(OFFSET(CÁLCULO!$AA$15:$AA$105,0,N$13))),2),0)</f>
        <v>0</v>
      </c>
      <c r="O16" s="621" cm="1">
        <f t="array" aca="1" ref="O16" ca="1">IF(AUTOEVENTO="Manual",ROUND(SUMPRODUCT((CÁLCULO!$M$15:$M$105=EVENTOS!$C16)*(OFFSET(CÁLCULO!$AA$15:$AA$105,0,O$13))),2),0)</f>
        <v>0</v>
      </c>
      <c r="P16" s="621" cm="1">
        <f t="array" aca="1" ref="P16" ca="1">IF(AUTOEVENTO="Manual",ROUND(SUMPRODUCT((CÁLCULO!$M$15:$M$105=EVENTOS!$C16)*(OFFSET(CÁLCULO!$AA$15:$AA$105,0,P$13))),2),0)</f>
        <v>0</v>
      </c>
      <c r="Q16" s="621" cm="1">
        <f t="array" aca="1" ref="Q16" ca="1">IF(AUTOEVENTO="Manual",ROUND(SUMPRODUCT((CÁLCULO!$M$15:$M$105=EVENTOS!$C16)*(OFFSET(CÁLCULO!$AA$15:$AA$105,0,Q$13))),2),0)</f>
        <v>0</v>
      </c>
      <c r="R16" s="621" cm="1">
        <f t="array" aca="1" ref="R16" ca="1">IF(AUTOEVENTO="Manual",ROUND(SUMPRODUCT((CÁLCULO!$M$15:$M$105=EVENTOS!$C16)*(OFFSET(CÁLCULO!$AA$15:$AA$105,0,R$13))),2),0)</f>
        <v>0</v>
      </c>
      <c r="S16" s="621" cm="1">
        <f t="array" aca="1" ref="S16" ca="1">IF(AUTOEVENTO="Manual",ROUND(SUMPRODUCT((CÁLCULO!$M$15:$M$105=EVENTOS!$C16)*(OFFSET(CÁLCULO!$AA$15:$AA$105,0,S$13))),2),0)</f>
        <v>0</v>
      </c>
      <c r="T16" s="621" cm="1">
        <f t="array" aca="1" ref="T16" ca="1">IF(AUTOEVENTO="Manual",ROUND(SUMPRODUCT((CÁLCULO!$M$15:$M$105=EVENTOS!$C16)*(OFFSET(CÁLCULO!$AA$15:$AA$105,0,T$13))),2),0)</f>
        <v>0</v>
      </c>
      <c r="U16" s="621" cm="1">
        <f t="array" aca="1" ref="U16" ca="1">IF(AUTOEVENTO="Manual",ROUND(SUMPRODUCT((CÁLCULO!$M$15:$M$105=EVENTOS!$C16)*(OFFSET(CÁLCULO!$AA$15:$AA$105,0,U$13))),2),0)</f>
        <v>0</v>
      </c>
      <c r="V16" s="621" cm="1">
        <f t="array" aca="1" ref="V16" ca="1">IF(AUTOEVENTO="Manual",ROUND(SUMPRODUCT((CÁLCULO!$M$15:$M$105=EVENTOS!$C16)*(OFFSET(CÁLCULO!$AA$15:$AA$105,0,V$13))),2),0)</f>
        <v>0</v>
      </c>
      <c r="W16" s="621" cm="1">
        <f t="array" aca="1" ref="W16" ca="1">IF(AUTOEVENTO="Manual",ROUND(SUMPRODUCT((CÁLCULO!$M$15:$M$105=EVENTOS!$C16)*(OFFSET(CÁLCULO!$AA$15:$AA$105,0,W$13))),2),0)</f>
        <v>0</v>
      </c>
      <c r="X16" s="621" cm="1">
        <f t="array" aca="1" ref="X16" ca="1">IF(AUTOEVENTO="Manual",ROUND(SUMPRODUCT((CÁLCULO!$M$15:$M$105=EVENTOS!$C16)*(OFFSET(CÁLCULO!$AA$15:$AA$105,0,X$13))),2),0)</f>
        <v>0</v>
      </c>
      <c r="Y16" s="621" cm="1">
        <f t="array" aca="1" ref="Y16" ca="1">IF(AUTOEVENTO="Manual",ROUND(SUMPRODUCT((CÁLCULO!$M$15:$M$105=EVENTOS!$C16)*(OFFSET(CÁLCULO!$AA$15:$AA$105,0,Y$13))),2),0)</f>
        <v>0</v>
      </c>
    </row>
    <row r="17" spans="1:25" x14ac:dyDescent="0.2">
      <c r="A17" s="507" t="str">
        <f t="shared" si="3"/>
        <v/>
      </c>
      <c r="B17" t="str">
        <f t="shared" ca="1" si="4"/>
        <v/>
      </c>
      <c r="C17" s="183" t="str" cm="1">
        <f t="array" aca="1" ref="C17" ca="1">IF(OR(ROW(C17)=ROW(EVENTOS.firstrow)+1,AND(OFFSET(C17,-1,0)&lt;&gt;" ",OFFSET(C17,-1,1)&lt;&gt;"")),OFFSET(C17,-1,0)+1," ")</f>
        <v xml:space="preserve"> </v>
      </c>
      <c r="D17" s="497"/>
      <c r="E17" s="621" cm="1">
        <f t="array" aca="1" ref="E17" ca="1">IF(AUTOEVENTO="Manual",ROUND(SUMPRODUCT((CÁLCULO!$M$15:$M$105=EVENTOS!$C17)*(OFFSET(CÁLCULO!$AA$15:$AA$105,0,E$13))),2),0)</f>
        <v>0</v>
      </c>
      <c r="F17" s="184">
        <f ca="1">IF(AUTOEVENTO="Manual",ROUND(SUMPRODUCT((CÁLCULO!$M$15:$M$105=EVENTOS!$C17)*(OFFSET(CÁLCULO!$AA$15,0,1):OFFSET(CÁLCULO!$AL$105,0,-1))),2),0)</f>
        <v>0</v>
      </c>
      <c r="G17" s="622" t="str">
        <f t="shared" ca="1" si="5"/>
        <v/>
      </c>
      <c r="H17" s="621" cm="1">
        <f t="array" aca="1" ref="H17" ca="1">IF(AUTOEVENTO="Manual",ROUND(SUMPRODUCT((CÁLCULO!$M$15:$M$105=EVENTOS!$C17)*(OFFSET(CÁLCULO!$AA$15:$AA$105,0,H$13))),2),0)</f>
        <v>0</v>
      </c>
      <c r="I17" s="621" cm="1">
        <f t="array" aca="1" ref="I17" ca="1">IF(AUTOEVENTO="Manual",ROUND(SUMPRODUCT((CÁLCULO!$M$15:$M$105=EVENTOS!$C17)*(OFFSET(CÁLCULO!$AA$15:$AA$105,0,I$13))),2),0)</f>
        <v>0</v>
      </c>
      <c r="J17" s="621" cm="1">
        <f t="array" aca="1" ref="J17" ca="1">IF(AUTOEVENTO="Manual",ROUND(SUMPRODUCT((CÁLCULO!$M$15:$M$105=EVENTOS!$C17)*(OFFSET(CÁLCULO!$AA$15:$AA$105,0,J$13))),2),0)</f>
        <v>0</v>
      </c>
      <c r="K17" s="621" cm="1">
        <f t="array" aca="1" ref="K17" ca="1">IF(AUTOEVENTO="Manual",ROUND(SUMPRODUCT((CÁLCULO!$M$15:$M$105=EVENTOS!$C17)*(OFFSET(CÁLCULO!$AA$15:$AA$105,0,K$13))),2),0)</f>
        <v>0</v>
      </c>
      <c r="L17" s="621" cm="1">
        <f t="array" aca="1" ref="L17" ca="1">IF(AUTOEVENTO="Manual",ROUND(SUMPRODUCT((CÁLCULO!$M$15:$M$105=EVENTOS!$C17)*(OFFSET(CÁLCULO!$AA$15:$AA$105,0,L$13))),2),0)</f>
        <v>0</v>
      </c>
      <c r="M17" s="621" cm="1">
        <f t="array" aca="1" ref="M17" ca="1">IF(AUTOEVENTO="Manual",ROUND(SUMPRODUCT((CÁLCULO!$M$15:$M$105=EVENTOS!$C17)*(OFFSET(CÁLCULO!$AA$15:$AA$105,0,M$13))),2),0)</f>
        <v>0</v>
      </c>
      <c r="N17" s="621" cm="1">
        <f t="array" aca="1" ref="N17" ca="1">IF(AUTOEVENTO="Manual",ROUND(SUMPRODUCT((CÁLCULO!$M$15:$M$105=EVENTOS!$C17)*(OFFSET(CÁLCULO!$AA$15:$AA$105,0,N$13))),2),0)</f>
        <v>0</v>
      </c>
      <c r="O17" s="621" cm="1">
        <f t="array" aca="1" ref="O17" ca="1">IF(AUTOEVENTO="Manual",ROUND(SUMPRODUCT((CÁLCULO!$M$15:$M$105=EVENTOS!$C17)*(OFFSET(CÁLCULO!$AA$15:$AA$105,0,O$13))),2),0)</f>
        <v>0</v>
      </c>
      <c r="P17" s="621" cm="1">
        <f t="array" aca="1" ref="P17" ca="1">IF(AUTOEVENTO="Manual",ROUND(SUMPRODUCT((CÁLCULO!$M$15:$M$105=EVENTOS!$C17)*(OFFSET(CÁLCULO!$AA$15:$AA$105,0,P$13))),2),0)</f>
        <v>0</v>
      </c>
      <c r="Q17" s="621" cm="1">
        <f t="array" aca="1" ref="Q17" ca="1">IF(AUTOEVENTO="Manual",ROUND(SUMPRODUCT((CÁLCULO!$M$15:$M$105=EVENTOS!$C17)*(OFFSET(CÁLCULO!$AA$15:$AA$105,0,Q$13))),2),0)</f>
        <v>0</v>
      </c>
      <c r="R17" s="621" cm="1">
        <f t="array" aca="1" ref="R17" ca="1">IF(AUTOEVENTO="Manual",ROUND(SUMPRODUCT((CÁLCULO!$M$15:$M$105=EVENTOS!$C17)*(OFFSET(CÁLCULO!$AA$15:$AA$105,0,R$13))),2),0)</f>
        <v>0</v>
      </c>
      <c r="S17" s="621" cm="1">
        <f t="array" aca="1" ref="S17" ca="1">IF(AUTOEVENTO="Manual",ROUND(SUMPRODUCT((CÁLCULO!$M$15:$M$105=EVENTOS!$C17)*(OFFSET(CÁLCULO!$AA$15:$AA$105,0,S$13))),2),0)</f>
        <v>0</v>
      </c>
      <c r="T17" s="621" cm="1">
        <f t="array" aca="1" ref="T17" ca="1">IF(AUTOEVENTO="Manual",ROUND(SUMPRODUCT((CÁLCULO!$M$15:$M$105=EVENTOS!$C17)*(OFFSET(CÁLCULO!$AA$15:$AA$105,0,T$13))),2),0)</f>
        <v>0</v>
      </c>
      <c r="U17" s="621" cm="1">
        <f t="array" aca="1" ref="U17" ca="1">IF(AUTOEVENTO="Manual",ROUND(SUMPRODUCT((CÁLCULO!$M$15:$M$105=EVENTOS!$C17)*(OFFSET(CÁLCULO!$AA$15:$AA$105,0,U$13))),2),0)</f>
        <v>0</v>
      </c>
      <c r="V17" s="621" cm="1">
        <f t="array" aca="1" ref="V17" ca="1">IF(AUTOEVENTO="Manual",ROUND(SUMPRODUCT((CÁLCULO!$M$15:$M$105=EVENTOS!$C17)*(OFFSET(CÁLCULO!$AA$15:$AA$105,0,V$13))),2),0)</f>
        <v>0</v>
      </c>
      <c r="W17" s="621" cm="1">
        <f t="array" aca="1" ref="W17" ca="1">IF(AUTOEVENTO="Manual",ROUND(SUMPRODUCT((CÁLCULO!$M$15:$M$105=EVENTOS!$C17)*(OFFSET(CÁLCULO!$AA$15:$AA$105,0,W$13))),2),0)</f>
        <v>0</v>
      </c>
      <c r="X17" s="621" cm="1">
        <f t="array" aca="1" ref="X17" ca="1">IF(AUTOEVENTO="Manual",ROUND(SUMPRODUCT((CÁLCULO!$M$15:$M$105=EVENTOS!$C17)*(OFFSET(CÁLCULO!$AA$15:$AA$105,0,X$13))),2),0)</f>
        <v>0</v>
      </c>
      <c r="Y17" s="621" cm="1">
        <f t="array" aca="1" ref="Y17" ca="1">IF(AUTOEVENTO="Manual",ROUND(SUMPRODUCT((CÁLCULO!$M$15:$M$105=EVENTOS!$C17)*(OFFSET(CÁLCULO!$AA$15:$AA$105,0,Y$13))),2),0)</f>
        <v>0</v>
      </c>
    </row>
    <row r="18" spans="1:25" x14ac:dyDescent="0.2">
      <c r="A18" s="507" t="str">
        <f t="shared" si="3"/>
        <v/>
      </c>
      <c r="B18" t="str">
        <f t="shared" ca="1" si="4"/>
        <v/>
      </c>
      <c r="C18" s="183" t="str" cm="1">
        <f t="array" aca="1" ref="C18" ca="1">IF(OR(ROW(C18)=ROW(EVENTOS.firstrow)+1,AND(OFFSET(C18,-1,0)&lt;&gt;" ",OFFSET(C18,-1,1)&lt;&gt;"")),OFFSET(C18,-1,0)+1," ")</f>
        <v xml:space="preserve"> </v>
      </c>
      <c r="D18" s="497"/>
      <c r="E18" s="621" cm="1">
        <f t="array" aca="1" ref="E18" ca="1">IF(AUTOEVENTO="Manual",ROUND(SUMPRODUCT((CÁLCULO!$M$15:$M$105=EVENTOS!$C18)*(OFFSET(CÁLCULO!$AA$15:$AA$105,0,E$13))),2),0)</f>
        <v>0</v>
      </c>
      <c r="F18" s="184">
        <f ca="1">IF(AUTOEVENTO="Manual",ROUND(SUMPRODUCT((CÁLCULO!$M$15:$M$105=EVENTOS!$C18)*(OFFSET(CÁLCULO!$AA$15,0,1):OFFSET(CÁLCULO!$AL$105,0,-1))),2),0)</f>
        <v>0</v>
      </c>
      <c r="G18" s="622" t="str">
        <f t="shared" ca="1" si="5"/>
        <v/>
      </c>
      <c r="H18" s="621" cm="1">
        <f t="array" aca="1" ref="H18" ca="1">IF(AUTOEVENTO="Manual",ROUND(SUMPRODUCT((CÁLCULO!$M$15:$M$105=EVENTOS!$C18)*(OFFSET(CÁLCULO!$AA$15:$AA$105,0,H$13))),2),0)</f>
        <v>0</v>
      </c>
      <c r="I18" s="621" cm="1">
        <f t="array" aca="1" ref="I18" ca="1">IF(AUTOEVENTO="Manual",ROUND(SUMPRODUCT((CÁLCULO!$M$15:$M$105=EVENTOS!$C18)*(OFFSET(CÁLCULO!$AA$15:$AA$105,0,I$13))),2),0)</f>
        <v>0</v>
      </c>
      <c r="J18" s="621" cm="1">
        <f t="array" aca="1" ref="J18" ca="1">IF(AUTOEVENTO="Manual",ROUND(SUMPRODUCT((CÁLCULO!$M$15:$M$105=EVENTOS!$C18)*(OFFSET(CÁLCULO!$AA$15:$AA$105,0,J$13))),2),0)</f>
        <v>0</v>
      </c>
      <c r="K18" s="621" cm="1">
        <f t="array" aca="1" ref="K18" ca="1">IF(AUTOEVENTO="Manual",ROUND(SUMPRODUCT((CÁLCULO!$M$15:$M$105=EVENTOS!$C18)*(OFFSET(CÁLCULO!$AA$15:$AA$105,0,K$13))),2),0)</f>
        <v>0</v>
      </c>
      <c r="L18" s="621" cm="1">
        <f t="array" aca="1" ref="L18" ca="1">IF(AUTOEVENTO="Manual",ROUND(SUMPRODUCT((CÁLCULO!$M$15:$M$105=EVENTOS!$C18)*(OFFSET(CÁLCULO!$AA$15:$AA$105,0,L$13))),2),0)</f>
        <v>0</v>
      </c>
      <c r="M18" s="621" cm="1">
        <f t="array" aca="1" ref="M18" ca="1">IF(AUTOEVENTO="Manual",ROUND(SUMPRODUCT((CÁLCULO!$M$15:$M$105=EVENTOS!$C18)*(OFFSET(CÁLCULO!$AA$15:$AA$105,0,M$13))),2),0)</f>
        <v>0</v>
      </c>
      <c r="N18" s="621" cm="1">
        <f t="array" aca="1" ref="N18" ca="1">IF(AUTOEVENTO="Manual",ROUND(SUMPRODUCT((CÁLCULO!$M$15:$M$105=EVENTOS!$C18)*(OFFSET(CÁLCULO!$AA$15:$AA$105,0,N$13))),2),0)</f>
        <v>0</v>
      </c>
      <c r="O18" s="621" cm="1">
        <f t="array" aca="1" ref="O18" ca="1">IF(AUTOEVENTO="Manual",ROUND(SUMPRODUCT((CÁLCULO!$M$15:$M$105=EVENTOS!$C18)*(OFFSET(CÁLCULO!$AA$15:$AA$105,0,O$13))),2),0)</f>
        <v>0</v>
      </c>
      <c r="P18" s="621" cm="1">
        <f t="array" aca="1" ref="P18" ca="1">IF(AUTOEVENTO="Manual",ROUND(SUMPRODUCT((CÁLCULO!$M$15:$M$105=EVENTOS!$C18)*(OFFSET(CÁLCULO!$AA$15:$AA$105,0,P$13))),2),0)</f>
        <v>0</v>
      </c>
      <c r="Q18" s="621" cm="1">
        <f t="array" aca="1" ref="Q18" ca="1">IF(AUTOEVENTO="Manual",ROUND(SUMPRODUCT((CÁLCULO!$M$15:$M$105=EVENTOS!$C18)*(OFFSET(CÁLCULO!$AA$15:$AA$105,0,Q$13))),2),0)</f>
        <v>0</v>
      </c>
      <c r="R18" s="621" cm="1">
        <f t="array" aca="1" ref="R18" ca="1">IF(AUTOEVENTO="Manual",ROUND(SUMPRODUCT((CÁLCULO!$M$15:$M$105=EVENTOS!$C18)*(OFFSET(CÁLCULO!$AA$15:$AA$105,0,R$13))),2),0)</f>
        <v>0</v>
      </c>
      <c r="S18" s="621" cm="1">
        <f t="array" aca="1" ref="S18" ca="1">IF(AUTOEVENTO="Manual",ROUND(SUMPRODUCT((CÁLCULO!$M$15:$M$105=EVENTOS!$C18)*(OFFSET(CÁLCULO!$AA$15:$AA$105,0,S$13))),2),0)</f>
        <v>0</v>
      </c>
      <c r="T18" s="621" cm="1">
        <f t="array" aca="1" ref="T18" ca="1">IF(AUTOEVENTO="Manual",ROUND(SUMPRODUCT((CÁLCULO!$M$15:$M$105=EVENTOS!$C18)*(OFFSET(CÁLCULO!$AA$15:$AA$105,0,T$13))),2),0)</f>
        <v>0</v>
      </c>
      <c r="U18" s="621" cm="1">
        <f t="array" aca="1" ref="U18" ca="1">IF(AUTOEVENTO="Manual",ROUND(SUMPRODUCT((CÁLCULO!$M$15:$M$105=EVENTOS!$C18)*(OFFSET(CÁLCULO!$AA$15:$AA$105,0,U$13))),2),0)</f>
        <v>0</v>
      </c>
      <c r="V18" s="621" cm="1">
        <f t="array" aca="1" ref="V18" ca="1">IF(AUTOEVENTO="Manual",ROUND(SUMPRODUCT((CÁLCULO!$M$15:$M$105=EVENTOS!$C18)*(OFFSET(CÁLCULO!$AA$15:$AA$105,0,V$13))),2),0)</f>
        <v>0</v>
      </c>
      <c r="W18" s="621" cm="1">
        <f t="array" aca="1" ref="W18" ca="1">IF(AUTOEVENTO="Manual",ROUND(SUMPRODUCT((CÁLCULO!$M$15:$M$105=EVENTOS!$C18)*(OFFSET(CÁLCULO!$AA$15:$AA$105,0,W$13))),2),0)</f>
        <v>0</v>
      </c>
      <c r="X18" s="621" cm="1">
        <f t="array" aca="1" ref="X18" ca="1">IF(AUTOEVENTO="Manual",ROUND(SUMPRODUCT((CÁLCULO!$M$15:$M$105=EVENTOS!$C18)*(OFFSET(CÁLCULO!$AA$15:$AA$105,0,X$13))),2),0)</f>
        <v>0</v>
      </c>
      <c r="Y18" s="621" cm="1">
        <f t="array" aca="1" ref="Y18" ca="1">IF(AUTOEVENTO="Manual",ROUND(SUMPRODUCT((CÁLCULO!$M$15:$M$105=EVENTOS!$C18)*(OFFSET(CÁLCULO!$AA$15:$AA$105,0,Y$13))),2),0)</f>
        <v>0</v>
      </c>
    </row>
    <row r="19" spans="1:25" x14ac:dyDescent="0.2">
      <c r="A19" s="507" t="str">
        <f t="shared" si="3"/>
        <v/>
      </c>
      <c r="B19" t="str">
        <f t="shared" ca="1" si="4"/>
        <v/>
      </c>
      <c r="C19" s="183" t="str" cm="1">
        <f t="array" aca="1" ref="C19" ca="1">IF(OR(ROW(C19)=ROW(EVENTOS.firstrow)+1,AND(OFFSET(C19,-1,0)&lt;&gt;" ",OFFSET(C19,-1,1)&lt;&gt;"")),OFFSET(C19,-1,0)+1," ")</f>
        <v xml:space="preserve"> </v>
      </c>
      <c r="D19" s="497"/>
      <c r="E19" s="621" cm="1">
        <f t="array" aca="1" ref="E19" ca="1">IF(AUTOEVENTO="Manual",ROUND(SUMPRODUCT((CÁLCULO!$M$15:$M$105=EVENTOS!$C19)*(OFFSET(CÁLCULO!$AA$15:$AA$105,0,E$13))),2),0)</f>
        <v>0</v>
      </c>
      <c r="F19" s="184">
        <f ca="1">IF(AUTOEVENTO="Manual",ROUND(SUMPRODUCT((CÁLCULO!$M$15:$M$105=EVENTOS!$C19)*(OFFSET(CÁLCULO!$AA$15,0,1):OFFSET(CÁLCULO!$AL$105,0,-1))),2),0)</f>
        <v>0</v>
      </c>
      <c r="G19" s="622" t="str">
        <f t="shared" ca="1" si="5"/>
        <v/>
      </c>
      <c r="H19" s="621" cm="1">
        <f t="array" aca="1" ref="H19" ca="1">IF(AUTOEVENTO="Manual",ROUND(SUMPRODUCT((CÁLCULO!$M$15:$M$105=EVENTOS!$C19)*(OFFSET(CÁLCULO!$AA$15:$AA$105,0,H$13))),2),0)</f>
        <v>0</v>
      </c>
      <c r="I19" s="621" cm="1">
        <f t="array" aca="1" ref="I19" ca="1">IF(AUTOEVENTO="Manual",ROUND(SUMPRODUCT((CÁLCULO!$M$15:$M$105=EVENTOS!$C19)*(OFFSET(CÁLCULO!$AA$15:$AA$105,0,I$13))),2),0)</f>
        <v>0</v>
      </c>
      <c r="J19" s="621" cm="1">
        <f t="array" aca="1" ref="J19" ca="1">IF(AUTOEVENTO="Manual",ROUND(SUMPRODUCT((CÁLCULO!$M$15:$M$105=EVENTOS!$C19)*(OFFSET(CÁLCULO!$AA$15:$AA$105,0,J$13))),2),0)</f>
        <v>0</v>
      </c>
      <c r="K19" s="621" cm="1">
        <f t="array" aca="1" ref="K19" ca="1">IF(AUTOEVENTO="Manual",ROUND(SUMPRODUCT((CÁLCULO!$M$15:$M$105=EVENTOS!$C19)*(OFFSET(CÁLCULO!$AA$15:$AA$105,0,K$13))),2),0)</f>
        <v>0</v>
      </c>
      <c r="L19" s="621" cm="1">
        <f t="array" aca="1" ref="L19" ca="1">IF(AUTOEVENTO="Manual",ROUND(SUMPRODUCT((CÁLCULO!$M$15:$M$105=EVENTOS!$C19)*(OFFSET(CÁLCULO!$AA$15:$AA$105,0,L$13))),2),0)</f>
        <v>0</v>
      </c>
      <c r="M19" s="621" cm="1">
        <f t="array" aca="1" ref="M19" ca="1">IF(AUTOEVENTO="Manual",ROUND(SUMPRODUCT((CÁLCULO!$M$15:$M$105=EVENTOS!$C19)*(OFFSET(CÁLCULO!$AA$15:$AA$105,0,M$13))),2),0)</f>
        <v>0</v>
      </c>
      <c r="N19" s="621" cm="1">
        <f t="array" aca="1" ref="N19" ca="1">IF(AUTOEVENTO="Manual",ROUND(SUMPRODUCT((CÁLCULO!$M$15:$M$105=EVENTOS!$C19)*(OFFSET(CÁLCULO!$AA$15:$AA$105,0,N$13))),2),0)</f>
        <v>0</v>
      </c>
      <c r="O19" s="621" cm="1">
        <f t="array" aca="1" ref="O19" ca="1">IF(AUTOEVENTO="Manual",ROUND(SUMPRODUCT((CÁLCULO!$M$15:$M$105=EVENTOS!$C19)*(OFFSET(CÁLCULO!$AA$15:$AA$105,0,O$13))),2),0)</f>
        <v>0</v>
      </c>
      <c r="P19" s="621" cm="1">
        <f t="array" aca="1" ref="P19" ca="1">IF(AUTOEVENTO="Manual",ROUND(SUMPRODUCT((CÁLCULO!$M$15:$M$105=EVENTOS!$C19)*(OFFSET(CÁLCULO!$AA$15:$AA$105,0,P$13))),2),0)</f>
        <v>0</v>
      </c>
      <c r="Q19" s="621" cm="1">
        <f t="array" aca="1" ref="Q19" ca="1">IF(AUTOEVENTO="Manual",ROUND(SUMPRODUCT((CÁLCULO!$M$15:$M$105=EVENTOS!$C19)*(OFFSET(CÁLCULO!$AA$15:$AA$105,0,Q$13))),2),0)</f>
        <v>0</v>
      </c>
      <c r="R19" s="621" cm="1">
        <f t="array" aca="1" ref="R19" ca="1">IF(AUTOEVENTO="Manual",ROUND(SUMPRODUCT((CÁLCULO!$M$15:$M$105=EVENTOS!$C19)*(OFFSET(CÁLCULO!$AA$15:$AA$105,0,R$13))),2),0)</f>
        <v>0</v>
      </c>
      <c r="S19" s="621" cm="1">
        <f t="array" aca="1" ref="S19" ca="1">IF(AUTOEVENTO="Manual",ROUND(SUMPRODUCT((CÁLCULO!$M$15:$M$105=EVENTOS!$C19)*(OFFSET(CÁLCULO!$AA$15:$AA$105,0,S$13))),2),0)</f>
        <v>0</v>
      </c>
      <c r="T19" s="621" cm="1">
        <f t="array" aca="1" ref="T19" ca="1">IF(AUTOEVENTO="Manual",ROUND(SUMPRODUCT((CÁLCULO!$M$15:$M$105=EVENTOS!$C19)*(OFFSET(CÁLCULO!$AA$15:$AA$105,0,T$13))),2),0)</f>
        <v>0</v>
      </c>
      <c r="U19" s="621" cm="1">
        <f t="array" aca="1" ref="U19" ca="1">IF(AUTOEVENTO="Manual",ROUND(SUMPRODUCT((CÁLCULO!$M$15:$M$105=EVENTOS!$C19)*(OFFSET(CÁLCULO!$AA$15:$AA$105,0,U$13))),2),0)</f>
        <v>0</v>
      </c>
      <c r="V19" s="621" cm="1">
        <f t="array" aca="1" ref="V19" ca="1">IF(AUTOEVENTO="Manual",ROUND(SUMPRODUCT((CÁLCULO!$M$15:$M$105=EVENTOS!$C19)*(OFFSET(CÁLCULO!$AA$15:$AA$105,0,V$13))),2),0)</f>
        <v>0</v>
      </c>
      <c r="W19" s="621" cm="1">
        <f t="array" aca="1" ref="W19" ca="1">IF(AUTOEVENTO="Manual",ROUND(SUMPRODUCT((CÁLCULO!$M$15:$M$105=EVENTOS!$C19)*(OFFSET(CÁLCULO!$AA$15:$AA$105,0,W$13))),2),0)</f>
        <v>0</v>
      </c>
      <c r="X19" s="621" cm="1">
        <f t="array" aca="1" ref="X19" ca="1">IF(AUTOEVENTO="Manual",ROUND(SUMPRODUCT((CÁLCULO!$M$15:$M$105=EVENTOS!$C19)*(OFFSET(CÁLCULO!$AA$15:$AA$105,0,X$13))),2),0)</f>
        <v>0</v>
      </c>
      <c r="Y19" s="621" cm="1">
        <f t="array" aca="1" ref="Y19" ca="1">IF(AUTOEVENTO="Manual",ROUND(SUMPRODUCT((CÁLCULO!$M$15:$M$105=EVENTOS!$C19)*(OFFSET(CÁLCULO!$AA$15:$AA$105,0,Y$13))),2),0)</f>
        <v>0</v>
      </c>
    </row>
    <row r="20" spans="1:25" x14ac:dyDescent="0.2">
      <c r="A20" s="507" t="str">
        <f t="shared" si="3"/>
        <v/>
      </c>
      <c r="B20" t="str">
        <f t="shared" ca="1" si="4"/>
        <v/>
      </c>
      <c r="C20" s="183" t="str" cm="1">
        <f t="array" aca="1" ref="C20" ca="1">IF(OR(ROW(C20)=ROW(EVENTOS.firstrow)+1,AND(OFFSET(C20,-1,0)&lt;&gt;" ",OFFSET(C20,-1,1)&lt;&gt;"")),OFFSET(C20,-1,0)+1," ")</f>
        <v xml:space="preserve"> </v>
      </c>
      <c r="D20" s="497"/>
      <c r="E20" s="621" cm="1">
        <f t="array" aca="1" ref="E20" ca="1">IF(AUTOEVENTO="Manual",ROUND(SUMPRODUCT((CÁLCULO!$M$15:$M$105=EVENTOS!$C20)*(OFFSET(CÁLCULO!$AA$15:$AA$105,0,E$13))),2),0)</f>
        <v>0</v>
      </c>
      <c r="F20" s="184">
        <f ca="1">IF(AUTOEVENTO="Manual",ROUND(SUMPRODUCT((CÁLCULO!$M$15:$M$105=EVENTOS!$C20)*(OFFSET(CÁLCULO!$AA$15,0,1):OFFSET(CÁLCULO!$AL$105,0,-1))),2),0)</f>
        <v>0</v>
      </c>
      <c r="G20" s="622" t="str">
        <f t="shared" ca="1" si="5"/>
        <v/>
      </c>
      <c r="H20" s="621" cm="1">
        <f t="array" aca="1" ref="H20" ca="1">IF(AUTOEVENTO="Manual",ROUND(SUMPRODUCT((CÁLCULO!$M$15:$M$105=EVENTOS!$C20)*(OFFSET(CÁLCULO!$AA$15:$AA$105,0,H$13))),2),0)</f>
        <v>0</v>
      </c>
      <c r="I20" s="621" cm="1">
        <f t="array" aca="1" ref="I20" ca="1">IF(AUTOEVENTO="Manual",ROUND(SUMPRODUCT((CÁLCULO!$M$15:$M$105=EVENTOS!$C20)*(OFFSET(CÁLCULO!$AA$15:$AA$105,0,I$13))),2),0)</f>
        <v>0</v>
      </c>
      <c r="J20" s="621" cm="1">
        <f t="array" aca="1" ref="J20" ca="1">IF(AUTOEVENTO="Manual",ROUND(SUMPRODUCT((CÁLCULO!$M$15:$M$105=EVENTOS!$C20)*(OFFSET(CÁLCULO!$AA$15:$AA$105,0,J$13))),2),0)</f>
        <v>0</v>
      </c>
      <c r="K20" s="621" cm="1">
        <f t="array" aca="1" ref="K20" ca="1">IF(AUTOEVENTO="Manual",ROUND(SUMPRODUCT((CÁLCULO!$M$15:$M$105=EVENTOS!$C20)*(OFFSET(CÁLCULO!$AA$15:$AA$105,0,K$13))),2),0)</f>
        <v>0</v>
      </c>
      <c r="L20" s="621" cm="1">
        <f t="array" aca="1" ref="L20" ca="1">IF(AUTOEVENTO="Manual",ROUND(SUMPRODUCT((CÁLCULO!$M$15:$M$105=EVENTOS!$C20)*(OFFSET(CÁLCULO!$AA$15:$AA$105,0,L$13))),2),0)</f>
        <v>0</v>
      </c>
      <c r="M20" s="621" cm="1">
        <f t="array" aca="1" ref="M20" ca="1">IF(AUTOEVENTO="Manual",ROUND(SUMPRODUCT((CÁLCULO!$M$15:$M$105=EVENTOS!$C20)*(OFFSET(CÁLCULO!$AA$15:$AA$105,0,M$13))),2),0)</f>
        <v>0</v>
      </c>
      <c r="N20" s="621" cm="1">
        <f t="array" aca="1" ref="N20" ca="1">IF(AUTOEVENTO="Manual",ROUND(SUMPRODUCT((CÁLCULO!$M$15:$M$105=EVENTOS!$C20)*(OFFSET(CÁLCULO!$AA$15:$AA$105,0,N$13))),2),0)</f>
        <v>0</v>
      </c>
      <c r="O20" s="621" cm="1">
        <f t="array" aca="1" ref="O20" ca="1">IF(AUTOEVENTO="Manual",ROUND(SUMPRODUCT((CÁLCULO!$M$15:$M$105=EVENTOS!$C20)*(OFFSET(CÁLCULO!$AA$15:$AA$105,0,O$13))),2),0)</f>
        <v>0</v>
      </c>
      <c r="P20" s="621" cm="1">
        <f t="array" aca="1" ref="P20" ca="1">IF(AUTOEVENTO="Manual",ROUND(SUMPRODUCT((CÁLCULO!$M$15:$M$105=EVENTOS!$C20)*(OFFSET(CÁLCULO!$AA$15:$AA$105,0,P$13))),2),0)</f>
        <v>0</v>
      </c>
      <c r="Q20" s="621" cm="1">
        <f t="array" aca="1" ref="Q20" ca="1">IF(AUTOEVENTO="Manual",ROUND(SUMPRODUCT((CÁLCULO!$M$15:$M$105=EVENTOS!$C20)*(OFFSET(CÁLCULO!$AA$15:$AA$105,0,Q$13))),2),0)</f>
        <v>0</v>
      </c>
      <c r="R20" s="621" cm="1">
        <f t="array" aca="1" ref="R20" ca="1">IF(AUTOEVENTO="Manual",ROUND(SUMPRODUCT((CÁLCULO!$M$15:$M$105=EVENTOS!$C20)*(OFFSET(CÁLCULO!$AA$15:$AA$105,0,R$13))),2),0)</f>
        <v>0</v>
      </c>
      <c r="S20" s="621" cm="1">
        <f t="array" aca="1" ref="S20" ca="1">IF(AUTOEVENTO="Manual",ROUND(SUMPRODUCT((CÁLCULO!$M$15:$M$105=EVENTOS!$C20)*(OFFSET(CÁLCULO!$AA$15:$AA$105,0,S$13))),2),0)</f>
        <v>0</v>
      </c>
      <c r="T20" s="621" cm="1">
        <f t="array" aca="1" ref="T20" ca="1">IF(AUTOEVENTO="Manual",ROUND(SUMPRODUCT((CÁLCULO!$M$15:$M$105=EVENTOS!$C20)*(OFFSET(CÁLCULO!$AA$15:$AA$105,0,T$13))),2),0)</f>
        <v>0</v>
      </c>
      <c r="U20" s="621" cm="1">
        <f t="array" aca="1" ref="U20" ca="1">IF(AUTOEVENTO="Manual",ROUND(SUMPRODUCT((CÁLCULO!$M$15:$M$105=EVENTOS!$C20)*(OFFSET(CÁLCULO!$AA$15:$AA$105,0,U$13))),2),0)</f>
        <v>0</v>
      </c>
      <c r="V20" s="621" cm="1">
        <f t="array" aca="1" ref="V20" ca="1">IF(AUTOEVENTO="Manual",ROUND(SUMPRODUCT((CÁLCULO!$M$15:$M$105=EVENTOS!$C20)*(OFFSET(CÁLCULO!$AA$15:$AA$105,0,V$13))),2),0)</f>
        <v>0</v>
      </c>
      <c r="W20" s="621" cm="1">
        <f t="array" aca="1" ref="W20" ca="1">IF(AUTOEVENTO="Manual",ROUND(SUMPRODUCT((CÁLCULO!$M$15:$M$105=EVENTOS!$C20)*(OFFSET(CÁLCULO!$AA$15:$AA$105,0,W$13))),2),0)</f>
        <v>0</v>
      </c>
      <c r="X20" s="621" cm="1">
        <f t="array" aca="1" ref="X20" ca="1">IF(AUTOEVENTO="Manual",ROUND(SUMPRODUCT((CÁLCULO!$M$15:$M$105=EVENTOS!$C20)*(OFFSET(CÁLCULO!$AA$15:$AA$105,0,X$13))),2),0)</f>
        <v>0</v>
      </c>
      <c r="Y20" s="621" cm="1">
        <f t="array" aca="1" ref="Y20" ca="1">IF(AUTOEVENTO="Manual",ROUND(SUMPRODUCT((CÁLCULO!$M$15:$M$105=EVENTOS!$C20)*(OFFSET(CÁLCULO!$AA$15:$AA$105,0,Y$13))),2),0)</f>
        <v>0</v>
      </c>
    </row>
    <row r="21" spans="1:25" x14ac:dyDescent="0.2">
      <c r="A21" s="507" t="str">
        <f t="shared" si="3"/>
        <v/>
      </c>
      <c r="B21" t="str">
        <f t="shared" ca="1" si="4"/>
        <v/>
      </c>
      <c r="C21" s="183" t="str" cm="1">
        <f t="array" aca="1" ref="C21" ca="1">IF(OR(ROW(C21)=ROW(EVENTOS.firstrow)+1,AND(OFFSET(C21,-1,0)&lt;&gt;" ",OFFSET(C21,-1,1)&lt;&gt;"")),OFFSET(C21,-1,0)+1," ")</f>
        <v xml:space="preserve"> </v>
      </c>
      <c r="D21" s="497"/>
      <c r="E21" s="621" cm="1">
        <f t="array" aca="1" ref="E21" ca="1">IF(AUTOEVENTO="Manual",ROUND(SUMPRODUCT((CÁLCULO!$M$15:$M$105=EVENTOS!$C21)*(OFFSET(CÁLCULO!$AA$15:$AA$105,0,E$13))),2),0)</f>
        <v>0</v>
      </c>
      <c r="F21" s="184">
        <f ca="1">IF(AUTOEVENTO="Manual",ROUND(SUMPRODUCT((CÁLCULO!$M$15:$M$105=EVENTOS!$C21)*(OFFSET(CÁLCULO!$AA$15,0,1):OFFSET(CÁLCULO!$AL$105,0,-1))),2),0)</f>
        <v>0</v>
      </c>
      <c r="G21" s="622" t="str">
        <f t="shared" ca="1" si="5"/>
        <v/>
      </c>
      <c r="H21" s="621" cm="1">
        <f t="array" aca="1" ref="H21" ca="1">IF(AUTOEVENTO="Manual",ROUND(SUMPRODUCT((CÁLCULO!$M$15:$M$105=EVENTOS!$C21)*(OFFSET(CÁLCULO!$AA$15:$AA$105,0,H$13))),2),0)</f>
        <v>0</v>
      </c>
      <c r="I21" s="621" cm="1">
        <f t="array" aca="1" ref="I21" ca="1">IF(AUTOEVENTO="Manual",ROUND(SUMPRODUCT((CÁLCULO!$M$15:$M$105=EVENTOS!$C21)*(OFFSET(CÁLCULO!$AA$15:$AA$105,0,I$13))),2),0)</f>
        <v>0</v>
      </c>
      <c r="J21" s="621" cm="1">
        <f t="array" aca="1" ref="J21" ca="1">IF(AUTOEVENTO="Manual",ROUND(SUMPRODUCT((CÁLCULO!$M$15:$M$105=EVENTOS!$C21)*(OFFSET(CÁLCULO!$AA$15:$AA$105,0,J$13))),2),0)</f>
        <v>0</v>
      </c>
      <c r="K21" s="621" cm="1">
        <f t="array" aca="1" ref="K21" ca="1">IF(AUTOEVENTO="Manual",ROUND(SUMPRODUCT((CÁLCULO!$M$15:$M$105=EVENTOS!$C21)*(OFFSET(CÁLCULO!$AA$15:$AA$105,0,K$13))),2),0)</f>
        <v>0</v>
      </c>
      <c r="L21" s="621" cm="1">
        <f t="array" aca="1" ref="L21" ca="1">IF(AUTOEVENTO="Manual",ROUND(SUMPRODUCT((CÁLCULO!$M$15:$M$105=EVENTOS!$C21)*(OFFSET(CÁLCULO!$AA$15:$AA$105,0,L$13))),2),0)</f>
        <v>0</v>
      </c>
      <c r="M21" s="621" cm="1">
        <f t="array" aca="1" ref="M21" ca="1">IF(AUTOEVENTO="Manual",ROUND(SUMPRODUCT((CÁLCULO!$M$15:$M$105=EVENTOS!$C21)*(OFFSET(CÁLCULO!$AA$15:$AA$105,0,M$13))),2),0)</f>
        <v>0</v>
      </c>
      <c r="N21" s="621" cm="1">
        <f t="array" aca="1" ref="N21" ca="1">IF(AUTOEVENTO="Manual",ROUND(SUMPRODUCT((CÁLCULO!$M$15:$M$105=EVENTOS!$C21)*(OFFSET(CÁLCULO!$AA$15:$AA$105,0,N$13))),2),0)</f>
        <v>0</v>
      </c>
      <c r="O21" s="621" cm="1">
        <f t="array" aca="1" ref="O21" ca="1">IF(AUTOEVENTO="Manual",ROUND(SUMPRODUCT((CÁLCULO!$M$15:$M$105=EVENTOS!$C21)*(OFFSET(CÁLCULO!$AA$15:$AA$105,0,O$13))),2),0)</f>
        <v>0</v>
      </c>
      <c r="P21" s="621" cm="1">
        <f t="array" aca="1" ref="P21" ca="1">IF(AUTOEVENTO="Manual",ROUND(SUMPRODUCT((CÁLCULO!$M$15:$M$105=EVENTOS!$C21)*(OFFSET(CÁLCULO!$AA$15:$AA$105,0,P$13))),2),0)</f>
        <v>0</v>
      </c>
      <c r="Q21" s="621" cm="1">
        <f t="array" aca="1" ref="Q21" ca="1">IF(AUTOEVENTO="Manual",ROUND(SUMPRODUCT((CÁLCULO!$M$15:$M$105=EVENTOS!$C21)*(OFFSET(CÁLCULO!$AA$15:$AA$105,0,Q$13))),2),0)</f>
        <v>0</v>
      </c>
      <c r="R21" s="621" cm="1">
        <f t="array" aca="1" ref="R21" ca="1">IF(AUTOEVENTO="Manual",ROUND(SUMPRODUCT((CÁLCULO!$M$15:$M$105=EVENTOS!$C21)*(OFFSET(CÁLCULO!$AA$15:$AA$105,0,R$13))),2),0)</f>
        <v>0</v>
      </c>
      <c r="S21" s="621" cm="1">
        <f t="array" aca="1" ref="S21" ca="1">IF(AUTOEVENTO="Manual",ROUND(SUMPRODUCT((CÁLCULO!$M$15:$M$105=EVENTOS!$C21)*(OFFSET(CÁLCULO!$AA$15:$AA$105,0,S$13))),2),0)</f>
        <v>0</v>
      </c>
      <c r="T21" s="621" cm="1">
        <f t="array" aca="1" ref="T21" ca="1">IF(AUTOEVENTO="Manual",ROUND(SUMPRODUCT((CÁLCULO!$M$15:$M$105=EVENTOS!$C21)*(OFFSET(CÁLCULO!$AA$15:$AA$105,0,T$13))),2),0)</f>
        <v>0</v>
      </c>
      <c r="U21" s="621" cm="1">
        <f t="array" aca="1" ref="U21" ca="1">IF(AUTOEVENTO="Manual",ROUND(SUMPRODUCT((CÁLCULO!$M$15:$M$105=EVENTOS!$C21)*(OFFSET(CÁLCULO!$AA$15:$AA$105,0,U$13))),2),0)</f>
        <v>0</v>
      </c>
      <c r="V21" s="621" cm="1">
        <f t="array" aca="1" ref="V21" ca="1">IF(AUTOEVENTO="Manual",ROUND(SUMPRODUCT((CÁLCULO!$M$15:$M$105=EVENTOS!$C21)*(OFFSET(CÁLCULO!$AA$15:$AA$105,0,V$13))),2),0)</f>
        <v>0</v>
      </c>
      <c r="W21" s="621" cm="1">
        <f t="array" aca="1" ref="W21" ca="1">IF(AUTOEVENTO="Manual",ROUND(SUMPRODUCT((CÁLCULO!$M$15:$M$105=EVENTOS!$C21)*(OFFSET(CÁLCULO!$AA$15:$AA$105,0,W$13))),2),0)</f>
        <v>0</v>
      </c>
      <c r="X21" s="621" cm="1">
        <f t="array" aca="1" ref="X21" ca="1">IF(AUTOEVENTO="Manual",ROUND(SUMPRODUCT((CÁLCULO!$M$15:$M$105=EVENTOS!$C21)*(OFFSET(CÁLCULO!$AA$15:$AA$105,0,X$13))),2),0)</f>
        <v>0</v>
      </c>
      <c r="Y21" s="621" cm="1">
        <f t="array" aca="1" ref="Y21" ca="1">IF(AUTOEVENTO="Manual",ROUND(SUMPRODUCT((CÁLCULO!$M$15:$M$105=EVENTOS!$C21)*(OFFSET(CÁLCULO!$AA$15:$AA$105,0,Y$13))),2),0)</f>
        <v>0</v>
      </c>
    </row>
    <row r="22" spans="1:25" x14ac:dyDescent="0.2">
      <c r="A22" s="507" t="str">
        <f t="shared" si="3"/>
        <v/>
      </c>
      <c r="B22" t="str">
        <f t="shared" ca="1" si="4"/>
        <v/>
      </c>
      <c r="C22" s="183" t="str" cm="1">
        <f t="array" aca="1" ref="C22" ca="1">IF(OR(ROW(C22)=ROW(EVENTOS.firstrow)+1,AND(OFFSET(C22,-1,0)&lt;&gt;" ",OFFSET(C22,-1,1)&lt;&gt;"")),OFFSET(C22,-1,0)+1," ")</f>
        <v xml:space="preserve"> </v>
      </c>
      <c r="D22" s="497"/>
      <c r="E22" s="621" cm="1">
        <f t="array" aca="1" ref="E22" ca="1">IF(AUTOEVENTO="Manual",ROUND(SUMPRODUCT((CÁLCULO!$M$15:$M$105=EVENTOS!$C22)*(OFFSET(CÁLCULO!$AA$15:$AA$105,0,E$13))),2),0)</f>
        <v>0</v>
      </c>
      <c r="F22" s="184">
        <f ca="1">IF(AUTOEVENTO="Manual",ROUND(SUMPRODUCT((CÁLCULO!$M$15:$M$105=EVENTOS!$C22)*(OFFSET(CÁLCULO!$AA$15,0,1):OFFSET(CÁLCULO!$AL$105,0,-1))),2),0)</f>
        <v>0</v>
      </c>
      <c r="G22" s="622" t="str">
        <f t="shared" ca="1" si="5"/>
        <v/>
      </c>
      <c r="H22" s="621" cm="1">
        <f t="array" aca="1" ref="H22" ca="1">IF(AUTOEVENTO="Manual",ROUND(SUMPRODUCT((CÁLCULO!$M$15:$M$105=EVENTOS!$C22)*(OFFSET(CÁLCULO!$AA$15:$AA$105,0,H$13))),2),0)</f>
        <v>0</v>
      </c>
      <c r="I22" s="621" cm="1">
        <f t="array" aca="1" ref="I22" ca="1">IF(AUTOEVENTO="Manual",ROUND(SUMPRODUCT((CÁLCULO!$M$15:$M$105=EVENTOS!$C22)*(OFFSET(CÁLCULO!$AA$15:$AA$105,0,I$13))),2),0)</f>
        <v>0</v>
      </c>
      <c r="J22" s="621" cm="1">
        <f t="array" aca="1" ref="J22" ca="1">IF(AUTOEVENTO="Manual",ROUND(SUMPRODUCT((CÁLCULO!$M$15:$M$105=EVENTOS!$C22)*(OFFSET(CÁLCULO!$AA$15:$AA$105,0,J$13))),2),0)</f>
        <v>0</v>
      </c>
      <c r="K22" s="621" cm="1">
        <f t="array" aca="1" ref="K22" ca="1">IF(AUTOEVENTO="Manual",ROUND(SUMPRODUCT((CÁLCULO!$M$15:$M$105=EVENTOS!$C22)*(OFFSET(CÁLCULO!$AA$15:$AA$105,0,K$13))),2),0)</f>
        <v>0</v>
      </c>
      <c r="L22" s="621" cm="1">
        <f t="array" aca="1" ref="L22" ca="1">IF(AUTOEVENTO="Manual",ROUND(SUMPRODUCT((CÁLCULO!$M$15:$M$105=EVENTOS!$C22)*(OFFSET(CÁLCULO!$AA$15:$AA$105,0,L$13))),2),0)</f>
        <v>0</v>
      </c>
      <c r="M22" s="621" cm="1">
        <f t="array" aca="1" ref="M22" ca="1">IF(AUTOEVENTO="Manual",ROUND(SUMPRODUCT((CÁLCULO!$M$15:$M$105=EVENTOS!$C22)*(OFFSET(CÁLCULO!$AA$15:$AA$105,0,M$13))),2),0)</f>
        <v>0</v>
      </c>
      <c r="N22" s="621" cm="1">
        <f t="array" aca="1" ref="N22" ca="1">IF(AUTOEVENTO="Manual",ROUND(SUMPRODUCT((CÁLCULO!$M$15:$M$105=EVENTOS!$C22)*(OFFSET(CÁLCULO!$AA$15:$AA$105,0,N$13))),2),0)</f>
        <v>0</v>
      </c>
      <c r="O22" s="621" cm="1">
        <f t="array" aca="1" ref="O22" ca="1">IF(AUTOEVENTO="Manual",ROUND(SUMPRODUCT((CÁLCULO!$M$15:$M$105=EVENTOS!$C22)*(OFFSET(CÁLCULO!$AA$15:$AA$105,0,O$13))),2),0)</f>
        <v>0</v>
      </c>
      <c r="P22" s="621" cm="1">
        <f t="array" aca="1" ref="P22" ca="1">IF(AUTOEVENTO="Manual",ROUND(SUMPRODUCT((CÁLCULO!$M$15:$M$105=EVENTOS!$C22)*(OFFSET(CÁLCULO!$AA$15:$AA$105,0,P$13))),2),0)</f>
        <v>0</v>
      </c>
      <c r="Q22" s="621" cm="1">
        <f t="array" aca="1" ref="Q22" ca="1">IF(AUTOEVENTO="Manual",ROUND(SUMPRODUCT((CÁLCULO!$M$15:$M$105=EVENTOS!$C22)*(OFFSET(CÁLCULO!$AA$15:$AA$105,0,Q$13))),2),0)</f>
        <v>0</v>
      </c>
      <c r="R22" s="621" cm="1">
        <f t="array" aca="1" ref="R22" ca="1">IF(AUTOEVENTO="Manual",ROUND(SUMPRODUCT((CÁLCULO!$M$15:$M$105=EVENTOS!$C22)*(OFFSET(CÁLCULO!$AA$15:$AA$105,0,R$13))),2),0)</f>
        <v>0</v>
      </c>
      <c r="S22" s="621" cm="1">
        <f t="array" aca="1" ref="S22" ca="1">IF(AUTOEVENTO="Manual",ROUND(SUMPRODUCT((CÁLCULO!$M$15:$M$105=EVENTOS!$C22)*(OFFSET(CÁLCULO!$AA$15:$AA$105,0,S$13))),2),0)</f>
        <v>0</v>
      </c>
      <c r="T22" s="621" cm="1">
        <f t="array" aca="1" ref="T22" ca="1">IF(AUTOEVENTO="Manual",ROUND(SUMPRODUCT((CÁLCULO!$M$15:$M$105=EVENTOS!$C22)*(OFFSET(CÁLCULO!$AA$15:$AA$105,0,T$13))),2),0)</f>
        <v>0</v>
      </c>
      <c r="U22" s="621" cm="1">
        <f t="array" aca="1" ref="U22" ca="1">IF(AUTOEVENTO="Manual",ROUND(SUMPRODUCT((CÁLCULO!$M$15:$M$105=EVENTOS!$C22)*(OFFSET(CÁLCULO!$AA$15:$AA$105,0,U$13))),2),0)</f>
        <v>0</v>
      </c>
      <c r="V22" s="621" cm="1">
        <f t="array" aca="1" ref="V22" ca="1">IF(AUTOEVENTO="Manual",ROUND(SUMPRODUCT((CÁLCULO!$M$15:$M$105=EVENTOS!$C22)*(OFFSET(CÁLCULO!$AA$15:$AA$105,0,V$13))),2),0)</f>
        <v>0</v>
      </c>
      <c r="W22" s="621" cm="1">
        <f t="array" aca="1" ref="W22" ca="1">IF(AUTOEVENTO="Manual",ROUND(SUMPRODUCT((CÁLCULO!$M$15:$M$105=EVENTOS!$C22)*(OFFSET(CÁLCULO!$AA$15:$AA$105,0,W$13))),2),0)</f>
        <v>0</v>
      </c>
      <c r="X22" s="621" cm="1">
        <f t="array" aca="1" ref="X22" ca="1">IF(AUTOEVENTO="Manual",ROUND(SUMPRODUCT((CÁLCULO!$M$15:$M$105=EVENTOS!$C22)*(OFFSET(CÁLCULO!$AA$15:$AA$105,0,X$13))),2),0)</f>
        <v>0</v>
      </c>
      <c r="Y22" s="621" cm="1">
        <f t="array" aca="1" ref="Y22" ca="1">IF(AUTOEVENTO="Manual",ROUND(SUMPRODUCT((CÁLCULO!$M$15:$M$105=EVENTOS!$C22)*(OFFSET(CÁLCULO!$AA$15:$AA$105,0,Y$13))),2),0)</f>
        <v>0</v>
      </c>
    </row>
    <row r="23" spans="1:25" ht="5.0999999999999996" customHeight="1" x14ac:dyDescent="0.2">
      <c r="A23" s="507" t="s">
        <v>537</v>
      </c>
      <c r="C23" s="630"/>
      <c r="D23" s="631"/>
      <c r="E23" s="632"/>
      <c r="F23" s="185"/>
      <c r="G23" s="632"/>
      <c r="H23" s="632"/>
      <c r="I23" s="632"/>
      <c r="J23" s="632"/>
      <c r="K23" s="632"/>
      <c r="L23" s="632"/>
      <c r="M23" s="632"/>
      <c r="N23" s="632"/>
      <c r="O23" s="632"/>
      <c r="P23" s="632"/>
      <c r="Q23" s="632"/>
      <c r="R23" s="632"/>
      <c r="S23" s="632"/>
      <c r="T23" s="632"/>
      <c r="U23" s="632"/>
      <c r="V23" s="632"/>
      <c r="W23" s="632"/>
      <c r="X23" s="632"/>
      <c r="Y23" s="632"/>
    </row>
    <row r="24" spans="1:25" x14ac:dyDescent="0.2">
      <c r="A24" s="507" t="s">
        <v>537</v>
      </c>
    </row>
    <row r="25" spans="1:25" x14ac:dyDescent="0.2">
      <c r="A25" s="507" t="s">
        <v>537</v>
      </c>
    </row>
    <row r="26" spans="1:25" ht="15" x14ac:dyDescent="0.2">
      <c r="A26" s="507" t="s">
        <v>537</v>
      </c>
      <c r="D26" s="494" t="str">
        <f>Import.Município</f>
        <v>RODEIO BONITO/RS</v>
      </c>
      <c r="L26" s="461"/>
      <c r="M26" s="418"/>
      <c r="N26" s="418"/>
      <c r="O26" s="418"/>
      <c r="V26" s="461"/>
      <c r="W26" s="418"/>
      <c r="X26" s="418"/>
      <c r="Y26" s="418"/>
    </row>
    <row r="27" spans="1:25" x14ac:dyDescent="0.2">
      <c r="A27" s="507" t="s">
        <v>537</v>
      </c>
      <c r="D27" s="9" t="s">
        <v>694</v>
      </c>
      <c r="H27" s="545"/>
      <c r="I27" s="545"/>
      <c r="J27" s="545"/>
      <c r="L27" s="182" t="s">
        <v>697</v>
      </c>
      <c r="V27" s="182" t="s">
        <v>697</v>
      </c>
    </row>
    <row r="28" spans="1:25" x14ac:dyDescent="0.2">
      <c r="A28" s="507" t="s">
        <v>537</v>
      </c>
      <c r="H28" s="545"/>
      <c r="I28" s="545"/>
      <c r="J28" s="545"/>
      <c r="L28" s="399" t="str">
        <f t="array" aca="1" ref="L28:L30" ca="1">OFFSET(Import.RespOrçamento,0,-1) &amp; " " &amp; Import.RespOrçamento</f>
        <v>Nome: VIVIANE CARBONI TAFFAREL LUCAS</v>
      </c>
      <c r="V28" s="399" t="str">
        <f t="array" aca="1" ref="V28:V30" ca="1">OFFSET(Import.RespOrçamento,0,-1) &amp; " " &amp; Import.RespOrçamento</f>
        <v>Nome: VIVIANE CARBONI TAFFAREL LUCAS</v>
      </c>
    </row>
    <row r="29" spans="1:25" x14ac:dyDescent="0.2">
      <c r="A29" s="507" t="s">
        <v>537</v>
      </c>
      <c r="D29" s="495">
        <f>DADOS!$C$25</f>
        <v>46254</v>
      </c>
      <c r="L29" s="399" t="str">
        <f ca="1"/>
        <v>CREA/CAU: 247947</v>
      </c>
      <c r="V29" s="399" t="str">
        <f ca="1"/>
        <v>CREA/CAU: 247947</v>
      </c>
    </row>
    <row r="30" spans="1:25" x14ac:dyDescent="0.2">
      <c r="A30" s="507" t="s">
        <v>537</v>
      </c>
      <c r="D30" s="9" t="s">
        <v>695</v>
      </c>
      <c r="L30" s="399" t="str">
        <f ca="1"/>
        <v>ART/RRT: 0</v>
      </c>
      <c r="V30" s="399" t="str">
        <f ca="1"/>
        <v>ART/RRT: 0</v>
      </c>
    </row>
  </sheetData>
  <sheetProtection algorithmName="SHA-512" hashValue="TtsxNQcDGxH2JawkipcrJH+sXHZuqC02j7Jh3hbWBPs/JiH8RXq5Oml0HQNfYby5zwIxbksRAt9hkeTG4Lq2sQ==" saltValue="AIglMrHpmG5QJLhOEvAO5w==" spinCount="100000" sheet="1" objects="1" scenarios="1"/>
  <autoFilter ref="A13:A30" xr:uid="{00000000-0009-0000-0000-000005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20 C23:Z23">
    <cfRule type="expression" dxfId="395" priority="2" stopIfTrue="1">
      <formula>OR(AUTOEVENTO&lt;&gt;"Manual",ACOMPANHAMENTO="BM",C$10=0,C$13=0,$C1=" ")</formula>
    </cfRule>
  </conditionalFormatting>
  <conditionalFormatting sqref="A15 C15:XFD15">
    <cfRule type="expression" dxfId="394" priority="152">
      <formula>$C$15=0</formula>
    </cfRule>
  </conditionalFormatting>
  <conditionalFormatting sqref="C21:Z22">
    <cfRule type="expression" dxfId="393" priority="1" stopIfTrue="1">
      <formula>OR(AUTOEVENTO&lt;&gt;"Manual",ACOMPANHAMENTO="BM",C$10=0,C$13=0,$C21=" ")</formula>
    </cfRule>
  </conditionalFormatting>
  <dataValidations count="1">
    <dataValidation type="list" allowBlank="1" showErrorMessage="1" sqref="C8:D8" xr:uid="{00000000-0002-0000-0500-000000000000}">
      <formula1>$B$6:$B$9</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&amp;LPMv3.12&amp;R&amp;P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A1:BH65373"/>
  <sheetViews>
    <sheetView showGridLines="0" zoomScale="90" zoomScaleNormal="9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1</v>
      </c>
      <c r="O1" s="633" cm="1">
        <f t="array" ref="O1">IF(OR(ACOMPANHAMENTO="BM",N1=0,O12=""),0,1)</f>
        <v>0</v>
      </c>
      <c r="P1" t="s">
        <v>765</v>
      </c>
      <c r="Q1" s="633" cm="1">
        <f t="array" ref="Q1">IF(OR(ACOMPANHAMENTO="BM",P1=0,Q12=""),0,1)</f>
        <v>1</v>
      </c>
      <c r="R1" s="633" cm="1">
        <f t="array" ref="R1">IF(OR(ACOMPANHAMENTO="BM",Q1=0,R12=""),0,1)</f>
        <v>0</v>
      </c>
      <c r="S1" s="633" cm="1">
        <f t="array" ref="S1">IF(OR(ACOMPANHAMENTO="BM",R1=0,S12=""),0,1)</f>
        <v>0</v>
      </c>
      <c r="T1" s="633" cm="1">
        <f t="array" ref="T1">IF(OR(ACOMPANHAMENTO="BM",S1=0,T12=""),0,1)</f>
        <v>0</v>
      </c>
      <c r="U1" s="633" cm="1">
        <f t="array" ref="U1">IF(OR(ACOMPANHAMENTO="BM",T1=0,U12=""),0,1)</f>
        <v>0</v>
      </c>
      <c r="V1" s="633" cm="1">
        <f t="array" ref="V1">IF(OR(ACOMPANHAMENTO="BM",U1=0,V12=""),0,1)</f>
        <v>0</v>
      </c>
      <c r="W1" s="633" cm="1">
        <f t="array" ref="W1">IF(OR(ACOMPANHAMENTO="BM",V1=0,W12=""),0,1)</f>
        <v>0</v>
      </c>
      <c r="X1" s="633" cm="1">
        <f t="array" ref="X1">IF(OR(ACOMPANHAMENTO="BM",W1=0,X12=""),0,1)</f>
        <v>0</v>
      </c>
      <c r="Y1" s="633" cm="1">
        <f t="array" ref="Y1">IF(OR(ACOMPANHAMENTO="BM",X1=0,Y12=""),0,1)</f>
        <v>0</v>
      </c>
      <c r="Z1" s="633" cm="1">
        <f t="array" ref="Z1">IF(OR(ACOMPANHAMENTO="BM",Y1=0,Z12=""),0,1)</f>
        <v>0</v>
      </c>
      <c r="AB1" t="s">
        <v>766</v>
      </c>
      <c r="AM1" t="s">
        <v>767</v>
      </c>
      <c r="AX1" t="s">
        <v>768</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39" t="str" cm="1">
        <f t="array" ref="F6">IF(ACOMPANHAMENTO="BM","MEMÓRIA DE CÁLCULO","PLQ - PLANILHA DE LEVANTAMENTO DE QUANTIDADES")</f>
        <v>PLQ - PLANILHA DE LEVANTAMENTO DE QUANTIDADES</v>
      </c>
      <c r="G6" s="739"/>
      <c r="H6" s="739"/>
      <c r="I6" s="142"/>
      <c r="K6" s="142"/>
      <c r="L6" s="142"/>
      <c r="M6" s="143"/>
      <c r="N6" s="142"/>
      <c r="P6" s="142"/>
      <c r="Q6" s="740" t="s">
        <v>645</v>
      </c>
      <c r="R6" s="741"/>
      <c r="Y6" s="682" t="s">
        <v>645</v>
      </c>
      <c r="Z6" s="682"/>
    </row>
    <row r="7" spans="1:59" ht="15" customHeight="1" x14ac:dyDescent="0.2">
      <c r="F7" s="742" t="str" cm="1">
        <f t="array" ref="F7">IF(ACOMPANHAMENTO="BM","","Memória de Cálculo")&amp;" - "&amp;import.recurso</f>
        <v>Memória de Cálculo - OGU</v>
      </c>
      <c r="G7" s="742"/>
      <c r="H7" s="742"/>
      <c r="I7" s="144"/>
      <c r="K7" s="144"/>
      <c r="L7" s="144"/>
      <c r="M7" s="145"/>
      <c r="N7" s="144"/>
      <c r="P7" s="144"/>
      <c r="Q7" s="743" t="s">
        <v>648</v>
      </c>
      <c r="R7" s="744"/>
      <c r="Y7" s="683" t="s">
        <v>648</v>
      </c>
      <c r="Z7" s="683"/>
    </row>
    <row r="8" spans="1:59" ht="12.75" customHeight="1" x14ac:dyDescent="0.2">
      <c r="AE8" s="477"/>
    </row>
    <row r="9" spans="1:59" ht="12.75" customHeight="1" x14ac:dyDescent="0.2">
      <c r="E9" s="708" t="s">
        <v>709</v>
      </c>
      <c r="F9" s="708"/>
      <c r="G9" s="708" t="s">
        <v>708</v>
      </c>
      <c r="H9" s="708"/>
      <c r="I9" s="88" t="s">
        <v>651</v>
      </c>
      <c r="K9" s="146" t="s">
        <v>653</v>
      </c>
      <c r="L9" s="147"/>
      <c r="M9" s="147"/>
      <c r="N9" s="147"/>
      <c r="O9" s="147"/>
      <c r="P9" s="147"/>
      <c r="Q9" s="147"/>
      <c r="R9" s="148"/>
      <c r="S9" s="708" t="s">
        <v>651</v>
      </c>
      <c r="T9" s="708"/>
      <c r="U9" s="708" t="s">
        <v>653</v>
      </c>
      <c r="V9" s="708"/>
      <c r="W9" s="708"/>
      <c r="X9" s="708"/>
      <c r="Y9" s="708"/>
      <c r="Z9" s="708"/>
    </row>
    <row r="10" spans="1:59" ht="12.75" customHeight="1" x14ac:dyDescent="0.2">
      <c r="A10" s="602" t="s">
        <v>769</v>
      </c>
      <c r="E10" s="711" t="str">
        <f>Import.Apelido</f>
        <v>REFORMA CASA DA CRIANÇA</v>
      </c>
      <c r="F10" s="711"/>
      <c r="G10" s="711" t="str" cm="1">
        <f t="array" ref="G10">Import.TransfereGOV</f>
        <v>0</v>
      </c>
      <c r="H10" s="711"/>
      <c r="I10" s="91" t="str">
        <f>Import.CR</f>
        <v>0</v>
      </c>
      <c r="K10" s="149" t="str">
        <f>Import.Proponente</f>
        <v>CONSÓRCIO INTERMUNICIPAL DO MÉDIO ALTO URUGUAI - CIMAU</v>
      </c>
      <c r="L10" s="150"/>
      <c r="M10" s="101"/>
      <c r="N10" s="150"/>
      <c r="O10" s="150"/>
      <c r="P10" s="150"/>
      <c r="Q10" s="150"/>
      <c r="R10" s="92"/>
      <c r="S10" s="711" t="str">
        <f>Import.CR</f>
        <v>0</v>
      </c>
      <c r="T10" s="711"/>
      <c r="U10" s="711" t="str">
        <f>Import.Proponente</f>
        <v>CONSÓRCIO INTERMUNICIPAL DO MÉDIO ALTO URUGUAI - CIMAU</v>
      </c>
      <c r="V10" s="711"/>
      <c r="W10" s="711"/>
      <c r="X10" s="711"/>
      <c r="Y10" s="711"/>
      <c r="Z10" s="711"/>
    </row>
    <row r="11" spans="1:59" ht="15" customHeight="1" x14ac:dyDescent="0.2">
      <c r="A11" s="451" t="str">
        <f>IF(AND(Import.TipoArredondamento="Tradicional",AUTOEVENTO="Manual"),"Automática",IF(CRONOPLE!$B$8="","Sem Adm","Manual"))</f>
        <v>Manual</v>
      </c>
      <c r="F11" s="568" t="str">
        <f ca="1">IF(AND(ACOMPANHAMENTO="PLE",ISERROR(AUTOEVENTO)),"Selecione a forma de definição dos agrupadores de eventos na aba EVENTOS",
  IF(AND(ACOMPANHAMENTO="PLE",CÁLCULO.FrentesPreenchidas=0),"Preencher os nomes das Frentes de Obra",
  IF(COUNTIF($J$15:$J$105,"►")&gt;0,"Não pode haver serviços sem agrupador de eventos",
  IF(COUNTIF($P$11:$AA$11,"▼")&gt;0,"Não pode haver frentes de obra sem quantidades",
  IF(COUNTIF($P$11:$AA$11,"Nome &gt;100")&gt;0,"Nome da frente de obra com mais de 100 caracteres","")))))</f>
        <v/>
      </c>
      <c r="N11" s="574" t="str">
        <f ca="1">IF(OR(COUNTIF($J$15:$J$105,"►")&gt;0,COUNTIF($J$15:$J$105,"►►")&gt;0),"",
IF(COUNTIF($P$11:$AA$11,"▼")&gt;0,"Falta preencher a frente de obra nº " &amp; HLOOKUP("▼",$P$11:$AA$13,3,FALSE),
IF(COUNTIF($P$11:$AA$11,"Nome &gt;100")&gt;0,"Resuma o nome da frente de obra nº " &amp; HLOOKUP("Nome &gt;100",$P$11:$AA$13,3,FALSE),"")))</f>
        <v/>
      </c>
      <c r="O11" s="567" t="e">
        <f ca="1">IF(AND(O1=1,O15=0),"▼",IF(AND(O1=1,LEN(O12)&gt;100),"Nome &gt;100",""))</f>
        <v>#VALUE!</v>
      </c>
      <c r="P11" s="7"/>
      <c r="Q11" s="567" t="str">
        <f t="shared" ref="Q11:Z11" ca="1" si="0">IF(AND(Q1=1,Q15=0),"▼",IF(AND(Q1=1,LEN(Q12)&gt;100),"Nome &gt;100",""))</f>
        <v/>
      </c>
      <c r="R11" s="567" t="str">
        <f t="shared" ca="1" si="0"/>
        <v/>
      </c>
      <c r="S11" s="567" t="str">
        <f t="shared" ca="1" si="0"/>
        <v/>
      </c>
      <c r="T11" s="567" t="str">
        <f t="shared" ca="1" si="0"/>
        <v/>
      </c>
      <c r="U11" s="567" t="str">
        <f t="shared" ca="1" si="0"/>
        <v/>
      </c>
      <c r="V11" s="567" t="str">
        <f t="shared" ca="1" si="0"/>
        <v/>
      </c>
      <c r="W11" s="567" t="str">
        <f t="shared" ca="1" si="0"/>
        <v/>
      </c>
      <c r="X11" s="567" t="str">
        <f t="shared" ca="1" si="0"/>
        <v/>
      </c>
      <c r="Y11" s="567" t="str">
        <f t="shared" ca="1" si="0"/>
        <v/>
      </c>
      <c r="Z11" s="567" t="str">
        <f t="shared" ca="1" si="0"/>
        <v/>
      </c>
    </row>
    <row r="12" spans="1:59" ht="69.95" customHeight="1" x14ac:dyDescent="0.2">
      <c r="A12" s="600">
        <f>IF(Import.Eventos.Nível="Definir Manualmente","Manual",MATCH(Import.Eventos.Nível,EVENTOS!$B$6:$B$9,0)+1)</f>
        <v>2</v>
      </c>
      <c r="B12" s="7" t="s">
        <v>770</v>
      </c>
      <c r="C12" s="490" t="s">
        <v>656</v>
      </c>
      <c r="H12" s="151"/>
      <c r="I12" s="576" t="str">
        <f ca="1">IF(AND(ACOMPANHAMENTO="PLE",CÁLCULO.FrentesPreenchidas=0),"",
  IF(COUNTIF($J$15:$J$105,"►")&gt;0,"Falta Definir o Agrupador de Evento na linha "&amp;MATCH("►",$J$15:$J$105,0)+ROW($J$14),
  IF(COUNTIF($J$15:$J$105,"►►")&gt;0,"Falta preencher a quantidade do serviço na linha "&amp;MATCH("►►",$J$15:$J$105,0)+ROW($J$14),
  IF(AND(COUNTIF($P$11:$AA$11,"▼")=0,COUNTIF($J$15:$J$105,"◄")&gt;0),"Falta Preencher o Memorial de Cálculo na linha "&amp;MATCH("◄",$J$15:$J$105,0)+ROW($J$14),""))))</f>
        <v/>
      </c>
      <c r="J12" s="152" t="s">
        <v>765</v>
      </c>
      <c r="K12" s="153" t="s">
        <v>771</v>
      </c>
      <c r="L12" s="152" t="s">
        <v>765</v>
      </c>
      <c r="M12" s="571" cm="1">
        <f t="array" aca="1" ref="M12" ca="1">IF(ACOMPANHAMENTO="BM",0,MAX($M$15:$M$105))</f>
        <v>7</v>
      </c>
      <c r="N12" s="575" t="str">
        <f ca="1">IF(AND(ACOMPANHAMENTO="PLE",CÁLCULO.FrentesPreenchidas=0),"Preencher os nomes das Frentes de Obra ►","FRENTES DE OBRA:")</f>
        <v>FRENTES DE OBRA:</v>
      </c>
      <c r="O12" s="154"/>
      <c r="P12" s="152" t="s">
        <v>765</v>
      </c>
      <c r="Q12" s="453" t="s">
        <v>957</v>
      </c>
      <c r="R12" s="154"/>
      <c r="S12" s="154"/>
      <c r="T12" s="521"/>
      <c r="U12" s="154"/>
      <c r="V12" s="154"/>
      <c r="W12" s="154"/>
      <c r="X12" s="154"/>
      <c r="Y12" s="154"/>
      <c r="Z12" s="155"/>
      <c r="AA12" s="152" t="s">
        <v>765</v>
      </c>
      <c r="AB12" s="156" t="str">
        <f ca="1">IF(OFFSET($P$1,0,AB$13)=0,0,OFFSET($P$12,0,AB$13))</f>
        <v>Iluminação Publica</v>
      </c>
      <c r="AC12" s="156">
        <f t="shared" ref="AC12:AK12" ca="1" si="1">IF(OFFSET($P$1,0,AC$13)=0,0,OFFSET($P$12,0,AC$13))</f>
        <v>0</v>
      </c>
      <c r="AD12" s="156">
        <f t="shared" ca="1" si="1"/>
        <v>0</v>
      </c>
      <c r="AE12" s="156">
        <f t="shared" ca="1" si="1"/>
        <v>0</v>
      </c>
      <c r="AF12" s="156">
        <f t="shared" ca="1" si="1"/>
        <v>0</v>
      </c>
      <c r="AG12" s="156">
        <f t="shared" ca="1" si="1"/>
        <v>0</v>
      </c>
      <c r="AH12" s="156">
        <f t="shared" ca="1" si="1"/>
        <v>0</v>
      </c>
      <c r="AI12" s="156">
        <f t="shared" ca="1" si="1"/>
        <v>0</v>
      </c>
      <c r="AJ12" s="156">
        <f t="shared" ca="1" si="1"/>
        <v>0</v>
      </c>
      <c r="AK12" s="156">
        <f t="shared" ca="1" si="1"/>
        <v>0</v>
      </c>
      <c r="AM12" s="156" t="str">
        <f t="shared" ref="AM12:BG12" ca="1" si="2">IF(OFFSET($P$1,0,AM$13)=0,0,OFFSET($P$12,0,AM$13))</f>
        <v>Iluminação Publica</v>
      </c>
      <c r="AN12" s="157">
        <f t="shared" ca="1" si="2"/>
        <v>0</v>
      </c>
      <c r="AO12" s="157">
        <f t="shared" ca="1" si="2"/>
        <v>0</v>
      </c>
      <c r="AP12" s="157">
        <f t="shared" ca="1" si="2"/>
        <v>0</v>
      </c>
      <c r="AQ12" s="157">
        <f t="shared" ca="1" si="2"/>
        <v>0</v>
      </c>
      <c r="AR12" s="157">
        <f t="shared" ca="1" si="2"/>
        <v>0</v>
      </c>
      <c r="AS12" s="157">
        <f t="shared" ca="1" si="2"/>
        <v>0</v>
      </c>
      <c r="AT12" s="157">
        <f t="shared" ca="1" si="2"/>
        <v>0</v>
      </c>
      <c r="AU12" s="157">
        <f t="shared" ca="1" si="2"/>
        <v>0</v>
      </c>
      <c r="AV12" s="158">
        <f t="shared" ca="1" si="2"/>
        <v>0</v>
      </c>
      <c r="AX12" s="156" t="str">
        <f t="shared" ca="1" si="2"/>
        <v>Iluminação Publica</v>
      </c>
      <c r="AY12" s="157">
        <f t="shared" ca="1" si="2"/>
        <v>0</v>
      </c>
      <c r="AZ12" s="157">
        <f t="shared" ca="1" si="2"/>
        <v>0</v>
      </c>
      <c r="BA12" s="157">
        <f t="shared" ca="1" si="2"/>
        <v>0</v>
      </c>
      <c r="BB12" s="157">
        <f t="shared" ca="1" si="2"/>
        <v>0</v>
      </c>
      <c r="BC12" s="157">
        <f t="shared" ca="1" si="2"/>
        <v>0</v>
      </c>
      <c r="BD12" s="157">
        <f t="shared" ca="1" si="2"/>
        <v>0</v>
      </c>
      <c r="BE12" s="157">
        <f t="shared" ca="1" si="2"/>
        <v>0</v>
      </c>
      <c r="BF12" s="157">
        <f t="shared" ca="1" si="2"/>
        <v>0</v>
      </c>
      <c r="BG12" s="158">
        <f t="shared" ca="1" si="2"/>
        <v>0</v>
      </c>
    </row>
    <row r="13" spans="1:59" ht="12.75" customHeight="1" x14ac:dyDescent="0.2">
      <c r="A13" s="601" t="s">
        <v>772</v>
      </c>
      <c r="B13" s="7" t="s">
        <v>770</v>
      </c>
      <c r="C13" s="491" t="s">
        <v>661</v>
      </c>
      <c r="D13" s="108" t="s">
        <v>734</v>
      </c>
      <c r="E13" s="108" t="s">
        <v>736</v>
      </c>
      <c r="F13" s="108" t="s">
        <v>118</v>
      </c>
      <c r="G13" s="110" t="s">
        <v>739</v>
      </c>
      <c r="H13" s="108" t="s">
        <v>713</v>
      </c>
      <c r="I13" s="108" t="s">
        <v>773</v>
      </c>
      <c r="J13" s="523"/>
      <c r="K13" s="293" t="s">
        <v>774</v>
      </c>
      <c r="L13" s="152"/>
      <c r="M13" s="108" t="s">
        <v>775</v>
      </c>
      <c r="N13" s="108" t="s">
        <v>776</v>
      </c>
      <c r="O13" s="159" t="e">
        <f ca="1">OFFSET(O13,0,-1)+1</f>
        <v>#VALUE!</v>
      </c>
      <c r="Q13" s="160">
        <f t="shared" ref="Q13:Z13" ca="1" si="3">OFFSET(Q13,0,-1)+1</f>
        <v>1</v>
      </c>
      <c r="R13" s="159">
        <f t="shared" ca="1" si="3"/>
        <v>2</v>
      </c>
      <c r="S13" s="159">
        <f t="shared" ca="1" si="3"/>
        <v>3</v>
      </c>
      <c r="T13" s="159">
        <f t="shared" ca="1" si="3"/>
        <v>4</v>
      </c>
      <c r="U13" s="159">
        <f t="shared" ca="1" si="3"/>
        <v>5</v>
      </c>
      <c r="V13" s="159">
        <f t="shared" ca="1" si="3"/>
        <v>6</v>
      </c>
      <c r="W13" s="159">
        <f t="shared" ca="1" si="3"/>
        <v>7</v>
      </c>
      <c r="X13" s="159">
        <f t="shared" ca="1" si="3"/>
        <v>8</v>
      </c>
      <c r="Y13" s="159">
        <f t="shared" ca="1" si="3"/>
        <v>9</v>
      </c>
      <c r="Z13" s="161">
        <f t="shared" ca="1" si="3"/>
        <v>10</v>
      </c>
      <c r="AB13" s="114">
        <f t="shared" ref="AB13:BG13" ca="1" si="4">OFFSET(AB13,0,-1)+1</f>
        <v>1</v>
      </c>
      <c r="AC13" s="162">
        <f t="shared" ca="1" si="4"/>
        <v>2</v>
      </c>
      <c r="AD13" s="162">
        <f t="shared" ca="1" si="4"/>
        <v>3</v>
      </c>
      <c r="AE13" s="162">
        <f t="shared" ca="1" si="4"/>
        <v>4</v>
      </c>
      <c r="AF13" s="162">
        <f t="shared" ca="1" si="4"/>
        <v>5</v>
      </c>
      <c r="AG13" s="162">
        <f t="shared" ca="1" si="4"/>
        <v>6</v>
      </c>
      <c r="AH13" s="162">
        <f t="shared" ca="1" si="4"/>
        <v>7</v>
      </c>
      <c r="AI13" s="162">
        <f t="shared" ca="1" si="4"/>
        <v>8</v>
      </c>
      <c r="AJ13" s="162">
        <f t="shared" ca="1" si="4"/>
        <v>9</v>
      </c>
      <c r="AK13" s="163">
        <f t="shared" ca="1" si="4"/>
        <v>10</v>
      </c>
      <c r="AM13" s="114">
        <f t="shared" ca="1" si="4"/>
        <v>1</v>
      </c>
      <c r="AN13" s="162">
        <f t="shared" ca="1" si="4"/>
        <v>2</v>
      </c>
      <c r="AO13" s="162">
        <f t="shared" ca="1" si="4"/>
        <v>3</v>
      </c>
      <c r="AP13" s="162">
        <f t="shared" ca="1" si="4"/>
        <v>4</v>
      </c>
      <c r="AQ13" s="162">
        <f t="shared" ca="1" si="4"/>
        <v>5</v>
      </c>
      <c r="AR13" s="162">
        <f t="shared" ca="1" si="4"/>
        <v>6</v>
      </c>
      <c r="AS13" s="162">
        <f t="shared" ca="1" si="4"/>
        <v>7</v>
      </c>
      <c r="AT13" s="162">
        <f t="shared" ca="1" si="4"/>
        <v>8</v>
      </c>
      <c r="AU13" s="162">
        <f t="shared" ca="1" si="4"/>
        <v>9</v>
      </c>
      <c r="AV13" s="163">
        <f t="shared" ca="1" si="4"/>
        <v>10</v>
      </c>
      <c r="AX13" s="114">
        <f t="shared" ca="1" si="4"/>
        <v>1</v>
      </c>
      <c r="AY13" s="162">
        <f t="shared" ca="1" si="4"/>
        <v>2</v>
      </c>
      <c r="AZ13" s="162">
        <f t="shared" ca="1" si="4"/>
        <v>3</v>
      </c>
      <c r="BA13" s="162">
        <f t="shared" ca="1" si="4"/>
        <v>4</v>
      </c>
      <c r="BB13" s="162">
        <f t="shared" ca="1" si="4"/>
        <v>5</v>
      </c>
      <c r="BC13" s="162">
        <f t="shared" ca="1" si="4"/>
        <v>6</v>
      </c>
      <c r="BD13" s="162">
        <f t="shared" ca="1" si="4"/>
        <v>7</v>
      </c>
      <c r="BE13" s="162">
        <f t="shared" ca="1" si="4"/>
        <v>8</v>
      </c>
      <c r="BF13" s="162">
        <f t="shared" ca="1" si="4"/>
        <v>9</v>
      </c>
      <c r="BG13" s="163">
        <f t="shared" ca="1" si="4"/>
        <v>10</v>
      </c>
    </row>
    <row r="14" spans="1:59" ht="12.75" hidden="1" x14ac:dyDescent="0.2">
      <c r="A14" s="7" t="str">
        <f t="shared" ref="A14" ca="1" si="5">IFERROR(IF(AUTOEVENTO="Manual",IF(K14&lt;&gt;"",MIN(VALUE(LEFT(K14,FIND(".",K14)-1)),COUNTA(EVENTOS.Lista)),0),IF(OR($B14&gt;AUTOEVENTO,$B14="S",$B14=0),SUBSTITUTE(OFFSET($A14,-1,0),IF($D14="Serviço",".",""),""),ROW(A14)-ROW($A$15)&amp;".")),0)</f>
        <v>AUTOEVENTO</v>
      </c>
      <c r="B14" s="7" t="str">
        <f ca="1">OFFSET(ORÇAMENTO!C$15,ROW(B14)-ROW(B$15),0)</f>
        <v>S</v>
      </c>
      <c r="C14" s="7" t="str">
        <f ca="1">OFFSET(ORÇAMENTO!L$15,ROW(C14)-ROW(C$15),0)</f>
        <v/>
      </c>
      <c r="D14" s="117" t="str">
        <f ca="1">OFFSET(ORÇAMENTO!N$15,ROW(D14)-ROW(D$15),0)</f>
        <v>Serviço</v>
      </c>
      <c r="E14" s="118" t="str">
        <f ca="1">OFFSET(ORÇAMENTO!O$15,ROW(E14)-ROW(E$15),0)</f>
        <v>-</v>
      </c>
      <c r="F14" s="164" t="str">
        <f ca="1">OFFSET(ORÇAMENTO!R$15,ROW(F14)-ROW(F$15),0)</f>
        <v>(Sem Código)</v>
      </c>
      <c r="G14" s="165" t="str">
        <f ca="1">IF($D14&lt;&gt;"Serviço","",OFFSET(ORÇAMENTO!S$15,ROW(G14)-ROW(G$15),0))</f>
        <v>-</v>
      </c>
      <c r="H14" s="123">
        <f ca="1">IF($D14&lt;&gt;"Serviço",0,IF(ACOMPANHAMENTO="BM",ROUND(OFFSET(ORÇAMENTO!AJ$15,ROW(H14)-ROW(H$15),0),15-13*ORÇAMENTO!$AF$7),SUMPRODUCT(($Q$1:$AA$1=1)*ROUND($Q14:$AA14,15-13*ORÇAMENTO!$AF$7))))</f>
        <v>0</v>
      </c>
      <c r="I14" s="469"/>
      <c r="J14" s="663" t="e">
        <f ca="1">IF(OR(B14&lt;&gt;"S",CÁLCULO.FrentesPreenchidas=0),"",IF(AND(ACOMPANHAMENTO="PLE",AUTOEVENTO="Manual",OR(H14&gt;0,ORÇAMENTO!AC14="QUANT."),OR(K14="",M14=0,N14="")),"►",IF(AND(ACOMPANHAMENTO="PLE",ORÇAMENTO!AC14="QUANT."),"►►",IF(AND(COUNTIF($P$11:$AA$11,"▼")=0,H14&gt;0,I14=""),"◄",""))))</f>
        <v>#VALUE!</v>
      </c>
      <c r="K14" s="664"/>
      <c r="L14" s="166" t="s">
        <v>765</v>
      </c>
      <c r="M14" s="167" t="str">
        <f ca="1">IF($D14&lt;&gt;"Serviço","",
          IF(AUTOEVENTO="manual",$A14,
                IF(ISERROR(MATCH($A14,$A$15:OFFSET($A14,-1,0),0)),MAX($M$15:OFFSET(M14,-1,0))+1,
                      INDEX($M$15:OFFSET(M14,-1,0),MATCH($A14,$A$15:OFFSET($A14,-1,0),0)))))</f>
        <v># Evento</v>
      </c>
      <c r="N14" s="168" t="e">
        <f ca="1">IF($D14&lt;&gt;"Serviço","",
         IF(AUTOEVENTO="Manual",
                IF($A14=0,"&lt;-- defina o número do agrupador",
                       OFFSET(EVENTOS!$D$15,$A14-$A$15,0)),
                OFFSET($F$15,$A14,0)))</f>
        <v>#VALUE!</v>
      </c>
      <c r="O14" s="169"/>
      <c r="Q14" s="169"/>
      <c r="R14" s="170"/>
      <c r="S14" s="170"/>
      <c r="T14" s="170"/>
      <c r="U14" s="170"/>
      <c r="V14" s="170"/>
      <c r="W14" s="170"/>
      <c r="X14" s="170"/>
      <c r="Y14" s="170"/>
      <c r="Z14" s="171"/>
      <c r="AB14" s="454">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4">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4">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4">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4">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4">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4">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4">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4">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4">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2" t="e">
        <f ca="1">IF(OR($D14&lt;&gt;"Serviço",AND(AUTOEVENTO="Manual",$M14=$A$15)),0,
         IF(OFFSET(CRONOPLE!$F$15,$M14-$A$15,AM$13)=0,10^12,OFFSET(CRONOPLE!$F$15,$M14-$A$15,AM$13)))</f>
        <v>#VALUE!</v>
      </c>
      <c r="AN14" s="172" t="e">
        <f ca="1">IF(OR($D14&lt;&gt;"Serviço",AND(AUTOEVENTO="Manual",$M14=$A$15)),0,
         IF(OFFSET(CRONOPLE!$F$15,$M14-$A$15,AN$13)=0,10^12,OFFSET(CRONOPLE!$F$15,$M14-$A$15,AN$13)))</f>
        <v>#VALUE!</v>
      </c>
      <c r="AO14" s="172" t="e">
        <f ca="1">IF(OR($D14&lt;&gt;"Serviço",AND(AUTOEVENTO="Manual",$M14=$A$15)),0,
         IF(OFFSET(CRONOPLE!$F$15,$M14-$A$15,AO$13)=0,10^12,OFFSET(CRONOPLE!$F$15,$M14-$A$15,AO$13)))</f>
        <v>#VALUE!</v>
      </c>
      <c r="AP14" s="172" t="e">
        <f ca="1">IF(OR($D14&lt;&gt;"Serviço",AND(AUTOEVENTO="Manual",$M14=$A$15)),0,
         IF(OFFSET(CRONOPLE!$F$15,$M14-$A$15,AP$13)=0,10^12,OFFSET(CRONOPLE!$F$15,$M14-$A$15,AP$13)))</f>
        <v>#VALUE!</v>
      </c>
      <c r="AQ14" s="172" t="e">
        <f ca="1">IF(OR($D14&lt;&gt;"Serviço",AND(AUTOEVENTO="Manual",$M14=$A$15)),0,
         IF(OFFSET(CRONOPLE!$F$15,$M14-$A$15,AQ$13)=0,10^12,OFFSET(CRONOPLE!$F$15,$M14-$A$15,AQ$13)))</f>
        <v>#VALUE!</v>
      </c>
      <c r="AR14" s="172" t="e">
        <f ca="1">IF(OR($D14&lt;&gt;"Serviço",AND(AUTOEVENTO="Manual",$M14=$A$15)),0,
         IF(OFFSET(CRONOPLE!$F$15,$M14-$A$15,AR$13)=0,10^12,OFFSET(CRONOPLE!$F$15,$M14-$A$15,AR$13)))</f>
        <v>#VALUE!</v>
      </c>
      <c r="AS14" s="172" t="e">
        <f ca="1">IF(OR($D14&lt;&gt;"Serviço",AND(AUTOEVENTO="Manual",$M14=$A$15)),0,
         IF(OFFSET(CRONOPLE!$F$15,$M14-$A$15,AS$13)=0,10^12,OFFSET(CRONOPLE!$F$15,$M14-$A$15,AS$13)))</f>
        <v>#VALUE!</v>
      </c>
      <c r="AT14" s="172" t="e">
        <f ca="1">IF(OR($D14&lt;&gt;"Serviço",AND(AUTOEVENTO="Manual",$M14=$A$15)),0,
         IF(OFFSET(CRONOPLE!$F$15,$M14-$A$15,AT$13)=0,10^12,OFFSET(CRONOPLE!$F$15,$M14-$A$15,AT$13)))</f>
        <v>#VALUE!</v>
      </c>
      <c r="AU14" s="172" t="e">
        <f ca="1">IF(OR($D14&lt;&gt;"Serviço",AND(AUTOEVENTO="Manual",$M14=$A$15)),0,
         IF(OFFSET(CRONOPLE!$F$15,$M14-$A$15,AU$13)=0,10^12,OFFSET(CRONOPLE!$F$15,$M14-$A$15,AU$13)))</f>
        <v>#VALUE!</v>
      </c>
      <c r="AV14" s="172" t="e">
        <f ca="1">IF(OR($D14&lt;&gt;"Serviço",AND(AUTOEVENTO="Manual",$M14=$A$15)),0,
         IF(OFFSET(CRONOPLE!$F$15,$M14-$A$15,AV$13)=0,10^12,OFFSET(CRONOPLE!$F$15,$M14-$A$15,AV$13)))</f>
        <v>#VALUE!</v>
      </c>
      <c r="AX14" s="173">
        <f ca="1">IF(OR($D14&lt;&gt;"Serviço",AND(AUTOEVENTO="Manual",$M14=$A$15),$M14&gt;(ROW(PLE.lastrow)-ROW(PLE.firstrow))),0,
           IF(OFFSET(PLE!$G$15,$M14-$A$15,AX$13)="",10^12,OFFSET(PLE!$G$15,$M14-$A$15,AX$13)))</f>
        <v>0</v>
      </c>
      <c r="AY14" s="173">
        <f ca="1">IF(OR($D14&lt;&gt;"Serviço",AND(AUTOEVENTO="Manual",$M14=$A$15),$M14&gt;(ROW(PLE.lastrow)-ROW(PLE.firstrow))),0,
           IF(OFFSET(PLE!$G$15,$M14-$A$15,AY$13)="",10^12,OFFSET(PLE!$G$15,$M14-$A$15,AY$13)))</f>
        <v>0</v>
      </c>
      <c r="AZ14" s="173">
        <f ca="1">IF(OR($D14&lt;&gt;"Serviço",AND(AUTOEVENTO="Manual",$M14=$A$15),$M14&gt;(ROW(PLE.lastrow)-ROW(PLE.firstrow))),0,
           IF(OFFSET(PLE!$G$15,$M14-$A$15,AZ$13)="",10^12,OFFSET(PLE!$G$15,$M14-$A$15,AZ$13)))</f>
        <v>0</v>
      </c>
      <c r="BA14" s="173">
        <f ca="1">IF(OR($D14&lt;&gt;"Serviço",AND(AUTOEVENTO="Manual",$M14=$A$15),$M14&gt;(ROW(PLE.lastrow)-ROW(PLE.firstrow))),0,
           IF(OFFSET(PLE!$G$15,$M14-$A$15,BA$13)="",10^12,OFFSET(PLE!$G$15,$M14-$A$15,BA$13)))</f>
        <v>0</v>
      </c>
      <c r="BB14" s="173">
        <f ca="1">IF(OR($D14&lt;&gt;"Serviço",AND(AUTOEVENTO="Manual",$M14=$A$15),$M14&gt;(ROW(PLE.lastrow)-ROW(PLE.firstrow))),0,
           IF(OFFSET(PLE!$G$15,$M14-$A$15,BB$13)="",10^12,OFFSET(PLE!$G$15,$M14-$A$15,BB$13)))</f>
        <v>0</v>
      </c>
      <c r="BC14" s="173">
        <f ca="1">IF(OR($D14&lt;&gt;"Serviço",AND(AUTOEVENTO="Manual",$M14=$A$15),$M14&gt;(ROW(PLE.lastrow)-ROW(PLE.firstrow))),0,
           IF(OFFSET(PLE!$G$15,$M14-$A$15,BC$13)="",10^12,OFFSET(PLE!$G$15,$M14-$A$15,BC$13)))</f>
        <v>0</v>
      </c>
      <c r="BD14" s="173">
        <f ca="1">IF(OR($D14&lt;&gt;"Serviço",AND(AUTOEVENTO="Manual",$M14=$A$15),$M14&gt;(ROW(PLE.lastrow)-ROW(PLE.firstrow))),0,
           IF(OFFSET(PLE!$G$15,$M14-$A$15,BD$13)="",10^12,OFFSET(PLE!$G$15,$M14-$A$15,BD$13)))</f>
        <v>0</v>
      </c>
      <c r="BE14" s="173">
        <f ca="1">IF(OR($D14&lt;&gt;"Serviço",AND(AUTOEVENTO="Manual",$M14=$A$15),$M14&gt;(ROW(PLE.lastrow)-ROW(PLE.firstrow))),0,
           IF(OFFSET(PLE!$G$15,$M14-$A$15,BE$13)="",10^12,OFFSET(PLE!$G$15,$M14-$A$15,BE$13)))</f>
        <v>0</v>
      </c>
      <c r="BF14" s="173">
        <f ca="1">IF(OR($D14&lt;&gt;"Serviço",AND(AUTOEVENTO="Manual",$M14=$A$15),$M14&gt;(ROW(PLE.lastrow)-ROW(PLE.firstrow))),0,
           IF(OFFSET(PLE!$G$15,$M14-$A$15,BF$13)="",10^12,OFFSET(PLE!$G$15,$M14-$A$15,BF$13)))</f>
        <v>0</v>
      </c>
      <c r="BG14" s="173">
        <f ca="1">IF(OR($D14&lt;&gt;"Serviço",AND(AUTOEVENTO="Manual",$M14=$A$15),$M14&gt;(ROW(PLE.lastrow)-ROW(PLE.firstrow))),0,
           IF(OFFSET(PLE!$G$15,$M14-$A$15,BG$13)="",10^12,OFFSET(PLE!$G$15,$M14-$A$15,BG$13)))</f>
        <v>0</v>
      </c>
    </row>
    <row r="15" spans="1:59" ht="12.75" customHeight="1" x14ac:dyDescent="0.2">
      <c r="A15" s="665" cm="1">
        <f t="array" ref="A15">IF(AdmLocal="Automática",1,0)</f>
        <v>0</v>
      </c>
      <c r="B15" s="7" t="str">
        <f ca="1">OFFSET(ORÇAMENTO!C$15,ROW(B15)-ROW(B$15),0)</f>
        <v>L</v>
      </c>
      <c r="C15" s="7" t="str">
        <f ca="1">OFFSET(ORÇAMENTO!L$15,ROW(C15)-ROW(C$15),0)</f>
        <v>F</v>
      </c>
      <c r="D15" s="131" t="str">
        <f>IF(TIPOORCAMENTO="LICITADO","CTEF","LOTE")</f>
        <v>LOTE</v>
      </c>
      <c r="E15" s="738" t="str">
        <f>Import.DescLote</f>
        <v>REFORMA CASA DA CRIANÇA</v>
      </c>
      <c r="F15" s="738"/>
      <c r="G15" s="738"/>
      <c r="H15" s="738"/>
      <c r="I15" s="470"/>
      <c r="J15" s="523"/>
      <c r="K15" s="634"/>
      <c r="L15" s="166" t="s">
        <v>765</v>
      </c>
      <c r="M15" s="569">
        <v>0</v>
      </c>
      <c r="N15" s="174" t="s">
        <v>777</v>
      </c>
      <c r="O15" s="175" t="e">
        <f ca="1">OFFSET($AA$15,0,O$13)</f>
        <v>#VALUE!</v>
      </c>
      <c r="Q15" s="176">
        <f t="shared" ref="Q15:Z15" ca="1" si="6">OFFSET($AA$15,0,Q$13)</f>
        <v>290574.24</v>
      </c>
      <c r="R15" s="175">
        <f t="shared" ca="1" si="6"/>
        <v>0</v>
      </c>
      <c r="S15" s="175">
        <f t="shared" ca="1" si="6"/>
        <v>0</v>
      </c>
      <c r="T15" s="175">
        <f t="shared" ca="1" si="6"/>
        <v>0</v>
      </c>
      <c r="U15" s="175">
        <f t="shared" ca="1" si="6"/>
        <v>0</v>
      </c>
      <c r="V15" s="175">
        <f t="shared" ca="1" si="6"/>
        <v>0</v>
      </c>
      <c r="W15" s="175">
        <f t="shared" ca="1" si="6"/>
        <v>0</v>
      </c>
      <c r="X15" s="175">
        <f t="shared" ca="1" si="6"/>
        <v>0</v>
      </c>
      <c r="Y15" s="175">
        <f t="shared" ca="1" si="6"/>
        <v>0</v>
      </c>
      <c r="Z15" s="177">
        <f t="shared" ca="1" si="6"/>
        <v>0</v>
      </c>
      <c r="AB15" s="178">
        <f ca="1">ROUND(SUM(OFFSET(AB$15,1,0):AB$105),2)</f>
        <v>290574.24</v>
      </c>
      <c r="AC15" s="178">
        <f ca="1">SUM(OFFSET(AC$15,1,0):AC$105)</f>
        <v>0</v>
      </c>
      <c r="AD15" s="178">
        <f ca="1">SUM(OFFSET(AD$15,1,0):AD$105)</f>
        <v>0</v>
      </c>
      <c r="AE15" s="178">
        <f ca="1">SUM(OFFSET(AE$15,1,0):AE$105)</f>
        <v>0</v>
      </c>
      <c r="AF15" s="178">
        <f ca="1">SUM(OFFSET(AF$15,1,0):AF$105)</f>
        <v>0</v>
      </c>
      <c r="AG15" s="178">
        <f ca="1">SUM(OFFSET(AG$15,1,0):AG$105)</f>
        <v>0</v>
      </c>
      <c r="AH15" s="178">
        <f ca="1">SUM(OFFSET(AH$15,1,0):AH$105)</f>
        <v>0</v>
      </c>
      <c r="AI15" s="178">
        <f ca="1">SUM(OFFSET(AI$15,1,0):AI$105)</f>
        <v>0</v>
      </c>
      <c r="AJ15" s="178">
        <f ca="1">SUM(OFFSET(AJ$15,1,0):AJ$105)</f>
        <v>0</v>
      </c>
      <c r="AK15" s="178">
        <f ca="1">SUM(OFFSET(AK$15,1,0):AK$105)</f>
        <v>0</v>
      </c>
      <c r="AM15" s="179">
        <f>10^12</f>
        <v>1000000000000</v>
      </c>
      <c r="AN15" s="179">
        <f t="shared" ref="AN15:AV15" si="7">10^12</f>
        <v>1000000000000</v>
      </c>
      <c r="AO15" s="179">
        <f t="shared" si="7"/>
        <v>1000000000000</v>
      </c>
      <c r="AP15" s="179">
        <f t="shared" si="7"/>
        <v>1000000000000</v>
      </c>
      <c r="AQ15" s="179">
        <f t="shared" si="7"/>
        <v>1000000000000</v>
      </c>
      <c r="AR15" s="179">
        <f t="shared" si="7"/>
        <v>1000000000000</v>
      </c>
      <c r="AS15" s="179">
        <f t="shared" si="7"/>
        <v>1000000000000</v>
      </c>
      <c r="AT15" s="179">
        <f t="shared" si="7"/>
        <v>1000000000000</v>
      </c>
      <c r="AU15" s="179">
        <f t="shared" si="7"/>
        <v>1000000000000</v>
      </c>
      <c r="AV15" s="179">
        <f t="shared" si="7"/>
        <v>1000000000000</v>
      </c>
      <c r="AX15" s="179">
        <f t="shared" ref="AX15:BG15" si="8">10^12</f>
        <v>1000000000000</v>
      </c>
      <c r="AY15" s="179">
        <f t="shared" si="8"/>
        <v>1000000000000</v>
      </c>
      <c r="AZ15" s="179">
        <f t="shared" si="8"/>
        <v>1000000000000</v>
      </c>
      <c r="BA15" s="179">
        <f t="shared" si="8"/>
        <v>1000000000000</v>
      </c>
      <c r="BB15" s="179">
        <f t="shared" si="8"/>
        <v>1000000000000</v>
      </c>
      <c r="BC15" s="179">
        <f t="shared" si="8"/>
        <v>1000000000000</v>
      </c>
      <c r="BD15" s="179">
        <f t="shared" si="8"/>
        <v>1000000000000</v>
      </c>
      <c r="BE15" s="179">
        <f t="shared" si="8"/>
        <v>1000000000000</v>
      </c>
      <c r="BF15" s="179">
        <f t="shared" si="8"/>
        <v>1000000000000</v>
      </c>
      <c r="BG15" s="179">
        <f t="shared" si="8"/>
        <v>1000000000000</v>
      </c>
    </row>
    <row r="16" spans="1:59" ht="12.75" x14ac:dyDescent="0.2">
      <c r="A16" s="7" t="str">
        <f t="shared" ref="A16:A79" ca="1" si="9">IFERROR(IF(AUTOEVENTO="Manual",IF(K16&lt;&gt;"",MIN(VALUE(LEFT(K16,FIND(".",K16)-1)),COUNTA(EVENTOS.Lista)),0),IF(OR($B16&gt;AUTOEVENTO,$B16="S",$B16=0),SUBSTITUTE(OFFSET($A16,-1,0),IF($D16="Serviço",".",""),""),ROW(A16)-ROW($A$15)&amp;".")),0)</f>
        <v>1.</v>
      </c>
      <c r="B16" s="7">
        <f ca="1">OFFSET(ORÇAMENTO!C$15,ROW(B16)-ROW(B$15),0)</f>
        <v>1</v>
      </c>
      <c r="C16" s="7" t="str">
        <f ca="1">OFFSET(ORÇAMENTO!L$15,ROW(C16)-ROW(C$15),0)</f>
        <v>F</v>
      </c>
      <c r="D16" s="117" t="str">
        <f ca="1">OFFSET(ORÇAMENTO!N$15,ROW(D16)-ROW(D$15),0)</f>
        <v>Meta</v>
      </c>
      <c r="E16" s="118" t="str">
        <f ca="1">OFFSET(ORÇAMENTO!O$15,ROW(E16)-ROW(E$15),0)</f>
        <v>1.</v>
      </c>
      <c r="F16" s="164" t="str">
        <f ca="1">OFFSET(ORÇAMENTO!R$15,ROW(F16)-ROW(F$15),0)</f>
        <v>REFORMA CASA DA CRIANÇA</v>
      </c>
      <c r="G16" s="165" t="str">
        <f ca="1">IF($D16&lt;&gt;"Serviço","",OFFSET(ORÇAMENTO!S$15,ROW(G16)-ROW(G$15),0))</f>
        <v/>
      </c>
      <c r="H16" s="123">
        <f ca="1">IF($D16&lt;&gt;"Serviço",0,IF(ACOMPANHAMENTO="BM",ROUND(OFFSET(ORÇAMENTO!AJ$15,ROW(H16)-ROW(H$15),0),15-13*ORÇAMENTO!$AF$7),SUMPRODUCT(($Q$1:$AA$1=1)*ROUND($Q16:$AA16,15-13*ORÇAMENTO!$AF$7))))</f>
        <v>0</v>
      </c>
      <c r="I16" s="469"/>
      <c r="J16" s="663" t="str">
        <f ca="1">IF(OR(B16&lt;&gt;"S",CÁLCULO.FrentesPreenchidas=0),"",IF(AND(ACOMPANHAMENTO="PLE",AUTOEVENTO="Manual",OR(H16&gt;0,ORÇAMENTO!AC16="QUANT."),OR(K16="",M16=0,N16="")),"►",IF(AND(ACOMPANHAMENTO="PLE",ORÇAMENTO!AC16="QUANT."),"►►",IF(AND(COUNTIF($P$11:$AA$11,"▼")=0,H16&gt;0,I16=""),"◄",""))))</f>
        <v/>
      </c>
      <c r="K16" s="664"/>
      <c r="L16" s="166" t="s">
        <v>765</v>
      </c>
      <c r="M16" s="167" t="str">
        <f ca="1">IF($D16&lt;&gt;"Serviço","",
          IF(AUTOEVENTO="manual",$A16,
                IF(ISERROR(MATCH($A16,$A$15:OFFSET($A16,-1,0),0)),MAX($M$15:OFFSET(M16,-1,0))+1,
                      INDEX($M$15:OFFSET(M16,-1,0),MATCH($A16,$A$15:OFFSET($A16,-1,0),0)))))</f>
        <v/>
      </c>
      <c r="N16" s="168" t="str">
        <f ca="1">IF($D16&lt;&gt;"Serviço","",
         IF(AUTOEVENTO="Manual",
                IF($A16=0,"&lt;-- defina o número do agrupador",
                       OFFSET(EVENTOS!$D$15,$A16-$A$15,0)),
                OFFSET($F$15,$A16,0)))</f>
        <v/>
      </c>
      <c r="O16" s="169"/>
      <c r="Q16" s="169"/>
      <c r="R16" s="170"/>
      <c r="S16" s="170"/>
      <c r="T16" s="170"/>
      <c r="U16" s="170"/>
      <c r="V16" s="170"/>
      <c r="W16" s="170"/>
      <c r="X16" s="170"/>
      <c r="Y16" s="170"/>
      <c r="Z16" s="171"/>
      <c r="AB16" s="454">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4">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4">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4">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4">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4">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4">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4">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4">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4">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2">
        <f ca="1">IF(OR($D16&lt;&gt;"Serviço",AND(AUTOEVENTO="Manual",$M16=$A$15)),0,
         IF(OFFSET(CRONOPLE!$F$15,$M16-$A$15,AM$13)=0,10^12,OFFSET(CRONOPLE!$F$15,$M16-$A$15,AM$13)))</f>
        <v>0</v>
      </c>
      <c r="AN16" s="172">
        <f ca="1">IF(OR($D16&lt;&gt;"Serviço",AND(AUTOEVENTO="Manual",$M16=$A$15)),0,
         IF(OFFSET(CRONOPLE!$F$15,$M16-$A$15,AN$13)=0,10^12,OFFSET(CRONOPLE!$F$15,$M16-$A$15,AN$13)))</f>
        <v>0</v>
      </c>
      <c r="AO16" s="172">
        <f ca="1">IF(OR($D16&lt;&gt;"Serviço",AND(AUTOEVENTO="Manual",$M16=$A$15)),0,
         IF(OFFSET(CRONOPLE!$F$15,$M16-$A$15,AO$13)=0,10^12,OFFSET(CRONOPLE!$F$15,$M16-$A$15,AO$13)))</f>
        <v>0</v>
      </c>
      <c r="AP16" s="172">
        <f ca="1">IF(OR($D16&lt;&gt;"Serviço",AND(AUTOEVENTO="Manual",$M16=$A$15)),0,
         IF(OFFSET(CRONOPLE!$F$15,$M16-$A$15,AP$13)=0,10^12,OFFSET(CRONOPLE!$F$15,$M16-$A$15,AP$13)))</f>
        <v>0</v>
      </c>
      <c r="AQ16" s="172">
        <f ca="1">IF(OR($D16&lt;&gt;"Serviço",AND(AUTOEVENTO="Manual",$M16=$A$15)),0,
         IF(OFFSET(CRONOPLE!$F$15,$M16-$A$15,AQ$13)=0,10^12,OFFSET(CRONOPLE!$F$15,$M16-$A$15,AQ$13)))</f>
        <v>0</v>
      </c>
      <c r="AR16" s="172">
        <f ca="1">IF(OR($D16&lt;&gt;"Serviço",AND(AUTOEVENTO="Manual",$M16=$A$15)),0,
         IF(OFFSET(CRONOPLE!$F$15,$M16-$A$15,AR$13)=0,10^12,OFFSET(CRONOPLE!$F$15,$M16-$A$15,AR$13)))</f>
        <v>0</v>
      </c>
      <c r="AS16" s="172">
        <f ca="1">IF(OR($D16&lt;&gt;"Serviço",AND(AUTOEVENTO="Manual",$M16=$A$15)),0,
         IF(OFFSET(CRONOPLE!$F$15,$M16-$A$15,AS$13)=0,10^12,OFFSET(CRONOPLE!$F$15,$M16-$A$15,AS$13)))</f>
        <v>0</v>
      </c>
      <c r="AT16" s="172">
        <f ca="1">IF(OR($D16&lt;&gt;"Serviço",AND(AUTOEVENTO="Manual",$M16=$A$15)),0,
         IF(OFFSET(CRONOPLE!$F$15,$M16-$A$15,AT$13)=0,10^12,OFFSET(CRONOPLE!$F$15,$M16-$A$15,AT$13)))</f>
        <v>0</v>
      </c>
      <c r="AU16" s="172">
        <f ca="1">IF(OR($D16&lt;&gt;"Serviço",AND(AUTOEVENTO="Manual",$M16=$A$15)),0,
         IF(OFFSET(CRONOPLE!$F$15,$M16-$A$15,AU$13)=0,10^12,OFFSET(CRONOPLE!$F$15,$M16-$A$15,AU$13)))</f>
        <v>0</v>
      </c>
      <c r="AV16" s="172">
        <f ca="1">IF(OR($D16&lt;&gt;"Serviço",AND(AUTOEVENTO="Manual",$M16=$A$15)),0,
         IF(OFFSET(CRONOPLE!$F$15,$M16-$A$15,AV$13)=0,10^12,OFFSET(CRONOPLE!$F$15,$M16-$A$15,AV$13)))</f>
        <v>0</v>
      </c>
      <c r="AX16" s="173">
        <f ca="1">IF(OR($D16&lt;&gt;"Serviço",AND(AUTOEVENTO="Manual",$M16=$A$15),$M16&gt;(ROW(PLE.lastrow)-ROW(PLE.firstrow))),0,
           IF(OFFSET(PLE!$G$15,$M16-$A$15,AX$13)="",10^12,OFFSET(PLE!$G$15,$M16-$A$15,AX$13)))</f>
        <v>0</v>
      </c>
      <c r="AY16" s="173">
        <f ca="1">IF(OR($D16&lt;&gt;"Serviço",AND(AUTOEVENTO="Manual",$M16=$A$15),$M16&gt;(ROW(PLE.lastrow)-ROW(PLE.firstrow))),0,
           IF(OFFSET(PLE!$G$15,$M16-$A$15,AY$13)="",10^12,OFFSET(PLE!$G$15,$M16-$A$15,AY$13)))</f>
        <v>0</v>
      </c>
      <c r="AZ16" s="173">
        <f ca="1">IF(OR($D16&lt;&gt;"Serviço",AND(AUTOEVENTO="Manual",$M16=$A$15),$M16&gt;(ROW(PLE.lastrow)-ROW(PLE.firstrow))),0,
           IF(OFFSET(PLE!$G$15,$M16-$A$15,AZ$13)="",10^12,OFFSET(PLE!$G$15,$M16-$A$15,AZ$13)))</f>
        <v>0</v>
      </c>
      <c r="BA16" s="173">
        <f ca="1">IF(OR($D16&lt;&gt;"Serviço",AND(AUTOEVENTO="Manual",$M16=$A$15),$M16&gt;(ROW(PLE.lastrow)-ROW(PLE.firstrow))),0,
           IF(OFFSET(PLE!$G$15,$M16-$A$15,BA$13)="",10^12,OFFSET(PLE!$G$15,$M16-$A$15,BA$13)))</f>
        <v>0</v>
      </c>
      <c r="BB16" s="173">
        <f ca="1">IF(OR($D16&lt;&gt;"Serviço",AND(AUTOEVENTO="Manual",$M16=$A$15),$M16&gt;(ROW(PLE.lastrow)-ROW(PLE.firstrow))),0,
           IF(OFFSET(PLE!$G$15,$M16-$A$15,BB$13)="",10^12,OFFSET(PLE!$G$15,$M16-$A$15,BB$13)))</f>
        <v>0</v>
      </c>
      <c r="BC16" s="173">
        <f ca="1">IF(OR($D16&lt;&gt;"Serviço",AND(AUTOEVENTO="Manual",$M16=$A$15),$M16&gt;(ROW(PLE.lastrow)-ROW(PLE.firstrow))),0,
           IF(OFFSET(PLE!$G$15,$M16-$A$15,BC$13)="",10^12,OFFSET(PLE!$G$15,$M16-$A$15,BC$13)))</f>
        <v>0</v>
      </c>
      <c r="BD16" s="173">
        <f ca="1">IF(OR($D16&lt;&gt;"Serviço",AND(AUTOEVENTO="Manual",$M16=$A$15),$M16&gt;(ROW(PLE.lastrow)-ROW(PLE.firstrow))),0,
           IF(OFFSET(PLE!$G$15,$M16-$A$15,BD$13)="",10^12,OFFSET(PLE!$G$15,$M16-$A$15,BD$13)))</f>
        <v>0</v>
      </c>
      <c r="BE16" s="173">
        <f ca="1">IF(OR($D16&lt;&gt;"Serviço",AND(AUTOEVENTO="Manual",$M16=$A$15),$M16&gt;(ROW(PLE.lastrow)-ROW(PLE.firstrow))),0,
           IF(OFFSET(PLE!$G$15,$M16-$A$15,BE$13)="",10^12,OFFSET(PLE!$G$15,$M16-$A$15,BE$13)))</f>
        <v>0</v>
      </c>
      <c r="BF16" s="173">
        <f ca="1">IF(OR($D16&lt;&gt;"Serviço",AND(AUTOEVENTO="Manual",$M16=$A$15),$M16&gt;(ROW(PLE.lastrow)-ROW(PLE.firstrow))),0,
           IF(OFFSET(PLE!$G$15,$M16-$A$15,BF$13)="",10^12,OFFSET(PLE!$G$15,$M16-$A$15,BF$13)))</f>
        <v>0</v>
      </c>
      <c r="BG16" s="173">
        <f ca="1">IF(OR($D16&lt;&gt;"Serviço",AND(AUTOEVENTO="Manual",$M16=$A$15),$M16&gt;(ROW(PLE.lastrow)-ROW(PLE.firstrow))),0,
           IF(OFFSET(PLE!$G$15,$M16-$A$15,BG$13)="",10^12,OFFSET(PLE!$G$15,$M16-$A$15,BG$13)))</f>
        <v>0</v>
      </c>
    </row>
    <row r="17" spans="1:59" ht="12.75" x14ac:dyDescent="0.2">
      <c r="A17" s="7" t="str">
        <f t="shared" ca="1" si="9"/>
        <v>2.</v>
      </c>
      <c r="B17" s="7">
        <f ca="1">OFFSET(ORÇAMENTO!C$15,ROW(B17)-ROW(B$15),0)</f>
        <v>2</v>
      </c>
      <c r="C17" s="7" t="str">
        <f ca="1">OFFSET(ORÇAMENTO!L$15,ROW(C17)-ROW(C$15),0)</f>
        <v>F</v>
      </c>
      <c r="D17" s="117" t="str">
        <f ca="1">OFFSET(ORÇAMENTO!N$15,ROW(D17)-ROW(D$15),0)</f>
        <v>Nível 2</v>
      </c>
      <c r="E17" s="118" t="str">
        <f ca="1">OFFSET(ORÇAMENTO!O$15,ROW(E17)-ROW(E$15),0)</f>
        <v>1.1.</v>
      </c>
      <c r="F17" s="164" t="str">
        <f ca="1">OFFSET(ORÇAMENTO!R$15,ROW(F17)-ROW(F$15),0)</f>
        <v>TROCA DE ESQUADRIAS</v>
      </c>
      <c r="G17" s="165" t="str">
        <f ca="1">IF($D17&lt;&gt;"Serviço","",OFFSET(ORÇAMENTO!S$15,ROW(G17)-ROW(G$15),0))</f>
        <v/>
      </c>
      <c r="H17" s="123">
        <f ca="1">IF($D17&lt;&gt;"Serviço",0,IF(ACOMPANHAMENTO="BM",ROUND(OFFSET(ORÇAMENTO!AJ$15,ROW(H17)-ROW(H$15),0),15-13*ORÇAMENTO!$AF$7),SUMPRODUCT(($Q$1:$AA$1=1)*ROUND($Q17:$AA17,15-13*ORÇAMENTO!$AF$7))))</f>
        <v>0</v>
      </c>
      <c r="I17" s="469"/>
      <c r="J17" s="663" t="str">
        <f ca="1">IF(OR(B17&lt;&gt;"S",CÁLCULO.FrentesPreenchidas=0),"",IF(AND(ACOMPANHAMENTO="PLE",AUTOEVENTO="Manual",OR(H17&gt;0,ORÇAMENTO!AC17="QUANT."),OR(K17="",M17=0,N17="")),"►",IF(AND(ACOMPANHAMENTO="PLE",ORÇAMENTO!AC17="QUANT."),"►►",IF(AND(COUNTIF($P$11:$AA$11,"▼")=0,H17&gt;0,I17=""),"◄",""))))</f>
        <v/>
      </c>
      <c r="K17" s="664"/>
      <c r="L17" s="166" t="s">
        <v>765</v>
      </c>
      <c r="M17" s="167" t="str">
        <f ca="1">IF($D17&lt;&gt;"Serviço","",
          IF(AUTOEVENTO="manual",$A17,
                IF(ISERROR(MATCH($A17,$A$15:OFFSET($A17,-1,0),0)),MAX($M$15:OFFSET(M17,-1,0))+1,
                      INDEX($M$15:OFFSET(M17,-1,0),MATCH($A17,$A$15:OFFSET($A17,-1,0),0)))))</f>
        <v/>
      </c>
      <c r="N17" s="168" t="str">
        <f ca="1">IF($D17&lt;&gt;"Serviço","",
         IF(AUTOEVENTO="Manual",
                IF($A17=0,"&lt;-- defina o número do agrupador",
                       OFFSET(EVENTOS!$D$15,$A17-$A$15,0)),
                OFFSET($F$15,$A17,0)))</f>
        <v/>
      </c>
      <c r="O17" s="169"/>
      <c r="Q17" s="169"/>
      <c r="R17" s="170"/>
      <c r="S17" s="170"/>
      <c r="T17" s="170"/>
      <c r="U17" s="170"/>
      <c r="V17" s="170"/>
      <c r="W17" s="170"/>
      <c r="X17" s="170"/>
      <c r="Y17" s="170"/>
      <c r="Z17" s="171"/>
      <c r="AB17" s="454">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4">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4">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4">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4">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4">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4">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4">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4">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4">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2">
        <f ca="1">IF(OR($D17&lt;&gt;"Serviço",AND(AUTOEVENTO="Manual",$M17=$A$15)),0,
         IF(OFFSET(CRONOPLE!$F$15,$M17-$A$15,AM$13)=0,10^12,OFFSET(CRONOPLE!$F$15,$M17-$A$15,AM$13)))</f>
        <v>0</v>
      </c>
      <c r="AN17" s="172">
        <f ca="1">IF(OR($D17&lt;&gt;"Serviço",AND(AUTOEVENTO="Manual",$M17=$A$15)),0,
         IF(OFFSET(CRONOPLE!$F$15,$M17-$A$15,AN$13)=0,10^12,OFFSET(CRONOPLE!$F$15,$M17-$A$15,AN$13)))</f>
        <v>0</v>
      </c>
      <c r="AO17" s="172">
        <f ca="1">IF(OR($D17&lt;&gt;"Serviço",AND(AUTOEVENTO="Manual",$M17=$A$15)),0,
         IF(OFFSET(CRONOPLE!$F$15,$M17-$A$15,AO$13)=0,10^12,OFFSET(CRONOPLE!$F$15,$M17-$A$15,AO$13)))</f>
        <v>0</v>
      </c>
      <c r="AP17" s="172">
        <f ca="1">IF(OR($D17&lt;&gt;"Serviço",AND(AUTOEVENTO="Manual",$M17=$A$15)),0,
         IF(OFFSET(CRONOPLE!$F$15,$M17-$A$15,AP$13)=0,10^12,OFFSET(CRONOPLE!$F$15,$M17-$A$15,AP$13)))</f>
        <v>0</v>
      </c>
      <c r="AQ17" s="172">
        <f ca="1">IF(OR($D17&lt;&gt;"Serviço",AND(AUTOEVENTO="Manual",$M17=$A$15)),0,
         IF(OFFSET(CRONOPLE!$F$15,$M17-$A$15,AQ$13)=0,10^12,OFFSET(CRONOPLE!$F$15,$M17-$A$15,AQ$13)))</f>
        <v>0</v>
      </c>
      <c r="AR17" s="172">
        <f ca="1">IF(OR($D17&lt;&gt;"Serviço",AND(AUTOEVENTO="Manual",$M17=$A$15)),0,
         IF(OFFSET(CRONOPLE!$F$15,$M17-$A$15,AR$13)=0,10^12,OFFSET(CRONOPLE!$F$15,$M17-$A$15,AR$13)))</f>
        <v>0</v>
      </c>
      <c r="AS17" s="172">
        <f ca="1">IF(OR($D17&lt;&gt;"Serviço",AND(AUTOEVENTO="Manual",$M17=$A$15)),0,
         IF(OFFSET(CRONOPLE!$F$15,$M17-$A$15,AS$13)=0,10^12,OFFSET(CRONOPLE!$F$15,$M17-$A$15,AS$13)))</f>
        <v>0</v>
      </c>
      <c r="AT17" s="172">
        <f ca="1">IF(OR($D17&lt;&gt;"Serviço",AND(AUTOEVENTO="Manual",$M17=$A$15)),0,
         IF(OFFSET(CRONOPLE!$F$15,$M17-$A$15,AT$13)=0,10^12,OFFSET(CRONOPLE!$F$15,$M17-$A$15,AT$13)))</f>
        <v>0</v>
      </c>
      <c r="AU17" s="172">
        <f ca="1">IF(OR($D17&lt;&gt;"Serviço",AND(AUTOEVENTO="Manual",$M17=$A$15)),0,
         IF(OFFSET(CRONOPLE!$F$15,$M17-$A$15,AU$13)=0,10^12,OFFSET(CRONOPLE!$F$15,$M17-$A$15,AU$13)))</f>
        <v>0</v>
      </c>
      <c r="AV17" s="172">
        <f ca="1">IF(OR($D17&lt;&gt;"Serviço",AND(AUTOEVENTO="Manual",$M17=$A$15)),0,
         IF(OFFSET(CRONOPLE!$F$15,$M17-$A$15,AV$13)=0,10^12,OFFSET(CRONOPLE!$F$15,$M17-$A$15,AV$13)))</f>
        <v>0</v>
      </c>
      <c r="AX17" s="173">
        <f ca="1">IF(OR($D17&lt;&gt;"Serviço",AND(AUTOEVENTO="Manual",$M17=$A$15),$M17&gt;(ROW(PLE.lastrow)-ROW(PLE.firstrow))),0,
           IF(OFFSET(PLE!$G$15,$M17-$A$15,AX$13)="",10^12,OFFSET(PLE!$G$15,$M17-$A$15,AX$13)))</f>
        <v>0</v>
      </c>
      <c r="AY17" s="173">
        <f ca="1">IF(OR($D17&lt;&gt;"Serviço",AND(AUTOEVENTO="Manual",$M17=$A$15),$M17&gt;(ROW(PLE.lastrow)-ROW(PLE.firstrow))),0,
           IF(OFFSET(PLE!$G$15,$M17-$A$15,AY$13)="",10^12,OFFSET(PLE!$G$15,$M17-$A$15,AY$13)))</f>
        <v>0</v>
      </c>
      <c r="AZ17" s="173">
        <f ca="1">IF(OR($D17&lt;&gt;"Serviço",AND(AUTOEVENTO="Manual",$M17=$A$15),$M17&gt;(ROW(PLE.lastrow)-ROW(PLE.firstrow))),0,
           IF(OFFSET(PLE!$G$15,$M17-$A$15,AZ$13)="",10^12,OFFSET(PLE!$G$15,$M17-$A$15,AZ$13)))</f>
        <v>0</v>
      </c>
      <c r="BA17" s="173">
        <f ca="1">IF(OR($D17&lt;&gt;"Serviço",AND(AUTOEVENTO="Manual",$M17=$A$15),$M17&gt;(ROW(PLE.lastrow)-ROW(PLE.firstrow))),0,
           IF(OFFSET(PLE!$G$15,$M17-$A$15,BA$13)="",10^12,OFFSET(PLE!$G$15,$M17-$A$15,BA$13)))</f>
        <v>0</v>
      </c>
      <c r="BB17" s="173">
        <f ca="1">IF(OR($D17&lt;&gt;"Serviço",AND(AUTOEVENTO="Manual",$M17=$A$15),$M17&gt;(ROW(PLE.lastrow)-ROW(PLE.firstrow))),0,
           IF(OFFSET(PLE!$G$15,$M17-$A$15,BB$13)="",10^12,OFFSET(PLE!$G$15,$M17-$A$15,BB$13)))</f>
        <v>0</v>
      </c>
      <c r="BC17" s="173">
        <f ca="1">IF(OR($D17&lt;&gt;"Serviço",AND(AUTOEVENTO="Manual",$M17=$A$15),$M17&gt;(ROW(PLE.lastrow)-ROW(PLE.firstrow))),0,
           IF(OFFSET(PLE!$G$15,$M17-$A$15,BC$13)="",10^12,OFFSET(PLE!$G$15,$M17-$A$15,BC$13)))</f>
        <v>0</v>
      </c>
      <c r="BD17" s="173">
        <f ca="1">IF(OR($D17&lt;&gt;"Serviço",AND(AUTOEVENTO="Manual",$M17=$A$15),$M17&gt;(ROW(PLE.lastrow)-ROW(PLE.firstrow))),0,
           IF(OFFSET(PLE!$G$15,$M17-$A$15,BD$13)="",10^12,OFFSET(PLE!$G$15,$M17-$A$15,BD$13)))</f>
        <v>0</v>
      </c>
      <c r="BE17" s="173">
        <f ca="1">IF(OR($D17&lt;&gt;"Serviço",AND(AUTOEVENTO="Manual",$M17=$A$15),$M17&gt;(ROW(PLE.lastrow)-ROW(PLE.firstrow))),0,
           IF(OFFSET(PLE!$G$15,$M17-$A$15,BE$13)="",10^12,OFFSET(PLE!$G$15,$M17-$A$15,BE$13)))</f>
        <v>0</v>
      </c>
      <c r="BF17" s="173">
        <f ca="1">IF(OR($D17&lt;&gt;"Serviço",AND(AUTOEVENTO="Manual",$M17=$A$15),$M17&gt;(ROW(PLE.lastrow)-ROW(PLE.firstrow))),0,
           IF(OFFSET(PLE!$G$15,$M17-$A$15,BF$13)="",10^12,OFFSET(PLE!$G$15,$M17-$A$15,BF$13)))</f>
        <v>0</v>
      </c>
      <c r="BG17" s="173">
        <f ca="1">IF(OR($D17&lt;&gt;"Serviço",AND(AUTOEVENTO="Manual",$M17=$A$15),$M17&gt;(ROW(PLE.lastrow)-ROW(PLE.firstrow))),0,
           IF(OFFSET(PLE!$G$15,$M17-$A$15,BG$13)="",10^12,OFFSET(PLE!$G$15,$M17-$A$15,BG$13)))</f>
        <v>0</v>
      </c>
    </row>
    <row r="18" spans="1:59" ht="51" x14ac:dyDescent="0.2">
      <c r="A18" s="7" t="str">
        <f t="shared" ca="1" si="9"/>
        <v>2</v>
      </c>
      <c r="B18" s="7" t="str">
        <f ca="1">OFFSET(ORÇAMENTO!C$15,ROW(B18)-ROW(B$15),0)</f>
        <v>S</v>
      </c>
      <c r="C18" s="7" t="str">
        <f ca="1">OFFSET(ORÇAMENTO!L$15,ROW(C18)-ROW(C$15),0)</f>
        <v>F</v>
      </c>
      <c r="D18" s="117" t="str">
        <f ca="1">OFFSET(ORÇAMENTO!N$15,ROW(D18)-ROW(D$15),0)</f>
        <v>Serviço</v>
      </c>
      <c r="E18" s="118" t="str">
        <f ca="1">OFFSET(ORÇAMENTO!O$15,ROW(E18)-ROW(E$15),0)</f>
        <v>1.1.1.</v>
      </c>
      <c r="F18" s="164" t="str">
        <f ca="1">OFFSET(ORÇAMENTO!R$15,ROW(F18)-ROW(F$15),0)</f>
        <v>ARGAMASSA TRAÇO 1:1,5:7,5 (EM VOLUME DE CIMENTO, CAL E AREIA MÉDIA ÚMIDA) PARA EMBOÇO/MASSA ÚNICA/ASSENTAMENTO DE ALVENARIA DE VEDAÇÃO, PREPARO MECÂNICO COM BETONEIRA ATÉ 600 L. AF_07/2026</v>
      </c>
      <c r="G18" s="165" t="str">
        <f ca="1">IF($D18&lt;&gt;"Serviço","",OFFSET(ORÇAMENTO!S$15,ROW(G18)-ROW(G$15),0))</f>
        <v>M3</v>
      </c>
      <c r="H18" s="123">
        <f ca="1">IF($D18&lt;&gt;"Serviço",0,IF(ACOMPANHAMENTO="BM",ROUND(OFFSET(ORÇAMENTO!AJ$15,ROW(H18)-ROW(H$15),0),15-13*ORÇAMENTO!$AF$7),SUMPRODUCT(($Q$1:$AA$1=1)*ROUND($Q18:$AA18,15-13*ORÇAMENTO!$AF$7))))</f>
        <v>3.95</v>
      </c>
      <c r="I18" s="469" t="s">
        <v>1009</v>
      </c>
      <c r="J18" s="663" t="str">
        <f ca="1">IF(OR(B18&lt;&gt;"S",CÁLCULO.FrentesPreenchidas=0),"",IF(AND(ACOMPANHAMENTO="PLE",AUTOEVENTO="Manual",OR(H18&gt;0,ORÇAMENTO!AC18="QUANT."),OR(K18="",M18=0,N18="")),"►",IF(AND(ACOMPANHAMENTO="PLE",ORÇAMENTO!AC18="QUANT."),"►►",IF(AND(COUNTIF($P$11:$AA$11,"▼")=0,H18&gt;0,I18=""),"◄",""))))</f>
        <v/>
      </c>
      <c r="K18" s="664"/>
      <c r="L18" s="166" t="s">
        <v>765</v>
      </c>
      <c r="M18" s="167">
        <f ca="1">IF($D18&lt;&gt;"Serviço","",
          IF(AUTOEVENTO="manual",$A18,
                IF(ISERROR(MATCH($A18,$A$15:OFFSET($A18,-1,0),0)),MAX($M$15:OFFSET(M18,-1,0))+1,
                      INDEX($M$15:OFFSET(M18,-1,0),MATCH($A18,$A$15:OFFSET($A18,-1,0),0)))))</f>
        <v>1</v>
      </c>
      <c r="N18" s="168" t="str">
        <f ca="1">IF($D18&lt;&gt;"Serviço","",
         IF(AUTOEVENTO="Manual",
                IF($A18=0,"&lt;-- defina o número do agrupador",
                       OFFSET(EVENTOS!$D$15,$A18-$A$15,0)),
                OFFSET($F$15,$A18,0)))</f>
        <v>TROCA DE ESQUADRIAS</v>
      </c>
      <c r="O18" s="169"/>
      <c r="Q18" s="169">
        <v>3.95</v>
      </c>
      <c r="R18" s="170"/>
      <c r="S18" s="170"/>
      <c r="T18" s="170"/>
      <c r="U18" s="170"/>
      <c r="V18" s="170"/>
      <c r="W18" s="170"/>
      <c r="X18" s="170"/>
      <c r="Y18" s="170"/>
      <c r="Z18" s="171"/>
      <c r="AB18" s="454">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2826.34</v>
      </c>
      <c r="AC18" s="454">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4">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4">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4">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4">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4">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4">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4">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4">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2">
        <f ca="1">IF(OR($D18&lt;&gt;"Serviço",AND(AUTOEVENTO="Manual",$M18=$A$15)),0,
         IF(OFFSET(CRONOPLE!$F$15,$M18-$A$15,AM$13)=0,10^12,OFFSET(CRONOPLE!$F$15,$M18-$A$15,AM$13)))</f>
        <v>2</v>
      </c>
      <c r="AN18" s="172">
        <f ca="1">IF(OR($D18&lt;&gt;"Serviço",AND(AUTOEVENTO="Manual",$M18=$A$15)),0,
         IF(OFFSET(CRONOPLE!$F$15,$M18-$A$15,AN$13)=0,10^12,OFFSET(CRONOPLE!$F$15,$M18-$A$15,AN$13)))</f>
        <v>1000000000000</v>
      </c>
      <c r="AO18" s="172">
        <f ca="1">IF(OR($D18&lt;&gt;"Serviço",AND(AUTOEVENTO="Manual",$M18=$A$15)),0,
         IF(OFFSET(CRONOPLE!$F$15,$M18-$A$15,AO$13)=0,10^12,OFFSET(CRONOPLE!$F$15,$M18-$A$15,AO$13)))</f>
        <v>1000000000000</v>
      </c>
      <c r="AP18" s="172">
        <f ca="1">IF(OR($D18&lt;&gt;"Serviço",AND(AUTOEVENTO="Manual",$M18=$A$15)),0,
         IF(OFFSET(CRONOPLE!$F$15,$M18-$A$15,AP$13)=0,10^12,OFFSET(CRONOPLE!$F$15,$M18-$A$15,AP$13)))</f>
        <v>1000000000000</v>
      </c>
      <c r="AQ18" s="172">
        <f ca="1">IF(OR($D18&lt;&gt;"Serviço",AND(AUTOEVENTO="Manual",$M18=$A$15)),0,
         IF(OFFSET(CRONOPLE!$F$15,$M18-$A$15,AQ$13)=0,10^12,OFFSET(CRONOPLE!$F$15,$M18-$A$15,AQ$13)))</f>
        <v>1000000000000</v>
      </c>
      <c r="AR18" s="172">
        <f ca="1">IF(OR($D18&lt;&gt;"Serviço",AND(AUTOEVENTO="Manual",$M18=$A$15)),0,
         IF(OFFSET(CRONOPLE!$F$15,$M18-$A$15,AR$13)=0,10^12,OFFSET(CRONOPLE!$F$15,$M18-$A$15,AR$13)))</f>
        <v>1000000000000</v>
      </c>
      <c r="AS18" s="172">
        <f ca="1">IF(OR($D18&lt;&gt;"Serviço",AND(AUTOEVENTO="Manual",$M18=$A$15)),0,
         IF(OFFSET(CRONOPLE!$F$15,$M18-$A$15,AS$13)=0,10^12,OFFSET(CRONOPLE!$F$15,$M18-$A$15,AS$13)))</f>
        <v>1000000000000</v>
      </c>
      <c r="AT18" s="172">
        <f ca="1">IF(OR($D18&lt;&gt;"Serviço",AND(AUTOEVENTO="Manual",$M18=$A$15)),0,
         IF(OFFSET(CRONOPLE!$F$15,$M18-$A$15,AT$13)=0,10^12,OFFSET(CRONOPLE!$F$15,$M18-$A$15,AT$13)))</f>
        <v>1000000000000</v>
      </c>
      <c r="AU18" s="172">
        <f ca="1">IF(OR($D18&lt;&gt;"Serviço",AND(AUTOEVENTO="Manual",$M18=$A$15)),0,
         IF(OFFSET(CRONOPLE!$F$15,$M18-$A$15,AU$13)=0,10^12,OFFSET(CRONOPLE!$F$15,$M18-$A$15,AU$13)))</f>
        <v>1000000000000</v>
      </c>
      <c r="AV18" s="172">
        <f ca="1">IF(OR($D18&lt;&gt;"Serviço",AND(AUTOEVENTO="Manual",$M18=$A$15)),0,
         IF(OFFSET(CRONOPLE!$F$15,$M18-$A$15,AV$13)=0,10^12,OFFSET(CRONOPLE!$F$15,$M18-$A$15,AV$13)))</f>
        <v>1000000000000</v>
      </c>
      <c r="AX18" s="173">
        <f ca="1">IF(OR($D18&lt;&gt;"Serviço",AND(AUTOEVENTO="Manual",$M18=$A$15),$M18&gt;(ROW(PLE.lastrow)-ROW(PLE.firstrow))),0,
           IF(OFFSET(PLE!$G$15,$M18-$A$15,AX$13)="",10^12,OFFSET(PLE!$G$15,$M18-$A$15,AX$13)))</f>
        <v>1000000000000</v>
      </c>
      <c r="AY18" s="173">
        <f ca="1">IF(OR($D18&lt;&gt;"Serviço",AND(AUTOEVENTO="Manual",$M18=$A$15),$M18&gt;(ROW(PLE.lastrow)-ROW(PLE.firstrow))),0,
           IF(OFFSET(PLE!$G$15,$M18-$A$15,AY$13)="",10^12,OFFSET(PLE!$G$15,$M18-$A$15,AY$13)))</f>
        <v>1000000000000</v>
      </c>
      <c r="AZ18" s="173">
        <f ca="1">IF(OR($D18&lt;&gt;"Serviço",AND(AUTOEVENTO="Manual",$M18=$A$15),$M18&gt;(ROW(PLE.lastrow)-ROW(PLE.firstrow))),0,
           IF(OFFSET(PLE!$G$15,$M18-$A$15,AZ$13)="",10^12,OFFSET(PLE!$G$15,$M18-$A$15,AZ$13)))</f>
        <v>1000000000000</v>
      </c>
      <c r="BA18" s="173">
        <f ca="1">IF(OR($D18&lt;&gt;"Serviço",AND(AUTOEVENTO="Manual",$M18=$A$15),$M18&gt;(ROW(PLE.lastrow)-ROW(PLE.firstrow))),0,
           IF(OFFSET(PLE!$G$15,$M18-$A$15,BA$13)="",10^12,OFFSET(PLE!$G$15,$M18-$A$15,BA$13)))</f>
        <v>1000000000000</v>
      </c>
      <c r="BB18" s="173">
        <f ca="1">IF(OR($D18&lt;&gt;"Serviço",AND(AUTOEVENTO="Manual",$M18=$A$15),$M18&gt;(ROW(PLE.lastrow)-ROW(PLE.firstrow))),0,
           IF(OFFSET(PLE!$G$15,$M18-$A$15,BB$13)="",10^12,OFFSET(PLE!$G$15,$M18-$A$15,BB$13)))</f>
        <v>1000000000000</v>
      </c>
      <c r="BC18" s="173">
        <f ca="1">IF(OR($D18&lt;&gt;"Serviço",AND(AUTOEVENTO="Manual",$M18=$A$15),$M18&gt;(ROW(PLE.lastrow)-ROW(PLE.firstrow))),0,
           IF(OFFSET(PLE!$G$15,$M18-$A$15,BC$13)="",10^12,OFFSET(PLE!$G$15,$M18-$A$15,BC$13)))</f>
        <v>1000000000000</v>
      </c>
      <c r="BD18" s="173">
        <f ca="1">IF(OR($D18&lt;&gt;"Serviço",AND(AUTOEVENTO="Manual",$M18=$A$15),$M18&gt;(ROW(PLE.lastrow)-ROW(PLE.firstrow))),0,
           IF(OFFSET(PLE!$G$15,$M18-$A$15,BD$13)="",10^12,OFFSET(PLE!$G$15,$M18-$A$15,BD$13)))</f>
        <v>1000000000000</v>
      </c>
      <c r="BE18" s="173">
        <f ca="1">IF(OR($D18&lt;&gt;"Serviço",AND(AUTOEVENTO="Manual",$M18=$A$15),$M18&gt;(ROW(PLE.lastrow)-ROW(PLE.firstrow))),0,
           IF(OFFSET(PLE!$G$15,$M18-$A$15,BE$13)="",10^12,OFFSET(PLE!$G$15,$M18-$A$15,BE$13)))</f>
        <v>1000000000000</v>
      </c>
      <c r="BF18" s="173">
        <f ca="1">IF(OR($D18&lt;&gt;"Serviço",AND(AUTOEVENTO="Manual",$M18=$A$15),$M18&gt;(ROW(PLE.lastrow)-ROW(PLE.firstrow))),0,
           IF(OFFSET(PLE!$G$15,$M18-$A$15,BF$13)="",10^12,OFFSET(PLE!$G$15,$M18-$A$15,BF$13)))</f>
        <v>1000000000000</v>
      </c>
      <c r="BG18" s="173">
        <f ca="1">IF(OR($D18&lt;&gt;"Serviço",AND(AUTOEVENTO="Manual",$M18=$A$15),$M18&gt;(ROW(PLE.lastrow)-ROW(PLE.firstrow))),0,
           IF(OFFSET(PLE!$G$15,$M18-$A$15,BG$13)="",10^12,OFFSET(PLE!$G$15,$M18-$A$15,BG$13)))</f>
        <v>1000000000000</v>
      </c>
    </row>
    <row r="19" spans="1:59" ht="25.5" x14ac:dyDescent="0.2">
      <c r="A19" s="7" t="str">
        <f t="shared" ca="1" si="9"/>
        <v>2</v>
      </c>
      <c r="B19" s="7" t="str">
        <f ca="1">OFFSET(ORÇAMENTO!C$15,ROW(B19)-ROW(B$15),0)</f>
        <v>S</v>
      </c>
      <c r="C19" s="7" t="str">
        <f ca="1">OFFSET(ORÇAMENTO!L$15,ROW(C19)-ROW(C$15),0)</f>
        <v>F</v>
      </c>
      <c r="D19" s="117" t="str">
        <f ca="1">OFFSET(ORÇAMENTO!N$15,ROW(D19)-ROW(D$15),0)</f>
        <v>Serviço</v>
      </c>
      <c r="E19" s="118" t="str">
        <f ca="1">OFFSET(ORÇAMENTO!O$15,ROW(E19)-ROW(E$15),0)</f>
        <v>1.1.2.</v>
      </c>
      <c r="F19" s="164" t="str">
        <f ca="1">OFFSET(ORÇAMENTO!R$15,ROW(F19)-ROW(F$15),0)</f>
        <v>CARPINTEIRO DE ESQUADRIAS COM ENCARGOS COMPLEMENTARES</v>
      </c>
      <c r="G19" s="165" t="str">
        <f ca="1">IF($D19&lt;&gt;"Serviço","",OFFSET(ORÇAMENTO!S$15,ROW(G19)-ROW(G$15),0))</f>
        <v>H</v>
      </c>
      <c r="H19" s="123">
        <f ca="1">IF($D19&lt;&gt;"Serviço",0,IF(ACOMPANHAMENTO="BM",ROUND(OFFSET(ORÇAMENTO!AJ$15,ROW(H19)-ROW(H$15),0),15-13*ORÇAMENTO!$AF$7),SUMPRODUCT(($Q$1:$AA$1=1)*ROUND($Q19:$AA19,15-13*ORÇAMENTO!$AF$7))))</f>
        <v>80</v>
      </c>
      <c r="I19" s="469" t="s">
        <v>1008</v>
      </c>
      <c r="J19" s="663" t="str">
        <f ca="1">IF(OR(B19&lt;&gt;"S",CÁLCULO.FrentesPreenchidas=0),"",IF(AND(ACOMPANHAMENTO="PLE",AUTOEVENTO="Manual",OR(H19&gt;0,ORÇAMENTO!AC19="QUANT."),OR(K19="",M19=0,N19="")),"►",IF(AND(ACOMPANHAMENTO="PLE",ORÇAMENTO!AC19="QUANT."),"►►",IF(AND(COUNTIF($P$11:$AA$11,"▼")=0,H19&gt;0,I19=""),"◄",""))))</f>
        <v/>
      </c>
      <c r="K19" s="664"/>
      <c r="L19" s="166" t="s">
        <v>765</v>
      </c>
      <c r="M19" s="167">
        <f ca="1">IF($D19&lt;&gt;"Serviço","",
          IF(AUTOEVENTO="manual",$A19,
                IF(ISERROR(MATCH($A19,$A$15:OFFSET($A19,-1,0),0)),MAX($M$15:OFFSET(M19,-1,0))+1,
                      INDEX($M$15:OFFSET(M19,-1,0),MATCH($A19,$A$15:OFFSET($A19,-1,0),0)))))</f>
        <v>1</v>
      </c>
      <c r="N19" s="168" t="str">
        <f ca="1">IF($D19&lt;&gt;"Serviço","",
         IF(AUTOEVENTO="Manual",
                IF($A19=0,"&lt;-- defina o número do agrupador",
                       OFFSET(EVENTOS!$D$15,$A19-$A$15,0)),
                OFFSET($F$15,$A19,0)))</f>
        <v>TROCA DE ESQUADRIAS</v>
      </c>
      <c r="O19" s="169"/>
      <c r="Q19" s="169">
        <v>80</v>
      </c>
      <c r="R19" s="170"/>
      <c r="S19" s="170"/>
      <c r="T19" s="170"/>
      <c r="U19" s="170"/>
      <c r="V19" s="170"/>
      <c r="W19" s="170"/>
      <c r="X19" s="170"/>
      <c r="Y19" s="170"/>
      <c r="Z19" s="171"/>
      <c r="AB19" s="454">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2509.6</v>
      </c>
      <c r="AC19" s="454">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4">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4">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4">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4">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4">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4">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4">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4">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2">
        <f ca="1">IF(OR($D19&lt;&gt;"Serviço",AND(AUTOEVENTO="Manual",$M19=$A$15)),0,
         IF(OFFSET(CRONOPLE!$F$15,$M19-$A$15,AM$13)=0,10^12,OFFSET(CRONOPLE!$F$15,$M19-$A$15,AM$13)))</f>
        <v>2</v>
      </c>
      <c r="AN19" s="172">
        <f ca="1">IF(OR($D19&lt;&gt;"Serviço",AND(AUTOEVENTO="Manual",$M19=$A$15)),0,
         IF(OFFSET(CRONOPLE!$F$15,$M19-$A$15,AN$13)=0,10^12,OFFSET(CRONOPLE!$F$15,$M19-$A$15,AN$13)))</f>
        <v>1000000000000</v>
      </c>
      <c r="AO19" s="172">
        <f ca="1">IF(OR($D19&lt;&gt;"Serviço",AND(AUTOEVENTO="Manual",$M19=$A$15)),0,
         IF(OFFSET(CRONOPLE!$F$15,$M19-$A$15,AO$13)=0,10^12,OFFSET(CRONOPLE!$F$15,$M19-$A$15,AO$13)))</f>
        <v>1000000000000</v>
      </c>
      <c r="AP19" s="172">
        <f ca="1">IF(OR($D19&lt;&gt;"Serviço",AND(AUTOEVENTO="Manual",$M19=$A$15)),0,
         IF(OFFSET(CRONOPLE!$F$15,$M19-$A$15,AP$13)=0,10^12,OFFSET(CRONOPLE!$F$15,$M19-$A$15,AP$13)))</f>
        <v>1000000000000</v>
      </c>
      <c r="AQ19" s="172">
        <f ca="1">IF(OR($D19&lt;&gt;"Serviço",AND(AUTOEVENTO="Manual",$M19=$A$15)),0,
         IF(OFFSET(CRONOPLE!$F$15,$M19-$A$15,AQ$13)=0,10^12,OFFSET(CRONOPLE!$F$15,$M19-$A$15,AQ$13)))</f>
        <v>1000000000000</v>
      </c>
      <c r="AR19" s="172">
        <f ca="1">IF(OR($D19&lt;&gt;"Serviço",AND(AUTOEVENTO="Manual",$M19=$A$15)),0,
         IF(OFFSET(CRONOPLE!$F$15,$M19-$A$15,AR$13)=0,10^12,OFFSET(CRONOPLE!$F$15,$M19-$A$15,AR$13)))</f>
        <v>1000000000000</v>
      </c>
      <c r="AS19" s="172">
        <f ca="1">IF(OR($D19&lt;&gt;"Serviço",AND(AUTOEVENTO="Manual",$M19=$A$15)),0,
         IF(OFFSET(CRONOPLE!$F$15,$M19-$A$15,AS$13)=0,10^12,OFFSET(CRONOPLE!$F$15,$M19-$A$15,AS$13)))</f>
        <v>1000000000000</v>
      </c>
      <c r="AT19" s="172">
        <f ca="1">IF(OR($D19&lt;&gt;"Serviço",AND(AUTOEVENTO="Manual",$M19=$A$15)),0,
         IF(OFFSET(CRONOPLE!$F$15,$M19-$A$15,AT$13)=0,10^12,OFFSET(CRONOPLE!$F$15,$M19-$A$15,AT$13)))</f>
        <v>1000000000000</v>
      </c>
      <c r="AU19" s="172">
        <f ca="1">IF(OR($D19&lt;&gt;"Serviço",AND(AUTOEVENTO="Manual",$M19=$A$15)),0,
         IF(OFFSET(CRONOPLE!$F$15,$M19-$A$15,AU$13)=0,10^12,OFFSET(CRONOPLE!$F$15,$M19-$A$15,AU$13)))</f>
        <v>1000000000000</v>
      </c>
      <c r="AV19" s="172">
        <f ca="1">IF(OR($D19&lt;&gt;"Serviço",AND(AUTOEVENTO="Manual",$M19=$A$15)),0,
         IF(OFFSET(CRONOPLE!$F$15,$M19-$A$15,AV$13)=0,10^12,OFFSET(CRONOPLE!$F$15,$M19-$A$15,AV$13)))</f>
        <v>1000000000000</v>
      </c>
      <c r="AX19" s="173">
        <f ca="1">IF(OR($D19&lt;&gt;"Serviço",AND(AUTOEVENTO="Manual",$M19=$A$15),$M19&gt;(ROW(PLE.lastrow)-ROW(PLE.firstrow))),0,
           IF(OFFSET(PLE!$G$15,$M19-$A$15,AX$13)="",10^12,OFFSET(PLE!$G$15,$M19-$A$15,AX$13)))</f>
        <v>1000000000000</v>
      </c>
      <c r="AY19" s="173">
        <f ca="1">IF(OR($D19&lt;&gt;"Serviço",AND(AUTOEVENTO="Manual",$M19=$A$15),$M19&gt;(ROW(PLE.lastrow)-ROW(PLE.firstrow))),0,
           IF(OFFSET(PLE!$G$15,$M19-$A$15,AY$13)="",10^12,OFFSET(PLE!$G$15,$M19-$A$15,AY$13)))</f>
        <v>1000000000000</v>
      </c>
      <c r="AZ19" s="173">
        <f ca="1">IF(OR($D19&lt;&gt;"Serviço",AND(AUTOEVENTO="Manual",$M19=$A$15),$M19&gt;(ROW(PLE.lastrow)-ROW(PLE.firstrow))),0,
           IF(OFFSET(PLE!$G$15,$M19-$A$15,AZ$13)="",10^12,OFFSET(PLE!$G$15,$M19-$A$15,AZ$13)))</f>
        <v>1000000000000</v>
      </c>
      <c r="BA19" s="173">
        <f ca="1">IF(OR($D19&lt;&gt;"Serviço",AND(AUTOEVENTO="Manual",$M19=$A$15),$M19&gt;(ROW(PLE.lastrow)-ROW(PLE.firstrow))),0,
           IF(OFFSET(PLE!$G$15,$M19-$A$15,BA$13)="",10^12,OFFSET(PLE!$G$15,$M19-$A$15,BA$13)))</f>
        <v>1000000000000</v>
      </c>
      <c r="BB19" s="173">
        <f ca="1">IF(OR($D19&lt;&gt;"Serviço",AND(AUTOEVENTO="Manual",$M19=$A$15),$M19&gt;(ROW(PLE.lastrow)-ROW(PLE.firstrow))),0,
           IF(OFFSET(PLE!$G$15,$M19-$A$15,BB$13)="",10^12,OFFSET(PLE!$G$15,$M19-$A$15,BB$13)))</f>
        <v>1000000000000</v>
      </c>
      <c r="BC19" s="173">
        <f ca="1">IF(OR($D19&lt;&gt;"Serviço",AND(AUTOEVENTO="Manual",$M19=$A$15),$M19&gt;(ROW(PLE.lastrow)-ROW(PLE.firstrow))),0,
           IF(OFFSET(PLE!$G$15,$M19-$A$15,BC$13)="",10^12,OFFSET(PLE!$G$15,$M19-$A$15,BC$13)))</f>
        <v>1000000000000</v>
      </c>
      <c r="BD19" s="173">
        <f ca="1">IF(OR($D19&lt;&gt;"Serviço",AND(AUTOEVENTO="Manual",$M19=$A$15),$M19&gt;(ROW(PLE.lastrow)-ROW(PLE.firstrow))),0,
           IF(OFFSET(PLE!$G$15,$M19-$A$15,BD$13)="",10^12,OFFSET(PLE!$G$15,$M19-$A$15,BD$13)))</f>
        <v>1000000000000</v>
      </c>
      <c r="BE19" s="173">
        <f ca="1">IF(OR($D19&lt;&gt;"Serviço",AND(AUTOEVENTO="Manual",$M19=$A$15),$M19&gt;(ROW(PLE.lastrow)-ROW(PLE.firstrow))),0,
           IF(OFFSET(PLE!$G$15,$M19-$A$15,BE$13)="",10^12,OFFSET(PLE!$G$15,$M19-$A$15,BE$13)))</f>
        <v>1000000000000</v>
      </c>
      <c r="BF19" s="173">
        <f ca="1">IF(OR($D19&lt;&gt;"Serviço",AND(AUTOEVENTO="Manual",$M19=$A$15),$M19&gt;(ROW(PLE.lastrow)-ROW(PLE.firstrow))),0,
           IF(OFFSET(PLE!$G$15,$M19-$A$15,BF$13)="",10^12,OFFSET(PLE!$G$15,$M19-$A$15,BF$13)))</f>
        <v>1000000000000</v>
      </c>
      <c r="BG19" s="173">
        <f ca="1">IF(OR($D19&lt;&gt;"Serviço",AND(AUTOEVENTO="Manual",$M19=$A$15),$M19&gt;(ROW(PLE.lastrow)-ROW(PLE.firstrow))),0,
           IF(OFFSET(PLE!$G$15,$M19-$A$15,BG$13)="",10^12,OFFSET(PLE!$G$15,$M19-$A$15,BG$13)))</f>
        <v>1000000000000</v>
      </c>
    </row>
    <row r="20" spans="1:59" ht="25.5" x14ac:dyDescent="0.2">
      <c r="A20" s="7" t="str">
        <f t="shared" ca="1" si="9"/>
        <v>2</v>
      </c>
      <c r="B20" s="7" t="str">
        <f ca="1">OFFSET(ORÇAMENTO!C$15,ROW(B20)-ROW(B$15),0)</f>
        <v>S</v>
      </c>
      <c r="C20" s="7" t="str">
        <f ca="1">OFFSET(ORÇAMENTO!L$15,ROW(C20)-ROW(C$15),0)</f>
        <v>F</v>
      </c>
      <c r="D20" s="117" t="str">
        <f ca="1">OFFSET(ORÇAMENTO!N$15,ROW(D20)-ROW(D$15),0)</f>
        <v>Serviço</v>
      </c>
      <c r="E20" s="118" t="str">
        <f ca="1">OFFSET(ORÇAMENTO!O$15,ROW(E20)-ROW(E$15),0)</f>
        <v>1.1.3.</v>
      </c>
      <c r="F20" s="164" t="str">
        <f ca="1">OFFSET(ORÇAMENTO!R$15,ROW(F20)-ROW(F$15),0)</f>
        <v>REMOÇÃO DE JANELAS, DE FORMA MANUAL, SEM REAPROVEITAMENTO. AF_09/2023</v>
      </c>
      <c r="G20" s="165" t="str">
        <f ca="1">IF($D20&lt;&gt;"Serviço","",OFFSET(ORÇAMENTO!S$15,ROW(G20)-ROW(G$15),0))</f>
        <v>M2</v>
      </c>
      <c r="H20" s="123">
        <f ca="1">IF($D20&lt;&gt;"Serviço",0,IF(ACOMPANHAMENTO="BM",ROUND(OFFSET(ORÇAMENTO!AJ$15,ROW(H20)-ROW(H$15),0),15-13*ORÇAMENTO!$AF$7),SUMPRODUCT(($Q$1:$AA$1=1)*ROUND($Q20:$AA20,15-13*ORÇAMENTO!$AF$7))))</f>
        <v>24</v>
      </c>
      <c r="I20" s="469" t="s">
        <v>1005</v>
      </c>
      <c r="J20" s="663" t="str">
        <f ca="1">IF(OR(B20&lt;&gt;"S",CÁLCULO.FrentesPreenchidas=0),"",IF(AND(ACOMPANHAMENTO="PLE",AUTOEVENTO="Manual",OR(H20&gt;0,ORÇAMENTO!AC20="QUANT."),OR(K20="",M20=0,N20="")),"►",IF(AND(ACOMPANHAMENTO="PLE",ORÇAMENTO!AC20="QUANT."),"►►",IF(AND(COUNTIF($P$11:$AA$11,"▼")=0,H20&gt;0,I20=""),"◄",""))))</f>
        <v/>
      </c>
      <c r="K20" s="664"/>
      <c r="L20" s="166" t="s">
        <v>765</v>
      </c>
      <c r="M20" s="167">
        <f ca="1">IF($D20&lt;&gt;"Serviço","",
          IF(AUTOEVENTO="manual",$A20,
                IF(ISERROR(MATCH($A20,$A$15:OFFSET($A20,-1,0),0)),MAX($M$15:OFFSET(M20,-1,0))+1,
                      INDEX($M$15:OFFSET(M20,-1,0),MATCH($A20,$A$15:OFFSET($A20,-1,0),0)))))</f>
        <v>1</v>
      </c>
      <c r="N20" s="168" t="str">
        <f ca="1">IF($D20&lt;&gt;"Serviço","",
         IF(AUTOEVENTO="Manual",
                IF($A20=0,"&lt;-- defina o número do agrupador",
                       OFFSET(EVENTOS!$D$15,$A20-$A$15,0)),
                OFFSET($F$15,$A20,0)))</f>
        <v>TROCA DE ESQUADRIAS</v>
      </c>
      <c r="O20" s="169"/>
      <c r="Q20" s="169">
        <v>24</v>
      </c>
      <c r="R20" s="170"/>
      <c r="S20" s="170"/>
      <c r="T20" s="170"/>
      <c r="U20" s="170"/>
      <c r="V20" s="170"/>
      <c r="W20" s="170"/>
      <c r="X20" s="170"/>
      <c r="Y20" s="170"/>
      <c r="Z20" s="171"/>
      <c r="AB20" s="454">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757.44</v>
      </c>
      <c r="AC20" s="454">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4">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4">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4">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4">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4">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4">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4">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4">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2">
        <f ca="1">IF(OR($D20&lt;&gt;"Serviço",AND(AUTOEVENTO="Manual",$M20=$A$15)),0,
         IF(OFFSET(CRONOPLE!$F$15,$M20-$A$15,AM$13)=0,10^12,OFFSET(CRONOPLE!$F$15,$M20-$A$15,AM$13)))</f>
        <v>2</v>
      </c>
      <c r="AN20" s="172">
        <f ca="1">IF(OR($D20&lt;&gt;"Serviço",AND(AUTOEVENTO="Manual",$M20=$A$15)),0,
         IF(OFFSET(CRONOPLE!$F$15,$M20-$A$15,AN$13)=0,10^12,OFFSET(CRONOPLE!$F$15,$M20-$A$15,AN$13)))</f>
        <v>1000000000000</v>
      </c>
      <c r="AO20" s="172">
        <f ca="1">IF(OR($D20&lt;&gt;"Serviço",AND(AUTOEVENTO="Manual",$M20=$A$15)),0,
         IF(OFFSET(CRONOPLE!$F$15,$M20-$A$15,AO$13)=0,10^12,OFFSET(CRONOPLE!$F$15,$M20-$A$15,AO$13)))</f>
        <v>1000000000000</v>
      </c>
      <c r="AP20" s="172">
        <f ca="1">IF(OR($D20&lt;&gt;"Serviço",AND(AUTOEVENTO="Manual",$M20=$A$15)),0,
         IF(OFFSET(CRONOPLE!$F$15,$M20-$A$15,AP$13)=0,10^12,OFFSET(CRONOPLE!$F$15,$M20-$A$15,AP$13)))</f>
        <v>1000000000000</v>
      </c>
      <c r="AQ20" s="172">
        <f ca="1">IF(OR($D20&lt;&gt;"Serviço",AND(AUTOEVENTO="Manual",$M20=$A$15)),0,
         IF(OFFSET(CRONOPLE!$F$15,$M20-$A$15,AQ$13)=0,10^12,OFFSET(CRONOPLE!$F$15,$M20-$A$15,AQ$13)))</f>
        <v>1000000000000</v>
      </c>
      <c r="AR20" s="172">
        <f ca="1">IF(OR($D20&lt;&gt;"Serviço",AND(AUTOEVENTO="Manual",$M20=$A$15)),0,
         IF(OFFSET(CRONOPLE!$F$15,$M20-$A$15,AR$13)=0,10^12,OFFSET(CRONOPLE!$F$15,$M20-$A$15,AR$13)))</f>
        <v>1000000000000</v>
      </c>
      <c r="AS20" s="172">
        <f ca="1">IF(OR($D20&lt;&gt;"Serviço",AND(AUTOEVENTO="Manual",$M20=$A$15)),0,
         IF(OFFSET(CRONOPLE!$F$15,$M20-$A$15,AS$13)=0,10^12,OFFSET(CRONOPLE!$F$15,$M20-$A$15,AS$13)))</f>
        <v>1000000000000</v>
      </c>
      <c r="AT20" s="172">
        <f ca="1">IF(OR($D20&lt;&gt;"Serviço",AND(AUTOEVENTO="Manual",$M20=$A$15)),0,
         IF(OFFSET(CRONOPLE!$F$15,$M20-$A$15,AT$13)=0,10^12,OFFSET(CRONOPLE!$F$15,$M20-$A$15,AT$13)))</f>
        <v>1000000000000</v>
      </c>
      <c r="AU20" s="172">
        <f ca="1">IF(OR($D20&lt;&gt;"Serviço",AND(AUTOEVENTO="Manual",$M20=$A$15)),0,
         IF(OFFSET(CRONOPLE!$F$15,$M20-$A$15,AU$13)=0,10^12,OFFSET(CRONOPLE!$F$15,$M20-$A$15,AU$13)))</f>
        <v>1000000000000</v>
      </c>
      <c r="AV20" s="172">
        <f ca="1">IF(OR($D20&lt;&gt;"Serviço",AND(AUTOEVENTO="Manual",$M20=$A$15)),0,
         IF(OFFSET(CRONOPLE!$F$15,$M20-$A$15,AV$13)=0,10^12,OFFSET(CRONOPLE!$F$15,$M20-$A$15,AV$13)))</f>
        <v>1000000000000</v>
      </c>
      <c r="AX20" s="173">
        <f ca="1">IF(OR($D20&lt;&gt;"Serviço",AND(AUTOEVENTO="Manual",$M20=$A$15),$M20&gt;(ROW(PLE.lastrow)-ROW(PLE.firstrow))),0,
           IF(OFFSET(PLE!$G$15,$M20-$A$15,AX$13)="",10^12,OFFSET(PLE!$G$15,$M20-$A$15,AX$13)))</f>
        <v>1000000000000</v>
      </c>
      <c r="AY20" s="173">
        <f ca="1">IF(OR($D20&lt;&gt;"Serviço",AND(AUTOEVENTO="Manual",$M20=$A$15),$M20&gt;(ROW(PLE.lastrow)-ROW(PLE.firstrow))),0,
           IF(OFFSET(PLE!$G$15,$M20-$A$15,AY$13)="",10^12,OFFSET(PLE!$G$15,$M20-$A$15,AY$13)))</f>
        <v>1000000000000</v>
      </c>
      <c r="AZ20" s="173">
        <f ca="1">IF(OR($D20&lt;&gt;"Serviço",AND(AUTOEVENTO="Manual",$M20=$A$15),$M20&gt;(ROW(PLE.lastrow)-ROW(PLE.firstrow))),0,
           IF(OFFSET(PLE!$G$15,$M20-$A$15,AZ$13)="",10^12,OFFSET(PLE!$G$15,$M20-$A$15,AZ$13)))</f>
        <v>1000000000000</v>
      </c>
      <c r="BA20" s="173">
        <f ca="1">IF(OR($D20&lt;&gt;"Serviço",AND(AUTOEVENTO="Manual",$M20=$A$15),$M20&gt;(ROW(PLE.lastrow)-ROW(PLE.firstrow))),0,
           IF(OFFSET(PLE!$G$15,$M20-$A$15,BA$13)="",10^12,OFFSET(PLE!$G$15,$M20-$A$15,BA$13)))</f>
        <v>1000000000000</v>
      </c>
      <c r="BB20" s="173">
        <f ca="1">IF(OR($D20&lt;&gt;"Serviço",AND(AUTOEVENTO="Manual",$M20=$A$15),$M20&gt;(ROW(PLE.lastrow)-ROW(PLE.firstrow))),0,
           IF(OFFSET(PLE!$G$15,$M20-$A$15,BB$13)="",10^12,OFFSET(PLE!$G$15,$M20-$A$15,BB$13)))</f>
        <v>1000000000000</v>
      </c>
      <c r="BC20" s="173">
        <f ca="1">IF(OR($D20&lt;&gt;"Serviço",AND(AUTOEVENTO="Manual",$M20=$A$15),$M20&gt;(ROW(PLE.lastrow)-ROW(PLE.firstrow))),0,
           IF(OFFSET(PLE!$G$15,$M20-$A$15,BC$13)="",10^12,OFFSET(PLE!$G$15,$M20-$A$15,BC$13)))</f>
        <v>1000000000000</v>
      </c>
      <c r="BD20" s="173">
        <f ca="1">IF(OR($D20&lt;&gt;"Serviço",AND(AUTOEVENTO="Manual",$M20=$A$15),$M20&gt;(ROW(PLE.lastrow)-ROW(PLE.firstrow))),0,
           IF(OFFSET(PLE!$G$15,$M20-$A$15,BD$13)="",10^12,OFFSET(PLE!$G$15,$M20-$A$15,BD$13)))</f>
        <v>1000000000000</v>
      </c>
      <c r="BE20" s="173">
        <f ca="1">IF(OR($D20&lt;&gt;"Serviço",AND(AUTOEVENTO="Manual",$M20=$A$15),$M20&gt;(ROW(PLE.lastrow)-ROW(PLE.firstrow))),0,
           IF(OFFSET(PLE!$G$15,$M20-$A$15,BE$13)="",10^12,OFFSET(PLE!$G$15,$M20-$A$15,BE$13)))</f>
        <v>1000000000000</v>
      </c>
      <c r="BF20" s="173">
        <f ca="1">IF(OR($D20&lt;&gt;"Serviço",AND(AUTOEVENTO="Manual",$M20=$A$15),$M20&gt;(ROW(PLE.lastrow)-ROW(PLE.firstrow))),0,
           IF(OFFSET(PLE!$G$15,$M20-$A$15,BF$13)="",10^12,OFFSET(PLE!$G$15,$M20-$A$15,BF$13)))</f>
        <v>1000000000000</v>
      </c>
      <c r="BG20" s="173">
        <f ca="1">IF(OR($D20&lt;&gt;"Serviço",AND(AUTOEVENTO="Manual",$M20=$A$15),$M20&gt;(ROW(PLE.lastrow)-ROW(PLE.firstrow))),0,
           IF(OFFSET(PLE!$G$15,$M20-$A$15,BG$13)="",10^12,OFFSET(PLE!$G$15,$M20-$A$15,BG$13)))</f>
        <v>1000000000000</v>
      </c>
    </row>
    <row r="21" spans="1:59" ht="25.5" x14ac:dyDescent="0.2">
      <c r="A21" s="7" t="str">
        <f t="shared" ca="1" si="9"/>
        <v>2</v>
      </c>
      <c r="B21" s="7" t="str">
        <f ca="1">OFFSET(ORÇAMENTO!C$15,ROW(B21)-ROW(B$15),0)</f>
        <v>S</v>
      </c>
      <c r="C21" s="7" t="str">
        <f ca="1">OFFSET(ORÇAMENTO!L$15,ROW(C21)-ROW(C$15),0)</f>
        <v>F</v>
      </c>
      <c r="D21" s="117" t="str">
        <f ca="1">OFFSET(ORÇAMENTO!N$15,ROW(D21)-ROW(D$15),0)</f>
        <v>Serviço</v>
      </c>
      <c r="E21" s="118" t="str">
        <f ca="1">OFFSET(ORÇAMENTO!O$15,ROW(E21)-ROW(E$15),0)</f>
        <v>1.1.4.</v>
      </c>
      <c r="F21" s="164" t="str">
        <f ca="1">OFFSET(ORÇAMENTO!R$15,ROW(F21)-ROW(F$15),0)</f>
        <v>REMOÇÃO DE PORTAS, DE FORMA MANUAL, SEM REAPROVEITAMENTO. AF_09/2023</v>
      </c>
      <c r="G21" s="165" t="str">
        <f ca="1">IF($D21&lt;&gt;"Serviço","",OFFSET(ORÇAMENTO!S$15,ROW(G21)-ROW(G$15),0))</f>
        <v>M2</v>
      </c>
      <c r="H21" s="123">
        <f ca="1">IF($D21&lt;&gt;"Serviço",0,IF(ACOMPANHAMENTO="BM",ROUND(OFFSET(ORÇAMENTO!AJ$15,ROW(H21)-ROW(H$15),0),15-13*ORÇAMENTO!$AF$7),SUMPRODUCT(($Q$1:$AA$1=1)*ROUND($Q21:$AA21,15-13*ORÇAMENTO!$AF$7))))</f>
        <v>49.65</v>
      </c>
      <c r="I21" s="469" t="s">
        <v>1007</v>
      </c>
      <c r="J21" s="663" t="str">
        <f ca="1">IF(OR(B21&lt;&gt;"S",CÁLCULO.FrentesPreenchidas=0),"",IF(AND(ACOMPANHAMENTO="PLE",AUTOEVENTO="Manual",OR(H21&gt;0,ORÇAMENTO!AC21="QUANT."),OR(K21="",M21=0,N21="")),"►",IF(AND(ACOMPANHAMENTO="PLE",ORÇAMENTO!AC21="QUANT."),"►►",IF(AND(COUNTIF($P$11:$AA$11,"▼")=0,H21&gt;0,I21=""),"◄",""))))</f>
        <v/>
      </c>
      <c r="K21" s="664"/>
      <c r="L21" s="166" t="s">
        <v>765</v>
      </c>
      <c r="M21" s="167">
        <f ca="1">IF($D21&lt;&gt;"Serviço","",
          IF(AUTOEVENTO="manual",$A21,
                IF(ISERROR(MATCH($A21,$A$15:OFFSET($A21,-1,0),0)),MAX($M$15:OFFSET(M21,-1,0))+1,
                      INDEX($M$15:OFFSET(M21,-1,0),MATCH($A21,$A$15:OFFSET($A21,-1,0),0)))))</f>
        <v>1</v>
      </c>
      <c r="N21" s="168" t="str">
        <f ca="1">IF($D21&lt;&gt;"Serviço","",
         IF(AUTOEVENTO="Manual",
                IF($A21=0,"&lt;-- defina o número do agrupador",
                       OFFSET(EVENTOS!$D$15,$A21-$A$15,0)),
                OFFSET($F$15,$A21,0)))</f>
        <v>TROCA DE ESQUADRIAS</v>
      </c>
      <c r="O21" s="169"/>
      <c r="Q21" s="169">
        <v>49.65</v>
      </c>
      <c r="R21" s="170"/>
      <c r="S21" s="170"/>
      <c r="T21" s="170"/>
      <c r="U21" s="170"/>
      <c r="V21" s="170"/>
      <c r="W21" s="170"/>
      <c r="X21" s="170"/>
      <c r="Y21" s="170"/>
      <c r="Z21" s="171"/>
      <c r="AB21" s="454">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606.72</v>
      </c>
      <c r="AC21" s="454">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4">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4">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4">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4">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4">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4">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4">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4">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2">
        <f ca="1">IF(OR($D21&lt;&gt;"Serviço",AND(AUTOEVENTO="Manual",$M21=$A$15)),0,
         IF(OFFSET(CRONOPLE!$F$15,$M21-$A$15,AM$13)=0,10^12,OFFSET(CRONOPLE!$F$15,$M21-$A$15,AM$13)))</f>
        <v>2</v>
      </c>
      <c r="AN21" s="172">
        <f ca="1">IF(OR($D21&lt;&gt;"Serviço",AND(AUTOEVENTO="Manual",$M21=$A$15)),0,
         IF(OFFSET(CRONOPLE!$F$15,$M21-$A$15,AN$13)=0,10^12,OFFSET(CRONOPLE!$F$15,$M21-$A$15,AN$13)))</f>
        <v>1000000000000</v>
      </c>
      <c r="AO21" s="172">
        <f ca="1">IF(OR($D21&lt;&gt;"Serviço",AND(AUTOEVENTO="Manual",$M21=$A$15)),0,
         IF(OFFSET(CRONOPLE!$F$15,$M21-$A$15,AO$13)=0,10^12,OFFSET(CRONOPLE!$F$15,$M21-$A$15,AO$13)))</f>
        <v>1000000000000</v>
      </c>
      <c r="AP21" s="172">
        <f ca="1">IF(OR($D21&lt;&gt;"Serviço",AND(AUTOEVENTO="Manual",$M21=$A$15)),0,
         IF(OFFSET(CRONOPLE!$F$15,$M21-$A$15,AP$13)=0,10^12,OFFSET(CRONOPLE!$F$15,$M21-$A$15,AP$13)))</f>
        <v>1000000000000</v>
      </c>
      <c r="AQ21" s="172">
        <f ca="1">IF(OR($D21&lt;&gt;"Serviço",AND(AUTOEVENTO="Manual",$M21=$A$15)),0,
         IF(OFFSET(CRONOPLE!$F$15,$M21-$A$15,AQ$13)=0,10^12,OFFSET(CRONOPLE!$F$15,$M21-$A$15,AQ$13)))</f>
        <v>1000000000000</v>
      </c>
      <c r="AR21" s="172">
        <f ca="1">IF(OR($D21&lt;&gt;"Serviço",AND(AUTOEVENTO="Manual",$M21=$A$15)),0,
         IF(OFFSET(CRONOPLE!$F$15,$M21-$A$15,AR$13)=0,10^12,OFFSET(CRONOPLE!$F$15,$M21-$A$15,AR$13)))</f>
        <v>1000000000000</v>
      </c>
      <c r="AS21" s="172">
        <f ca="1">IF(OR($D21&lt;&gt;"Serviço",AND(AUTOEVENTO="Manual",$M21=$A$15)),0,
         IF(OFFSET(CRONOPLE!$F$15,$M21-$A$15,AS$13)=0,10^12,OFFSET(CRONOPLE!$F$15,$M21-$A$15,AS$13)))</f>
        <v>1000000000000</v>
      </c>
      <c r="AT21" s="172">
        <f ca="1">IF(OR($D21&lt;&gt;"Serviço",AND(AUTOEVENTO="Manual",$M21=$A$15)),0,
         IF(OFFSET(CRONOPLE!$F$15,$M21-$A$15,AT$13)=0,10^12,OFFSET(CRONOPLE!$F$15,$M21-$A$15,AT$13)))</f>
        <v>1000000000000</v>
      </c>
      <c r="AU21" s="172">
        <f ca="1">IF(OR($D21&lt;&gt;"Serviço",AND(AUTOEVENTO="Manual",$M21=$A$15)),0,
         IF(OFFSET(CRONOPLE!$F$15,$M21-$A$15,AU$13)=0,10^12,OFFSET(CRONOPLE!$F$15,$M21-$A$15,AU$13)))</f>
        <v>1000000000000</v>
      </c>
      <c r="AV21" s="172">
        <f ca="1">IF(OR($D21&lt;&gt;"Serviço",AND(AUTOEVENTO="Manual",$M21=$A$15)),0,
         IF(OFFSET(CRONOPLE!$F$15,$M21-$A$15,AV$13)=0,10^12,OFFSET(CRONOPLE!$F$15,$M21-$A$15,AV$13)))</f>
        <v>1000000000000</v>
      </c>
      <c r="AX21" s="173">
        <f ca="1">IF(OR($D21&lt;&gt;"Serviço",AND(AUTOEVENTO="Manual",$M21=$A$15),$M21&gt;(ROW(PLE.lastrow)-ROW(PLE.firstrow))),0,
           IF(OFFSET(PLE!$G$15,$M21-$A$15,AX$13)="",10^12,OFFSET(PLE!$G$15,$M21-$A$15,AX$13)))</f>
        <v>1000000000000</v>
      </c>
      <c r="AY21" s="173">
        <f ca="1">IF(OR($D21&lt;&gt;"Serviço",AND(AUTOEVENTO="Manual",$M21=$A$15),$M21&gt;(ROW(PLE.lastrow)-ROW(PLE.firstrow))),0,
           IF(OFFSET(PLE!$G$15,$M21-$A$15,AY$13)="",10^12,OFFSET(PLE!$G$15,$M21-$A$15,AY$13)))</f>
        <v>1000000000000</v>
      </c>
      <c r="AZ21" s="173">
        <f ca="1">IF(OR($D21&lt;&gt;"Serviço",AND(AUTOEVENTO="Manual",$M21=$A$15),$M21&gt;(ROW(PLE.lastrow)-ROW(PLE.firstrow))),0,
           IF(OFFSET(PLE!$G$15,$M21-$A$15,AZ$13)="",10^12,OFFSET(PLE!$G$15,$M21-$A$15,AZ$13)))</f>
        <v>1000000000000</v>
      </c>
      <c r="BA21" s="173">
        <f ca="1">IF(OR($D21&lt;&gt;"Serviço",AND(AUTOEVENTO="Manual",$M21=$A$15),$M21&gt;(ROW(PLE.lastrow)-ROW(PLE.firstrow))),0,
           IF(OFFSET(PLE!$G$15,$M21-$A$15,BA$13)="",10^12,OFFSET(PLE!$G$15,$M21-$A$15,BA$13)))</f>
        <v>1000000000000</v>
      </c>
      <c r="BB21" s="173">
        <f ca="1">IF(OR($D21&lt;&gt;"Serviço",AND(AUTOEVENTO="Manual",$M21=$A$15),$M21&gt;(ROW(PLE.lastrow)-ROW(PLE.firstrow))),0,
           IF(OFFSET(PLE!$G$15,$M21-$A$15,BB$13)="",10^12,OFFSET(PLE!$G$15,$M21-$A$15,BB$13)))</f>
        <v>1000000000000</v>
      </c>
      <c r="BC21" s="173">
        <f ca="1">IF(OR($D21&lt;&gt;"Serviço",AND(AUTOEVENTO="Manual",$M21=$A$15),$M21&gt;(ROW(PLE.lastrow)-ROW(PLE.firstrow))),0,
           IF(OFFSET(PLE!$G$15,$M21-$A$15,BC$13)="",10^12,OFFSET(PLE!$G$15,$M21-$A$15,BC$13)))</f>
        <v>1000000000000</v>
      </c>
      <c r="BD21" s="173">
        <f ca="1">IF(OR($D21&lt;&gt;"Serviço",AND(AUTOEVENTO="Manual",$M21=$A$15),$M21&gt;(ROW(PLE.lastrow)-ROW(PLE.firstrow))),0,
           IF(OFFSET(PLE!$G$15,$M21-$A$15,BD$13)="",10^12,OFFSET(PLE!$G$15,$M21-$A$15,BD$13)))</f>
        <v>1000000000000</v>
      </c>
      <c r="BE21" s="173">
        <f ca="1">IF(OR($D21&lt;&gt;"Serviço",AND(AUTOEVENTO="Manual",$M21=$A$15),$M21&gt;(ROW(PLE.lastrow)-ROW(PLE.firstrow))),0,
           IF(OFFSET(PLE!$G$15,$M21-$A$15,BE$13)="",10^12,OFFSET(PLE!$G$15,$M21-$A$15,BE$13)))</f>
        <v>1000000000000</v>
      </c>
      <c r="BF21" s="173">
        <f ca="1">IF(OR($D21&lt;&gt;"Serviço",AND(AUTOEVENTO="Manual",$M21=$A$15),$M21&gt;(ROW(PLE.lastrow)-ROW(PLE.firstrow))),0,
           IF(OFFSET(PLE!$G$15,$M21-$A$15,BF$13)="",10^12,OFFSET(PLE!$G$15,$M21-$A$15,BF$13)))</f>
        <v>1000000000000</v>
      </c>
      <c r="BG21" s="173">
        <f ca="1">IF(OR($D21&lt;&gt;"Serviço",AND(AUTOEVENTO="Manual",$M21=$A$15),$M21&gt;(ROW(PLE.lastrow)-ROW(PLE.firstrow))),0,
           IF(OFFSET(PLE!$G$15,$M21-$A$15,BG$13)="",10^12,OFFSET(PLE!$G$15,$M21-$A$15,BG$13)))</f>
        <v>1000000000000</v>
      </c>
    </row>
    <row r="22" spans="1:59" ht="63.75" x14ac:dyDescent="0.2">
      <c r="A22" s="7" t="str">
        <f t="shared" ca="1" si="9"/>
        <v>2</v>
      </c>
      <c r="B22" s="7" t="str">
        <f ca="1">OFFSET(ORÇAMENTO!C$15,ROW(B22)-ROW(B$15),0)</f>
        <v>S</v>
      </c>
      <c r="C22" s="7" t="str">
        <f ca="1">OFFSET(ORÇAMENTO!L$15,ROW(C22)-ROW(C$15),0)</f>
        <v>F</v>
      </c>
      <c r="D22" s="117" t="str">
        <f ca="1">OFFSET(ORÇAMENTO!N$15,ROW(D22)-ROW(D$15),0)</f>
        <v>Serviço</v>
      </c>
      <c r="E22" s="118" t="str">
        <f ca="1">OFFSET(ORÇAMENTO!O$15,ROW(E22)-ROW(E$15),0)</f>
        <v>1.1.5.</v>
      </c>
      <c r="F22" s="164" t="str">
        <f ca="1">OFFSET(ORÇAMENTO!R$15,ROW(F22)-ROW(F$15),0)</f>
        <v>JANELA DE ALUMÍNIO TIPO MAXIM-AR, BATENTE/ REQUADRO 3 A 14 CM, VIDRO INCLUSO, FIXAÇÃO COM PARAFUSO, SEM GUARNIÇÃO/ ALIZAR, DIMENSÕES 60X80 (A X L) CM, SEM ACABAMENTO, VEDAÇÃO COM SILICONE, EXCLUSIVE CONTRAMARCO - FORNECIMENTO E INSTALAÇÃO. AF_11/2024</v>
      </c>
      <c r="G22" s="165" t="str">
        <f ca="1">IF($D22&lt;&gt;"Serviço","",OFFSET(ORÇAMENTO!S$15,ROW(G22)-ROW(G$15),0))</f>
        <v>M2</v>
      </c>
      <c r="H22" s="123">
        <f ca="1">IF($D22&lt;&gt;"Serviço",0,IF(ACOMPANHAMENTO="BM",ROUND(OFFSET(ORÇAMENTO!AJ$15,ROW(H22)-ROW(H$15),0),15-13*ORÇAMENTO!$AF$7),SUMPRODUCT(($Q$1:$AA$1=1)*ROUND($Q22:$AA22,15-13*ORÇAMENTO!$AF$7))))</f>
        <v>3.9</v>
      </c>
      <c r="I22" s="469" t="s">
        <v>995</v>
      </c>
      <c r="J22" s="663" t="str">
        <f ca="1">IF(OR(B22&lt;&gt;"S",CÁLCULO.FrentesPreenchidas=0),"",IF(AND(ACOMPANHAMENTO="PLE",AUTOEVENTO="Manual",OR(H22&gt;0,ORÇAMENTO!AC22="QUANT."),OR(K22="",M22=0,N22="")),"►",IF(AND(ACOMPANHAMENTO="PLE",ORÇAMENTO!AC22="QUANT."),"►►",IF(AND(COUNTIF($P$11:$AA$11,"▼")=0,H22&gt;0,I22=""),"◄",""))))</f>
        <v/>
      </c>
      <c r="K22" s="664"/>
      <c r="L22" s="166" t="s">
        <v>765</v>
      </c>
      <c r="M22" s="167">
        <f ca="1">IF($D22&lt;&gt;"Serviço","",
          IF(AUTOEVENTO="manual",$A22,
                IF(ISERROR(MATCH($A22,$A$15:OFFSET($A22,-1,0),0)),MAX($M$15:OFFSET(M22,-1,0))+1,
                      INDEX($M$15:OFFSET(M22,-1,0),MATCH($A22,$A$15:OFFSET($A22,-1,0),0)))))</f>
        <v>1</v>
      </c>
      <c r="N22" s="168" t="str">
        <f ca="1">IF($D22&lt;&gt;"Serviço","",
         IF(AUTOEVENTO="Manual",
                IF($A22=0,"&lt;-- defina o número do agrupador",
                       OFFSET(EVENTOS!$D$15,$A22-$A$15,0)),
                OFFSET($F$15,$A22,0)))</f>
        <v>TROCA DE ESQUADRIAS</v>
      </c>
      <c r="O22" s="169"/>
      <c r="Q22" s="169">
        <v>3.9</v>
      </c>
      <c r="R22" s="170"/>
      <c r="S22" s="170"/>
      <c r="T22" s="170"/>
      <c r="U22" s="170"/>
      <c r="V22" s="170"/>
      <c r="W22" s="170"/>
      <c r="X22" s="170"/>
      <c r="Y22" s="170"/>
      <c r="Z22" s="171"/>
      <c r="AB22" s="454">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3687.57</v>
      </c>
      <c r="AC22" s="454">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4">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4">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4">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4">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4">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4">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4">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4">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2">
        <f ca="1">IF(OR($D22&lt;&gt;"Serviço",AND(AUTOEVENTO="Manual",$M22=$A$15)),0,
         IF(OFFSET(CRONOPLE!$F$15,$M22-$A$15,AM$13)=0,10^12,OFFSET(CRONOPLE!$F$15,$M22-$A$15,AM$13)))</f>
        <v>2</v>
      </c>
      <c r="AN22" s="172">
        <f ca="1">IF(OR($D22&lt;&gt;"Serviço",AND(AUTOEVENTO="Manual",$M22=$A$15)),0,
         IF(OFFSET(CRONOPLE!$F$15,$M22-$A$15,AN$13)=0,10^12,OFFSET(CRONOPLE!$F$15,$M22-$A$15,AN$13)))</f>
        <v>1000000000000</v>
      </c>
      <c r="AO22" s="172">
        <f ca="1">IF(OR($D22&lt;&gt;"Serviço",AND(AUTOEVENTO="Manual",$M22=$A$15)),0,
         IF(OFFSET(CRONOPLE!$F$15,$M22-$A$15,AO$13)=0,10^12,OFFSET(CRONOPLE!$F$15,$M22-$A$15,AO$13)))</f>
        <v>1000000000000</v>
      </c>
      <c r="AP22" s="172">
        <f ca="1">IF(OR($D22&lt;&gt;"Serviço",AND(AUTOEVENTO="Manual",$M22=$A$15)),0,
         IF(OFFSET(CRONOPLE!$F$15,$M22-$A$15,AP$13)=0,10^12,OFFSET(CRONOPLE!$F$15,$M22-$A$15,AP$13)))</f>
        <v>1000000000000</v>
      </c>
      <c r="AQ22" s="172">
        <f ca="1">IF(OR($D22&lt;&gt;"Serviço",AND(AUTOEVENTO="Manual",$M22=$A$15)),0,
         IF(OFFSET(CRONOPLE!$F$15,$M22-$A$15,AQ$13)=0,10^12,OFFSET(CRONOPLE!$F$15,$M22-$A$15,AQ$13)))</f>
        <v>1000000000000</v>
      </c>
      <c r="AR22" s="172">
        <f ca="1">IF(OR($D22&lt;&gt;"Serviço",AND(AUTOEVENTO="Manual",$M22=$A$15)),0,
         IF(OFFSET(CRONOPLE!$F$15,$M22-$A$15,AR$13)=0,10^12,OFFSET(CRONOPLE!$F$15,$M22-$A$15,AR$13)))</f>
        <v>1000000000000</v>
      </c>
      <c r="AS22" s="172">
        <f ca="1">IF(OR($D22&lt;&gt;"Serviço",AND(AUTOEVENTO="Manual",$M22=$A$15)),0,
         IF(OFFSET(CRONOPLE!$F$15,$M22-$A$15,AS$13)=0,10^12,OFFSET(CRONOPLE!$F$15,$M22-$A$15,AS$13)))</f>
        <v>1000000000000</v>
      </c>
      <c r="AT22" s="172">
        <f ca="1">IF(OR($D22&lt;&gt;"Serviço",AND(AUTOEVENTO="Manual",$M22=$A$15)),0,
         IF(OFFSET(CRONOPLE!$F$15,$M22-$A$15,AT$13)=0,10^12,OFFSET(CRONOPLE!$F$15,$M22-$A$15,AT$13)))</f>
        <v>1000000000000</v>
      </c>
      <c r="AU22" s="172">
        <f ca="1">IF(OR($D22&lt;&gt;"Serviço",AND(AUTOEVENTO="Manual",$M22=$A$15)),0,
         IF(OFFSET(CRONOPLE!$F$15,$M22-$A$15,AU$13)=0,10^12,OFFSET(CRONOPLE!$F$15,$M22-$A$15,AU$13)))</f>
        <v>1000000000000</v>
      </c>
      <c r="AV22" s="172">
        <f ca="1">IF(OR($D22&lt;&gt;"Serviço",AND(AUTOEVENTO="Manual",$M22=$A$15)),0,
         IF(OFFSET(CRONOPLE!$F$15,$M22-$A$15,AV$13)=0,10^12,OFFSET(CRONOPLE!$F$15,$M22-$A$15,AV$13)))</f>
        <v>1000000000000</v>
      </c>
      <c r="AX22" s="173">
        <f ca="1">IF(OR($D22&lt;&gt;"Serviço",AND(AUTOEVENTO="Manual",$M22=$A$15),$M22&gt;(ROW(PLE.lastrow)-ROW(PLE.firstrow))),0,
           IF(OFFSET(PLE!$G$15,$M22-$A$15,AX$13)="",10^12,OFFSET(PLE!$G$15,$M22-$A$15,AX$13)))</f>
        <v>1000000000000</v>
      </c>
      <c r="AY22" s="173">
        <f ca="1">IF(OR($D22&lt;&gt;"Serviço",AND(AUTOEVENTO="Manual",$M22=$A$15),$M22&gt;(ROW(PLE.lastrow)-ROW(PLE.firstrow))),0,
           IF(OFFSET(PLE!$G$15,$M22-$A$15,AY$13)="",10^12,OFFSET(PLE!$G$15,$M22-$A$15,AY$13)))</f>
        <v>1000000000000</v>
      </c>
      <c r="AZ22" s="173">
        <f ca="1">IF(OR($D22&lt;&gt;"Serviço",AND(AUTOEVENTO="Manual",$M22=$A$15),$M22&gt;(ROW(PLE.lastrow)-ROW(PLE.firstrow))),0,
           IF(OFFSET(PLE!$G$15,$M22-$A$15,AZ$13)="",10^12,OFFSET(PLE!$G$15,$M22-$A$15,AZ$13)))</f>
        <v>1000000000000</v>
      </c>
      <c r="BA22" s="173">
        <f ca="1">IF(OR($D22&lt;&gt;"Serviço",AND(AUTOEVENTO="Manual",$M22=$A$15),$M22&gt;(ROW(PLE.lastrow)-ROW(PLE.firstrow))),0,
           IF(OFFSET(PLE!$G$15,$M22-$A$15,BA$13)="",10^12,OFFSET(PLE!$G$15,$M22-$A$15,BA$13)))</f>
        <v>1000000000000</v>
      </c>
      <c r="BB22" s="173">
        <f ca="1">IF(OR($D22&lt;&gt;"Serviço",AND(AUTOEVENTO="Manual",$M22=$A$15),$M22&gt;(ROW(PLE.lastrow)-ROW(PLE.firstrow))),0,
           IF(OFFSET(PLE!$G$15,$M22-$A$15,BB$13)="",10^12,OFFSET(PLE!$G$15,$M22-$A$15,BB$13)))</f>
        <v>1000000000000</v>
      </c>
      <c r="BC22" s="173">
        <f ca="1">IF(OR($D22&lt;&gt;"Serviço",AND(AUTOEVENTO="Manual",$M22=$A$15),$M22&gt;(ROW(PLE.lastrow)-ROW(PLE.firstrow))),0,
           IF(OFFSET(PLE!$G$15,$M22-$A$15,BC$13)="",10^12,OFFSET(PLE!$G$15,$M22-$A$15,BC$13)))</f>
        <v>1000000000000</v>
      </c>
      <c r="BD22" s="173">
        <f ca="1">IF(OR($D22&lt;&gt;"Serviço",AND(AUTOEVENTO="Manual",$M22=$A$15),$M22&gt;(ROW(PLE.lastrow)-ROW(PLE.firstrow))),0,
           IF(OFFSET(PLE!$G$15,$M22-$A$15,BD$13)="",10^12,OFFSET(PLE!$G$15,$M22-$A$15,BD$13)))</f>
        <v>1000000000000</v>
      </c>
      <c r="BE22" s="173">
        <f ca="1">IF(OR($D22&lt;&gt;"Serviço",AND(AUTOEVENTO="Manual",$M22=$A$15),$M22&gt;(ROW(PLE.lastrow)-ROW(PLE.firstrow))),0,
           IF(OFFSET(PLE!$G$15,$M22-$A$15,BE$13)="",10^12,OFFSET(PLE!$G$15,$M22-$A$15,BE$13)))</f>
        <v>1000000000000</v>
      </c>
      <c r="BF22" s="173">
        <f ca="1">IF(OR($D22&lt;&gt;"Serviço",AND(AUTOEVENTO="Manual",$M22=$A$15),$M22&gt;(ROW(PLE.lastrow)-ROW(PLE.firstrow))),0,
           IF(OFFSET(PLE!$G$15,$M22-$A$15,BF$13)="",10^12,OFFSET(PLE!$G$15,$M22-$A$15,BF$13)))</f>
        <v>1000000000000</v>
      </c>
      <c r="BG22" s="173">
        <f ca="1">IF(OR($D22&lt;&gt;"Serviço",AND(AUTOEVENTO="Manual",$M22=$A$15),$M22&gt;(ROW(PLE.lastrow)-ROW(PLE.firstrow))),0,
           IF(OFFSET(PLE!$G$15,$M22-$A$15,BG$13)="",10^12,OFFSET(PLE!$G$15,$M22-$A$15,BG$13)))</f>
        <v>1000000000000</v>
      </c>
    </row>
    <row r="23" spans="1:59" ht="51" x14ac:dyDescent="0.2">
      <c r="A23" s="7" t="str">
        <f t="shared" ca="1" si="9"/>
        <v>2</v>
      </c>
      <c r="B23" s="7" t="str">
        <f ca="1">OFFSET(ORÇAMENTO!C$15,ROW(B23)-ROW(B$15),0)</f>
        <v>S</v>
      </c>
      <c r="C23" s="7" t="str">
        <f ca="1">OFFSET(ORÇAMENTO!L$15,ROW(C23)-ROW(C$15),0)</f>
        <v>F</v>
      </c>
      <c r="D23" s="117" t="str">
        <f ca="1">OFFSET(ORÇAMENTO!N$15,ROW(D23)-ROW(D$15),0)</f>
        <v>Serviço</v>
      </c>
      <c r="E23" s="118" t="str">
        <f ca="1">OFFSET(ORÇAMENTO!O$15,ROW(E23)-ROW(E$15),0)</f>
        <v>1.1.6.</v>
      </c>
      <c r="F23" s="164" t="str">
        <f ca="1">OFFSET(ORÇAMENTO!R$15,ROW(F23)-ROW(F$15),0)</f>
        <v>JANELA DE CORRER COM DUAS FOLHAS PARA VIDROS (VIDROS INCLUSOS), EM ALUMÍNIO BRANCO COM PERSIANA EMBUTIDA, DIMENSÃO 150X120 E VEDAÇÃO EM SILICONE - FORNECIMENTO E INSTALAÇÃO</v>
      </c>
      <c r="G23" s="165" t="str">
        <f ca="1">IF($D23&lt;&gt;"Serviço","",OFFSET(ORÇAMENTO!S$15,ROW(G23)-ROW(G$15),0))</f>
        <v>M2</v>
      </c>
      <c r="H23" s="123">
        <f ca="1">IF($D23&lt;&gt;"Serviço",0,IF(ACOMPANHAMENTO="BM",ROUND(OFFSET(ORÇAMENTO!AJ$15,ROW(H23)-ROW(H$15),0),15-13*ORÇAMENTO!$AF$7),SUMPRODUCT(($Q$1:$AA$1=1)*ROUND($Q23:$AA23,15-13*ORÇAMENTO!$AF$7))))</f>
        <v>19.8</v>
      </c>
      <c r="I23" s="469" t="s">
        <v>994</v>
      </c>
      <c r="J23" s="663" t="str">
        <f ca="1">IF(OR(B23&lt;&gt;"S",CÁLCULO.FrentesPreenchidas=0),"",IF(AND(ACOMPANHAMENTO="PLE",AUTOEVENTO="Manual",OR(H23&gt;0,ORÇAMENTO!AC23="QUANT."),OR(K23="",M23=0,N23="")),"►",IF(AND(ACOMPANHAMENTO="PLE",ORÇAMENTO!AC23="QUANT."),"►►",IF(AND(COUNTIF($P$11:$AA$11,"▼")=0,H23&gt;0,I23=""),"◄",""))))</f>
        <v/>
      </c>
      <c r="K23" s="664"/>
      <c r="L23" s="166" t="s">
        <v>765</v>
      </c>
      <c r="M23" s="167">
        <f ca="1">IF($D23&lt;&gt;"Serviço","",
          IF(AUTOEVENTO="manual",$A23,
                IF(ISERROR(MATCH($A23,$A$15:OFFSET($A23,-1,0),0)),MAX($M$15:OFFSET(M23,-1,0))+1,
                      INDEX($M$15:OFFSET(M23,-1,0),MATCH($A23,$A$15:OFFSET($A23,-1,0),0)))))</f>
        <v>1</v>
      </c>
      <c r="N23" s="168" t="str">
        <f ca="1">IF($D23&lt;&gt;"Serviço","",
         IF(AUTOEVENTO="Manual",
                IF($A23=0,"&lt;-- defina o número do agrupador",
                       OFFSET(EVENTOS!$D$15,$A23-$A$15,0)),
                OFFSET($F$15,$A23,0)))</f>
        <v>TROCA DE ESQUADRIAS</v>
      </c>
      <c r="O23" s="169"/>
      <c r="Q23" s="169">
        <v>19.8</v>
      </c>
      <c r="R23" s="170"/>
      <c r="S23" s="170"/>
      <c r="T23" s="170"/>
      <c r="U23" s="170"/>
      <c r="V23" s="170"/>
      <c r="W23" s="170"/>
      <c r="X23" s="170"/>
      <c r="Y23" s="170"/>
      <c r="Z23" s="171"/>
      <c r="AB23" s="454">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24943.64</v>
      </c>
      <c r="AC23" s="454">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4">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4">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4">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4">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4">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4">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4">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4">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2">
        <f ca="1">IF(OR($D23&lt;&gt;"Serviço",AND(AUTOEVENTO="Manual",$M23=$A$15)),0,
         IF(OFFSET(CRONOPLE!$F$15,$M23-$A$15,AM$13)=0,10^12,OFFSET(CRONOPLE!$F$15,$M23-$A$15,AM$13)))</f>
        <v>2</v>
      </c>
      <c r="AN23" s="172">
        <f ca="1">IF(OR($D23&lt;&gt;"Serviço",AND(AUTOEVENTO="Manual",$M23=$A$15)),0,
         IF(OFFSET(CRONOPLE!$F$15,$M23-$A$15,AN$13)=0,10^12,OFFSET(CRONOPLE!$F$15,$M23-$A$15,AN$13)))</f>
        <v>1000000000000</v>
      </c>
      <c r="AO23" s="172">
        <f ca="1">IF(OR($D23&lt;&gt;"Serviço",AND(AUTOEVENTO="Manual",$M23=$A$15)),0,
         IF(OFFSET(CRONOPLE!$F$15,$M23-$A$15,AO$13)=0,10^12,OFFSET(CRONOPLE!$F$15,$M23-$A$15,AO$13)))</f>
        <v>1000000000000</v>
      </c>
      <c r="AP23" s="172">
        <f ca="1">IF(OR($D23&lt;&gt;"Serviço",AND(AUTOEVENTO="Manual",$M23=$A$15)),0,
         IF(OFFSET(CRONOPLE!$F$15,$M23-$A$15,AP$13)=0,10^12,OFFSET(CRONOPLE!$F$15,$M23-$A$15,AP$13)))</f>
        <v>1000000000000</v>
      </c>
      <c r="AQ23" s="172">
        <f ca="1">IF(OR($D23&lt;&gt;"Serviço",AND(AUTOEVENTO="Manual",$M23=$A$15)),0,
         IF(OFFSET(CRONOPLE!$F$15,$M23-$A$15,AQ$13)=0,10^12,OFFSET(CRONOPLE!$F$15,$M23-$A$15,AQ$13)))</f>
        <v>1000000000000</v>
      </c>
      <c r="AR23" s="172">
        <f ca="1">IF(OR($D23&lt;&gt;"Serviço",AND(AUTOEVENTO="Manual",$M23=$A$15)),0,
         IF(OFFSET(CRONOPLE!$F$15,$M23-$A$15,AR$13)=0,10^12,OFFSET(CRONOPLE!$F$15,$M23-$A$15,AR$13)))</f>
        <v>1000000000000</v>
      </c>
      <c r="AS23" s="172">
        <f ca="1">IF(OR($D23&lt;&gt;"Serviço",AND(AUTOEVENTO="Manual",$M23=$A$15)),0,
         IF(OFFSET(CRONOPLE!$F$15,$M23-$A$15,AS$13)=0,10^12,OFFSET(CRONOPLE!$F$15,$M23-$A$15,AS$13)))</f>
        <v>1000000000000</v>
      </c>
      <c r="AT23" s="172">
        <f ca="1">IF(OR($D23&lt;&gt;"Serviço",AND(AUTOEVENTO="Manual",$M23=$A$15)),0,
         IF(OFFSET(CRONOPLE!$F$15,$M23-$A$15,AT$13)=0,10^12,OFFSET(CRONOPLE!$F$15,$M23-$A$15,AT$13)))</f>
        <v>1000000000000</v>
      </c>
      <c r="AU23" s="172">
        <f ca="1">IF(OR($D23&lt;&gt;"Serviço",AND(AUTOEVENTO="Manual",$M23=$A$15)),0,
         IF(OFFSET(CRONOPLE!$F$15,$M23-$A$15,AU$13)=0,10^12,OFFSET(CRONOPLE!$F$15,$M23-$A$15,AU$13)))</f>
        <v>1000000000000</v>
      </c>
      <c r="AV23" s="172">
        <f ca="1">IF(OR($D23&lt;&gt;"Serviço",AND(AUTOEVENTO="Manual",$M23=$A$15)),0,
         IF(OFFSET(CRONOPLE!$F$15,$M23-$A$15,AV$13)=0,10^12,OFFSET(CRONOPLE!$F$15,$M23-$A$15,AV$13)))</f>
        <v>1000000000000</v>
      </c>
      <c r="AX23" s="173">
        <f ca="1">IF(OR($D23&lt;&gt;"Serviço",AND(AUTOEVENTO="Manual",$M23=$A$15),$M23&gt;(ROW(PLE.lastrow)-ROW(PLE.firstrow))),0,
           IF(OFFSET(PLE!$G$15,$M23-$A$15,AX$13)="",10^12,OFFSET(PLE!$G$15,$M23-$A$15,AX$13)))</f>
        <v>1000000000000</v>
      </c>
      <c r="AY23" s="173">
        <f ca="1">IF(OR($D23&lt;&gt;"Serviço",AND(AUTOEVENTO="Manual",$M23=$A$15),$M23&gt;(ROW(PLE.lastrow)-ROW(PLE.firstrow))),0,
           IF(OFFSET(PLE!$G$15,$M23-$A$15,AY$13)="",10^12,OFFSET(PLE!$G$15,$M23-$A$15,AY$13)))</f>
        <v>1000000000000</v>
      </c>
      <c r="AZ23" s="173">
        <f ca="1">IF(OR($D23&lt;&gt;"Serviço",AND(AUTOEVENTO="Manual",$M23=$A$15),$M23&gt;(ROW(PLE.lastrow)-ROW(PLE.firstrow))),0,
           IF(OFFSET(PLE!$G$15,$M23-$A$15,AZ$13)="",10^12,OFFSET(PLE!$G$15,$M23-$A$15,AZ$13)))</f>
        <v>1000000000000</v>
      </c>
      <c r="BA23" s="173">
        <f ca="1">IF(OR($D23&lt;&gt;"Serviço",AND(AUTOEVENTO="Manual",$M23=$A$15),$M23&gt;(ROW(PLE.lastrow)-ROW(PLE.firstrow))),0,
           IF(OFFSET(PLE!$G$15,$M23-$A$15,BA$13)="",10^12,OFFSET(PLE!$G$15,$M23-$A$15,BA$13)))</f>
        <v>1000000000000</v>
      </c>
      <c r="BB23" s="173">
        <f ca="1">IF(OR($D23&lt;&gt;"Serviço",AND(AUTOEVENTO="Manual",$M23=$A$15),$M23&gt;(ROW(PLE.lastrow)-ROW(PLE.firstrow))),0,
           IF(OFFSET(PLE!$G$15,$M23-$A$15,BB$13)="",10^12,OFFSET(PLE!$G$15,$M23-$A$15,BB$13)))</f>
        <v>1000000000000</v>
      </c>
      <c r="BC23" s="173">
        <f ca="1">IF(OR($D23&lt;&gt;"Serviço",AND(AUTOEVENTO="Manual",$M23=$A$15),$M23&gt;(ROW(PLE.lastrow)-ROW(PLE.firstrow))),0,
           IF(OFFSET(PLE!$G$15,$M23-$A$15,BC$13)="",10^12,OFFSET(PLE!$G$15,$M23-$A$15,BC$13)))</f>
        <v>1000000000000</v>
      </c>
      <c r="BD23" s="173">
        <f ca="1">IF(OR($D23&lt;&gt;"Serviço",AND(AUTOEVENTO="Manual",$M23=$A$15),$M23&gt;(ROW(PLE.lastrow)-ROW(PLE.firstrow))),0,
           IF(OFFSET(PLE!$G$15,$M23-$A$15,BD$13)="",10^12,OFFSET(PLE!$G$15,$M23-$A$15,BD$13)))</f>
        <v>1000000000000</v>
      </c>
      <c r="BE23" s="173">
        <f ca="1">IF(OR($D23&lt;&gt;"Serviço",AND(AUTOEVENTO="Manual",$M23=$A$15),$M23&gt;(ROW(PLE.lastrow)-ROW(PLE.firstrow))),0,
           IF(OFFSET(PLE!$G$15,$M23-$A$15,BE$13)="",10^12,OFFSET(PLE!$G$15,$M23-$A$15,BE$13)))</f>
        <v>1000000000000</v>
      </c>
      <c r="BF23" s="173">
        <f ca="1">IF(OR($D23&lt;&gt;"Serviço",AND(AUTOEVENTO="Manual",$M23=$A$15),$M23&gt;(ROW(PLE.lastrow)-ROW(PLE.firstrow))),0,
           IF(OFFSET(PLE!$G$15,$M23-$A$15,BF$13)="",10^12,OFFSET(PLE!$G$15,$M23-$A$15,BF$13)))</f>
        <v>1000000000000</v>
      </c>
      <c r="BG23" s="173">
        <f ca="1">IF(OR($D23&lt;&gt;"Serviço",AND(AUTOEVENTO="Manual",$M23=$A$15),$M23&gt;(ROW(PLE.lastrow)-ROW(PLE.firstrow))),0,
           IF(OFFSET(PLE!$G$15,$M23-$A$15,BG$13)="",10^12,OFFSET(PLE!$G$15,$M23-$A$15,BG$13)))</f>
        <v>1000000000000</v>
      </c>
    </row>
    <row r="24" spans="1:59" ht="76.5" x14ac:dyDescent="0.2">
      <c r="A24" s="7" t="str">
        <f t="shared" ca="1" si="9"/>
        <v>2</v>
      </c>
      <c r="B24" s="7" t="str">
        <f ca="1">OFFSET(ORÇAMENTO!C$15,ROW(B24)-ROW(B$15),0)</f>
        <v>S</v>
      </c>
      <c r="C24" s="7" t="str">
        <f ca="1">OFFSET(ORÇAMENTO!L$15,ROW(C24)-ROW(C$15),0)</f>
        <v>F</v>
      </c>
      <c r="D24" s="117" t="str">
        <f ca="1">OFFSET(ORÇAMENTO!N$15,ROW(D24)-ROW(D$15),0)</f>
        <v>Serviço</v>
      </c>
      <c r="E24" s="118" t="str">
        <f ca="1">OFFSET(ORÇAMENTO!O$15,ROW(E24)-ROW(E$15),0)</f>
        <v>1.1.7.</v>
      </c>
      <c r="F24" s="164" t="str">
        <f ca="1">OFFSET(ORÇAMENTO!R$15,ROW(F24)-ROW(F$15),0)</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G24" s="165" t="str">
        <f ca="1">IF($D24&lt;&gt;"Serviço","",OFFSET(ORÇAMENTO!S$15,ROW(G24)-ROW(G$15),0))</f>
        <v>M2</v>
      </c>
      <c r="H24" s="123">
        <f ca="1">IF($D24&lt;&gt;"Serviço",0,IF(ACOMPANHAMENTO="BM",ROUND(OFFSET(ORÇAMENTO!AJ$15,ROW(H24)-ROW(H$15),0),15-13*ORÇAMENTO!$AF$7),SUMPRODUCT(($Q$1:$AA$1=1)*ROUND($Q24:$AA24,15-13*ORÇAMENTO!$AF$7))))</f>
        <v>4.8</v>
      </c>
      <c r="I24" s="469" t="s">
        <v>993</v>
      </c>
      <c r="J24" s="663" t="str">
        <f ca="1">IF(OR(B24&lt;&gt;"S",CÁLCULO.FrentesPreenchidas=0),"",IF(AND(ACOMPANHAMENTO="PLE",AUTOEVENTO="Manual",OR(H24&gt;0,ORÇAMENTO!AC24="QUANT."),OR(K24="",M24=0,N24="")),"►",IF(AND(ACOMPANHAMENTO="PLE",ORÇAMENTO!AC24="QUANT."),"►►",IF(AND(COUNTIF($P$11:$AA$11,"▼")=0,H24&gt;0,I24=""),"◄",""))))</f>
        <v/>
      </c>
      <c r="K24" s="664"/>
      <c r="L24" s="166" t="s">
        <v>765</v>
      </c>
      <c r="M24" s="167">
        <f ca="1">IF($D24&lt;&gt;"Serviço","",
          IF(AUTOEVENTO="manual",$A24,
                IF(ISERROR(MATCH($A24,$A$15:OFFSET($A24,-1,0),0)),MAX($M$15:OFFSET(M24,-1,0))+1,
                      INDEX($M$15:OFFSET(M24,-1,0),MATCH($A24,$A$15:OFFSET($A24,-1,0),0)))))</f>
        <v>1</v>
      </c>
      <c r="N24" s="168" t="str">
        <f ca="1">IF($D24&lt;&gt;"Serviço","",
         IF(AUTOEVENTO="Manual",
                IF($A24=0,"&lt;-- defina o número do agrupador",
                       OFFSET(EVENTOS!$D$15,$A24-$A$15,0)),
                OFFSET($F$15,$A24,0)))</f>
        <v>TROCA DE ESQUADRIAS</v>
      </c>
      <c r="O24" s="169"/>
      <c r="Q24" s="169">
        <v>4.8</v>
      </c>
      <c r="R24" s="170"/>
      <c r="S24" s="170"/>
      <c r="T24" s="170"/>
      <c r="U24" s="170"/>
      <c r="V24" s="170"/>
      <c r="W24" s="170"/>
      <c r="X24" s="170"/>
      <c r="Y24" s="170"/>
      <c r="Z24" s="171"/>
      <c r="AB24" s="454">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2411.7600000000002</v>
      </c>
      <c r="AC24" s="454">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4">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4">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4">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4">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4">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4">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4">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4">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2">
        <f ca="1">IF(OR($D24&lt;&gt;"Serviço",AND(AUTOEVENTO="Manual",$M24=$A$15)),0,
         IF(OFFSET(CRONOPLE!$F$15,$M24-$A$15,AM$13)=0,10^12,OFFSET(CRONOPLE!$F$15,$M24-$A$15,AM$13)))</f>
        <v>2</v>
      </c>
      <c r="AN24" s="172">
        <f ca="1">IF(OR($D24&lt;&gt;"Serviço",AND(AUTOEVENTO="Manual",$M24=$A$15)),0,
         IF(OFFSET(CRONOPLE!$F$15,$M24-$A$15,AN$13)=0,10^12,OFFSET(CRONOPLE!$F$15,$M24-$A$15,AN$13)))</f>
        <v>1000000000000</v>
      </c>
      <c r="AO24" s="172">
        <f ca="1">IF(OR($D24&lt;&gt;"Serviço",AND(AUTOEVENTO="Manual",$M24=$A$15)),0,
         IF(OFFSET(CRONOPLE!$F$15,$M24-$A$15,AO$13)=0,10^12,OFFSET(CRONOPLE!$F$15,$M24-$A$15,AO$13)))</f>
        <v>1000000000000</v>
      </c>
      <c r="AP24" s="172">
        <f ca="1">IF(OR($D24&lt;&gt;"Serviço",AND(AUTOEVENTO="Manual",$M24=$A$15)),0,
         IF(OFFSET(CRONOPLE!$F$15,$M24-$A$15,AP$13)=0,10^12,OFFSET(CRONOPLE!$F$15,$M24-$A$15,AP$13)))</f>
        <v>1000000000000</v>
      </c>
      <c r="AQ24" s="172">
        <f ca="1">IF(OR($D24&lt;&gt;"Serviço",AND(AUTOEVENTO="Manual",$M24=$A$15)),0,
         IF(OFFSET(CRONOPLE!$F$15,$M24-$A$15,AQ$13)=0,10^12,OFFSET(CRONOPLE!$F$15,$M24-$A$15,AQ$13)))</f>
        <v>1000000000000</v>
      </c>
      <c r="AR24" s="172">
        <f ca="1">IF(OR($D24&lt;&gt;"Serviço",AND(AUTOEVENTO="Manual",$M24=$A$15)),0,
         IF(OFFSET(CRONOPLE!$F$15,$M24-$A$15,AR$13)=0,10^12,OFFSET(CRONOPLE!$F$15,$M24-$A$15,AR$13)))</f>
        <v>1000000000000</v>
      </c>
      <c r="AS24" s="172">
        <f ca="1">IF(OR($D24&lt;&gt;"Serviço",AND(AUTOEVENTO="Manual",$M24=$A$15)),0,
         IF(OFFSET(CRONOPLE!$F$15,$M24-$A$15,AS$13)=0,10^12,OFFSET(CRONOPLE!$F$15,$M24-$A$15,AS$13)))</f>
        <v>1000000000000</v>
      </c>
      <c r="AT24" s="172">
        <f ca="1">IF(OR($D24&lt;&gt;"Serviço",AND(AUTOEVENTO="Manual",$M24=$A$15)),0,
         IF(OFFSET(CRONOPLE!$F$15,$M24-$A$15,AT$13)=0,10^12,OFFSET(CRONOPLE!$F$15,$M24-$A$15,AT$13)))</f>
        <v>1000000000000</v>
      </c>
      <c r="AU24" s="172">
        <f ca="1">IF(OR($D24&lt;&gt;"Serviço",AND(AUTOEVENTO="Manual",$M24=$A$15)),0,
         IF(OFFSET(CRONOPLE!$F$15,$M24-$A$15,AU$13)=0,10^12,OFFSET(CRONOPLE!$F$15,$M24-$A$15,AU$13)))</f>
        <v>1000000000000</v>
      </c>
      <c r="AV24" s="172">
        <f ca="1">IF(OR($D24&lt;&gt;"Serviço",AND(AUTOEVENTO="Manual",$M24=$A$15)),0,
         IF(OFFSET(CRONOPLE!$F$15,$M24-$A$15,AV$13)=0,10^12,OFFSET(CRONOPLE!$F$15,$M24-$A$15,AV$13)))</f>
        <v>1000000000000</v>
      </c>
      <c r="AX24" s="173">
        <f ca="1">IF(OR($D24&lt;&gt;"Serviço",AND(AUTOEVENTO="Manual",$M24=$A$15),$M24&gt;(ROW(PLE.lastrow)-ROW(PLE.firstrow))),0,
           IF(OFFSET(PLE!$G$15,$M24-$A$15,AX$13)="",10^12,OFFSET(PLE!$G$15,$M24-$A$15,AX$13)))</f>
        <v>1000000000000</v>
      </c>
      <c r="AY24" s="173">
        <f ca="1">IF(OR($D24&lt;&gt;"Serviço",AND(AUTOEVENTO="Manual",$M24=$A$15),$M24&gt;(ROW(PLE.lastrow)-ROW(PLE.firstrow))),0,
           IF(OFFSET(PLE!$G$15,$M24-$A$15,AY$13)="",10^12,OFFSET(PLE!$G$15,$M24-$A$15,AY$13)))</f>
        <v>1000000000000</v>
      </c>
      <c r="AZ24" s="173">
        <f ca="1">IF(OR($D24&lt;&gt;"Serviço",AND(AUTOEVENTO="Manual",$M24=$A$15),$M24&gt;(ROW(PLE.lastrow)-ROW(PLE.firstrow))),0,
           IF(OFFSET(PLE!$G$15,$M24-$A$15,AZ$13)="",10^12,OFFSET(PLE!$G$15,$M24-$A$15,AZ$13)))</f>
        <v>1000000000000</v>
      </c>
      <c r="BA24" s="173">
        <f ca="1">IF(OR($D24&lt;&gt;"Serviço",AND(AUTOEVENTO="Manual",$M24=$A$15),$M24&gt;(ROW(PLE.lastrow)-ROW(PLE.firstrow))),0,
           IF(OFFSET(PLE!$G$15,$M24-$A$15,BA$13)="",10^12,OFFSET(PLE!$G$15,$M24-$A$15,BA$13)))</f>
        <v>1000000000000</v>
      </c>
      <c r="BB24" s="173">
        <f ca="1">IF(OR($D24&lt;&gt;"Serviço",AND(AUTOEVENTO="Manual",$M24=$A$15),$M24&gt;(ROW(PLE.lastrow)-ROW(PLE.firstrow))),0,
           IF(OFFSET(PLE!$G$15,$M24-$A$15,BB$13)="",10^12,OFFSET(PLE!$G$15,$M24-$A$15,BB$13)))</f>
        <v>1000000000000</v>
      </c>
      <c r="BC24" s="173">
        <f ca="1">IF(OR($D24&lt;&gt;"Serviço",AND(AUTOEVENTO="Manual",$M24=$A$15),$M24&gt;(ROW(PLE.lastrow)-ROW(PLE.firstrow))),0,
           IF(OFFSET(PLE!$G$15,$M24-$A$15,BC$13)="",10^12,OFFSET(PLE!$G$15,$M24-$A$15,BC$13)))</f>
        <v>1000000000000</v>
      </c>
      <c r="BD24" s="173">
        <f ca="1">IF(OR($D24&lt;&gt;"Serviço",AND(AUTOEVENTO="Manual",$M24=$A$15),$M24&gt;(ROW(PLE.lastrow)-ROW(PLE.firstrow))),0,
           IF(OFFSET(PLE!$G$15,$M24-$A$15,BD$13)="",10^12,OFFSET(PLE!$G$15,$M24-$A$15,BD$13)))</f>
        <v>1000000000000</v>
      </c>
      <c r="BE24" s="173">
        <f ca="1">IF(OR($D24&lt;&gt;"Serviço",AND(AUTOEVENTO="Manual",$M24=$A$15),$M24&gt;(ROW(PLE.lastrow)-ROW(PLE.firstrow))),0,
           IF(OFFSET(PLE!$G$15,$M24-$A$15,BE$13)="",10^12,OFFSET(PLE!$G$15,$M24-$A$15,BE$13)))</f>
        <v>1000000000000</v>
      </c>
      <c r="BF24" s="173">
        <f ca="1">IF(OR($D24&lt;&gt;"Serviço",AND(AUTOEVENTO="Manual",$M24=$A$15),$M24&gt;(ROW(PLE.lastrow)-ROW(PLE.firstrow))),0,
           IF(OFFSET(PLE!$G$15,$M24-$A$15,BF$13)="",10^12,OFFSET(PLE!$G$15,$M24-$A$15,BF$13)))</f>
        <v>1000000000000</v>
      </c>
      <c r="BG24" s="173">
        <f ca="1">IF(OR($D24&lt;&gt;"Serviço",AND(AUTOEVENTO="Manual",$M24=$A$15),$M24&gt;(ROW(PLE.lastrow)-ROW(PLE.firstrow))),0,
           IF(OFFSET(PLE!$G$15,$M24-$A$15,BG$13)="",10^12,OFFSET(PLE!$G$15,$M24-$A$15,BG$13)))</f>
        <v>1000000000000</v>
      </c>
    </row>
    <row r="25" spans="1:59" ht="51" x14ac:dyDescent="0.2">
      <c r="A25" s="7" t="str">
        <f t="shared" ca="1" si="9"/>
        <v>2</v>
      </c>
      <c r="B25" s="7" t="str">
        <f ca="1">OFFSET(ORÇAMENTO!C$15,ROW(B25)-ROW(B$15),0)</f>
        <v>S</v>
      </c>
      <c r="C25" s="7" t="str">
        <f ca="1">OFFSET(ORÇAMENTO!L$15,ROW(C25)-ROW(C$15),0)</f>
        <v>F</v>
      </c>
      <c r="D25" s="117" t="str">
        <f ca="1">OFFSET(ORÇAMENTO!N$15,ROW(D25)-ROW(D$15),0)</f>
        <v>Serviço</v>
      </c>
      <c r="E25" s="118" t="str">
        <f ca="1">OFFSET(ORÇAMENTO!O$15,ROW(E25)-ROW(E$15),0)</f>
        <v>1.1.8.</v>
      </c>
      <c r="F25" s="164" t="str">
        <f ca="1">OFFSET(ORÇAMENTO!R$15,ROW(F25)-ROW(F$15),0)</f>
        <v>PORTA DE ABRIR EM ALUMINIO COM LAMBRI HORIZONTAL/LAMINADA, ACABAMENTO ANODIZADO NATURAL, SEM GUARNICAO/ALIZAR/VISTA</v>
      </c>
      <c r="G25" s="165" t="str">
        <f ca="1">IF($D25&lt;&gt;"Serviço","",OFFSET(ORÇAMENTO!S$15,ROW(G25)-ROW(G$15),0))</f>
        <v>M2</v>
      </c>
      <c r="H25" s="123">
        <f ca="1">IF($D25&lt;&gt;"Serviço",0,IF(ACOMPANHAMENTO="BM",ROUND(OFFSET(ORÇAMENTO!AJ$15,ROW(H25)-ROW(H$15),0),15-13*ORÇAMENTO!$AF$7),SUMPRODUCT(($Q$1:$AA$1=1)*ROUND($Q25:$AA25,15-13*ORÇAMENTO!$AF$7))))</f>
        <v>38</v>
      </c>
      <c r="I25" s="469" t="s">
        <v>998</v>
      </c>
      <c r="J25" s="663" t="str">
        <f ca="1">IF(OR(B25&lt;&gt;"S",CÁLCULO.FrentesPreenchidas=0),"",IF(AND(ACOMPANHAMENTO="PLE",AUTOEVENTO="Manual",OR(H25&gt;0,ORÇAMENTO!AC25="QUANT."),OR(K25="",M25=0,N25="")),"►",IF(AND(ACOMPANHAMENTO="PLE",ORÇAMENTO!AC25="QUANT."),"►►",IF(AND(COUNTIF($P$11:$AA$11,"▼")=0,H25&gt;0,I25=""),"◄",""))))</f>
        <v/>
      </c>
      <c r="K25" s="664"/>
      <c r="L25" s="166" t="s">
        <v>765</v>
      </c>
      <c r="M25" s="167">
        <f ca="1">IF($D25&lt;&gt;"Serviço","",
          IF(AUTOEVENTO="manual",$A25,
                IF(ISERROR(MATCH($A25,$A$15:OFFSET($A25,-1,0),0)),MAX($M$15:OFFSET(M25,-1,0))+1,
                      INDEX($M$15:OFFSET(M25,-1,0),MATCH($A25,$A$15:OFFSET($A25,-1,0),0)))))</f>
        <v>1</v>
      </c>
      <c r="N25" s="168" t="str">
        <f ca="1">IF($D25&lt;&gt;"Serviço","",
         IF(AUTOEVENTO="Manual",
                IF($A25=0,"&lt;-- defina o número do agrupador",
                       OFFSET(EVENTOS!$D$15,$A25-$A$15,0)),
                OFFSET($F$15,$A25,0)))</f>
        <v>TROCA DE ESQUADRIAS</v>
      </c>
      <c r="O25" s="169"/>
      <c r="Q25" s="169">
        <v>38</v>
      </c>
      <c r="R25" s="170"/>
      <c r="S25" s="170"/>
      <c r="T25" s="170"/>
      <c r="U25" s="170"/>
      <c r="V25" s="170"/>
      <c r="W25" s="170"/>
      <c r="X25" s="170"/>
      <c r="Y25" s="170"/>
      <c r="Z25" s="171"/>
      <c r="AB25" s="454">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35756.1</v>
      </c>
      <c r="AC25" s="454">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4">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4">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4">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4">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4">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4">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4">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4">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2">
        <f ca="1">IF(OR($D25&lt;&gt;"Serviço",AND(AUTOEVENTO="Manual",$M25=$A$15)),0,
         IF(OFFSET(CRONOPLE!$F$15,$M25-$A$15,AM$13)=0,10^12,OFFSET(CRONOPLE!$F$15,$M25-$A$15,AM$13)))</f>
        <v>2</v>
      </c>
      <c r="AN25" s="172">
        <f ca="1">IF(OR($D25&lt;&gt;"Serviço",AND(AUTOEVENTO="Manual",$M25=$A$15)),0,
         IF(OFFSET(CRONOPLE!$F$15,$M25-$A$15,AN$13)=0,10^12,OFFSET(CRONOPLE!$F$15,$M25-$A$15,AN$13)))</f>
        <v>1000000000000</v>
      </c>
      <c r="AO25" s="172">
        <f ca="1">IF(OR($D25&lt;&gt;"Serviço",AND(AUTOEVENTO="Manual",$M25=$A$15)),0,
         IF(OFFSET(CRONOPLE!$F$15,$M25-$A$15,AO$13)=0,10^12,OFFSET(CRONOPLE!$F$15,$M25-$A$15,AO$13)))</f>
        <v>1000000000000</v>
      </c>
      <c r="AP25" s="172">
        <f ca="1">IF(OR($D25&lt;&gt;"Serviço",AND(AUTOEVENTO="Manual",$M25=$A$15)),0,
         IF(OFFSET(CRONOPLE!$F$15,$M25-$A$15,AP$13)=0,10^12,OFFSET(CRONOPLE!$F$15,$M25-$A$15,AP$13)))</f>
        <v>1000000000000</v>
      </c>
      <c r="AQ25" s="172">
        <f ca="1">IF(OR($D25&lt;&gt;"Serviço",AND(AUTOEVENTO="Manual",$M25=$A$15)),0,
         IF(OFFSET(CRONOPLE!$F$15,$M25-$A$15,AQ$13)=0,10^12,OFFSET(CRONOPLE!$F$15,$M25-$A$15,AQ$13)))</f>
        <v>1000000000000</v>
      </c>
      <c r="AR25" s="172">
        <f ca="1">IF(OR($D25&lt;&gt;"Serviço",AND(AUTOEVENTO="Manual",$M25=$A$15)),0,
         IF(OFFSET(CRONOPLE!$F$15,$M25-$A$15,AR$13)=0,10^12,OFFSET(CRONOPLE!$F$15,$M25-$A$15,AR$13)))</f>
        <v>1000000000000</v>
      </c>
      <c r="AS25" s="172">
        <f ca="1">IF(OR($D25&lt;&gt;"Serviço",AND(AUTOEVENTO="Manual",$M25=$A$15)),0,
         IF(OFFSET(CRONOPLE!$F$15,$M25-$A$15,AS$13)=0,10^12,OFFSET(CRONOPLE!$F$15,$M25-$A$15,AS$13)))</f>
        <v>1000000000000</v>
      </c>
      <c r="AT25" s="172">
        <f ca="1">IF(OR($D25&lt;&gt;"Serviço",AND(AUTOEVENTO="Manual",$M25=$A$15)),0,
         IF(OFFSET(CRONOPLE!$F$15,$M25-$A$15,AT$13)=0,10^12,OFFSET(CRONOPLE!$F$15,$M25-$A$15,AT$13)))</f>
        <v>1000000000000</v>
      </c>
      <c r="AU25" s="172">
        <f ca="1">IF(OR($D25&lt;&gt;"Serviço",AND(AUTOEVENTO="Manual",$M25=$A$15)),0,
         IF(OFFSET(CRONOPLE!$F$15,$M25-$A$15,AU$13)=0,10^12,OFFSET(CRONOPLE!$F$15,$M25-$A$15,AU$13)))</f>
        <v>1000000000000</v>
      </c>
      <c r="AV25" s="172">
        <f ca="1">IF(OR($D25&lt;&gt;"Serviço",AND(AUTOEVENTO="Manual",$M25=$A$15)),0,
         IF(OFFSET(CRONOPLE!$F$15,$M25-$A$15,AV$13)=0,10^12,OFFSET(CRONOPLE!$F$15,$M25-$A$15,AV$13)))</f>
        <v>1000000000000</v>
      </c>
      <c r="AX25" s="173">
        <f ca="1">IF(OR($D25&lt;&gt;"Serviço",AND(AUTOEVENTO="Manual",$M25=$A$15),$M25&gt;(ROW(PLE.lastrow)-ROW(PLE.firstrow))),0,
           IF(OFFSET(PLE!$G$15,$M25-$A$15,AX$13)="",10^12,OFFSET(PLE!$G$15,$M25-$A$15,AX$13)))</f>
        <v>1000000000000</v>
      </c>
      <c r="AY25" s="173">
        <f ca="1">IF(OR($D25&lt;&gt;"Serviço",AND(AUTOEVENTO="Manual",$M25=$A$15),$M25&gt;(ROW(PLE.lastrow)-ROW(PLE.firstrow))),0,
           IF(OFFSET(PLE!$G$15,$M25-$A$15,AY$13)="",10^12,OFFSET(PLE!$G$15,$M25-$A$15,AY$13)))</f>
        <v>1000000000000</v>
      </c>
      <c r="AZ25" s="173">
        <f ca="1">IF(OR($D25&lt;&gt;"Serviço",AND(AUTOEVENTO="Manual",$M25=$A$15),$M25&gt;(ROW(PLE.lastrow)-ROW(PLE.firstrow))),0,
           IF(OFFSET(PLE!$G$15,$M25-$A$15,AZ$13)="",10^12,OFFSET(PLE!$G$15,$M25-$A$15,AZ$13)))</f>
        <v>1000000000000</v>
      </c>
      <c r="BA25" s="173">
        <f ca="1">IF(OR($D25&lt;&gt;"Serviço",AND(AUTOEVENTO="Manual",$M25=$A$15),$M25&gt;(ROW(PLE.lastrow)-ROW(PLE.firstrow))),0,
           IF(OFFSET(PLE!$G$15,$M25-$A$15,BA$13)="",10^12,OFFSET(PLE!$G$15,$M25-$A$15,BA$13)))</f>
        <v>1000000000000</v>
      </c>
      <c r="BB25" s="173">
        <f ca="1">IF(OR($D25&lt;&gt;"Serviço",AND(AUTOEVENTO="Manual",$M25=$A$15),$M25&gt;(ROW(PLE.lastrow)-ROW(PLE.firstrow))),0,
           IF(OFFSET(PLE!$G$15,$M25-$A$15,BB$13)="",10^12,OFFSET(PLE!$G$15,$M25-$A$15,BB$13)))</f>
        <v>1000000000000</v>
      </c>
      <c r="BC25" s="173">
        <f ca="1">IF(OR($D25&lt;&gt;"Serviço",AND(AUTOEVENTO="Manual",$M25=$A$15),$M25&gt;(ROW(PLE.lastrow)-ROW(PLE.firstrow))),0,
           IF(OFFSET(PLE!$G$15,$M25-$A$15,BC$13)="",10^12,OFFSET(PLE!$G$15,$M25-$A$15,BC$13)))</f>
        <v>1000000000000</v>
      </c>
      <c r="BD25" s="173">
        <f ca="1">IF(OR($D25&lt;&gt;"Serviço",AND(AUTOEVENTO="Manual",$M25=$A$15),$M25&gt;(ROW(PLE.lastrow)-ROW(PLE.firstrow))),0,
           IF(OFFSET(PLE!$G$15,$M25-$A$15,BD$13)="",10^12,OFFSET(PLE!$G$15,$M25-$A$15,BD$13)))</f>
        <v>1000000000000</v>
      </c>
      <c r="BE25" s="173">
        <f ca="1">IF(OR($D25&lt;&gt;"Serviço",AND(AUTOEVENTO="Manual",$M25=$A$15),$M25&gt;(ROW(PLE.lastrow)-ROW(PLE.firstrow))),0,
           IF(OFFSET(PLE!$G$15,$M25-$A$15,BE$13)="",10^12,OFFSET(PLE!$G$15,$M25-$A$15,BE$13)))</f>
        <v>1000000000000</v>
      </c>
      <c r="BF25" s="173">
        <f ca="1">IF(OR($D25&lt;&gt;"Serviço",AND(AUTOEVENTO="Manual",$M25=$A$15),$M25&gt;(ROW(PLE.lastrow)-ROW(PLE.firstrow))),0,
           IF(OFFSET(PLE!$G$15,$M25-$A$15,BF$13)="",10^12,OFFSET(PLE!$G$15,$M25-$A$15,BF$13)))</f>
        <v>1000000000000</v>
      </c>
      <c r="BG25" s="173">
        <f ca="1">IF(OR($D25&lt;&gt;"Serviço",AND(AUTOEVENTO="Manual",$M25=$A$15),$M25&gt;(ROW(PLE.lastrow)-ROW(PLE.firstrow))),0,
           IF(OFFSET(PLE!$G$15,$M25-$A$15,BG$13)="",10^12,OFFSET(PLE!$G$15,$M25-$A$15,BG$13)))</f>
        <v>1000000000000</v>
      </c>
    </row>
    <row r="26" spans="1:59" ht="38.25" x14ac:dyDescent="0.2">
      <c r="A26" s="7" t="str">
        <f t="shared" ca="1" si="9"/>
        <v>2</v>
      </c>
      <c r="B26" s="7" t="str">
        <f ca="1">OFFSET(ORÇAMENTO!C$15,ROW(B26)-ROW(B$15),0)</f>
        <v>S</v>
      </c>
      <c r="C26" s="7" t="str">
        <f ca="1">OFFSET(ORÇAMENTO!L$15,ROW(C26)-ROW(C$15),0)</f>
        <v>F</v>
      </c>
      <c r="D26" s="117" t="str">
        <f ca="1">OFFSET(ORÇAMENTO!N$15,ROW(D26)-ROW(D$15),0)</f>
        <v>Serviço</v>
      </c>
      <c r="E26" s="118" t="str">
        <f ca="1">OFFSET(ORÇAMENTO!O$15,ROW(E26)-ROW(E$15),0)</f>
        <v>1.1.9.</v>
      </c>
      <c r="F26" s="164" t="str">
        <f ca="1">OFFSET(ORÇAMENTO!R$15,ROW(F26)-ROW(F$15),0)</f>
        <v>PORTA DE CORRER EM ALUMINIO, DUAS FOLHAS MOVEIS COM VIDRO, FECHADURA E PUXADOR EMBUTIDO, ACABAMENTO ANODIZADO NATURAL, SEM GUARNICAO/ALIZAR/VISTA</v>
      </c>
      <c r="G26" s="165" t="str">
        <f ca="1">IF($D26&lt;&gt;"Serviço","",OFFSET(ORÇAMENTO!S$15,ROW(G26)-ROW(G$15),0))</f>
        <v>M2</v>
      </c>
      <c r="H26" s="123">
        <f ca="1">IF($D26&lt;&gt;"Serviço",0,IF(ACOMPANHAMENTO="BM",ROUND(OFFSET(ORÇAMENTO!AJ$15,ROW(H26)-ROW(H$15),0),15-13*ORÇAMENTO!$AF$7),SUMPRODUCT(($Q$1:$AA$1=1)*ROUND($Q26:$AA26,15-13*ORÇAMENTO!$AF$7))))</f>
        <v>7</v>
      </c>
      <c r="I26" s="469" t="s">
        <v>996</v>
      </c>
      <c r="J26" s="663" t="str">
        <f ca="1">IF(OR(B26&lt;&gt;"S",CÁLCULO.FrentesPreenchidas=0),"",IF(AND(ACOMPANHAMENTO="PLE",AUTOEVENTO="Manual",OR(H26&gt;0,ORÇAMENTO!AC26="QUANT."),OR(K26="",M26=0,N26="")),"►",IF(AND(ACOMPANHAMENTO="PLE",ORÇAMENTO!AC26="QUANT."),"►►",IF(AND(COUNTIF($P$11:$AA$11,"▼")=0,H26&gt;0,I26=""),"◄",""))))</f>
        <v/>
      </c>
      <c r="K26" s="664"/>
      <c r="L26" s="166" t="s">
        <v>765</v>
      </c>
      <c r="M26" s="167">
        <f ca="1">IF($D26&lt;&gt;"Serviço","",
          IF(AUTOEVENTO="manual",$A26,
                IF(ISERROR(MATCH($A26,$A$15:OFFSET($A26,-1,0),0)),MAX($M$15:OFFSET(M26,-1,0))+1,
                      INDEX($M$15:OFFSET(M26,-1,0),MATCH($A26,$A$15:OFFSET($A26,-1,0),0)))))</f>
        <v>1</v>
      </c>
      <c r="N26" s="168" t="str">
        <f ca="1">IF($D26&lt;&gt;"Serviço","",
         IF(AUTOEVENTO="Manual",
                IF($A26=0,"&lt;-- defina o número do agrupador",
                       OFFSET(EVENTOS!$D$15,$A26-$A$15,0)),
                OFFSET($F$15,$A26,0)))</f>
        <v>TROCA DE ESQUADRIAS</v>
      </c>
      <c r="O26" s="169"/>
      <c r="Q26" s="169">
        <v>7</v>
      </c>
      <c r="R26" s="170"/>
      <c r="S26" s="170"/>
      <c r="T26" s="170"/>
      <c r="U26" s="170"/>
      <c r="V26" s="170"/>
      <c r="W26" s="170"/>
      <c r="X26" s="170"/>
      <c r="Y26" s="170"/>
      <c r="Z26" s="171"/>
      <c r="AB26" s="454">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4219.46</v>
      </c>
      <c r="AC26" s="454">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4">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4">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4">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4">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4">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4">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4">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4">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2">
        <f ca="1">IF(OR($D26&lt;&gt;"Serviço",AND(AUTOEVENTO="Manual",$M26=$A$15)),0,
         IF(OFFSET(CRONOPLE!$F$15,$M26-$A$15,AM$13)=0,10^12,OFFSET(CRONOPLE!$F$15,$M26-$A$15,AM$13)))</f>
        <v>2</v>
      </c>
      <c r="AN26" s="172">
        <f ca="1">IF(OR($D26&lt;&gt;"Serviço",AND(AUTOEVENTO="Manual",$M26=$A$15)),0,
         IF(OFFSET(CRONOPLE!$F$15,$M26-$A$15,AN$13)=0,10^12,OFFSET(CRONOPLE!$F$15,$M26-$A$15,AN$13)))</f>
        <v>1000000000000</v>
      </c>
      <c r="AO26" s="172">
        <f ca="1">IF(OR($D26&lt;&gt;"Serviço",AND(AUTOEVENTO="Manual",$M26=$A$15)),0,
         IF(OFFSET(CRONOPLE!$F$15,$M26-$A$15,AO$13)=0,10^12,OFFSET(CRONOPLE!$F$15,$M26-$A$15,AO$13)))</f>
        <v>1000000000000</v>
      </c>
      <c r="AP26" s="172">
        <f ca="1">IF(OR($D26&lt;&gt;"Serviço",AND(AUTOEVENTO="Manual",$M26=$A$15)),0,
         IF(OFFSET(CRONOPLE!$F$15,$M26-$A$15,AP$13)=0,10^12,OFFSET(CRONOPLE!$F$15,$M26-$A$15,AP$13)))</f>
        <v>1000000000000</v>
      </c>
      <c r="AQ26" s="172">
        <f ca="1">IF(OR($D26&lt;&gt;"Serviço",AND(AUTOEVENTO="Manual",$M26=$A$15)),0,
         IF(OFFSET(CRONOPLE!$F$15,$M26-$A$15,AQ$13)=0,10^12,OFFSET(CRONOPLE!$F$15,$M26-$A$15,AQ$13)))</f>
        <v>1000000000000</v>
      </c>
      <c r="AR26" s="172">
        <f ca="1">IF(OR($D26&lt;&gt;"Serviço",AND(AUTOEVENTO="Manual",$M26=$A$15)),0,
         IF(OFFSET(CRONOPLE!$F$15,$M26-$A$15,AR$13)=0,10^12,OFFSET(CRONOPLE!$F$15,$M26-$A$15,AR$13)))</f>
        <v>1000000000000</v>
      </c>
      <c r="AS26" s="172">
        <f ca="1">IF(OR($D26&lt;&gt;"Serviço",AND(AUTOEVENTO="Manual",$M26=$A$15)),0,
         IF(OFFSET(CRONOPLE!$F$15,$M26-$A$15,AS$13)=0,10^12,OFFSET(CRONOPLE!$F$15,$M26-$A$15,AS$13)))</f>
        <v>1000000000000</v>
      </c>
      <c r="AT26" s="172">
        <f ca="1">IF(OR($D26&lt;&gt;"Serviço",AND(AUTOEVENTO="Manual",$M26=$A$15)),0,
         IF(OFFSET(CRONOPLE!$F$15,$M26-$A$15,AT$13)=0,10^12,OFFSET(CRONOPLE!$F$15,$M26-$A$15,AT$13)))</f>
        <v>1000000000000</v>
      </c>
      <c r="AU26" s="172">
        <f ca="1">IF(OR($D26&lt;&gt;"Serviço",AND(AUTOEVENTO="Manual",$M26=$A$15)),0,
         IF(OFFSET(CRONOPLE!$F$15,$M26-$A$15,AU$13)=0,10^12,OFFSET(CRONOPLE!$F$15,$M26-$A$15,AU$13)))</f>
        <v>1000000000000</v>
      </c>
      <c r="AV26" s="172">
        <f ca="1">IF(OR($D26&lt;&gt;"Serviço",AND(AUTOEVENTO="Manual",$M26=$A$15)),0,
         IF(OFFSET(CRONOPLE!$F$15,$M26-$A$15,AV$13)=0,10^12,OFFSET(CRONOPLE!$F$15,$M26-$A$15,AV$13)))</f>
        <v>1000000000000</v>
      </c>
      <c r="AX26" s="173">
        <f ca="1">IF(OR($D26&lt;&gt;"Serviço",AND(AUTOEVENTO="Manual",$M26=$A$15),$M26&gt;(ROW(PLE.lastrow)-ROW(PLE.firstrow))),0,
           IF(OFFSET(PLE!$G$15,$M26-$A$15,AX$13)="",10^12,OFFSET(PLE!$G$15,$M26-$A$15,AX$13)))</f>
        <v>1000000000000</v>
      </c>
      <c r="AY26" s="173">
        <f ca="1">IF(OR($D26&lt;&gt;"Serviço",AND(AUTOEVENTO="Manual",$M26=$A$15),$M26&gt;(ROW(PLE.lastrow)-ROW(PLE.firstrow))),0,
           IF(OFFSET(PLE!$G$15,$M26-$A$15,AY$13)="",10^12,OFFSET(PLE!$G$15,$M26-$A$15,AY$13)))</f>
        <v>1000000000000</v>
      </c>
      <c r="AZ26" s="173">
        <f ca="1">IF(OR($D26&lt;&gt;"Serviço",AND(AUTOEVENTO="Manual",$M26=$A$15),$M26&gt;(ROW(PLE.lastrow)-ROW(PLE.firstrow))),0,
           IF(OFFSET(PLE!$G$15,$M26-$A$15,AZ$13)="",10^12,OFFSET(PLE!$G$15,$M26-$A$15,AZ$13)))</f>
        <v>1000000000000</v>
      </c>
      <c r="BA26" s="173">
        <f ca="1">IF(OR($D26&lt;&gt;"Serviço",AND(AUTOEVENTO="Manual",$M26=$A$15),$M26&gt;(ROW(PLE.lastrow)-ROW(PLE.firstrow))),0,
           IF(OFFSET(PLE!$G$15,$M26-$A$15,BA$13)="",10^12,OFFSET(PLE!$G$15,$M26-$A$15,BA$13)))</f>
        <v>1000000000000</v>
      </c>
      <c r="BB26" s="173">
        <f ca="1">IF(OR($D26&lt;&gt;"Serviço",AND(AUTOEVENTO="Manual",$M26=$A$15),$M26&gt;(ROW(PLE.lastrow)-ROW(PLE.firstrow))),0,
           IF(OFFSET(PLE!$G$15,$M26-$A$15,BB$13)="",10^12,OFFSET(PLE!$G$15,$M26-$A$15,BB$13)))</f>
        <v>1000000000000</v>
      </c>
      <c r="BC26" s="173">
        <f ca="1">IF(OR($D26&lt;&gt;"Serviço",AND(AUTOEVENTO="Manual",$M26=$A$15),$M26&gt;(ROW(PLE.lastrow)-ROW(PLE.firstrow))),0,
           IF(OFFSET(PLE!$G$15,$M26-$A$15,BC$13)="",10^12,OFFSET(PLE!$G$15,$M26-$A$15,BC$13)))</f>
        <v>1000000000000</v>
      </c>
      <c r="BD26" s="173">
        <f ca="1">IF(OR($D26&lt;&gt;"Serviço",AND(AUTOEVENTO="Manual",$M26=$A$15),$M26&gt;(ROW(PLE.lastrow)-ROW(PLE.firstrow))),0,
           IF(OFFSET(PLE!$G$15,$M26-$A$15,BD$13)="",10^12,OFFSET(PLE!$G$15,$M26-$A$15,BD$13)))</f>
        <v>1000000000000</v>
      </c>
      <c r="BE26" s="173">
        <f ca="1">IF(OR($D26&lt;&gt;"Serviço",AND(AUTOEVENTO="Manual",$M26=$A$15),$M26&gt;(ROW(PLE.lastrow)-ROW(PLE.firstrow))),0,
           IF(OFFSET(PLE!$G$15,$M26-$A$15,BE$13)="",10^12,OFFSET(PLE!$G$15,$M26-$A$15,BE$13)))</f>
        <v>1000000000000</v>
      </c>
      <c r="BF26" s="173">
        <f ca="1">IF(OR($D26&lt;&gt;"Serviço",AND(AUTOEVENTO="Manual",$M26=$A$15),$M26&gt;(ROW(PLE.lastrow)-ROW(PLE.firstrow))),0,
           IF(OFFSET(PLE!$G$15,$M26-$A$15,BF$13)="",10^12,OFFSET(PLE!$G$15,$M26-$A$15,BF$13)))</f>
        <v>1000000000000</v>
      </c>
      <c r="BG26" s="173">
        <f ca="1">IF(OR($D26&lt;&gt;"Serviço",AND(AUTOEVENTO="Manual",$M26=$A$15),$M26&gt;(ROW(PLE.lastrow)-ROW(PLE.firstrow))),0,
           IF(OFFSET(PLE!$G$15,$M26-$A$15,BG$13)="",10^12,OFFSET(PLE!$G$15,$M26-$A$15,BG$13)))</f>
        <v>1000000000000</v>
      </c>
    </row>
    <row r="27" spans="1:59" ht="25.5" x14ac:dyDescent="0.2">
      <c r="A27" s="7" t="str">
        <f t="shared" ca="1" si="9"/>
        <v>2</v>
      </c>
      <c r="B27" s="7" t="str">
        <f ca="1">OFFSET(ORÇAMENTO!C$15,ROW(B27)-ROW(B$15),0)</f>
        <v>S</v>
      </c>
      <c r="C27" s="7" t="str">
        <f ca="1">OFFSET(ORÇAMENTO!L$15,ROW(C27)-ROW(C$15),0)</f>
        <v>F</v>
      </c>
      <c r="D27" s="117" t="str">
        <f ca="1">OFFSET(ORÇAMENTO!N$15,ROW(D27)-ROW(D$15),0)</f>
        <v>Serviço</v>
      </c>
      <c r="E27" s="118" t="str">
        <f ca="1">OFFSET(ORÇAMENTO!O$15,ROW(E27)-ROW(E$15),0)</f>
        <v>1.1.10.</v>
      </c>
      <c r="F27" s="164" t="str">
        <f ca="1">OFFSET(ORÇAMENTO!R$15,ROW(F27)-ROW(F$15),0)</f>
        <v>PORTA EXTERNA DE CORRER EM VIDRO 10 MM EM TRILHO COM SISTEMA MÃO AMIGA  - FORNECIMENTO E INSTALAÇÃO</v>
      </c>
      <c r="G27" s="165" t="str">
        <f ca="1">IF($D27&lt;&gt;"Serviço","",OFFSET(ORÇAMENTO!S$15,ROW(G27)-ROW(G$15),0))</f>
        <v>M2</v>
      </c>
      <c r="H27" s="123">
        <f ca="1">IF($D27&lt;&gt;"Serviço",0,IF(ACOMPANHAMENTO="BM",ROUND(OFFSET(ORÇAMENTO!AJ$15,ROW(H27)-ROW(H$15),0),15-13*ORÇAMENTO!$AF$7),SUMPRODUCT(($Q$1:$AA$1=1)*ROUND($Q27:$AA27,15-13*ORÇAMENTO!$AF$7))))</f>
        <v>13.65</v>
      </c>
      <c r="I27" s="469" t="s">
        <v>1004</v>
      </c>
      <c r="J27" s="663" t="str">
        <f ca="1">IF(OR(B27&lt;&gt;"S",CÁLCULO.FrentesPreenchidas=0),"",IF(AND(ACOMPANHAMENTO="PLE",AUTOEVENTO="Manual",OR(H27&gt;0,ORÇAMENTO!AC27="QUANT."),OR(K27="",M27=0,N27="")),"►",IF(AND(ACOMPANHAMENTO="PLE",ORÇAMENTO!AC27="QUANT."),"►►",IF(AND(COUNTIF($P$11:$AA$11,"▼")=0,H27&gt;0,I27=""),"◄",""))))</f>
        <v/>
      </c>
      <c r="K27" s="664"/>
      <c r="L27" s="166" t="s">
        <v>765</v>
      </c>
      <c r="M27" s="167">
        <f ca="1">IF($D27&lt;&gt;"Serviço","",
          IF(AUTOEVENTO="manual",$A27,
                IF(ISERROR(MATCH($A27,$A$15:OFFSET($A27,-1,0),0)),MAX($M$15:OFFSET(M27,-1,0))+1,
                      INDEX($M$15:OFFSET(M27,-1,0),MATCH($A27,$A$15:OFFSET($A27,-1,0),0)))))</f>
        <v>1</v>
      </c>
      <c r="N27" s="168" t="str">
        <f ca="1">IF($D27&lt;&gt;"Serviço","",
         IF(AUTOEVENTO="Manual",
                IF($A27=0,"&lt;-- defina o número do agrupador",
                       OFFSET(EVENTOS!$D$15,$A27-$A$15,0)),
                OFFSET($F$15,$A27,0)))</f>
        <v>TROCA DE ESQUADRIAS</v>
      </c>
      <c r="O27" s="169"/>
      <c r="Q27" s="169">
        <v>13.65</v>
      </c>
      <c r="R27" s="170"/>
      <c r="S27" s="170"/>
      <c r="T27" s="170"/>
      <c r="U27" s="170"/>
      <c r="V27" s="170"/>
      <c r="W27" s="170"/>
      <c r="X27" s="170"/>
      <c r="Y27" s="170"/>
      <c r="Z27" s="171"/>
      <c r="AB27" s="454">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9379.6</v>
      </c>
      <c r="AC27" s="454">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4">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4">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4">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4">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4">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4">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4">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4">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2">
        <f ca="1">IF(OR($D27&lt;&gt;"Serviço",AND(AUTOEVENTO="Manual",$M27=$A$15)),0,
         IF(OFFSET(CRONOPLE!$F$15,$M27-$A$15,AM$13)=0,10^12,OFFSET(CRONOPLE!$F$15,$M27-$A$15,AM$13)))</f>
        <v>2</v>
      </c>
      <c r="AN27" s="172">
        <f ca="1">IF(OR($D27&lt;&gt;"Serviço",AND(AUTOEVENTO="Manual",$M27=$A$15)),0,
         IF(OFFSET(CRONOPLE!$F$15,$M27-$A$15,AN$13)=0,10^12,OFFSET(CRONOPLE!$F$15,$M27-$A$15,AN$13)))</f>
        <v>1000000000000</v>
      </c>
      <c r="AO27" s="172">
        <f ca="1">IF(OR($D27&lt;&gt;"Serviço",AND(AUTOEVENTO="Manual",$M27=$A$15)),0,
         IF(OFFSET(CRONOPLE!$F$15,$M27-$A$15,AO$13)=0,10^12,OFFSET(CRONOPLE!$F$15,$M27-$A$15,AO$13)))</f>
        <v>1000000000000</v>
      </c>
      <c r="AP27" s="172">
        <f ca="1">IF(OR($D27&lt;&gt;"Serviço",AND(AUTOEVENTO="Manual",$M27=$A$15)),0,
         IF(OFFSET(CRONOPLE!$F$15,$M27-$A$15,AP$13)=0,10^12,OFFSET(CRONOPLE!$F$15,$M27-$A$15,AP$13)))</f>
        <v>1000000000000</v>
      </c>
      <c r="AQ27" s="172">
        <f ca="1">IF(OR($D27&lt;&gt;"Serviço",AND(AUTOEVENTO="Manual",$M27=$A$15)),0,
         IF(OFFSET(CRONOPLE!$F$15,$M27-$A$15,AQ$13)=0,10^12,OFFSET(CRONOPLE!$F$15,$M27-$A$15,AQ$13)))</f>
        <v>1000000000000</v>
      </c>
      <c r="AR27" s="172">
        <f ca="1">IF(OR($D27&lt;&gt;"Serviço",AND(AUTOEVENTO="Manual",$M27=$A$15)),0,
         IF(OFFSET(CRONOPLE!$F$15,$M27-$A$15,AR$13)=0,10^12,OFFSET(CRONOPLE!$F$15,$M27-$A$15,AR$13)))</f>
        <v>1000000000000</v>
      </c>
      <c r="AS27" s="172">
        <f ca="1">IF(OR($D27&lt;&gt;"Serviço",AND(AUTOEVENTO="Manual",$M27=$A$15)),0,
         IF(OFFSET(CRONOPLE!$F$15,$M27-$A$15,AS$13)=0,10^12,OFFSET(CRONOPLE!$F$15,$M27-$A$15,AS$13)))</f>
        <v>1000000000000</v>
      </c>
      <c r="AT27" s="172">
        <f ca="1">IF(OR($D27&lt;&gt;"Serviço",AND(AUTOEVENTO="Manual",$M27=$A$15)),0,
         IF(OFFSET(CRONOPLE!$F$15,$M27-$A$15,AT$13)=0,10^12,OFFSET(CRONOPLE!$F$15,$M27-$A$15,AT$13)))</f>
        <v>1000000000000</v>
      </c>
      <c r="AU27" s="172">
        <f ca="1">IF(OR($D27&lt;&gt;"Serviço",AND(AUTOEVENTO="Manual",$M27=$A$15)),0,
         IF(OFFSET(CRONOPLE!$F$15,$M27-$A$15,AU$13)=0,10^12,OFFSET(CRONOPLE!$F$15,$M27-$A$15,AU$13)))</f>
        <v>1000000000000</v>
      </c>
      <c r="AV27" s="172">
        <f ca="1">IF(OR($D27&lt;&gt;"Serviço",AND(AUTOEVENTO="Manual",$M27=$A$15)),0,
         IF(OFFSET(CRONOPLE!$F$15,$M27-$A$15,AV$13)=0,10^12,OFFSET(CRONOPLE!$F$15,$M27-$A$15,AV$13)))</f>
        <v>1000000000000</v>
      </c>
      <c r="AX27" s="173">
        <f ca="1">IF(OR($D27&lt;&gt;"Serviço",AND(AUTOEVENTO="Manual",$M27=$A$15),$M27&gt;(ROW(PLE.lastrow)-ROW(PLE.firstrow))),0,
           IF(OFFSET(PLE!$G$15,$M27-$A$15,AX$13)="",10^12,OFFSET(PLE!$G$15,$M27-$A$15,AX$13)))</f>
        <v>1000000000000</v>
      </c>
      <c r="AY27" s="173">
        <f ca="1">IF(OR($D27&lt;&gt;"Serviço",AND(AUTOEVENTO="Manual",$M27=$A$15),$M27&gt;(ROW(PLE.lastrow)-ROW(PLE.firstrow))),0,
           IF(OFFSET(PLE!$G$15,$M27-$A$15,AY$13)="",10^12,OFFSET(PLE!$G$15,$M27-$A$15,AY$13)))</f>
        <v>1000000000000</v>
      </c>
      <c r="AZ27" s="173">
        <f ca="1">IF(OR($D27&lt;&gt;"Serviço",AND(AUTOEVENTO="Manual",$M27=$A$15),$M27&gt;(ROW(PLE.lastrow)-ROW(PLE.firstrow))),0,
           IF(OFFSET(PLE!$G$15,$M27-$A$15,AZ$13)="",10^12,OFFSET(PLE!$G$15,$M27-$A$15,AZ$13)))</f>
        <v>1000000000000</v>
      </c>
      <c r="BA27" s="173">
        <f ca="1">IF(OR($D27&lt;&gt;"Serviço",AND(AUTOEVENTO="Manual",$M27=$A$15),$M27&gt;(ROW(PLE.lastrow)-ROW(PLE.firstrow))),0,
           IF(OFFSET(PLE!$G$15,$M27-$A$15,BA$13)="",10^12,OFFSET(PLE!$G$15,$M27-$A$15,BA$13)))</f>
        <v>1000000000000</v>
      </c>
      <c r="BB27" s="173">
        <f ca="1">IF(OR($D27&lt;&gt;"Serviço",AND(AUTOEVENTO="Manual",$M27=$A$15),$M27&gt;(ROW(PLE.lastrow)-ROW(PLE.firstrow))),0,
           IF(OFFSET(PLE!$G$15,$M27-$A$15,BB$13)="",10^12,OFFSET(PLE!$G$15,$M27-$A$15,BB$13)))</f>
        <v>1000000000000</v>
      </c>
      <c r="BC27" s="173">
        <f ca="1">IF(OR($D27&lt;&gt;"Serviço",AND(AUTOEVENTO="Manual",$M27=$A$15),$M27&gt;(ROW(PLE.lastrow)-ROW(PLE.firstrow))),0,
           IF(OFFSET(PLE!$G$15,$M27-$A$15,BC$13)="",10^12,OFFSET(PLE!$G$15,$M27-$A$15,BC$13)))</f>
        <v>1000000000000</v>
      </c>
      <c r="BD27" s="173">
        <f ca="1">IF(OR($D27&lt;&gt;"Serviço",AND(AUTOEVENTO="Manual",$M27=$A$15),$M27&gt;(ROW(PLE.lastrow)-ROW(PLE.firstrow))),0,
           IF(OFFSET(PLE!$G$15,$M27-$A$15,BD$13)="",10^12,OFFSET(PLE!$G$15,$M27-$A$15,BD$13)))</f>
        <v>1000000000000</v>
      </c>
      <c r="BE27" s="173">
        <f ca="1">IF(OR($D27&lt;&gt;"Serviço",AND(AUTOEVENTO="Manual",$M27=$A$15),$M27&gt;(ROW(PLE.lastrow)-ROW(PLE.firstrow))),0,
           IF(OFFSET(PLE!$G$15,$M27-$A$15,BE$13)="",10^12,OFFSET(PLE!$G$15,$M27-$A$15,BE$13)))</f>
        <v>1000000000000</v>
      </c>
      <c r="BF27" s="173">
        <f ca="1">IF(OR($D27&lt;&gt;"Serviço",AND(AUTOEVENTO="Manual",$M27=$A$15),$M27&gt;(ROW(PLE.lastrow)-ROW(PLE.firstrow))),0,
           IF(OFFSET(PLE!$G$15,$M27-$A$15,BF$13)="",10^12,OFFSET(PLE!$G$15,$M27-$A$15,BF$13)))</f>
        <v>1000000000000</v>
      </c>
      <c r="BG27" s="173">
        <f ca="1">IF(OR($D27&lt;&gt;"Serviço",AND(AUTOEVENTO="Manual",$M27=$A$15),$M27&gt;(ROW(PLE.lastrow)-ROW(PLE.firstrow))),0,
           IF(OFFSET(PLE!$G$15,$M27-$A$15,BG$13)="",10^12,OFFSET(PLE!$G$15,$M27-$A$15,BG$13)))</f>
        <v>1000000000000</v>
      </c>
    </row>
    <row r="28" spans="1:59" ht="38.25" x14ac:dyDescent="0.2">
      <c r="A28" s="7" t="str">
        <f t="shared" ca="1" si="9"/>
        <v>2</v>
      </c>
      <c r="B28" s="7" t="str">
        <f ca="1">OFFSET(ORÇAMENTO!C$15,ROW(B28)-ROW(B$15),0)</f>
        <v>S</v>
      </c>
      <c r="C28" s="7" t="str">
        <f ca="1">OFFSET(ORÇAMENTO!L$15,ROW(C28)-ROW(C$15),0)</f>
        <v>F</v>
      </c>
      <c r="D28" s="117" t="str">
        <f ca="1">OFFSET(ORÇAMENTO!N$15,ROW(D28)-ROW(D$15),0)</f>
        <v>Serviço</v>
      </c>
      <c r="E28" s="118" t="str">
        <f ca="1">OFFSET(ORÇAMENTO!O$15,ROW(E28)-ROW(E$15),0)</f>
        <v>1.1.11.</v>
      </c>
      <c r="F28" s="164" t="str">
        <f ca="1">OFFSET(ORÇAMENTO!R$15,ROW(F28)-ROW(F$15),0)</f>
        <v>PINTURA LÁTEX ACRÍLICA PREMIUM, APLICAÇÃO MANUAL EM PAREDES, DUAS DEMÃOS. AF_04/2023</v>
      </c>
      <c r="G28" s="165" t="str">
        <f ca="1">IF($D28&lt;&gt;"Serviço","",OFFSET(ORÇAMENTO!S$15,ROW(G28)-ROW(G$15),0))</f>
        <v>M2</v>
      </c>
      <c r="H28" s="123">
        <f ca="1">IF($D28&lt;&gt;"Serviço",0,IF(ACOMPANHAMENTO="BM",ROUND(OFFSET(ORÇAMENTO!AJ$15,ROW(H28)-ROW(H$15),0),15-13*ORÇAMENTO!$AF$7),SUMPRODUCT(($Q$1:$AA$1=1)*ROUND($Q28:$AA28,15-13*ORÇAMENTO!$AF$7))))</f>
        <v>20.5</v>
      </c>
      <c r="I28" s="469" t="s">
        <v>999</v>
      </c>
      <c r="J28" s="663" t="str">
        <f ca="1">IF(OR(B28&lt;&gt;"S",CÁLCULO.FrentesPreenchidas=0),"",IF(AND(ACOMPANHAMENTO="PLE",AUTOEVENTO="Manual",OR(H28&gt;0,ORÇAMENTO!AC28="QUANT."),OR(K28="",M28=0,N28="")),"►",IF(AND(ACOMPANHAMENTO="PLE",ORÇAMENTO!AC28="QUANT."),"►►",IF(AND(COUNTIF($P$11:$AA$11,"▼")=0,H28&gt;0,I28=""),"◄",""))))</f>
        <v/>
      </c>
      <c r="K28" s="664"/>
      <c r="L28" s="166" t="s">
        <v>765</v>
      </c>
      <c r="M28" s="167">
        <f ca="1">IF($D28&lt;&gt;"Serviço","",
          IF(AUTOEVENTO="manual",$A28,
                IF(ISERROR(MATCH($A28,$A$15:OFFSET($A28,-1,0),0)),MAX($M$15:OFFSET(M28,-1,0))+1,
                      INDEX($M$15:OFFSET(M28,-1,0),MATCH($A28,$A$15:OFFSET($A28,-1,0),0)))))</f>
        <v>1</v>
      </c>
      <c r="N28" s="168" t="str">
        <f ca="1">IF($D28&lt;&gt;"Serviço","",
         IF(AUTOEVENTO="Manual",
                IF($A28=0,"&lt;-- defina o número do agrupador",
                       OFFSET(EVENTOS!$D$15,$A28-$A$15,0)),
                OFFSET($F$15,$A28,0)))</f>
        <v>TROCA DE ESQUADRIAS</v>
      </c>
      <c r="O28" s="169"/>
      <c r="Q28" s="169">
        <v>20.5</v>
      </c>
      <c r="R28" s="170"/>
      <c r="S28" s="170"/>
      <c r="T28" s="170"/>
      <c r="U28" s="170"/>
      <c r="V28" s="170"/>
      <c r="W28" s="170"/>
      <c r="X28" s="170"/>
      <c r="Y28" s="170"/>
      <c r="Z28" s="171"/>
      <c r="AB28" s="454">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328.62</v>
      </c>
      <c r="AC28" s="454">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4">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4">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4">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4">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4">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4">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4">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4">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2">
        <f ca="1">IF(OR($D28&lt;&gt;"Serviço",AND(AUTOEVENTO="Manual",$M28=$A$15)),0,
         IF(OFFSET(CRONOPLE!$F$15,$M28-$A$15,AM$13)=0,10^12,OFFSET(CRONOPLE!$F$15,$M28-$A$15,AM$13)))</f>
        <v>2</v>
      </c>
      <c r="AN28" s="172">
        <f ca="1">IF(OR($D28&lt;&gt;"Serviço",AND(AUTOEVENTO="Manual",$M28=$A$15)),0,
         IF(OFFSET(CRONOPLE!$F$15,$M28-$A$15,AN$13)=0,10^12,OFFSET(CRONOPLE!$F$15,$M28-$A$15,AN$13)))</f>
        <v>1000000000000</v>
      </c>
      <c r="AO28" s="172">
        <f ca="1">IF(OR($D28&lt;&gt;"Serviço",AND(AUTOEVENTO="Manual",$M28=$A$15)),0,
         IF(OFFSET(CRONOPLE!$F$15,$M28-$A$15,AO$13)=0,10^12,OFFSET(CRONOPLE!$F$15,$M28-$A$15,AO$13)))</f>
        <v>1000000000000</v>
      </c>
      <c r="AP28" s="172">
        <f ca="1">IF(OR($D28&lt;&gt;"Serviço",AND(AUTOEVENTO="Manual",$M28=$A$15)),0,
         IF(OFFSET(CRONOPLE!$F$15,$M28-$A$15,AP$13)=0,10^12,OFFSET(CRONOPLE!$F$15,$M28-$A$15,AP$13)))</f>
        <v>1000000000000</v>
      </c>
      <c r="AQ28" s="172">
        <f ca="1">IF(OR($D28&lt;&gt;"Serviço",AND(AUTOEVENTO="Manual",$M28=$A$15)),0,
         IF(OFFSET(CRONOPLE!$F$15,$M28-$A$15,AQ$13)=0,10^12,OFFSET(CRONOPLE!$F$15,$M28-$A$15,AQ$13)))</f>
        <v>1000000000000</v>
      </c>
      <c r="AR28" s="172">
        <f ca="1">IF(OR($D28&lt;&gt;"Serviço",AND(AUTOEVENTO="Manual",$M28=$A$15)),0,
         IF(OFFSET(CRONOPLE!$F$15,$M28-$A$15,AR$13)=0,10^12,OFFSET(CRONOPLE!$F$15,$M28-$A$15,AR$13)))</f>
        <v>1000000000000</v>
      </c>
      <c r="AS28" s="172">
        <f ca="1">IF(OR($D28&lt;&gt;"Serviço",AND(AUTOEVENTO="Manual",$M28=$A$15)),0,
         IF(OFFSET(CRONOPLE!$F$15,$M28-$A$15,AS$13)=0,10^12,OFFSET(CRONOPLE!$F$15,$M28-$A$15,AS$13)))</f>
        <v>1000000000000</v>
      </c>
      <c r="AT28" s="172">
        <f ca="1">IF(OR($D28&lt;&gt;"Serviço",AND(AUTOEVENTO="Manual",$M28=$A$15)),0,
         IF(OFFSET(CRONOPLE!$F$15,$M28-$A$15,AT$13)=0,10^12,OFFSET(CRONOPLE!$F$15,$M28-$A$15,AT$13)))</f>
        <v>1000000000000</v>
      </c>
      <c r="AU28" s="172">
        <f ca="1">IF(OR($D28&lt;&gt;"Serviço",AND(AUTOEVENTO="Manual",$M28=$A$15)),0,
         IF(OFFSET(CRONOPLE!$F$15,$M28-$A$15,AU$13)=0,10^12,OFFSET(CRONOPLE!$F$15,$M28-$A$15,AU$13)))</f>
        <v>1000000000000</v>
      </c>
      <c r="AV28" s="172">
        <f ca="1">IF(OR($D28&lt;&gt;"Serviço",AND(AUTOEVENTO="Manual",$M28=$A$15)),0,
         IF(OFFSET(CRONOPLE!$F$15,$M28-$A$15,AV$13)=0,10^12,OFFSET(CRONOPLE!$F$15,$M28-$A$15,AV$13)))</f>
        <v>1000000000000</v>
      </c>
      <c r="AX28" s="173">
        <f ca="1">IF(OR($D28&lt;&gt;"Serviço",AND(AUTOEVENTO="Manual",$M28=$A$15),$M28&gt;(ROW(PLE.lastrow)-ROW(PLE.firstrow))),0,
           IF(OFFSET(PLE!$G$15,$M28-$A$15,AX$13)="",10^12,OFFSET(PLE!$G$15,$M28-$A$15,AX$13)))</f>
        <v>1000000000000</v>
      </c>
      <c r="AY28" s="173">
        <f ca="1">IF(OR($D28&lt;&gt;"Serviço",AND(AUTOEVENTO="Manual",$M28=$A$15),$M28&gt;(ROW(PLE.lastrow)-ROW(PLE.firstrow))),0,
           IF(OFFSET(PLE!$G$15,$M28-$A$15,AY$13)="",10^12,OFFSET(PLE!$G$15,$M28-$A$15,AY$13)))</f>
        <v>1000000000000</v>
      </c>
      <c r="AZ28" s="173">
        <f ca="1">IF(OR($D28&lt;&gt;"Serviço",AND(AUTOEVENTO="Manual",$M28=$A$15),$M28&gt;(ROW(PLE.lastrow)-ROW(PLE.firstrow))),0,
           IF(OFFSET(PLE!$G$15,$M28-$A$15,AZ$13)="",10^12,OFFSET(PLE!$G$15,$M28-$A$15,AZ$13)))</f>
        <v>1000000000000</v>
      </c>
      <c r="BA28" s="173">
        <f ca="1">IF(OR($D28&lt;&gt;"Serviço",AND(AUTOEVENTO="Manual",$M28=$A$15),$M28&gt;(ROW(PLE.lastrow)-ROW(PLE.firstrow))),0,
           IF(OFFSET(PLE!$G$15,$M28-$A$15,BA$13)="",10^12,OFFSET(PLE!$G$15,$M28-$A$15,BA$13)))</f>
        <v>1000000000000</v>
      </c>
      <c r="BB28" s="173">
        <f ca="1">IF(OR($D28&lt;&gt;"Serviço",AND(AUTOEVENTO="Manual",$M28=$A$15),$M28&gt;(ROW(PLE.lastrow)-ROW(PLE.firstrow))),0,
           IF(OFFSET(PLE!$G$15,$M28-$A$15,BB$13)="",10^12,OFFSET(PLE!$G$15,$M28-$A$15,BB$13)))</f>
        <v>1000000000000</v>
      </c>
      <c r="BC28" s="173">
        <f ca="1">IF(OR($D28&lt;&gt;"Serviço",AND(AUTOEVENTO="Manual",$M28=$A$15),$M28&gt;(ROW(PLE.lastrow)-ROW(PLE.firstrow))),0,
           IF(OFFSET(PLE!$G$15,$M28-$A$15,BC$13)="",10^12,OFFSET(PLE!$G$15,$M28-$A$15,BC$13)))</f>
        <v>1000000000000</v>
      </c>
      <c r="BD28" s="173">
        <f ca="1">IF(OR($D28&lt;&gt;"Serviço",AND(AUTOEVENTO="Manual",$M28=$A$15),$M28&gt;(ROW(PLE.lastrow)-ROW(PLE.firstrow))),0,
           IF(OFFSET(PLE!$G$15,$M28-$A$15,BD$13)="",10^12,OFFSET(PLE!$G$15,$M28-$A$15,BD$13)))</f>
        <v>1000000000000</v>
      </c>
      <c r="BE28" s="173">
        <f ca="1">IF(OR($D28&lt;&gt;"Serviço",AND(AUTOEVENTO="Manual",$M28=$A$15),$M28&gt;(ROW(PLE.lastrow)-ROW(PLE.firstrow))),0,
           IF(OFFSET(PLE!$G$15,$M28-$A$15,BE$13)="",10^12,OFFSET(PLE!$G$15,$M28-$A$15,BE$13)))</f>
        <v>1000000000000</v>
      </c>
      <c r="BF28" s="173">
        <f ca="1">IF(OR($D28&lt;&gt;"Serviço",AND(AUTOEVENTO="Manual",$M28=$A$15),$M28&gt;(ROW(PLE.lastrow)-ROW(PLE.firstrow))),0,
           IF(OFFSET(PLE!$G$15,$M28-$A$15,BF$13)="",10^12,OFFSET(PLE!$G$15,$M28-$A$15,BF$13)))</f>
        <v>1000000000000</v>
      </c>
      <c r="BG28" s="173">
        <f ca="1">IF(OR($D28&lt;&gt;"Serviço",AND(AUTOEVENTO="Manual",$M28=$A$15),$M28&gt;(ROW(PLE.lastrow)-ROW(PLE.firstrow))),0,
           IF(OFFSET(PLE!$G$15,$M28-$A$15,BG$13)="",10^12,OFFSET(PLE!$G$15,$M28-$A$15,BG$13)))</f>
        <v>1000000000000</v>
      </c>
    </row>
    <row r="29" spans="1:59" ht="38.25" x14ac:dyDescent="0.2">
      <c r="A29" s="7" t="str">
        <f t="shared" ca="1" si="9"/>
        <v>2</v>
      </c>
      <c r="B29" s="7" t="str">
        <f ca="1">OFFSET(ORÇAMENTO!C$15,ROW(B29)-ROW(B$15),0)</f>
        <v>S</v>
      </c>
      <c r="C29" s="7" t="str">
        <f ca="1">OFFSET(ORÇAMENTO!L$15,ROW(C29)-ROW(C$15),0)</f>
        <v>F</v>
      </c>
      <c r="D29" s="117" t="str">
        <f ca="1">OFFSET(ORÇAMENTO!N$15,ROW(D29)-ROW(D$15),0)</f>
        <v>Serviço</v>
      </c>
      <c r="E29" s="118" t="str">
        <f ca="1">OFFSET(ORÇAMENTO!O$15,ROW(E29)-ROW(E$15),0)</f>
        <v>1.1.12.</v>
      </c>
      <c r="F29" s="164" t="str">
        <f ca="1">OFFSET(ORÇAMENTO!R$15,ROW(F29)-ROW(F$15),0)</f>
        <v>APLICAÇÃO MANUAL DE FUNDO SELADOR ACRÍLICO EM PAREDES EXTERNAS DE CASAS. AF_03/2024</v>
      </c>
      <c r="G29" s="165" t="str">
        <f ca="1">IF($D29&lt;&gt;"Serviço","",OFFSET(ORÇAMENTO!S$15,ROW(G29)-ROW(G$15),0))</f>
        <v>M2</v>
      </c>
      <c r="H29" s="123">
        <f ca="1">IF($D29&lt;&gt;"Serviço",0,IF(ACOMPANHAMENTO="BM",ROUND(OFFSET(ORÇAMENTO!AJ$15,ROW(H29)-ROW(H$15),0),15-13*ORÇAMENTO!$AF$7),SUMPRODUCT(($Q$1:$AA$1=1)*ROUND($Q29:$AA29,15-13*ORÇAMENTO!$AF$7))))</f>
        <v>20.5</v>
      </c>
      <c r="I29" s="469" t="s">
        <v>1000</v>
      </c>
      <c r="J29" s="663" t="str">
        <f ca="1">IF(OR(B29&lt;&gt;"S",CÁLCULO.FrentesPreenchidas=0),"",IF(AND(ACOMPANHAMENTO="PLE",AUTOEVENTO="Manual",OR(H29&gt;0,ORÇAMENTO!AC29="QUANT."),OR(K29="",M29=0,N29="")),"►",IF(AND(ACOMPANHAMENTO="PLE",ORÇAMENTO!AC29="QUANT."),"►►",IF(AND(COUNTIF($P$11:$AA$11,"▼")=0,H29&gt;0,I29=""),"◄",""))))</f>
        <v/>
      </c>
      <c r="K29" s="664"/>
      <c r="L29" s="166" t="s">
        <v>765</v>
      </c>
      <c r="M29" s="167">
        <f ca="1">IF($D29&lt;&gt;"Serviço","",
          IF(AUTOEVENTO="manual",$A29,
                IF(ISERROR(MATCH($A29,$A$15:OFFSET($A29,-1,0),0)),MAX($M$15:OFFSET(M29,-1,0))+1,
                      INDEX($M$15:OFFSET(M29,-1,0),MATCH($A29,$A$15:OFFSET($A29,-1,0),0)))))</f>
        <v>1</v>
      </c>
      <c r="N29" s="168" t="str">
        <f ca="1">IF($D29&lt;&gt;"Serviço","",
         IF(AUTOEVENTO="Manual",
                IF($A29=0,"&lt;-- defina o número do agrupador",
                       OFFSET(EVENTOS!$D$15,$A29-$A$15,0)),
                OFFSET($F$15,$A29,0)))</f>
        <v>TROCA DE ESQUADRIAS</v>
      </c>
      <c r="O29" s="169"/>
      <c r="Q29" s="169">
        <v>20.5</v>
      </c>
      <c r="R29" s="170"/>
      <c r="S29" s="170"/>
      <c r="T29" s="170"/>
      <c r="U29" s="170"/>
      <c r="V29" s="170"/>
      <c r="W29" s="170"/>
      <c r="X29" s="170"/>
      <c r="Y29" s="170"/>
      <c r="Z29" s="171"/>
      <c r="AB29" s="454">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107.01</v>
      </c>
      <c r="AC29" s="454">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4">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4">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4">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4">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4">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4">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4">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4">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2">
        <f ca="1">IF(OR($D29&lt;&gt;"Serviço",AND(AUTOEVENTO="Manual",$M29=$A$15)),0,
         IF(OFFSET(CRONOPLE!$F$15,$M29-$A$15,AM$13)=0,10^12,OFFSET(CRONOPLE!$F$15,$M29-$A$15,AM$13)))</f>
        <v>2</v>
      </c>
      <c r="AN29" s="172">
        <f ca="1">IF(OR($D29&lt;&gt;"Serviço",AND(AUTOEVENTO="Manual",$M29=$A$15)),0,
         IF(OFFSET(CRONOPLE!$F$15,$M29-$A$15,AN$13)=0,10^12,OFFSET(CRONOPLE!$F$15,$M29-$A$15,AN$13)))</f>
        <v>1000000000000</v>
      </c>
      <c r="AO29" s="172">
        <f ca="1">IF(OR($D29&lt;&gt;"Serviço",AND(AUTOEVENTO="Manual",$M29=$A$15)),0,
         IF(OFFSET(CRONOPLE!$F$15,$M29-$A$15,AO$13)=0,10^12,OFFSET(CRONOPLE!$F$15,$M29-$A$15,AO$13)))</f>
        <v>1000000000000</v>
      </c>
      <c r="AP29" s="172">
        <f ca="1">IF(OR($D29&lt;&gt;"Serviço",AND(AUTOEVENTO="Manual",$M29=$A$15)),0,
         IF(OFFSET(CRONOPLE!$F$15,$M29-$A$15,AP$13)=0,10^12,OFFSET(CRONOPLE!$F$15,$M29-$A$15,AP$13)))</f>
        <v>1000000000000</v>
      </c>
      <c r="AQ29" s="172">
        <f ca="1">IF(OR($D29&lt;&gt;"Serviço",AND(AUTOEVENTO="Manual",$M29=$A$15)),0,
         IF(OFFSET(CRONOPLE!$F$15,$M29-$A$15,AQ$13)=0,10^12,OFFSET(CRONOPLE!$F$15,$M29-$A$15,AQ$13)))</f>
        <v>1000000000000</v>
      </c>
      <c r="AR29" s="172">
        <f ca="1">IF(OR($D29&lt;&gt;"Serviço",AND(AUTOEVENTO="Manual",$M29=$A$15)),0,
         IF(OFFSET(CRONOPLE!$F$15,$M29-$A$15,AR$13)=0,10^12,OFFSET(CRONOPLE!$F$15,$M29-$A$15,AR$13)))</f>
        <v>1000000000000</v>
      </c>
      <c r="AS29" s="172">
        <f ca="1">IF(OR($D29&lt;&gt;"Serviço",AND(AUTOEVENTO="Manual",$M29=$A$15)),0,
         IF(OFFSET(CRONOPLE!$F$15,$M29-$A$15,AS$13)=0,10^12,OFFSET(CRONOPLE!$F$15,$M29-$A$15,AS$13)))</f>
        <v>1000000000000</v>
      </c>
      <c r="AT29" s="172">
        <f ca="1">IF(OR($D29&lt;&gt;"Serviço",AND(AUTOEVENTO="Manual",$M29=$A$15)),0,
         IF(OFFSET(CRONOPLE!$F$15,$M29-$A$15,AT$13)=0,10^12,OFFSET(CRONOPLE!$F$15,$M29-$A$15,AT$13)))</f>
        <v>1000000000000</v>
      </c>
      <c r="AU29" s="172">
        <f ca="1">IF(OR($D29&lt;&gt;"Serviço",AND(AUTOEVENTO="Manual",$M29=$A$15)),0,
         IF(OFFSET(CRONOPLE!$F$15,$M29-$A$15,AU$13)=0,10^12,OFFSET(CRONOPLE!$F$15,$M29-$A$15,AU$13)))</f>
        <v>1000000000000</v>
      </c>
      <c r="AV29" s="172">
        <f ca="1">IF(OR($D29&lt;&gt;"Serviço",AND(AUTOEVENTO="Manual",$M29=$A$15)),0,
         IF(OFFSET(CRONOPLE!$F$15,$M29-$A$15,AV$13)=0,10^12,OFFSET(CRONOPLE!$F$15,$M29-$A$15,AV$13)))</f>
        <v>1000000000000</v>
      </c>
      <c r="AX29" s="173">
        <f ca="1">IF(OR($D29&lt;&gt;"Serviço",AND(AUTOEVENTO="Manual",$M29=$A$15),$M29&gt;(ROW(PLE.lastrow)-ROW(PLE.firstrow))),0,
           IF(OFFSET(PLE!$G$15,$M29-$A$15,AX$13)="",10^12,OFFSET(PLE!$G$15,$M29-$A$15,AX$13)))</f>
        <v>1000000000000</v>
      </c>
      <c r="AY29" s="173">
        <f ca="1">IF(OR($D29&lt;&gt;"Serviço",AND(AUTOEVENTO="Manual",$M29=$A$15),$M29&gt;(ROW(PLE.lastrow)-ROW(PLE.firstrow))),0,
           IF(OFFSET(PLE!$G$15,$M29-$A$15,AY$13)="",10^12,OFFSET(PLE!$G$15,$M29-$A$15,AY$13)))</f>
        <v>1000000000000</v>
      </c>
      <c r="AZ29" s="173">
        <f ca="1">IF(OR($D29&lt;&gt;"Serviço",AND(AUTOEVENTO="Manual",$M29=$A$15),$M29&gt;(ROW(PLE.lastrow)-ROW(PLE.firstrow))),0,
           IF(OFFSET(PLE!$G$15,$M29-$A$15,AZ$13)="",10^12,OFFSET(PLE!$G$15,$M29-$A$15,AZ$13)))</f>
        <v>1000000000000</v>
      </c>
      <c r="BA29" s="173">
        <f ca="1">IF(OR($D29&lt;&gt;"Serviço",AND(AUTOEVENTO="Manual",$M29=$A$15),$M29&gt;(ROW(PLE.lastrow)-ROW(PLE.firstrow))),0,
           IF(OFFSET(PLE!$G$15,$M29-$A$15,BA$13)="",10^12,OFFSET(PLE!$G$15,$M29-$A$15,BA$13)))</f>
        <v>1000000000000</v>
      </c>
      <c r="BB29" s="173">
        <f ca="1">IF(OR($D29&lt;&gt;"Serviço",AND(AUTOEVENTO="Manual",$M29=$A$15),$M29&gt;(ROW(PLE.lastrow)-ROW(PLE.firstrow))),0,
           IF(OFFSET(PLE!$G$15,$M29-$A$15,BB$13)="",10^12,OFFSET(PLE!$G$15,$M29-$A$15,BB$13)))</f>
        <v>1000000000000</v>
      </c>
      <c r="BC29" s="173">
        <f ca="1">IF(OR($D29&lt;&gt;"Serviço",AND(AUTOEVENTO="Manual",$M29=$A$15),$M29&gt;(ROW(PLE.lastrow)-ROW(PLE.firstrow))),0,
           IF(OFFSET(PLE!$G$15,$M29-$A$15,BC$13)="",10^12,OFFSET(PLE!$G$15,$M29-$A$15,BC$13)))</f>
        <v>1000000000000</v>
      </c>
      <c r="BD29" s="173">
        <f ca="1">IF(OR($D29&lt;&gt;"Serviço",AND(AUTOEVENTO="Manual",$M29=$A$15),$M29&gt;(ROW(PLE.lastrow)-ROW(PLE.firstrow))),0,
           IF(OFFSET(PLE!$G$15,$M29-$A$15,BD$13)="",10^12,OFFSET(PLE!$G$15,$M29-$A$15,BD$13)))</f>
        <v>1000000000000</v>
      </c>
      <c r="BE29" s="173">
        <f ca="1">IF(OR($D29&lt;&gt;"Serviço",AND(AUTOEVENTO="Manual",$M29=$A$15),$M29&gt;(ROW(PLE.lastrow)-ROW(PLE.firstrow))),0,
           IF(OFFSET(PLE!$G$15,$M29-$A$15,BE$13)="",10^12,OFFSET(PLE!$G$15,$M29-$A$15,BE$13)))</f>
        <v>1000000000000</v>
      </c>
      <c r="BF29" s="173">
        <f ca="1">IF(OR($D29&lt;&gt;"Serviço",AND(AUTOEVENTO="Manual",$M29=$A$15),$M29&gt;(ROW(PLE.lastrow)-ROW(PLE.firstrow))),0,
           IF(OFFSET(PLE!$G$15,$M29-$A$15,BF$13)="",10^12,OFFSET(PLE!$G$15,$M29-$A$15,BF$13)))</f>
        <v>1000000000000</v>
      </c>
      <c r="BG29" s="173">
        <f ca="1">IF(OR($D29&lt;&gt;"Serviço",AND(AUTOEVENTO="Manual",$M29=$A$15),$M29&gt;(ROW(PLE.lastrow)-ROW(PLE.firstrow))),0,
           IF(OFFSET(PLE!$G$15,$M29-$A$15,BG$13)="",10^12,OFFSET(PLE!$G$15,$M29-$A$15,BG$13)))</f>
        <v>1000000000000</v>
      </c>
    </row>
    <row r="30" spans="1:59" ht="12.75" x14ac:dyDescent="0.2">
      <c r="A30" s="7" t="str">
        <f t="shared" ca="1" si="9"/>
        <v>15.</v>
      </c>
      <c r="B30" s="7">
        <f ca="1">OFFSET(ORÇAMENTO!C$15,ROW(B30)-ROW(B$15),0)</f>
        <v>2</v>
      </c>
      <c r="C30" s="7" t="str">
        <f ca="1">OFFSET(ORÇAMENTO!L$15,ROW(C30)-ROW(C$15),0)</f>
        <v>F</v>
      </c>
      <c r="D30" s="117" t="str">
        <f ca="1">OFFSET(ORÇAMENTO!N$15,ROW(D30)-ROW(D$15),0)</f>
        <v>Nível 2</v>
      </c>
      <c r="E30" s="118" t="str">
        <f ca="1">OFFSET(ORÇAMENTO!O$15,ROW(E30)-ROW(E$15),0)</f>
        <v>1.2.</v>
      </c>
      <c r="F30" s="164" t="str">
        <f ca="1">OFFSET(ORÇAMENTO!R$15,ROW(F30)-ROW(F$15),0)</f>
        <v xml:space="preserve">LIMPEZA E MANUTENÇÃO DE TELHADO </v>
      </c>
      <c r="G30" s="165" t="str">
        <f ca="1">IF($D30&lt;&gt;"Serviço","",OFFSET(ORÇAMENTO!S$15,ROW(G30)-ROW(G$15),0))</f>
        <v/>
      </c>
      <c r="H30" s="123">
        <f ca="1">IF($D30&lt;&gt;"Serviço",0,IF(ACOMPANHAMENTO="BM",ROUND(OFFSET(ORÇAMENTO!AJ$15,ROW(H30)-ROW(H$15),0),15-13*ORÇAMENTO!$AF$7),SUMPRODUCT(($Q$1:$AA$1=1)*ROUND($Q30:$AA30,15-13*ORÇAMENTO!$AF$7))))</f>
        <v>0</v>
      </c>
      <c r="I30" s="469"/>
      <c r="J30" s="663" t="str">
        <f ca="1">IF(OR(B30&lt;&gt;"S",CÁLCULO.FrentesPreenchidas=0),"",IF(AND(ACOMPANHAMENTO="PLE",AUTOEVENTO="Manual",OR(H30&gt;0,ORÇAMENTO!AC30="QUANT."),OR(K30="",M30=0,N30="")),"►",IF(AND(ACOMPANHAMENTO="PLE",ORÇAMENTO!AC30="QUANT."),"►►",IF(AND(COUNTIF($P$11:$AA$11,"▼")=0,H30&gt;0,I30=""),"◄",""))))</f>
        <v/>
      </c>
      <c r="K30" s="664"/>
      <c r="L30" s="166" t="s">
        <v>765</v>
      </c>
      <c r="M30" s="167" t="str">
        <f ca="1">IF($D30&lt;&gt;"Serviço","",
          IF(AUTOEVENTO="manual",$A30,
                IF(ISERROR(MATCH($A30,$A$15:OFFSET($A30,-1,0),0)),MAX($M$15:OFFSET(M30,-1,0))+1,
                      INDEX($M$15:OFFSET(M30,-1,0),MATCH($A30,$A$15:OFFSET($A30,-1,0),0)))))</f>
        <v/>
      </c>
      <c r="N30" s="168" t="str">
        <f ca="1">IF($D30&lt;&gt;"Serviço","",
         IF(AUTOEVENTO="Manual",
                IF($A30=0,"&lt;-- defina o número do agrupador",
                       OFFSET(EVENTOS!$D$15,$A30-$A$15,0)),
                OFFSET($F$15,$A30,0)))</f>
        <v/>
      </c>
      <c r="O30" s="169"/>
      <c r="Q30" s="169"/>
      <c r="R30" s="170"/>
      <c r="S30" s="170"/>
      <c r="T30" s="170"/>
      <c r="U30" s="170"/>
      <c r="V30" s="170"/>
      <c r="W30" s="170"/>
      <c r="X30" s="170"/>
      <c r="Y30" s="170"/>
      <c r="Z30" s="171"/>
      <c r="AB30" s="454">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4">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4">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4">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4">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4">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4">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4">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4">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4">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2">
        <f ca="1">IF(OR($D30&lt;&gt;"Serviço",AND(AUTOEVENTO="Manual",$M30=$A$15)),0,
         IF(OFFSET(CRONOPLE!$F$15,$M30-$A$15,AM$13)=0,10^12,OFFSET(CRONOPLE!$F$15,$M30-$A$15,AM$13)))</f>
        <v>0</v>
      </c>
      <c r="AN30" s="172">
        <f ca="1">IF(OR($D30&lt;&gt;"Serviço",AND(AUTOEVENTO="Manual",$M30=$A$15)),0,
         IF(OFFSET(CRONOPLE!$F$15,$M30-$A$15,AN$13)=0,10^12,OFFSET(CRONOPLE!$F$15,$M30-$A$15,AN$13)))</f>
        <v>0</v>
      </c>
      <c r="AO30" s="172">
        <f ca="1">IF(OR($D30&lt;&gt;"Serviço",AND(AUTOEVENTO="Manual",$M30=$A$15)),0,
         IF(OFFSET(CRONOPLE!$F$15,$M30-$A$15,AO$13)=0,10^12,OFFSET(CRONOPLE!$F$15,$M30-$A$15,AO$13)))</f>
        <v>0</v>
      </c>
      <c r="AP30" s="172">
        <f ca="1">IF(OR($D30&lt;&gt;"Serviço",AND(AUTOEVENTO="Manual",$M30=$A$15)),0,
         IF(OFFSET(CRONOPLE!$F$15,$M30-$A$15,AP$13)=0,10^12,OFFSET(CRONOPLE!$F$15,$M30-$A$15,AP$13)))</f>
        <v>0</v>
      </c>
      <c r="AQ30" s="172">
        <f ca="1">IF(OR($D30&lt;&gt;"Serviço",AND(AUTOEVENTO="Manual",$M30=$A$15)),0,
         IF(OFFSET(CRONOPLE!$F$15,$M30-$A$15,AQ$13)=0,10^12,OFFSET(CRONOPLE!$F$15,$M30-$A$15,AQ$13)))</f>
        <v>0</v>
      </c>
      <c r="AR30" s="172">
        <f ca="1">IF(OR($D30&lt;&gt;"Serviço",AND(AUTOEVENTO="Manual",$M30=$A$15)),0,
         IF(OFFSET(CRONOPLE!$F$15,$M30-$A$15,AR$13)=0,10^12,OFFSET(CRONOPLE!$F$15,$M30-$A$15,AR$13)))</f>
        <v>0</v>
      </c>
      <c r="AS30" s="172">
        <f ca="1">IF(OR($D30&lt;&gt;"Serviço",AND(AUTOEVENTO="Manual",$M30=$A$15)),0,
         IF(OFFSET(CRONOPLE!$F$15,$M30-$A$15,AS$13)=0,10^12,OFFSET(CRONOPLE!$F$15,$M30-$A$15,AS$13)))</f>
        <v>0</v>
      </c>
      <c r="AT30" s="172">
        <f ca="1">IF(OR($D30&lt;&gt;"Serviço",AND(AUTOEVENTO="Manual",$M30=$A$15)),0,
         IF(OFFSET(CRONOPLE!$F$15,$M30-$A$15,AT$13)=0,10^12,OFFSET(CRONOPLE!$F$15,$M30-$A$15,AT$13)))</f>
        <v>0</v>
      </c>
      <c r="AU30" s="172">
        <f ca="1">IF(OR($D30&lt;&gt;"Serviço",AND(AUTOEVENTO="Manual",$M30=$A$15)),0,
         IF(OFFSET(CRONOPLE!$F$15,$M30-$A$15,AU$13)=0,10^12,OFFSET(CRONOPLE!$F$15,$M30-$A$15,AU$13)))</f>
        <v>0</v>
      </c>
      <c r="AV30" s="172">
        <f ca="1">IF(OR($D30&lt;&gt;"Serviço",AND(AUTOEVENTO="Manual",$M30=$A$15)),0,
         IF(OFFSET(CRONOPLE!$F$15,$M30-$A$15,AV$13)=0,10^12,OFFSET(CRONOPLE!$F$15,$M30-$A$15,AV$13)))</f>
        <v>0</v>
      </c>
      <c r="AX30" s="173">
        <f ca="1">IF(OR($D30&lt;&gt;"Serviço",AND(AUTOEVENTO="Manual",$M30=$A$15),$M30&gt;(ROW(PLE.lastrow)-ROW(PLE.firstrow))),0,
           IF(OFFSET(PLE!$G$15,$M30-$A$15,AX$13)="",10^12,OFFSET(PLE!$G$15,$M30-$A$15,AX$13)))</f>
        <v>0</v>
      </c>
      <c r="AY30" s="173">
        <f ca="1">IF(OR($D30&lt;&gt;"Serviço",AND(AUTOEVENTO="Manual",$M30=$A$15),$M30&gt;(ROW(PLE.lastrow)-ROW(PLE.firstrow))),0,
           IF(OFFSET(PLE!$G$15,$M30-$A$15,AY$13)="",10^12,OFFSET(PLE!$G$15,$M30-$A$15,AY$13)))</f>
        <v>0</v>
      </c>
      <c r="AZ30" s="173">
        <f ca="1">IF(OR($D30&lt;&gt;"Serviço",AND(AUTOEVENTO="Manual",$M30=$A$15),$M30&gt;(ROW(PLE.lastrow)-ROW(PLE.firstrow))),0,
           IF(OFFSET(PLE!$G$15,$M30-$A$15,AZ$13)="",10^12,OFFSET(PLE!$G$15,$M30-$A$15,AZ$13)))</f>
        <v>0</v>
      </c>
      <c r="BA30" s="173">
        <f ca="1">IF(OR($D30&lt;&gt;"Serviço",AND(AUTOEVENTO="Manual",$M30=$A$15),$M30&gt;(ROW(PLE.lastrow)-ROW(PLE.firstrow))),0,
           IF(OFFSET(PLE!$G$15,$M30-$A$15,BA$13)="",10^12,OFFSET(PLE!$G$15,$M30-$A$15,BA$13)))</f>
        <v>0</v>
      </c>
      <c r="BB30" s="173">
        <f ca="1">IF(OR($D30&lt;&gt;"Serviço",AND(AUTOEVENTO="Manual",$M30=$A$15),$M30&gt;(ROW(PLE.lastrow)-ROW(PLE.firstrow))),0,
           IF(OFFSET(PLE!$G$15,$M30-$A$15,BB$13)="",10^12,OFFSET(PLE!$G$15,$M30-$A$15,BB$13)))</f>
        <v>0</v>
      </c>
      <c r="BC30" s="173">
        <f ca="1">IF(OR($D30&lt;&gt;"Serviço",AND(AUTOEVENTO="Manual",$M30=$A$15),$M30&gt;(ROW(PLE.lastrow)-ROW(PLE.firstrow))),0,
           IF(OFFSET(PLE!$G$15,$M30-$A$15,BC$13)="",10^12,OFFSET(PLE!$G$15,$M30-$A$15,BC$13)))</f>
        <v>0</v>
      </c>
      <c r="BD30" s="173">
        <f ca="1">IF(OR($D30&lt;&gt;"Serviço",AND(AUTOEVENTO="Manual",$M30=$A$15),$M30&gt;(ROW(PLE.lastrow)-ROW(PLE.firstrow))),0,
           IF(OFFSET(PLE!$G$15,$M30-$A$15,BD$13)="",10^12,OFFSET(PLE!$G$15,$M30-$A$15,BD$13)))</f>
        <v>0</v>
      </c>
      <c r="BE30" s="173">
        <f ca="1">IF(OR($D30&lt;&gt;"Serviço",AND(AUTOEVENTO="Manual",$M30=$A$15),$M30&gt;(ROW(PLE.lastrow)-ROW(PLE.firstrow))),0,
           IF(OFFSET(PLE!$G$15,$M30-$A$15,BE$13)="",10^12,OFFSET(PLE!$G$15,$M30-$A$15,BE$13)))</f>
        <v>0</v>
      </c>
      <c r="BF30" s="173">
        <f ca="1">IF(OR($D30&lt;&gt;"Serviço",AND(AUTOEVENTO="Manual",$M30=$A$15),$M30&gt;(ROW(PLE.lastrow)-ROW(PLE.firstrow))),0,
           IF(OFFSET(PLE!$G$15,$M30-$A$15,BF$13)="",10^12,OFFSET(PLE!$G$15,$M30-$A$15,BF$13)))</f>
        <v>0</v>
      </c>
      <c r="BG30" s="173">
        <f ca="1">IF(OR($D30&lt;&gt;"Serviço",AND(AUTOEVENTO="Manual",$M30=$A$15),$M30&gt;(ROW(PLE.lastrow)-ROW(PLE.firstrow))),0,
           IF(OFFSET(PLE!$G$15,$M30-$A$15,BG$13)="",10^12,OFFSET(PLE!$G$15,$M30-$A$15,BG$13)))</f>
        <v>0</v>
      </c>
    </row>
    <row r="31" spans="1:59" ht="25.5" x14ac:dyDescent="0.2">
      <c r="A31" s="7" t="str">
        <f t="shared" ca="1" si="9"/>
        <v>15</v>
      </c>
      <c r="B31" s="7" t="str">
        <f ca="1">OFFSET(ORÇAMENTO!C$15,ROW(B31)-ROW(B$15),0)</f>
        <v>S</v>
      </c>
      <c r="C31" s="7" t="str">
        <f ca="1">OFFSET(ORÇAMENTO!L$15,ROW(C31)-ROW(C$15),0)</f>
        <v>F</v>
      </c>
      <c r="D31" s="117" t="str">
        <f ca="1">OFFSET(ORÇAMENTO!N$15,ROW(D31)-ROW(D$15),0)</f>
        <v>Serviço</v>
      </c>
      <c r="E31" s="118" t="str">
        <f ca="1">OFFSET(ORÇAMENTO!O$15,ROW(E31)-ROW(E$15),0)</f>
        <v>1.2.1.</v>
      </c>
      <c r="F31" s="164" t="str">
        <f ca="1">OFFSET(ORÇAMENTO!R$15,ROW(F31)-ROW(F$15),0)</f>
        <v>LIMPEZA DE SUPERFÍCIE PISO OU PAREDE COM JATO DE ALTA PRESSÃO. AF_10/2025</v>
      </c>
      <c r="G31" s="165" t="str">
        <f ca="1">IF($D31&lt;&gt;"Serviço","",OFFSET(ORÇAMENTO!S$15,ROW(G31)-ROW(G$15),0))</f>
        <v>M2</v>
      </c>
      <c r="H31" s="123">
        <f ca="1">IF($D31&lt;&gt;"Serviço",0,IF(ACOMPANHAMENTO="BM",ROUND(OFFSET(ORÇAMENTO!AJ$15,ROW(H31)-ROW(H$15),0),15-13*ORÇAMENTO!$AF$7),SUMPRODUCT(($Q$1:$AA$1=1)*ROUND($Q31:$AA31,15-13*ORÇAMENTO!$AF$7))))</f>
        <v>520</v>
      </c>
      <c r="I31" s="469" t="s">
        <v>960</v>
      </c>
      <c r="J31" s="663" t="str">
        <f ca="1">IF(OR(B31&lt;&gt;"S",CÁLCULO.FrentesPreenchidas=0),"",IF(AND(ACOMPANHAMENTO="PLE",AUTOEVENTO="Manual",OR(H31&gt;0,ORÇAMENTO!AC31="QUANT."),OR(K31="",M31=0,N31="")),"►",IF(AND(ACOMPANHAMENTO="PLE",ORÇAMENTO!AC31="QUANT."),"►►",IF(AND(COUNTIF($P$11:$AA$11,"▼")=0,H31&gt;0,I31=""),"◄",""))))</f>
        <v/>
      </c>
      <c r="K31" s="664"/>
      <c r="L31" s="166" t="s">
        <v>765</v>
      </c>
      <c r="M31" s="167">
        <f ca="1">IF($D31&lt;&gt;"Serviço","",
          IF(AUTOEVENTO="manual",$A31,
                IF(ISERROR(MATCH($A31,$A$15:OFFSET($A31,-1,0),0)),MAX($M$15:OFFSET(M31,-1,0))+1,
                      INDEX($M$15:OFFSET(M31,-1,0),MATCH($A31,$A$15:OFFSET($A31,-1,0),0)))))</f>
        <v>2</v>
      </c>
      <c r="N31" s="168" t="str">
        <f ca="1">IF($D31&lt;&gt;"Serviço","",
         IF(AUTOEVENTO="Manual",
                IF($A31=0,"&lt;-- defina o número do agrupador",
                       OFFSET(EVENTOS!$D$15,$A31-$A$15,0)),
                OFFSET($F$15,$A31,0)))</f>
        <v xml:space="preserve">LIMPEZA E MANUTENÇÃO DE TELHADO </v>
      </c>
      <c r="O31" s="169"/>
      <c r="Q31" s="169">
        <v>520</v>
      </c>
      <c r="R31" s="170"/>
      <c r="S31" s="170"/>
      <c r="T31" s="170"/>
      <c r="U31" s="170"/>
      <c r="V31" s="170"/>
      <c r="W31" s="170"/>
      <c r="X31" s="170"/>
      <c r="Y31" s="170"/>
      <c r="Z31" s="171"/>
      <c r="AB31" s="454">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993.2</v>
      </c>
      <c r="AC31" s="454">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4">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4">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4">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4">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4">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4">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4">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4">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2">
        <f ca="1">IF(OR($D31&lt;&gt;"Serviço",AND(AUTOEVENTO="Manual",$M31=$A$15)),0,
         IF(OFFSET(CRONOPLE!$F$15,$M31-$A$15,AM$13)=0,10^12,OFFSET(CRONOPLE!$F$15,$M31-$A$15,AM$13)))</f>
        <v>4</v>
      </c>
      <c r="AN31" s="172">
        <f ca="1">IF(OR($D31&lt;&gt;"Serviço",AND(AUTOEVENTO="Manual",$M31=$A$15)),0,
         IF(OFFSET(CRONOPLE!$F$15,$M31-$A$15,AN$13)=0,10^12,OFFSET(CRONOPLE!$F$15,$M31-$A$15,AN$13)))</f>
        <v>1000000000000</v>
      </c>
      <c r="AO31" s="172">
        <f ca="1">IF(OR($D31&lt;&gt;"Serviço",AND(AUTOEVENTO="Manual",$M31=$A$15)),0,
         IF(OFFSET(CRONOPLE!$F$15,$M31-$A$15,AO$13)=0,10^12,OFFSET(CRONOPLE!$F$15,$M31-$A$15,AO$13)))</f>
        <v>1000000000000</v>
      </c>
      <c r="AP31" s="172">
        <f ca="1">IF(OR($D31&lt;&gt;"Serviço",AND(AUTOEVENTO="Manual",$M31=$A$15)),0,
         IF(OFFSET(CRONOPLE!$F$15,$M31-$A$15,AP$13)=0,10^12,OFFSET(CRONOPLE!$F$15,$M31-$A$15,AP$13)))</f>
        <v>1000000000000</v>
      </c>
      <c r="AQ31" s="172">
        <f ca="1">IF(OR($D31&lt;&gt;"Serviço",AND(AUTOEVENTO="Manual",$M31=$A$15)),0,
         IF(OFFSET(CRONOPLE!$F$15,$M31-$A$15,AQ$13)=0,10^12,OFFSET(CRONOPLE!$F$15,$M31-$A$15,AQ$13)))</f>
        <v>1000000000000</v>
      </c>
      <c r="AR31" s="172">
        <f ca="1">IF(OR($D31&lt;&gt;"Serviço",AND(AUTOEVENTO="Manual",$M31=$A$15)),0,
         IF(OFFSET(CRONOPLE!$F$15,$M31-$A$15,AR$13)=0,10^12,OFFSET(CRONOPLE!$F$15,$M31-$A$15,AR$13)))</f>
        <v>1000000000000</v>
      </c>
      <c r="AS31" s="172">
        <f ca="1">IF(OR($D31&lt;&gt;"Serviço",AND(AUTOEVENTO="Manual",$M31=$A$15)),0,
         IF(OFFSET(CRONOPLE!$F$15,$M31-$A$15,AS$13)=0,10^12,OFFSET(CRONOPLE!$F$15,$M31-$A$15,AS$13)))</f>
        <v>1000000000000</v>
      </c>
      <c r="AT31" s="172">
        <f ca="1">IF(OR($D31&lt;&gt;"Serviço",AND(AUTOEVENTO="Manual",$M31=$A$15)),0,
         IF(OFFSET(CRONOPLE!$F$15,$M31-$A$15,AT$13)=0,10^12,OFFSET(CRONOPLE!$F$15,$M31-$A$15,AT$13)))</f>
        <v>1000000000000</v>
      </c>
      <c r="AU31" s="172">
        <f ca="1">IF(OR($D31&lt;&gt;"Serviço",AND(AUTOEVENTO="Manual",$M31=$A$15)),0,
         IF(OFFSET(CRONOPLE!$F$15,$M31-$A$15,AU$13)=0,10^12,OFFSET(CRONOPLE!$F$15,$M31-$A$15,AU$13)))</f>
        <v>1000000000000</v>
      </c>
      <c r="AV31" s="172">
        <f ca="1">IF(OR($D31&lt;&gt;"Serviço",AND(AUTOEVENTO="Manual",$M31=$A$15)),0,
         IF(OFFSET(CRONOPLE!$F$15,$M31-$A$15,AV$13)=0,10^12,OFFSET(CRONOPLE!$F$15,$M31-$A$15,AV$13)))</f>
        <v>1000000000000</v>
      </c>
      <c r="AX31" s="173">
        <f ca="1">IF(OR($D31&lt;&gt;"Serviço",AND(AUTOEVENTO="Manual",$M31=$A$15),$M31&gt;(ROW(PLE.lastrow)-ROW(PLE.firstrow))),0,
           IF(OFFSET(PLE!$G$15,$M31-$A$15,AX$13)="",10^12,OFFSET(PLE!$G$15,$M31-$A$15,AX$13)))</f>
        <v>1000000000000</v>
      </c>
      <c r="AY31" s="173">
        <f ca="1">IF(OR($D31&lt;&gt;"Serviço",AND(AUTOEVENTO="Manual",$M31=$A$15),$M31&gt;(ROW(PLE.lastrow)-ROW(PLE.firstrow))),0,
           IF(OFFSET(PLE!$G$15,$M31-$A$15,AY$13)="",10^12,OFFSET(PLE!$G$15,$M31-$A$15,AY$13)))</f>
        <v>1000000000000</v>
      </c>
      <c r="AZ31" s="173">
        <f ca="1">IF(OR($D31&lt;&gt;"Serviço",AND(AUTOEVENTO="Manual",$M31=$A$15),$M31&gt;(ROW(PLE.lastrow)-ROW(PLE.firstrow))),0,
           IF(OFFSET(PLE!$G$15,$M31-$A$15,AZ$13)="",10^12,OFFSET(PLE!$G$15,$M31-$A$15,AZ$13)))</f>
        <v>1000000000000</v>
      </c>
      <c r="BA31" s="173">
        <f ca="1">IF(OR($D31&lt;&gt;"Serviço",AND(AUTOEVENTO="Manual",$M31=$A$15),$M31&gt;(ROW(PLE.lastrow)-ROW(PLE.firstrow))),0,
           IF(OFFSET(PLE!$G$15,$M31-$A$15,BA$13)="",10^12,OFFSET(PLE!$G$15,$M31-$A$15,BA$13)))</f>
        <v>1000000000000</v>
      </c>
      <c r="BB31" s="173">
        <f ca="1">IF(OR($D31&lt;&gt;"Serviço",AND(AUTOEVENTO="Manual",$M31=$A$15),$M31&gt;(ROW(PLE.lastrow)-ROW(PLE.firstrow))),0,
           IF(OFFSET(PLE!$G$15,$M31-$A$15,BB$13)="",10^12,OFFSET(PLE!$G$15,$M31-$A$15,BB$13)))</f>
        <v>1000000000000</v>
      </c>
      <c r="BC31" s="173">
        <f ca="1">IF(OR($D31&lt;&gt;"Serviço",AND(AUTOEVENTO="Manual",$M31=$A$15),$M31&gt;(ROW(PLE.lastrow)-ROW(PLE.firstrow))),0,
           IF(OFFSET(PLE!$G$15,$M31-$A$15,BC$13)="",10^12,OFFSET(PLE!$G$15,$M31-$A$15,BC$13)))</f>
        <v>1000000000000</v>
      </c>
      <c r="BD31" s="173">
        <f ca="1">IF(OR($D31&lt;&gt;"Serviço",AND(AUTOEVENTO="Manual",$M31=$A$15),$M31&gt;(ROW(PLE.lastrow)-ROW(PLE.firstrow))),0,
           IF(OFFSET(PLE!$G$15,$M31-$A$15,BD$13)="",10^12,OFFSET(PLE!$G$15,$M31-$A$15,BD$13)))</f>
        <v>1000000000000</v>
      </c>
      <c r="BE31" s="173">
        <f ca="1">IF(OR($D31&lt;&gt;"Serviço",AND(AUTOEVENTO="Manual",$M31=$A$15),$M31&gt;(ROW(PLE.lastrow)-ROW(PLE.firstrow))),0,
           IF(OFFSET(PLE!$G$15,$M31-$A$15,BE$13)="",10^12,OFFSET(PLE!$G$15,$M31-$A$15,BE$13)))</f>
        <v>1000000000000</v>
      </c>
      <c r="BF31" s="173">
        <f ca="1">IF(OR($D31&lt;&gt;"Serviço",AND(AUTOEVENTO="Manual",$M31=$A$15),$M31&gt;(ROW(PLE.lastrow)-ROW(PLE.firstrow))),0,
           IF(OFFSET(PLE!$G$15,$M31-$A$15,BF$13)="",10^12,OFFSET(PLE!$G$15,$M31-$A$15,BF$13)))</f>
        <v>1000000000000</v>
      </c>
      <c r="BG31" s="173">
        <f ca="1">IF(OR($D31&lt;&gt;"Serviço",AND(AUTOEVENTO="Manual",$M31=$A$15),$M31&gt;(ROW(PLE.lastrow)-ROW(PLE.firstrow))),0,
           IF(OFFSET(PLE!$G$15,$M31-$A$15,BG$13)="",10^12,OFFSET(PLE!$G$15,$M31-$A$15,BG$13)))</f>
        <v>1000000000000</v>
      </c>
    </row>
    <row r="32" spans="1:59" ht="25.5" x14ac:dyDescent="0.2">
      <c r="A32" s="7" t="str">
        <f t="shared" ca="1" si="9"/>
        <v>15</v>
      </c>
      <c r="B32" s="7" t="str">
        <f ca="1">OFFSET(ORÇAMENTO!C$15,ROW(B32)-ROW(B$15),0)</f>
        <v>S</v>
      </c>
      <c r="C32" s="7" t="str">
        <f ca="1">OFFSET(ORÇAMENTO!L$15,ROW(C32)-ROW(C$15),0)</f>
        <v>F</v>
      </c>
      <c r="D32" s="117" t="str">
        <f ca="1">OFFSET(ORÇAMENTO!N$15,ROW(D32)-ROW(D$15),0)</f>
        <v>Serviço</v>
      </c>
      <c r="E32" s="118" t="str">
        <f ca="1">OFFSET(ORÇAMENTO!O$15,ROW(E32)-ROW(E$15),0)</f>
        <v>1.2.2.</v>
      </c>
      <c r="F32" s="164" t="str">
        <f ca="1">OFFSET(ORÇAMENTO!R$15,ROW(F32)-ROW(F$15),0)</f>
        <v>TELHADISTA COM ENCARGOS COMPLEMENTARES</v>
      </c>
      <c r="G32" s="165" t="str">
        <f ca="1">IF($D32&lt;&gt;"Serviço","",OFFSET(ORÇAMENTO!S$15,ROW(G32)-ROW(G$15),0))</f>
        <v>H</v>
      </c>
      <c r="H32" s="123">
        <f ca="1">IF($D32&lt;&gt;"Serviço",0,IF(ACOMPANHAMENTO="BM",ROUND(OFFSET(ORÇAMENTO!AJ$15,ROW(H32)-ROW(H$15),0),15-13*ORÇAMENTO!$AF$7),SUMPRODUCT(($Q$1:$AA$1=1)*ROUND($Q32:$AA32,15-13*ORÇAMENTO!$AF$7))))</f>
        <v>80</v>
      </c>
      <c r="I32" s="469" t="s">
        <v>997</v>
      </c>
      <c r="J32" s="663" t="str">
        <f ca="1">IF(OR(B32&lt;&gt;"S",CÁLCULO.FrentesPreenchidas=0),"",IF(AND(ACOMPANHAMENTO="PLE",AUTOEVENTO="Manual",OR(H32&gt;0,ORÇAMENTO!AC32="QUANT."),OR(K32="",M32=0,N32="")),"►",IF(AND(ACOMPANHAMENTO="PLE",ORÇAMENTO!AC32="QUANT."),"►►",IF(AND(COUNTIF($P$11:$AA$11,"▼")=0,H32&gt;0,I32=""),"◄",""))))</f>
        <v/>
      </c>
      <c r="K32" s="664"/>
      <c r="L32" s="166" t="s">
        <v>765</v>
      </c>
      <c r="M32" s="167">
        <f ca="1">IF($D32&lt;&gt;"Serviço","",
          IF(AUTOEVENTO="manual",$A32,
                IF(ISERROR(MATCH($A32,$A$15:OFFSET($A32,-1,0),0)),MAX($M$15:OFFSET(M32,-1,0))+1,
                      INDEX($M$15:OFFSET(M32,-1,0),MATCH($A32,$A$15:OFFSET($A32,-1,0),0)))))</f>
        <v>2</v>
      </c>
      <c r="N32" s="168" t="str">
        <f ca="1">IF($D32&lt;&gt;"Serviço","",
         IF(AUTOEVENTO="Manual",
                IF($A32=0,"&lt;-- defina o número do agrupador",
                       OFFSET(EVENTOS!$D$15,$A32-$A$15,0)),
                OFFSET($F$15,$A32,0)))</f>
        <v xml:space="preserve">LIMPEZA E MANUTENÇÃO DE TELHADO </v>
      </c>
      <c r="O32" s="169"/>
      <c r="Q32" s="169">
        <v>80</v>
      </c>
      <c r="R32" s="170"/>
      <c r="S32" s="170"/>
      <c r="T32" s="170"/>
      <c r="U32" s="170"/>
      <c r="V32" s="170"/>
      <c r="W32" s="170"/>
      <c r="X32" s="170"/>
      <c r="Y32" s="170"/>
      <c r="Z32" s="171"/>
      <c r="AB32" s="454">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2596</v>
      </c>
      <c r="AC32" s="454">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4">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4">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4">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4">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4">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4">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4">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4">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2">
        <f ca="1">IF(OR($D32&lt;&gt;"Serviço",AND(AUTOEVENTO="Manual",$M32=$A$15)),0,
         IF(OFFSET(CRONOPLE!$F$15,$M32-$A$15,AM$13)=0,10^12,OFFSET(CRONOPLE!$F$15,$M32-$A$15,AM$13)))</f>
        <v>4</v>
      </c>
      <c r="AN32" s="172">
        <f ca="1">IF(OR($D32&lt;&gt;"Serviço",AND(AUTOEVENTO="Manual",$M32=$A$15)),0,
         IF(OFFSET(CRONOPLE!$F$15,$M32-$A$15,AN$13)=0,10^12,OFFSET(CRONOPLE!$F$15,$M32-$A$15,AN$13)))</f>
        <v>1000000000000</v>
      </c>
      <c r="AO32" s="172">
        <f ca="1">IF(OR($D32&lt;&gt;"Serviço",AND(AUTOEVENTO="Manual",$M32=$A$15)),0,
         IF(OFFSET(CRONOPLE!$F$15,$M32-$A$15,AO$13)=0,10^12,OFFSET(CRONOPLE!$F$15,$M32-$A$15,AO$13)))</f>
        <v>1000000000000</v>
      </c>
      <c r="AP32" s="172">
        <f ca="1">IF(OR($D32&lt;&gt;"Serviço",AND(AUTOEVENTO="Manual",$M32=$A$15)),0,
         IF(OFFSET(CRONOPLE!$F$15,$M32-$A$15,AP$13)=0,10^12,OFFSET(CRONOPLE!$F$15,$M32-$A$15,AP$13)))</f>
        <v>1000000000000</v>
      </c>
      <c r="AQ32" s="172">
        <f ca="1">IF(OR($D32&lt;&gt;"Serviço",AND(AUTOEVENTO="Manual",$M32=$A$15)),0,
         IF(OFFSET(CRONOPLE!$F$15,$M32-$A$15,AQ$13)=0,10^12,OFFSET(CRONOPLE!$F$15,$M32-$A$15,AQ$13)))</f>
        <v>1000000000000</v>
      </c>
      <c r="AR32" s="172">
        <f ca="1">IF(OR($D32&lt;&gt;"Serviço",AND(AUTOEVENTO="Manual",$M32=$A$15)),0,
         IF(OFFSET(CRONOPLE!$F$15,$M32-$A$15,AR$13)=0,10^12,OFFSET(CRONOPLE!$F$15,$M32-$A$15,AR$13)))</f>
        <v>1000000000000</v>
      </c>
      <c r="AS32" s="172">
        <f ca="1">IF(OR($D32&lt;&gt;"Serviço",AND(AUTOEVENTO="Manual",$M32=$A$15)),0,
         IF(OFFSET(CRONOPLE!$F$15,$M32-$A$15,AS$13)=0,10^12,OFFSET(CRONOPLE!$F$15,$M32-$A$15,AS$13)))</f>
        <v>1000000000000</v>
      </c>
      <c r="AT32" s="172">
        <f ca="1">IF(OR($D32&lt;&gt;"Serviço",AND(AUTOEVENTO="Manual",$M32=$A$15)),0,
         IF(OFFSET(CRONOPLE!$F$15,$M32-$A$15,AT$13)=0,10^12,OFFSET(CRONOPLE!$F$15,$M32-$A$15,AT$13)))</f>
        <v>1000000000000</v>
      </c>
      <c r="AU32" s="172">
        <f ca="1">IF(OR($D32&lt;&gt;"Serviço",AND(AUTOEVENTO="Manual",$M32=$A$15)),0,
         IF(OFFSET(CRONOPLE!$F$15,$M32-$A$15,AU$13)=0,10^12,OFFSET(CRONOPLE!$F$15,$M32-$A$15,AU$13)))</f>
        <v>1000000000000</v>
      </c>
      <c r="AV32" s="172">
        <f ca="1">IF(OR($D32&lt;&gt;"Serviço",AND(AUTOEVENTO="Manual",$M32=$A$15)),0,
         IF(OFFSET(CRONOPLE!$F$15,$M32-$A$15,AV$13)=0,10^12,OFFSET(CRONOPLE!$F$15,$M32-$A$15,AV$13)))</f>
        <v>1000000000000</v>
      </c>
      <c r="AX32" s="173">
        <f ca="1">IF(OR($D32&lt;&gt;"Serviço",AND(AUTOEVENTO="Manual",$M32=$A$15),$M32&gt;(ROW(PLE.lastrow)-ROW(PLE.firstrow))),0,
           IF(OFFSET(PLE!$G$15,$M32-$A$15,AX$13)="",10^12,OFFSET(PLE!$G$15,$M32-$A$15,AX$13)))</f>
        <v>1000000000000</v>
      </c>
      <c r="AY32" s="173">
        <f ca="1">IF(OR($D32&lt;&gt;"Serviço",AND(AUTOEVENTO="Manual",$M32=$A$15),$M32&gt;(ROW(PLE.lastrow)-ROW(PLE.firstrow))),0,
           IF(OFFSET(PLE!$G$15,$M32-$A$15,AY$13)="",10^12,OFFSET(PLE!$G$15,$M32-$A$15,AY$13)))</f>
        <v>1000000000000</v>
      </c>
      <c r="AZ32" s="173">
        <f ca="1">IF(OR($D32&lt;&gt;"Serviço",AND(AUTOEVENTO="Manual",$M32=$A$15),$M32&gt;(ROW(PLE.lastrow)-ROW(PLE.firstrow))),0,
           IF(OFFSET(PLE!$G$15,$M32-$A$15,AZ$13)="",10^12,OFFSET(PLE!$G$15,$M32-$A$15,AZ$13)))</f>
        <v>1000000000000</v>
      </c>
      <c r="BA32" s="173">
        <f ca="1">IF(OR($D32&lt;&gt;"Serviço",AND(AUTOEVENTO="Manual",$M32=$A$15),$M32&gt;(ROW(PLE.lastrow)-ROW(PLE.firstrow))),0,
           IF(OFFSET(PLE!$G$15,$M32-$A$15,BA$13)="",10^12,OFFSET(PLE!$G$15,$M32-$A$15,BA$13)))</f>
        <v>1000000000000</v>
      </c>
      <c r="BB32" s="173">
        <f ca="1">IF(OR($D32&lt;&gt;"Serviço",AND(AUTOEVENTO="Manual",$M32=$A$15),$M32&gt;(ROW(PLE.lastrow)-ROW(PLE.firstrow))),0,
           IF(OFFSET(PLE!$G$15,$M32-$A$15,BB$13)="",10^12,OFFSET(PLE!$G$15,$M32-$A$15,BB$13)))</f>
        <v>1000000000000</v>
      </c>
      <c r="BC32" s="173">
        <f ca="1">IF(OR($D32&lt;&gt;"Serviço",AND(AUTOEVENTO="Manual",$M32=$A$15),$M32&gt;(ROW(PLE.lastrow)-ROW(PLE.firstrow))),0,
           IF(OFFSET(PLE!$G$15,$M32-$A$15,BC$13)="",10^12,OFFSET(PLE!$G$15,$M32-$A$15,BC$13)))</f>
        <v>1000000000000</v>
      </c>
      <c r="BD32" s="173">
        <f ca="1">IF(OR($D32&lt;&gt;"Serviço",AND(AUTOEVENTO="Manual",$M32=$A$15),$M32&gt;(ROW(PLE.lastrow)-ROW(PLE.firstrow))),0,
           IF(OFFSET(PLE!$G$15,$M32-$A$15,BD$13)="",10^12,OFFSET(PLE!$G$15,$M32-$A$15,BD$13)))</f>
        <v>1000000000000</v>
      </c>
      <c r="BE32" s="173">
        <f ca="1">IF(OR($D32&lt;&gt;"Serviço",AND(AUTOEVENTO="Manual",$M32=$A$15),$M32&gt;(ROW(PLE.lastrow)-ROW(PLE.firstrow))),0,
           IF(OFFSET(PLE!$G$15,$M32-$A$15,BE$13)="",10^12,OFFSET(PLE!$G$15,$M32-$A$15,BE$13)))</f>
        <v>1000000000000</v>
      </c>
      <c r="BF32" s="173">
        <f ca="1">IF(OR($D32&lt;&gt;"Serviço",AND(AUTOEVENTO="Manual",$M32=$A$15),$M32&gt;(ROW(PLE.lastrow)-ROW(PLE.firstrow))),0,
           IF(OFFSET(PLE!$G$15,$M32-$A$15,BF$13)="",10^12,OFFSET(PLE!$G$15,$M32-$A$15,BF$13)))</f>
        <v>1000000000000</v>
      </c>
      <c r="BG32" s="173">
        <f ca="1">IF(OR($D32&lt;&gt;"Serviço",AND(AUTOEVENTO="Manual",$M32=$A$15),$M32&gt;(ROW(PLE.lastrow)-ROW(PLE.firstrow))),0,
           IF(OFFSET(PLE!$G$15,$M32-$A$15,BG$13)="",10^12,OFFSET(PLE!$G$15,$M32-$A$15,BG$13)))</f>
        <v>1000000000000</v>
      </c>
    </row>
    <row r="33" spans="1:59" ht="12.75" x14ac:dyDescent="0.2">
      <c r="A33" s="7" t="str">
        <f t="shared" ca="1" si="9"/>
        <v>18.</v>
      </c>
      <c r="B33" s="7">
        <f ca="1">OFFSET(ORÇAMENTO!C$15,ROW(B33)-ROW(B$15),0)</f>
        <v>2</v>
      </c>
      <c r="C33" s="7" t="str">
        <f ca="1">OFFSET(ORÇAMENTO!L$15,ROW(C33)-ROW(C$15),0)</f>
        <v>F</v>
      </c>
      <c r="D33" s="117" t="str">
        <f ca="1">OFFSET(ORÇAMENTO!N$15,ROW(D33)-ROW(D$15),0)</f>
        <v>Nível 2</v>
      </c>
      <c r="E33" s="118" t="str">
        <f ca="1">OFFSET(ORÇAMENTO!O$15,ROW(E33)-ROW(E$15),0)</f>
        <v>1.3.</v>
      </c>
      <c r="F33" s="164" t="str">
        <f ca="1">OFFSET(ORÇAMENTO!R$15,ROW(F33)-ROW(F$15),0)</f>
        <v>PISOS E DRENAGEM</v>
      </c>
      <c r="G33" s="165" t="str">
        <f ca="1">IF($D33&lt;&gt;"Serviço","",OFFSET(ORÇAMENTO!S$15,ROW(G33)-ROW(G$15),0))</f>
        <v/>
      </c>
      <c r="H33" s="123">
        <f ca="1">IF($D33&lt;&gt;"Serviço",0,IF(ACOMPANHAMENTO="BM",ROUND(OFFSET(ORÇAMENTO!AJ$15,ROW(H33)-ROW(H$15),0),15-13*ORÇAMENTO!$AF$7),SUMPRODUCT(($Q$1:$AA$1=1)*ROUND($Q33:$AA33,15-13*ORÇAMENTO!$AF$7))))</f>
        <v>0</v>
      </c>
      <c r="I33" s="469"/>
      <c r="J33" s="663" t="str">
        <f ca="1">IF(OR(B33&lt;&gt;"S",CÁLCULO.FrentesPreenchidas=0),"",IF(AND(ACOMPANHAMENTO="PLE",AUTOEVENTO="Manual",OR(H33&gt;0,ORÇAMENTO!AC33="QUANT."),OR(K33="",M33=0,N33="")),"►",IF(AND(ACOMPANHAMENTO="PLE",ORÇAMENTO!AC33="QUANT."),"►►",IF(AND(COUNTIF($P$11:$AA$11,"▼")=0,H33&gt;0,I33=""),"◄",""))))</f>
        <v/>
      </c>
      <c r="K33" s="664"/>
      <c r="L33" s="166" t="s">
        <v>765</v>
      </c>
      <c r="M33" s="167" t="str">
        <f ca="1">IF($D33&lt;&gt;"Serviço","",
          IF(AUTOEVENTO="manual",$A33,
                IF(ISERROR(MATCH($A33,$A$15:OFFSET($A33,-1,0),0)),MAX($M$15:OFFSET(M33,-1,0))+1,
                      INDEX($M$15:OFFSET(M33,-1,0),MATCH($A33,$A$15:OFFSET($A33,-1,0),0)))))</f>
        <v/>
      </c>
      <c r="N33" s="168" t="str">
        <f ca="1">IF($D33&lt;&gt;"Serviço","",
         IF(AUTOEVENTO="Manual",
                IF($A33=0,"&lt;-- defina o número do agrupador",
                       OFFSET(EVENTOS!$D$15,$A33-$A$15,0)),
                OFFSET($F$15,$A33,0)))</f>
        <v/>
      </c>
      <c r="O33" s="169"/>
      <c r="Q33" s="169"/>
      <c r="R33" s="170"/>
      <c r="S33" s="170"/>
      <c r="T33" s="170"/>
      <c r="U33" s="170"/>
      <c r="V33" s="170"/>
      <c r="W33" s="170"/>
      <c r="X33" s="170"/>
      <c r="Y33" s="170"/>
      <c r="Z33" s="171"/>
      <c r="AB33" s="454">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4">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4">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4">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4">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4">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4">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4">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4">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4">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2">
        <f ca="1">IF(OR($D33&lt;&gt;"Serviço",AND(AUTOEVENTO="Manual",$M33=$A$15)),0,
         IF(OFFSET(CRONOPLE!$F$15,$M33-$A$15,AM$13)=0,10^12,OFFSET(CRONOPLE!$F$15,$M33-$A$15,AM$13)))</f>
        <v>0</v>
      </c>
      <c r="AN33" s="172">
        <f ca="1">IF(OR($D33&lt;&gt;"Serviço",AND(AUTOEVENTO="Manual",$M33=$A$15)),0,
         IF(OFFSET(CRONOPLE!$F$15,$M33-$A$15,AN$13)=0,10^12,OFFSET(CRONOPLE!$F$15,$M33-$A$15,AN$13)))</f>
        <v>0</v>
      </c>
      <c r="AO33" s="172">
        <f ca="1">IF(OR($D33&lt;&gt;"Serviço",AND(AUTOEVENTO="Manual",$M33=$A$15)),0,
         IF(OFFSET(CRONOPLE!$F$15,$M33-$A$15,AO$13)=0,10^12,OFFSET(CRONOPLE!$F$15,$M33-$A$15,AO$13)))</f>
        <v>0</v>
      </c>
      <c r="AP33" s="172">
        <f ca="1">IF(OR($D33&lt;&gt;"Serviço",AND(AUTOEVENTO="Manual",$M33=$A$15)),0,
         IF(OFFSET(CRONOPLE!$F$15,$M33-$A$15,AP$13)=0,10^12,OFFSET(CRONOPLE!$F$15,$M33-$A$15,AP$13)))</f>
        <v>0</v>
      </c>
      <c r="AQ33" s="172">
        <f ca="1">IF(OR($D33&lt;&gt;"Serviço",AND(AUTOEVENTO="Manual",$M33=$A$15)),0,
         IF(OFFSET(CRONOPLE!$F$15,$M33-$A$15,AQ$13)=0,10^12,OFFSET(CRONOPLE!$F$15,$M33-$A$15,AQ$13)))</f>
        <v>0</v>
      </c>
      <c r="AR33" s="172">
        <f ca="1">IF(OR($D33&lt;&gt;"Serviço",AND(AUTOEVENTO="Manual",$M33=$A$15)),0,
         IF(OFFSET(CRONOPLE!$F$15,$M33-$A$15,AR$13)=0,10^12,OFFSET(CRONOPLE!$F$15,$M33-$A$15,AR$13)))</f>
        <v>0</v>
      </c>
      <c r="AS33" s="172">
        <f ca="1">IF(OR($D33&lt;&gt;"Serviço",AND(AUTOEVENTO="Manual",$M33=$A$15)),0,
         IF(OFFSET(CRONOPLE!$F$15,$M33-$A$15,AS$13)=0,10^12,OFFSET(CRONOPLE!$F$15,$M33-$A$15,AS$13)))</f>
        <v>0</v>
      </c>
      <c r="AT33" s="172">
        <f ca="1">IF(OR($D33&lt;&gt;"Serviço",AND(AUTOEVENTO="Manual",$M33=$A$15)),0,
         IF(OFFSET(CRONOPLE!$F$15,$M33-$A$15,AT$13)=0,10^12,OFFSET(CRONOPLE!$F$15,$M33-$A$15,AT$13)))</f>
        <v>0</v>
      </c>
      <c r="AU33" s="172">
        <f ca="1">IF(OR($D33&lt;&gt;"Serviço",AND(AUTOEVENTO="Manual",$M33=$A$15)),0,
         IF(OFFSET(CRONOPLE!$F$15,$M33-$A$15,AU$13)=0,10^12,OFFSET(CRONOPLE!$F$15,$M33-$A$15,AU$13)))</f>
        <v>0</v>
      </c>
      <c r="AV33" s="172">
        <f ca="1">IF(OR($D33&lt;&gt;"Serviço",AND(AUTOEVENTO="Manual",$M33=$A$15)),0,
         IF(OFFSET(CRONOPLE!$F$15,$M33-$A$15,AV$13)=0,10^12,OFFSET(CRONOPLE!$F$15,$M33-$A$15,AV$13)))</f>
        <v>0</v>
      </c>
      <c r="AX33" s="173">
        <f ca="1">IF(OR($D33&lt;&gt;"Serviço",AND(AUTOEVENTO="Manual",$M33=$A$15),$M33&gt;(ROW(PLE.lastrow)-ROW(PLE.firstrow))),0,
           IF(OFFSET(PLE!$G$15,$M33-$A$15,AX$13)="",10^12,OFFSET(PLE!$G$15,$M33-$A$15,AX$13)))</f>
        <v>0</v>
      </c>
      <c r="AY33" s="173">
        <f ca="1">IF(OR($D33&lt;&gt;"Serviço",AND(AUTOEVENTO="Manual",$M33=$A$15),$M33&gt;(ROW(PLE.lastrow)-ROW(PLE.firstrow))),0,
           IF(OFFSET(PLE!$G$15,$M33-$A$15,AY$13)="",10^12,OFFSET(PLE!$G$15,$M33-$A$15,AY$13)))</f>
        <v>0</v>
      </c>
      <c r="AZ33" s="173">
        <f ca="1">IF(OR($D33&lt;&gt;"Serviço",AND(AUTOEVENTO="Manual",$M33=$A$15),$M33&gt;(ROW(PLE.lastrow)-ROW(PLE.firstrow))),0,
           IF(OFFSET(PLE!$G$15,$M33-$A$15,AZ$13)="",10^12,OFFSET(PLE!$G$15,$M33-$A$15,AZ$13)))</f>
        <v>0</v>
      </c>
      <c r="BA33" s="173">
        <f ca="1">IF(OR($D33&lt;&gt;"Serviço",AND(AUTOEVENTO="Manual",$M33=$A$15),$M33&gt;(ROW(PLE.lastrow)-ROW(PLE.firstrow))),0,
           IF(OFFSET(PLE!$G$15,$M33-$A$15,BA$13)="",10^12,OFFSET(PLE!$G$15,$M33-$A$15,BA$13)))</f>
        <v>0</v>
      </c>
      <c r="BB33" s="173">
        <f ca="1">IF(OR($D33&lt;&gt;"Serviço",AND(AUTOEVENTO="Manual",$M33=$A$15),$M33&gt;(ROW(PLE.lastrow)-ROW(PLE.firstrow))),0,
           IF(OFFSET(PLE!$G$15,$M33-$A$15,BB$13)="",10^12,OFFSET(PLE!$G$15,$M33-$A$15,BB$13)))</f>
        <v>0</v>
      </c>
      <c r="BC33" s="173">
        <f ca="1">IF(OR($D33&lt;&gt;"Serviço",AND(AUTOEVENTO="Manual",$M33=$A$15),$M33&gt;(ROW(PLE.lastrow)-ROW(PLE.firstrow))),0,
           IF(OFFSET(PLE!$G$15,$M33-$A$15,BC$13)="",10^12,OFFSET(PLE!$G$15,$M33-$A$15,BC$13)))</f>
        <v>0</v>
      </c>
      <c r="BD33" s="173">
        <f ca="1">IF(OR($D33&lt;&gt;"Serviço",AND(AUTOEVENTO="Manual",$M33=$A$15),$M33&gt;(ROW(PLE.lastrow)-ROW(PLE.firstrow))),0,
           IF(OFFSET(PLE!$G$15,$M33-$A$15,BD$13)="",10^12,OFFSET(PLE!$G$15,$M33-$A$15,BD$13)))</f>
        <v>0</v>
      </c>
      <c r="BE33" s="173">
        <f ca="1">IF(OR($D33&lt;&gt;"Serviço",AND(AUTOEVENTO="Manual",$M33=$A$15),$M33&gt;(ROW(PLE.lastrow)-ROW(PLE.firstrow))),0,
           IF(OFFSET(PLE!$G$15,$M33-$A$15,BE$13)="",10^12,OFFSET(PLE!$G$15,$M33-$A$15,BE$13)))</f>
        <v>0</v>
      </c>
      <c r="BF33" s="173">
        <f ca="1">IF(OR($D33&lt;&gt;"Serviço",AND(AUTOEVENTO="Manual",$M33=$A$15),$M33&gt;(ROW(PLE.lastrow)-ROW(PLE.firstrow))),0,
           IF(OFFSET(PLE!$G$15,$M33-$A$15,BF$13)="",10^12,OFFSET(PLE!$G$15,$M33-$A$15,BF$13)))</f>
        <v>0</v>
      </c>
      <c r="BG33" s="173">
        <f ca="1">IF(OR($D33&lt;&gt;"Serviço",AND(AUTOEVENTO="Manual",$M33=$A$15),$M33&gt;(ROW(PLE.lastrow)-ROW(PLE.firstrow))),0,
           IF(OFFSET(PLE!$G$15,$M33-$A$15,BG$13)="",10^12,OFFSET(PLE!$G$15,$M33-$A$15,BG$13)))</f>
        <v>0</v>
      </c>
    </row>
    <row r="34" spans="1:59" ht="38.25" x14ac:dyDescent="0.2">
      <c r="A34" s="7" t="str">
        <f t="shared" ca="1" si="9"/>
        <v>18</v>
      </c>
      <c r="B34" s="7" t="str">
        <f ca="1">OFFSET(ORÇAMENTO!C$15,ROW(B34)-ROW(B$15),0)</f>
        <v>S</v>
      </c>
      <c r="C34" s="7" t="str">
        <f ca="1">OFFSET(ORÇAMENTO!L$15,ROW(C34)-ROW(C$15),0)</f>
        <v>F</v>
      </c>
      <c r="D34" s="117" t="str">
        <f ca="1">OFFSET(ORÇAMENTO!N$15,ROW(D34)-ROW(D$15),0)</f>
        <v>Serviço</v>
      </c>
      <c r="E34" s="118" t="str">
        <f ca="1">OFFSET(ORÇAMENTO!O$15,ROW(E34)-ROW(E$15),0)</f>
        <v>1.3.1.</v>
      </c>
      <c r="F34" s="164" t="str">
        <f ca="1">OFFSET(ORÇAMENTO!R$15,ROW(F34)-ROW(F$15),0)</f>
        <v>EXECUÇÃO DE PISO DE CONCRETO, COM ACABAMENTO SUPERFICIAL, ESPESSURA DE 15 CM, FCK = 30 MPA, COM USO DE FORMAS EM MADEIRA SERRADA. AF_07/2026</v>
      </c>
      <c r="G34" s="165" t="str">
        <f ca="1">IF($D34&lt;&gt;"Serviço","",OFFSET(ORÇAMENTO!S$15,ROW(G34)-ROW(G$15),0))</f>
        <v>M2</v>
      </c>
      <c r="H34" s="123">
        <f ca="1">IF($D34&lt;&gt;"Serviço",0,IF(ACOMPANHAMENTO="BM",ROUND(OFFSET(ORÇAMENTO!AJ$15,ROW(H34)-ROW(H$15),0),15-13*ORÇAMENTO!$AF$7),SUMPRODUCT(($Q$1:$AA$1=1)*ROUND($Q34:$AA34,15-13*ORÇAMENTO!$AF$7))))</f>
        <v>115.05</v>
      </c>
      <c r="I34" s="469" t="s">
        <v>990</v>
      </c>
      <c r="J34" s="663" t="str">
        <f ca="1">IF(OR(B34&lt;&gt;"S",CÁLCULO.FrentesPreenchidas=0),"",IF(AND(ACOMPANHAMENTO="PLE",AUTOEVENTO="Manual",OR(H34&gt;0,ORÇAMENTO!AC34="QUANT."),OR(K34="",M34=0,N34="")),"►",IF(AND(ACOMPANHAMENTO="PLE",ORÇAMENTO!AC34="QUANT."),"►►",IF(AND(COUNTIF($P$11:$AA$11,"▼")=0,H34&gt;0,I34=""),"◄",""))))</f>
        <v/>
      </c>
      <c r="K34" s="664"/>
      <c r="L34" s="166" t="s">
        <v>765</v>
      </c>
      <c r="M34" s="167">
        <f ca="1">IF($D34&lt;&gt;"Serviço","",
          IF(AUTOEVENTO="manual",$A34,
                IF(ISERROR(MATCH($A34,$A$15:OFFSET($A34,-1,0),0)),MAX($M$15:OFFSET(M34,-1,0))+1,
                      INDEX($M$15:OFFSET(M34,-1,0),MATCH($A34,$A$15:OFFSET($A34,-1,0),0)))))</f>
        <v>3</v>
      </c>
      <c r="N34" s="168" t="str">
        <f ca="1">IF($D34&lt;&gt;"Serviço","",
         IF(AUTOEVENTO="Manual",
                IF($A34=0,"&lt;-- defina o número do agrupador",
                       OFFSET(EVENTOS!$D$15,$A34-$A$15,0)),
                OFFSET($F$15,$A34,0)))</f>
        <v>PISOS E DRENAGEM</v>
      </c>
      <c r="O34" s="169"/>
      <c r="Q34" s="169">
        <v>115.05</v>
      </c>
      <c r="R34" s="170"/>
      <c r="S34" s="170"/>
      <c r="T34" s="170"/>
      <c r="U34" s="170"/>
      <c r="V34" s="170"/>
      <c r="W34" s="170"/>
      <c r="X34" s="170"/>
      <c r="Y34" s="170"/>
      <c r="Z34" s="171"/>
      <c r="AB34" s="454">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32837.57</v>
      </c>
      <c r="AC34" s="454">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4">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4">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4">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4">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4">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4">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4">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4">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2">
        <f ca="1">IF(OR($D34&lt;&gt;"Serviço",AND(AUTOEVENTO="Manual",$M34=$A$15)),0,
         IF(OFFSET(CRONOPLE!$F$15,$M34-$A$15,AM$13)=0,10^12,OFFSET(CRONOPLE!$F$15,$M34-$A$15,AM$13)))</f>
        <v>1</v>
      </c>
      <c r="AN34" s="172">
        <f ca="1">IF(OR($D34&lt;&gt;"Serviço",AND(AUTOEVENTO="Manual",$M34=$A$15)),0,
         IF(OFFSET(CRONOPLE!$F$15,$M34-$A$15,AN$13)=0,10^12,OFFSET(CRONOPLE!$F$15,$M34-$A$15,AN$13)))</f>
        <v>1000000000000</v>
      </c>
      <c r="AO34" s="172">
        <f ca="1">IF(OR($D34&lt;&gt;"Serviço",AND(AUTOEVENTO="Manual",$M34=$A$15)),0,
         IF(OFFSET(CRONOPLE!$F$15,$M34-$A$15,AO$13)=0,10^12,OFFSET(CRONOPLE!$F$15,$M34-$A$15,AO$13)))</f>
        <v>1000000000000</v>
      </c>
      <c r="AP34" s="172">
        <f ca="1">IF(OR($D34&lt;&gt;"Serviço",AND(AUTOEVENTO="Manual",$M34=$A$15)),0,
         IF(OFFSET(CRONOPLE!$F$15,$M34-$A$15,AP$13)=0,10^12,OFFSET(CRONOPLE!$F$15,$M34-$A$15,AP$13)))</f>
        <v>1000000000000</v>
      </c>
      <c r="AQ34" s="172">
        <f ca="1">IF(OR($D34&lt;&gt;"Serviço",AND(AUTOEVENTO="Manual",$M34=$A$15)),0,
         IF(OFFSET(CRONOPLE!$F$15,$M34-$A$15,AQ$13)=0,10^12,OFFSET(CRONOPLE!$F$15,$M34-$A$15,AQ$13)))</f>
        <v>1000000000000</v>
      </c>
      <c r="AR34" s="172">
        <f ca="1">IF(OR($D34&lt;&gt;"Serviço",AND(AUTOEVENTO="Manual",$M34=$A$15)),0,
         IF(OFFSET(CRONOPLE!$F$15,$M34-$A$15,AR$13)=0,10^12,OFFSET(CRONOPLE!$F$15,$M34-$A$15,AR$13)))</f>
        <v>1000000000000</v>
      </c>
      <c r="AS34" s="172">
        <f ca="1">IF(OR($D34&lt;&gt;"Serviço",AND(AUTOEVENTO="Manual",$M34=$A$15)),0,
         IF(OFFSET(CRONOPLE!$F$15,$M34-$A$15,AS$13)=0,10^12,OFFSET(CRONOPLE!$F$15,$M34-$A$15,AS$13)))</f>
        <v>1000000000000</v>
      </c>
      <c r="AT34" s="172">
        <f ca="1">IF(OR($D34&lt;&gt;"Serviço",AND(AUTOEVENTO="Manual",$M34=$A$15)),0,
         IF(OFFSET(CRONOPLE!$F$15,$M34-$A$15,AT$13)=0,10^12,OFFSET(CRONOPLE!$F$15,$M34-$A$15,AT$13)))</f>
        <v>1000000000000</v>
      </c>
      <c r="AU34" s="172">
        <f ca="1">IF(OR($D34&lt;&gt;"Serviço",AND(AUTOEVENTO="Manual",$M34=$A$15)),0,
         IF(OFFSET(CRONOPLE!$F$15,$M34-$A$15,AU$13)=0,10^12,OFFSET(CRONOPLE!$F$15,$M34-$A$15,AU$13)))</f>
        <v>1000000000000</v>
      </c>
      <c r="AV34" s="172">
        <f ca="1">IF(OR($D34&lt;&gt;"Serviço",AND(AUTOEVENTO="Manual",$M34=$A$15)),0,
         IF(OFFSET(CRONOPLE!$F$15,$M34-$A$15,AV$13)=0,10^12,OFFSET(CRONOPLE!$F$15,$M34-$A$15,AV$13)))</f>
        <v>1000000000000</v>
      </c>
      <c r="AX34" s="173">
        <f ca="1">IF(OR($D34&lt;&gt;"Serviço",AND(AUTOEVENTO="Manual",$M34=$A$15),$M34&gt;(ROW(PLE.lastrow)-ROW(PLE.firstrow))),0,
           IF(OFFSET(PLE!$G$15,$M34-$A$15,AX$13)="",10^12,OFFSET(PLE!$G$15,$M34-$A$15,AX$13)))</f>
        <v>1000000000000</v>
      </c>
      <c r="AY34" s="173">
        <f ca="1">IF(OR($D34&lt;&gt;"Serviço",AND(AUTOEVENTO="Manual",$M34=$A$15),$M34&gt;(ROW(PLE.lastrow)-ROW(PLE.firstrow))),0,
           IF(OFFSET(PLE!$G$15,$M34-$A$15,AY$13)="",10^12,OFFSET(PLE!$G$15,$M34-$A$15,AY$13)))</f>
        <v>1000000000000</v>
      </c>
      <c r="AZ34" s="173">
        <f ca="1">IF(OR($D34&lt;&gt;"Serviço",AND(AUTOEVENTO="Manual",$M34=$A$15),$M34&gt;(ROW(PLE.lastrow)-ROW(PLE.firstrow))),0,
           IF(OFFSET(PLE!$G$15,$M34-$A$15,AZ$13)="",10^12,OFFSET(PLE!$G$15,$M34-$A$15,AZ$13)))</f>
        <v>1000000000000</v>
      </c>
      <c r="BA34" s="173">
        <f ca="1">IF(OR($D34&lt;&gt;"Serviço",AND(AUTOEVENTO="Manual",$M34=$A$15),$M34&gt;(ROW(PLE.lastrow)-ROW(PLE.firstrow))),0,
           IF(OFFSET(PLE!$G$15,$M34-$A$15,BA$13)="",10^12,OFFSET(PLE!$G$15,$M34-$A$15,BA$13)))</f>
        <v>1000000000000</v>
      </c>
      <c r="BB34" s="173">
        <f ca="1">IF(OR($D34&lt;&gt;"Serviço",AND(AUTOEVENTO="Manual",$M34=$A$15),$M34&gt;(ROW(PLE.lastrow)-ROW(PLE.firstrow))),0,
           IF(OFFSET(PLE!$G$15,$M34-$A$15,BB$13)="",10^12,OFFSET(PLE!$G$15,$M34-$A$15,BB$13)))</f>
        <v>1000000000000</v>
      </c>
      <c r="BC34" s="173">
        <f ca="1">IF(OR($D34&lt;&gt;"Serviço",AND(AUTOEVENTO="Manual",$M34=$A$15),$M34&gt;(ROW(PLE.lastrow)-ROW(PLE.firstrow))),0,
           IF(OFFSET(PLE!$G$15,$M34-$A$15,BC$13)="",10^12,OFFSET(PLE!$G$15,$M34-$A$15,BC$13)))</f>
        <v>1000000000000</v>
      </c>
      <c r="BD34" s="173">
        <f ca="1">IF(OR($D34&lt;&gt;"Serviço",AND(AUTOEVENTO="Manual",$M34=$A$15),$M34&gt;(ROW(PLE.lastrow)-ROW(PLE.firstrow))),0,
           IF(OFFSET(PLE!$G$15,$M34-$A$15,BD$13)="",10^12,OFFSET(PLE!$G$15,$M34-$A$15,BD$13)))</f>
        <v>1000000000000</v>
      </c>
      <c r="BE34" s="173">
        <f ca="1">IF(OR($D34&lt;&gt;"Serviço",AND(AUTOEVENTO="Manual",$M34=$A$15),$M34&gt;(ROW(PLE.lastrow)-ROW(PLE.firstrow))),0,
           IF(OFFSET(PLE!$G$15,$M34-$A$15,BE$13)="",10^12,OFFSET(PLE!$G$15,$M34-$A$15,BE$13)))</f>
        <v>1000000000000</v>
      </c>
      <c r="BF34" s="173">
        <f ca="1">IF(OR($D34&lt;&gt;"Serviço",AND(AUTOEVENTO="Manual",$M34=$A$15),$M34&gt;(ROW(PLE.lastrow)-ROW(PLE.firstrow))),0,
           IF(OFFSET(PLE!$G$15,$M34-$A$15,BF$13)="",10^12,OFFSET(PLE!$G$15,$M34-$A$15,BF$13)))</f>
        <v>1000000000000</v>
      </c>
      <c r="BG34" s="173">
        <f ca="1">IF(OR($D34&lt;&gt;"Serviço",AND(AUTOEVENTO="Manual",$M34=$A$15),$M34&gt;(ROW(PLE.lastrow)-ROW(PLE.firstrow))),0,
           IF(OFFSET(PLE!$G$15,$M34-$A$15,BG$13)="",10^12,OFFSET(PLE!$G$15,$M34-$A$15,BG$13)))</f>
        <v>1000000000000</v>
      </c>
    </row>
    <row r="35" spans="1:59" ht="38.25" x14ac:dyDescent="0.2">
      <c r="A35" s="7" t="str">
        <f t="shared" ca="1" si="9"/>
        <v>18</v>
      </c>
      <c r="B35" s="7" t="str">
        <f ca="1">OFFSET(ORÇAMENTO!C$15,ROW(B35)-ROW(B$15),0)</f>
        <v>S</v>
      </c>
      <c r="C35" s="7" t="str">
        <f ca="1">OFFSET(ORÇAMENTO!L$15,ROW(C35)-ROW(C$15),0)</f>
        <v>F</v>
      </c>
      <c r="D35" s="117" t="str">
        <f ca="1">OFFSET(ORÇAMENTO!N$15,ROW(D35)-ROW(D$15),0)</f>
        <v>Serviço</v>
      </c>
      <c r="E35" s="118" t="str">
        <f ca="1">OFFSET(ORÇAMENTO!O$15,ROW(E35)-ROW(E$15),0)</f>
        <v>1.3.2.</v>
      </c>
      <c r="F35" s="164" t="str">
        <f ca="1">OFFSET(ORÇAMENTO!R$15,ROW(F35)-ROW(F$15),0)</f>
        <v>TELA DE ACO SOLDADA NERVURADA, CA-60, Q-92, (1,48 KG/M2), DIAMETRO DO FIO = 4,2 MM, LARGURA = 2,45 X 60 M DE COMPRIMENTO, ESPACAMENTO DA MALHA = 15 X 15 CM</v>
      </c>
      <c r="G35" s="165" t="str">
        <f ca="1">IF($D35&lt;&gt;"Serviço","",OFFSET(ORÇAMENTO!S$15,ROW(G35)-ROW(G$15),0))</f>
        <v>M2</v>
      </c>
      <c r="H35" s="123">
        <f ca="1">IF($D35&lt;&gt;"Serviço",0,IF(ACOMPANHAMENTO="BM",ROUND(OFFSET(ORÇAMENTO!AJ$15,ROW(H35)-ROW(H$15),0),15-13*ORÇAMENTO!$AF$7),SUMPRODUCT(($Q$1:$AA$1=1)*ROUND($Q35:$AA35,15-13*ORÇAMENTO!$AF$7))))</f>
        <v>115.05</v>
      </c>
      <c r="I35" s="469" t="s">
        <v>990</v>
      </c>
      <c r="J35" s="663" t="str">
        <f ca="1">IF(OR(B35&lt;&gt;"S",CÁLCULO.FrentesPreenchidas=0),"",IF(AND(ACOMPANHAMENTO="PLE",AUTOEVENTO="Manual",OR(H35&gt;0,ORÇAMENTO!AC35="QUANT."),OR(K35="",M35=0,N35="")),"►",IF(AND(ACOMPANHAMENTO="PLE",ORÇAMENTO!AC35="QUANT."),"►►",IF(AND(COUNTIF($P$11:$AA$11,"▼")=0,H35&gt;0,I35=""),"◄",""))))</f>
        <v/>
      </c>
      <c r="K35" s="664"/>
      <c r="L35" s="166" t="s">
        <v>765</v>
      </c>
      <c r="M35" s="167">
        <f ca="1">IF($D35&lt;&gt;"Serviço","",
          IF(AUTOEVENTO="manual",$A35,
                IF(ISERROR(MATCH($A35,$A$15:OFFSET($A35,-1,0),0)),MAX($M$15:OFFSET(M35,-1,0))+1,
                      INDEX($M$15:OFFSET(M35,-1,0),MATCH($A35,$A$15:OFFSET($A35,-1,0),0)))))</f>
        <v>3</v>
      </c>
      <c r="N35" s="168" t="str">
        <f ca="1">IF($D35&lt;&gt;"Serviço","",
         IF(AUTOEVENTO="Manual",
                IF($A35=0,"&lt;-- defina o número do agrupador",
                       OFFSET(EVENTOS!$D$15,$A35-$A$15,0)),
                OFFSET($F$15,$A35,0)))</f>
        <v>PISOS E DRENAGEM</v>
      </c>
      <c r="O35" s="169"/>
      <c r="Q35" s="169">
        <v>115.05</v>
      </c>
      <c r="R35" s="170"/>
      <c r="S35" s="170"/>
      <c r="T35" s="170"/>
      <c r="U35" s="170"/>
      <c r="V35" s="170"/>
      <c r="W35" s="170"/>
      <c r="X35" s="170"/>
      <c r="Y35" s="170"/>
      <c r="Z35" s="171"/>
      <c r="AB35" s="454">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1720</v>
      </c>
      <c r="AC35" s="454">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4">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4">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4">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4">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4">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4">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4">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4">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2">
        <f ca="1">IF(OR($D35&lt;&gt;"Serviço",AND(AUTOEVENTO="Manual",$M35=$A$15)),0,
         IF(OFFSET(CRONOPLE!$F$15,$M35-$A$15,AM$13)=0,10^12,OFFSET(CRONOPLE!$F$15,$M35-$A$15,AM$13)))</f>
        <v>1</v>
      </c>
      <c r="AN35" s="172">
        <f ca="1">IF(OR($D35&lt;&gt;"Serviço",AND(AUTOEVENTO="Manual",$M35=$A$15)),0,
         IF(OFFSET(CRONOPLE!$F$15,$M35-$A$15,AN$13)=0,10^12,OFFSET(CRONOPLE!$F$15,$M35-$A$15,AN$13)))</f>
        <v>1000000000000</v>
      </c>
      <c r="AO35" s="172">
        <f ca="1">IF(OR($D35&lt;&gt;"Serviço",AND(AUTOEVENTO="Manual",$M35=$A$15)),0,
         IF(OFFSET(CRONOPLE!$F$15,$M35-$A$15,AO$13)=0,10^12,OFFSET(CRONOPLE!$F$15,$M35-$A$15,AO$13)))</f>
        <v>1000000000000</v>
      </c>
      <c r="AP35" s="172">
        <f ca="1">IF(OR($D35&lt;&gt;"Serviço",AND(AUTOEVENTO="Manual",$M35=$A$15)),0,
         IF(OFFSET(CRONOPLE!$F$15,$M35-$A$15,AP$13)=0,10^12,OFFSET(CRONOPLE!$F$15,$M35-$A$15,AP$13)))</f>
        <v>1000000000000</v>
      </c>
      <c r="AQ35" s="172">
        <f ca="1">IF(OR($D35&lt;&gt;"Serviço",AND(AUTOEVENTO="Manual",$M35=$A$15)),0,
         IF(OFFSET(CRONOPLE!$F$15,$M35-$A$15,AQ$13)=0,10^12,OFFSET(CRONOPLE!$F$15,$M35-$A$15,AQ$13)))</f>
        <v>1000000000000</v>
      </c>
      <c r="AR35" s="172">
        <f ca="1">IF(OR($D35&lt;&gt;"Serviço",AND(AUTOEVENTO="Manual",$M35=$A$15)),0,
         IF(OFFSET(CRONOPLE!$F$15,$M35-$A$15,AR$13)=0,10^12,OFFSET(CRONOPLE!$F$15,$M35-$A$15,AR$13)))</f>
        <v>1000000000000</v>
      </c>
      <c r="AS35" s="172">
        <f ca="1">IF(OR($D35&lt;&gt;"Serviço",AND(AUTOEVENTO="Manual",$M35=$A$15)),0,
         IF(OFFSET(CRONOPLE!$F$15,$M35-$A$15,AS$13)=0,10^12,OFFSET(CRONOPLE!$F$15,$M35-$A$15,AS$13)))</f>
        <v>1000000000000</v>
      </c>
      <c r="AT35" s="172">
        <f ca="1">IF(OR($D35&lt;&gt;"Serviço",AND(AUTOEVENTO="Manual",$M35=$A$15)),0,
         IF(OFFSET(CRONOPLE!$F$15,$M35-$A$15,AT$13)=0,10^12,OFFSET(CRONOPLE!$F$15,$M35-$A$15,AT$13)))</f>
        <v>1000000000000</v>
      </c>
      <c r="AU35" s="172">
        <f ca="1">IF(OR($D35&lt;&gt;"Serviço",AND(AUTOEVENTO="Manual",$M35=$A$15)),0,
         IF(OFFSET(CRONOPLE!$F$15,$M35-$A$15,AU$13)=0,10^12,OFFSET(CRONOPLE!$F$15,$M35-$A$15,AU$13)))</f>
        <v>1000000000000</v>
      </c>
      <c r="AV35" s="172">
        <f ca="1">IF(OR($D35&lt;&gt;"Serviço",AND(AUTOEVENTO="Manual",$M35=$A$15)),0,
         IF(OFFSET(CRONOPLE!$F$15,$M35-$A$15,AV$13)=0,10^12,OFFSET(CRONOPLE!$F$15,$M35-$A$15,AV$13)))</f>
        <v>1000000000000</v>
      </c>
      <c r="AX35" s="173">
        <f ca="1">IF(OR($D35&lt;&gt;"Serviço",AND(AUTOEVENTO="Manual",$M35=$A$15),$M35&gt;(ROW(PLE.lastrow)-ROW(PLE.firstrow))),0,
           IF(OFFSET(PLE!$G$15,$M35-$A$15,AX$13)="",10^12,OFFSET(PLE!$G$15,$M35-$A$15,AX$13)))</f>
        <v>1000000000000</v>
      </c>
      <c r="AY35" s="173">
        <f ca="1">IF(OR($D35&lt;&gt;"Serviço",AND(AUTOEVENTO="Manual",$M35=$A$15),$M35&gt;(ROW(PLE.lastrow)-ROW(PLE.firstrow))),0,
           IF(OFFSET(PLE!$G$15,$M35-$A$15,AY$13)="",10^12,OFFSET(PLE!$G$15,$M35-$A$15,AY$13)))</f>
        <v>1000000000000</v>
      </c>
      <c r="AZ35" s="173">
        <f ca="1">IF(OR($D35&lt;&gt;"Serviço",AND(AUTOEVENTO="Manual",$M35=$A$15),$M35&gt;(ROW(PLE.lastrow)-ROW(PLE.firstrow))),0,
           IF(OFFSET(PLE!$G$15,$M35-$A$15,AZ$13)="",10^12,OFFSET(PLE!$G$15,$M35-$A$15,AZ$13)))</f>
        <v>1000000000000</v>
      </c>
      <c r="BA35" s="173">
        <f ca="1">IF(OR($D35&lt;&gt;"Serviço",AND(AUTOEVENTO="Manual",$M35=$A$15),$M35&gt;(ROW(PLE.lastrow)-ROW(PLE.firstrow))),0,
           IF(OFFSET(PLE!$G$15,$M35-$A$15,BA$13)="",10^12,OFFSET(PLE!$G$15,$M35-$A$15,BA$13)))</f>
        <v>1000000000000</v>
      </c>
      <c r="BB35" s="173">
        <f ca="1">IF(OR($D35&lt;&gt;"Serviço",AND(AUTOEVENTO="Manual",$M35=$A$15),$M35&gt;(ROW(PLE.lastrow)-ROW(PLE.firstrow))),0,
           IF(OFFSET(PLE!$G$15,$M35-$A$15,BB$13)="",10^12,OFFSET(PLE!$G$15,$M35-$A$15,BB$13)))</f>
        <v>1000000000000</v>
      </c>
      <c r="BC35" s="173">
        <f ca="1">IF(OR($D35&lt;&gt;"Serviço",AND(AUTOEVENTO="Manual",$M35=$A$15),$M35&gt;(ROW(PLE.lastrow)-ROW(PLE.firstrow))),0,
           IF(OFFSET(PLE!$G$15,$M35-$A$15,BC$13)="",10^12,OFFSET(PLE!$G$15,$M35-$A$15,BC$13)))</f>
        <v>1000000000000</v>
      </c>
      <c r="BD35" s="173">
        <f ca="1">IF(OR($D35&lt;&gt;"Serviço",AND(AUTOEVENTO="Manual",$M35=$A$15),$M35&gt;(ROW(PLE.lastrow)-ROW(PLE.firstrow))),0,
           IF(OFFSET(PLE!$G$15,$M35-$A$15,BD$13)="",10^12,OFFSET(PLE!$G$15,$M35-$A$15,BD$13)))</f>
        <v>1000000000000</v>
      </c>
      <c r="BE35" s="173">
        <f ca="1">IF(OR($D35&lt;&gt;"Serviço",AND(AUTOEVENTO="Manual",$M35=$A$15),$M35&gt;(ROW(PLE.lastrow)-ROW(PLE.firstrow))),0,
           IF(OFFSET(PLE!$G$15,$M35-$A$15,BE$13)="",10^12,OFFSET(PLE!$G$15,$M35-$A$15,BE$13)))</f>
        <v>1000000000000</v>
      </c>
      <c r="BF35" s="173">
        <f ca="1">IF(OR($D35&lt;&gt;"Serviço",AND(AUTOEVENTO="Manual",$M35=$A$15),$M35&gt;(ROW(PLE.lastrow)-ROW(PLE.firstrow))),0,
           IF(OFFSET(PLE!$G$15,$M35-$A$15,BF$13)="",10^12,OFFSET(PLE!$G$15,$M35-$A$15,BF$13)))</f>
        <v>1000000000000</v>
      </c>
      <c r="BG35" s="173">
        <f ca="1">IF(OR($D35&lt;&gt;"Serviço",AND(AUTOEVENTO="Manual",$M35=$A$15),$M35&gt;(ROW(PLE.lastrow)-ROW(PLE.firstrow))),0,
           IF(OFFSET(PLE!$G$15,$M35-$A$15,BG$13)="",10^12,OFFSET(PLE!$G$15,$M35-$A$15,BG$13)))</f>
        <v>1000000000000</v>
      </c>
    </row>
    <row r="36" spans="1:59" ht="25.5" x14ac:dyDescent="0.2">
      <c r="A36" s="7" t="str">
        <f t="shared" ca="1" si="9"/>
        <v>18</v>
      </c>
      <c r="B36" s="7" t="str">
        <f ca="1">OFFSET(ORÇAMENTO!C$15,ROW(B36)-ROW(B$15),0)</f>
        <v>S</v>
      </c>
      <c r="C36" s="7" t="str">
        <f ca="1">OFFSET(ORÇAMENTO!L$15,ROW(C36)-ROW(C$15),0)</f>
        <v>F</v>
      </c>
      <c r="D36" s="117" t="str">
        <f ca="1">OFFSET(ORÇAMENTO!N$15,ROW(D36)-ROW(D$15),0)</f>
        <v>Serviço</v>
      </c>
      <c r="E36" s="118" t="str">
        <f ca="1">OFFSET(ORÇAMENTO!O$15,ROW(E36)-ROW(E$15),0)</f>
        <v>1.3.3.</v>
      </c>
      <c r="F36" s="164" t="str">
        <f ca="1">OFFSET(ORÇAMENTO!R$15,ROW(F36)-ROW(F$15),0)</f>
        <v>GRAMA SINTÉTICA PARA PLAYGROUND - FORNECIMENTO E INSTALAÇÃO</v>
      </c>
      <c r="G36" s="165" t="str">
        <f ca="1">IF($D36&lt;&gt;"Serviço","",OFFSET(ORÇAMENTO!S$15,ROW(G36)-ROW(G$15),0))</f>
        <v>M2</v>
      </c>
      <c r="H36" s="123">
        <f ca="1">IF($D36&lt;&gt;"Serviço",0,IF(ACOMPANHAMENTO="BM",ROUND(OFFSET(ORÇAMENTO!AJ$15,ROW(H36)-ROW(H$15),0),15-13*ORÇAMENTO!$AF$7),SUMPRODUCT(($Q$1:$AA$1=1)*ROUND($Q36:$AA36,15-13*ORÇAMENTO!$AF$7))))</f>
        <v>120</v>
      </c>
      <c r="I36" s="469" t="s">
        <v>1055</v>
      </c>
      <c r="J36" s="663" t="str">
        <f ca="1">IF(OR(B36&lt;&gt;"S",CÁLCULO.FrentesPreenchidas=0),"",IF(AND(ACOMPANHAMENTO="PLE",AUTOEVENTO="Manual",OR(H36&gt;0,ORÇAMENTO!AC36="QUANT."),OR(K36="",M36=0,N36="")),"►",IF(AND(ACOMPANHAMENTO="PLE",ORÇAMENTO!AC36="QUANT."),"►►",IF(AND(COUNTIF($P$11:$AA$11,"▼")=0,H36&gt;0,I36=""),"◄",""))))</f>
        <v/>
      </c>
      <c r="K36" s="664"/>
      <c r="L36" s="166" t="s">
        <v>765</v>
      </c>
      <c r="M36" s="167">
        <f ca="1">IF($D36&lt;&gt;"Serviço","",
          IF(AUTOEVENTO="manual",$A36,
                IF(ISERROR(MATCH($A36,$A$15:OFFSET($A36,-1,0),0)),MAX($M$15:OFFSET(M36,-1,0))+1,
                      INDEX($M$15:OFFSET(M36,-1,0),MATCH($A36,$A$15:OFFSET($A36,-1,0),0)))))</f>
        <v>3</v>
      </c>
      <c r="N36" s="168" t="str">
        <f ca="1">IF($D36&lt;&gt;"Serviço","",
         IF(AUTOEVENTO="Manual",
                IF($A36=0,"&lt;-- defina o número do agrupador",
                       OFFSET(EVENTOS!$D$15,$A36-$A$15,0)),
                OFFSET($F$15,$A36,0)))</f>
        <v>PISOS E DRENAGEM</v>
      </c>
      <c r="O36" s="169"/>
      <c r="Q36" s="169">
        <v>120</v>
      </c>
      <c r="R36" s="170"/>
      <c r="S36" s="170"/>
      <c r="T36" s="170"/>
      <c r="U36" s="170"/>
      <c r="V36" s="170"/>
      <c r="W36" s="170"/>
      <c r="X36" s="170"/>
      <c r="Y36" s="170"/>
      <c r="Z36" s="171"/>
      <c r="AB36" s="454">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6871.2</v>
      </c>
      <c r="AC36" s="454">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4">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4">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4">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4">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4">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4">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4">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4">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2">
        <f ca="1">IF(OR($D36&lt;&gt;"Serviço",AND(AUTOEVENTO="Manual",$M36=$A$15)),0,
         IF(OFFSET(CRONOPLE!$F$15,$M36-$A$15,AM$13)=0,10^12,OFFSET(CRONOPLE!$F$15,$M36-$A$15,AM$13)))</f>
        <v>1</v>
      </c>
      <c r="AN36" s="172">
        <f ca="1">IF(OR($D36&lt;&gt;"Serviço",AND(AUTOEVENTO="Manual",$M36=$A$15)),0,
         IF(OFFSET(CRONOPLE!$F$15,$M36-$A$15,AN$13)=0,10^12,OFFSET(CRONOPLE!$F$15,$M36-$A$15,AN$13)))</f>
        <v>1000000000000</v>
      </c>
      <c r="AO36" s="172">
        <f ca="1">IF(OR($D36&lt;&gt;"Serviço",AND(AUTOEVENTO="Manual",$M36=$A$15)),0,
         IF(OFFSET(CRONOPLE!$F$15,$M36-$A$15,AO$13)=0,10^12,OFFSET(CRONOPLE!$F$15,$M36-$A$15,AO$13)))</f>
        <v>1000000000000</v>
      </c>
      <c r="AP36" s="172">
        <f ca="1">IF(OR($D36&lt;&gt;"Serviço",AND(AUTOEVENTO="Manual",$M36=$A$15)),0,
         IF(OFFSET(CRONOPLE!$F$15,$M36-$A$15,AP$13)=0,10^12,OFFSET(CRONOPLE!$F$15,$M36-$A$15,AP$13)))</f>
        <v>1000000000000</v>
      </c>
      <c r="AQ36" s="172">
        <f ca="1">IF(OR($D36&lt;&gt;"Serviço",AND(AUTOEVENTO="Manual",$M36=$A$15)),0,
         IF(OFFSET(CRONOPLE!$F$15,$M36-$A$15,AQ$13)=0,10^12,OFFSET(CRONOPLE!$F$15,$M36-$A$15,AQ$13)))</f>
        <v>1000000000000</v>
      </c>
      <c r="AR36" s="172">
        <f ca="1">IF(OR($D36&lt;&gt;"Serviço",AND(AUTOEVENTO="Manual",$M36=$A$15)),0,
         IF(OFFSET(CRONOPLE!$F$15,$M36-$A$15,AR$13)=0,10^12,OFFSET(CRONOPLE!$F$15,$M36-$A$15,AR$13)))</f>
        <v>1000000000000</v>
      </c>
      <c r="AS36" s="172">
        <f ca="1">IF(OR($D36&lt;&gt;"Serviço",AND(AUTOEVENTO="Manual",$M36=$A$15)),0,
         IF(OFFSET(CRONOPLE!$F$15,$M36-$A$15,AS$13)=0,10^12,OFFSET(CRONOPLE!$F$15,$M36-$A$15,AS$13)))</f>
        <v>1000000000000</v>
      </c>
      <c r="AT36" s="172">
        <f ca="1">IF(OR($D36&lt;&gt;"Serviço",AND(AUTOEVENTO="Manual",$M36=$A$15)),0,
         IF(OFFSET(CRONOPLE!$F$15,$M36-$A$15,AT$13)=0,10^12,OFFSET(CRONOPLE!$F$15,$M36-$A$15,AT$13)))</f>
        <v>1000000000000</v>
      </c>
      <c r="AU36" s="172">
        <f ca="1">IF(OR($D36&lt;&gt;"Serviço",AND(AUTOEVENTO="Manual",$M36=$A$15)),0,
         IF(OFFSET(CRONOPLE!$F$15,$M36-$A$15,AU$13)=0,10^12,OFFSET(CRONOPLE!$F$15,$M36-$A$15,AU$13)))</f>
        <v>1000000000000</v>
      </c>
      <c r="AV36" s="172">
        <f ca="1">IF(OR($D36&lt;&gt;"Serviço",AND(AUTOEVENTO="Manual",$M36=$A$15)),0,
         IF(OFFSET(CRONOPLE!$F$15,$M36-$A$15,AV$13)=0,10^12,OFFSET(CRONOPLE!$F$15,$M36-$A$15,AV$13)))</f>
        <v>1000000000000</v>
      </c>
      <c r="AX36" s="173">
        <f ca="1">IF(OR($D36&lt;&gt;"Serviço",AND(AUTOEVENTO="Manual",$M36=$A$15),$M36&gt;(ROW(PLE.lastrow)-ROW(PLE.firstrow))),0,
           IF(OFFSET(PLE!$G$15,$M36-$A$15,AX$13)="",10^12,OFFSET(PLE!$G$15,$M36-$A$15,AX$13)))</f>
        <v>1000000000000</v>
      </c>
      <c r="AY36" s="173">
        <f ca="1">IF(OR($D36&lt;&gt;"Serviço",AND(AUTOEVENTO="Manual",$M36=$A$15),$M36&gt;(ROW(PLE.lastrow)-ROW(PLE.firstrow))),0,
           IF(OFFSET(PLE!$G$15,$M36-$A$15,AY$13)="",10^12,OFFSET(PLE!$G$15,$M36-$A$15,AY$13)))</f>
        <v>1000000000000</v>
      </c>
      <c r="AZ36" s="173">
        <f ca="1">IF(OR($D36&lt;&gt;"Serviço",AND(AUTOEVENTO="Manual",$M36=$A$15),$M36&gt;(ROW(PLE.lastrow)-ROW(PLE.firstrow))),0,
           IF(OFFSET(PLE!$G$15,$M36-$A$15,AZ$13)="",10^12,OFFSET(PLE!$G$15,$M36-$A$15,AZ$13)))</f>
        <v>1000000000000</v>
      </c>
      <c r="BA36" s="173">
        <f ca="1">IF(OR($D36&lt;&gt;"Serviço",AND(AUTOEVENTO="Manual",$M36=$A$15),$M36&gt;(ROW(PLE.lastrow)-ROW(PLE.firstrow))),0,
           IF(OFFSET(PLE!$G$15,$M36-$A$15,BA$13)="",10^12,OFFSET(PLE!$G$15,$M36-$A$15,BA$13)))</f>
        <v>1000000000000</v>
      </c>
      <c r="BB36" s="173">
        <f ca="1">IF(OR($D36&lt;&gt;"Serviço",AND(AUTOEVENTO="Manual",$M36=$A$15),$M36&gt;(ROW(PLE.lastrow)-ROW(PLE.firstrow))),0,
           IF(OFFSET(PLE!$G$15,$M36-$A$15,BB$13)="",10^12,OFFSET(PLE!$G$15,$M36-$A$15,BB$13)))</f>
        <v>1000000000000</v>
      </c>
      <c r="BC36" s="173">
        <f ca="1">IF(OR($D36&lt;&gt;"Serviço",AND(AUTOEVENTO="Manual",$M36=$A$15),$M36&gt;(ROW(PLE.lastrow)-ROW(PLE.firstrow))),0,
           IF(OFFSET(PLE!$G$15,$M36-$A$15,BC$13)="",10^12,OFFSET(PLE!$G$15,$M36-$A$15,BC$13)))</f>
        <v>1000000000000</v>
      </c>
      <c r="BD36" s="173">
        <f ca="1">IF(OR($D36&lt;&gt;"Serviço",AND(AUTOEVENTO="Manual",$M36=$A$15),$M36&gt;(ROW(PLE.lastrow)-ROW(PLE.firstrow))),0,
           IF(OFFSET(PLE!$G$15,$M36-$A$15,BD$13)="",10^12,OFFSET(PLE!$G$15,$M36-$A$15,BD$13)))</f>
        <v>1000000000000</v>
      </c>
      <c r="BE36" s="173">
        <f ca="1">IF(OR($D36&lt;&gt;"Serviço",AND(AUTOEVENTO="Manual",$M36=$A$15),$M36&gt;(ROW(PLE.lastrow)-ROW(PLE.firstrow))),0,
           IF(OFFSET(PLE!$G$15,$M36-$A$15,BE$13)="",10^12,OFFSET(PLE!$G$15,$M36-$A$15,BE$13)))</f>
        <v>1000000000000</v>
      </c>
      <c r="BF36" s="173">
        <f ca="1">IF(OR($D36&lt;&gt;"Serviço",AND(AUTOEVENTO="Manual",$M36=$A$15),$M36&gt;(ROW(PLE.lastrow)-ROW(PLE.firstrow))),0,
           IF(OFFSET(PLE!$G$15,$M36-$A$15,BF$13)="",10^12,OFFSET(PLE!$G$15,$M36-$A$15,BF$13)))</f>
        <v>1000000000000</v>
      </c>
      <c r="BG36" s="173">
        <f ca="1">IF(OR($D36&lt;&gt;"Serviço",AND(AUTOEVENTO="Manual",$M36=$A$15),$M36&gt;(ROW(PLE.lastrow)-ROW(PLE.firstrow))),0,
           IF(OFFSET(PLE!$G$15,$M36-$A$15,BG$13)="",10^12,OFFSET(PLE!$G$15,$M36-$A$15,BG$13)))</f>
        <v>1000000000000</v>
      </c>
    </row>
    <row r="37" spans="1:59" ht="38.25" x14ac:dyDescent="0.2">
      <c r="A37" s="7" t="str">
        <f t="shared" ca="1" si="9"/>
        <v>18</v>
      </c>
      <c r="B37" s="7" t="str">
        <f ca="1">OFFSET(ORÇAMENTO!C$15,ROW(B37)-ROW(B$15),0)</f>
        <v>S</v>
      </c>
      <c r="C37" s="7" t="str">
        <f ca="1">OFFSET(ORÇAMENTO!L$15,ROW(C37)-ROW(C$15),0)</f>
        <v>F</v>
      </c>
      <c r="D37" s="117" t="str">
        <f ca="1">OFFSET(ORÇAMENTO!N$15,ROW(D37)-ROW(D$15),0)</f>
        <v>Serviço</v>
      </c>
      <c r="E37" s="118" t="str">
        <f ca="1">OFFSET(ORÇAMENTO!O$15,ROW(E37)-ROW(E$15),0)</f>
        <v>1.3.4.</v>
      </c>
      <c r="F37" s="164" t="str">
        <f ca="1">OFFSET(ORÇAMENTO!R$15,ROW(F37)-ROW(F$15),0)</f>
        <v>ALVENARIA DE EMBASAMENTO COM BLOCO ESTRUTURAL DE CERÂMICA, DE 14X19X29CM E ARGAMASSA DE ASSENTAMENTO COM PREPARO EM BETONEIRA. AF_05/2020</v>
      </c>
      <c r="G37" s="165" t="str">
        <f ca="1">IF($D37&lt;&gt;"Serviço","",OFFSET(ORÇAMENTO!S$15,ROW(G37)-ROW(G$15),0))</f>
        <v>M3</v>
      </c>
      <c r="H37" s="123">
        <f ca="1">IF($D37&lt;&gt;"Serviço",0,IF(ACOMPANHAMENTO="BM",ROUND(OFFSET(ORÇAMENTO!AJ$15,ROW(H37)-ROW(H$15),0),15-13*ORÇAMENTO!$AF$7),SUMPRODUCT(($Q$1:$AA$1=1)*ROUND($Q37:$AA37,15-13*ORÇAMENTO!$AF$7))))</f>
        <v>0.5</v>
      </c>
      <c r="I37" s="469" t="s">
        <v>992</v>
      </c>
      <c r="J37" s="663" t="str">
        <f ca="1">IF(OR(B37&lt;&gt;"S",CÁLCULO.FrentesPreenchidas=0),"",IF(AND(ACOMPANHAMENTO="PLE",AUTOEVENTO="Manual",OR(H37&gt;0,ORÇAMENTO!AC37="QUANT."),OR(K37="",M37=0,N37="")),"►",IF(AND(ACOMPANHAMENTO="PLE",ORÇAMENTO!AC37="QUANT."),"►►",IF(AND(COUNTIF($P$11:$AA$11,"▼")=0,H37&gt;0,I37=""),"◄",""))))</f>
        <v/>
      </c>
      <c r="K37" s="664"/>
      <c r="L37" s="166" t="s">
        <v>765</v>
      </c>
      <c r="M37" s="167">
        <f ca="1">IF($D37&lt;&gt;"Serviço","",
          IF(AUTOEVENTO="manual",$A37,
                IF(ISERROR(MATCH($A37,$A$15:OFFSET($A37,-1,0),0)),MAX($M$15:OFFSET(M37,-1,0))+1,
                      INDEX($M$15:OFFSET(M37,-1,0),MATCH($A37,$A$15:OFFSET($A37,-1,0),0)))))</f>
        <v>3</v>
      </c>
      <c r="N37" s="168" t="str">
        <f ca="1">IF($D37&lt;&gt;"Serviço","",
         IF(AUTOEVENTO="Manual",
                IF($A37=0,"&lt;-- defina o número do agrupador",
                       OFFSET(EVENTOS!$D$15,$A37-$A$15,0)),
                OFFSET($F$15,$A37,0)))</f>
        <v>PISOS E DRENAGEM</v>
      </c>
      <c r="O37" s="169"/>
      <c r="Q37" s="169">
        <v>0.5</v>
      </c>
      <c r="R37" s="170"/>
      <c r="S37" s="170"/>
      <c r="T37" s="170"/>
      <c r="U37" s="170"/>
      <c r="V37" s="170"/>
      <c r="W37" s="170"/>
      <c r="X37" s="170"/>
      <c r="Y37" s="170"/>
      <c r="Z37" s="171"/>
      <c r="AB37" s="454">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405.52</v>
      </c>
      <c r="AC37" s="454">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4">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4">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4">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4">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4">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4">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4">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4">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2">
        <f ca="1">IF(OR($D37&lt;&gt;"Serviço",AND(AUTOEVENTO="Manual",$M37=$A$15)),0,
         IF(OFFSET(CRONOPLE!$F$15,$M37-$A$15,AM$13)=0,10^12,OFFSET(CRONOPLE!$F$15,$M37-$A$15,AM$13)))</f>
        <v>1</v>
      </c>
      <c r="AN37" s="172">
        <f ca="1">IF(OR($D37&lt;&gt;"Serviço",AND(AUTOEVENTO="Manual",$M37=$A$15)),0,
         IF(OFFSET(CRONOPLE!$F$15,$M37-$A$15,AN$13)=0,10^12,OFFSET(CRONOPLE!$F$15,$M37-$A$15,AN$13)))</f>
        <v>1000000000000</v>
      </c>
      <c r="AO37" s="172">
        <f ca="1">IF(OR($D37&lt;&gt;"Serviço",AND(AUTOEVENTO="Manual",$M37=$A$15)),0,
         IF(OFFSET(CRONOPLE!$F$15,$M37-$A$15,AO$13)=0,10^12,OFFSET(CRONOPLE!$F$15,$M37-$A$15,AO$13)))</f>
        <v>1000000000000</v>
      </c>
      <c r="AP37" s="172">
        <f ca="1">IF(OR($D37&lt;&gt;"Serviço",AND(AUTOEVENTO="Manual",$M37=$A$15)),0,
         IF(OFFSET(CRONOPLE!$F$15,$M37-$A$15,AP$13)=0,10^12,OFFSET(CRONOPLE!$F$15,$M37-$A$15,AP$13)))</f>
        <v>1000000000000</v>
      </c>
      <c r="AQ37" s="172">
        <f ca="1">IF(OR($D37&lt;&gt;"Serviço",AND(AUTOEVENTO="Manual",$M37=$A$15)),0,
         IF(OFFSET(CRONOPLE!$F$15,$M37-$A$15,AQ$13)=0,10^12,OFFSET(CRONOPLE!$F$15,$M37-$A$15,AQ$13)))</f>
        <v>1000000000000</v>
      </c>
      <c r="AR37" s="172">
        <f ca="1">IF(OR($D37&lt;&gt;"Serviço",AND(AUTOEVENTO="Manual",$M37=$A$15)),0,
         IF(OFFSET(CRONOPLE!$F$15,$M37-$A$15,AR$13)=0,10^12,OFFSET(CRONOPLE!$F$15,$M37-$A$15,AR$13)))</f>
        <v>1000000000000</v>
      </c>
      <c r="AS37" s="172">
        <f ca="1">IF(OR($D37&lt;&gt;"Serviço",AND(AUTOEVENTO="Manual",$M37=$A$15)),0,
         IF(OFFSET(CRONOPLE!$F$15,$M37-$A$15,AS$13)=0,10^12,OFFSET(CRONOPLE!$F$15,$M37-$A$15,AS$13)))</f>
        <v>1000000000000</v>
      </c>
      <c r="AT37" s="172">
        <f ca="1">IF(OR($D37&lt;&gt;"Serviço",AND(AUTOEVENTO="Manual",$M37=$A$15)),0,
         IF(OFFSET(CRONOPLE!$F$15,$M37-$A$15,AT$13)=0,10^12,OFFSET(CRONOPLE!$F$15,$M37-$A$15,AT$13)))</f>
        <v>1000000000000</v>
      </c>
      <c r="AU37" s="172">
        <f ca="1">IF(OR($D37&lt;&gt;"Serviço",AND(AUTOEVENTO="Manual",$M37=$A$15)),0,
         IF(OFFSET(CRONOPLE!$F$15,$M37-$A$15,AU$13)=0,10^12,OFFSET(CRONOPLE!$F$15,$M37-$A$15,AU$13)))</f>
        <v>1000000000000</v>
      </c>
      <c r="AV37" s="172">
        <f ca="1">IF(OR($D37&lt;&gt;"Serviço",AND(AUTOEVENTO="Manual",$M37=$A$15)),0,
         IF(OFFSET(CRONOPLE!$F$15,$M37-$A$15,AV$13)=0,10^12,OFFSET(CRONOPLE!$F$15,$M37-$A$15,AV$13)))</f>
        <v>1000000000000</v>
      </c>
      <c r="AX37" s="173">
        <f ca="1">IF(OR($D37&lt;&gt;"Serviço",AND(AUTOEVENTO="Manual",$M37=$A$15),$M37&gt;(ROW(PLE.lastrow)-ROW(PLE.firstrow))),0,
           IF(OFFSET(PLE!$G$15,$M37-$A$15,AX$13)="",10^12,OFFSET(PLE!$G$15,$M37-$A$15,AX$13)))</f>
        <v>1000000000000</v>
      </c>
      <c r="AY37" s="173">
        <f ca="1">IF(OR($D37&lt;&gt;"Serviço",AND(AUTOEVENTO="Manual",$M37=$A$15),$M37&gt;(ROW(PLE.lastrow)-ROW(PLE.firstrow))),0,
           IF(OFFSET(PLE!$G$15,$M37-$A$15,AY$13)="",10^12,OFFSET(PLE!$G$15,$M37-$A$15,AY$13)))</f>
        <v>1000000000000</v>
      </c>
      <c r="AZ37" s="173">
        <f ca="1">IF(OR($D37&lt;&gt;"Serviço",AND(AUTOEVENTO="Manual",$M37=$A$15),$M37&gt;(ROW(PLE.lastrow)-ROW(PLE.firstrow))),0,
           IF(OFFSET(PLE!$G$15,$M37-$A$15,AZ$13)="",10^12,OFFSET(PLE!$G$15,$M37-$A$15,AZ$13)))</f>
        <v>1000000000000</v>
      </c>
      <c r="BA37" s="173">
        <f ca="1">IF(OR($D37&lt;&gt;"Serviço",AND(AUTOEVENTO="Manual",$M37=$A$15),$M37&gt;(ROW(PLE.lastrow)-ROW(PLE.firstrow))),0,
           IF(OFFSET(PLE!$G$15,$M37-$A$15,BA$13)="",10^12,OFFSET(PLE!$G$15,$M37-$A$15,BA$13)))</f>
        <v>1000000000000</v>
      </c>
      <c r="BB37" s="173">
        <f ca="1">IF(OR($D37&lt;&gt;"Serviço",AND(AUTOEVENTO="Manual",$M37=$A$15),$M37&gt;(ROW(PLE.lastrow)-ROW(PLE.firstrow))),0,
           IF(OFFSET(PLE!$G$15,$M37-$A$15,BB$13)="",10^12,OFFSET(PLE!$G$15,$M37-$A$15,BB$13)))</f>
        <v>1000000000000</v>
      </c>
      <c r="BC37" s="173">
        <f ca="1">IF(OR($D37&lt;&gt;"Serviço",AND(AUTOEVENTO="Manual",$M37=$A$15),$M37&gt;(ROW(PLE.lastrow)-ROW(PLE.firstrow))),0,
           IF(OFFSET(PLE!$G$15,$M37-$A$15,BC$13)="",10^12,OFFSET(PLE!$G$15,$M37-$A$15,BC$13)))</f>
        <v>1000000000000</v>
      </c>
      <c r="BD37" s="173">
        <f ca="1">IF(OR($D37&lt;&gt;"Serviço",AND(AUTOEVENTO="Manual",$M37=$A$15),$M37&gt;(ROW(PLE.lastrow)-ROW(PLE.firstrow))),0,
           IF(OFFSET(PLE!$G$15,$M37-$A$15,BD$13)="",10^12,OFFSET(PLE!$G$15,$M37-$A$15,BD$13)))</f>
        <v>1000000000000</v>
      </c>
      <c r="BE37" s="173">
        <f ca="1">IF(OR($D37&lt;&gt;"Serviço",AND(AUTOEVENTO="Manual",$M37=$A$15),$M37&gt;(ROW(PLE.lastrow)-ROW(PLE.firstrow))),0,
           IF(OFFSET(PLE!$G$15,$M37-$A$15,BE$13)="",10^12,OFFSET(PLE!$G$15,$M37-$A$15,BE$13)))</f>
        <v>1000000000000</v>
      </c>
      <c r="BF37" s="173">
        <f ca="1">IF(OR($D37&lt;&gt;"Serviço",AND(AUTOEVENTO="Manual",$M37=$A$15),$M37&gt;(ROW(PLE.lastrow)-ROW(PLE.firstrow))),0,
           IF(OFFSET(PLE!$G$15,$M37-$A$15,BF$13)="",10^12,OFFSET(PLE!$G$15,$M37-$A$15,BF$13)))</f>
        <v>1000000000000</v>
      </c>
      <c r="BG37" s="173">
        <f ca="1">IF(OR($D37&lt;&gt;"Serviço",AND(AUTOEVENTO="Manual",$M37=$A$15),$M37&gt;(ROW(PLE.lastrow)-ROW(PLE.firstrow))),0,
           IF(OFFSET(PLE!$G$15,$M37-$A$15,BG$13)="",10^12,OFFSET(PLE!$G$15,$M37-$A$15,BG$13)))</f>
        <v>1000000000000</v>
      </c>
    </row>
    <row r="38" spans="1:59" ht="25.5" x14ac:dyDescent="0.2">
      <c r="A38" s="7" t="str">
        <f t="shared" ca="1" si="9"/>
        <v>18</v>
      </c>
      <c r="B38" s="7" t="str">
        <f ca="1">OFFSET(ORÇAMENTO!C$15,ROW(B38)-ROW(B$15),0)</f>
        <v>S</v>
      </c>
      <c r="C38" s="7" t="str">
        <f ca="1">OFFSET(ORÇAMENTO!L$15,ROW(C38)-ROW(C$15),0)</f>
        <v>F</v>
      </c>
      <c r="D38" s="117" t="str">
        <f ca="1">OFFSET(ORÇAMENTO!N$15,ROW(D38)-ROW(D$15),0)</f>
        <v>Serviço</v>
      </c>
      <c r="E38" s="118" t="str">
        <f ca="1">OFFSET(ORÇAMENTO!O$15,ROW(E38)-ROW(E$15),0)</f>
        <v>1.3.5.</v>
      </c>
      <c r="F38" s="164" t="str">
        <f ca="1">OFFSET(ORÇAMENTO!R$15,ROW(F38)-ROW(F$15),0)</f>
        <v>REATERRO MANUAL DE VALAS, COM COMPACTADOR DE SOLOS DE PERCUSSÃO. AF_08/2023</v>
      </c>
      <c r="G38" s="165" t="str">
        <f ca="1">IF($D38&lt;&gt;"Serviço","",OFFSET(ORÇAMENTO!S$15,ROW(G38)-ROW(G$15),0))</f>
        <v>M3</v>
      </c>
      <c r="H38" s="123">
        <f ca="1">IF($D38&lt;&gt;"Serviço",0,IF(ACOMPANHAMENTO="BM",ROUND(OFFSET(ORÇAMENTO!AJ$15,ROW(H38)-ROW(H$15),0),15-13*ORÇAMENTO!$AF$7),SUMPRODUCT(($Q$1:$AA$1=1)*ROUND($Q38:$AA38,15-13*ORÇAMENTO!$AF$7))))</f>
        <v>51.05</v>
      </c>
      <c r="I38" s="469" t="s">
        <v>1002</v>
      </c>
      <c r="J38" s="663" t="str">
        <f ca="1">IF(OR(B38&lt;&gt;"S",CÁLCULO.FrentesPreenchidas=0),"",IF(AND(ACOMPANHAMENTO="PLE",AUTOEVENTO="Manual",OR(H38&gt;0,ORÇAMENTO!AC38="QUANT."),OR(K38="",M38=0,N38="")),"►",IF(AND(ACOMPANHAMENTO="PLE",ORÇAMENTO!AC38="QUANT."),"►►",IF(AND(COUNTIF($P$11:$AA$11,"▼")=0,H38&gt;0,I38=""),"◄",""))))</f>
        <v/>
      </c>
      <c r="K38" s="664"/>
      <c r="L38" s="166" t="s">
        <v>765</v>
      </c>
      <c r="M38" s="167">
        <f ca="1">IF($D38&lt;&gt;"Serviço","",
          IF(AUTOEVENTO="manual",$A38,
                IF(ISERROR(MATCH($A38,$A$15:OFFSET($A38,-1,0),0)),MAX($M$15:OFFSET(M38,-1,0))+1,
                      INDEX($M$15:OFFSET(M38,-1,0),MATCH($A38,$A$15:OFFSET($A38,-1,0),0)))))</f>
        <v>3</v>
      </c>
      <c r="N38" s="168" t="str">
        <f ca="1">IF($D38&lt;&gt;"Serviço","",
         IF(AUTOEVENTO="Manual",
                IF($A38=0,"&lt;-- defina o número do agrupador",
                       OFFSET(EVENTOS!$D$15,$A38-$A$15,0)),
                OFFSET($F$15,$A38,0)))</f>
        <v>PISOS E DRENAGEM</v>
      </c>
      <c r="O38" s="169"/>
      <c r="Q38" s="169">
        <v>51.05</v>
      </c>
      <c r="R38" s="170"/>
      <c r="S38" s="170"/>
      <c r="T38" s="170"/>
      <c r="U38" s="170"/>
      <c r="V38" s="170"/>
      <c r="W38" s="170"/>
      <c r="X38" s="170"/>
      <c r="Y38" s="170"/>
      <c r="Z38" s="171"/>
      <c r="AB38" s="454">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1714.77</v>
      </c>
      <c r="AC38" s="454">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4">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4">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4">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4">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4">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4">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4">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4">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2">
        <f ca="1">IF(OR($D38&lt;&gt;"Serviço",AND(AUTOEVENTO="Manual",$M38=$A$15)),0,
         IF(OFFSET(CRONOPLE!$F$15,$M38-$A$15,AM$13)=0,10^12,OFFSET(CRONOPLE!$F$15,$M38-$A$15,AM$13)))</f>
        <v>1</v>
      </c>
      <c r="AN38" s="172">
        <f ca="1">IF(OR($D38&lt;&gt;"Serviço",AND(AUTOEVENTO="Manual",$M38=$A$15)),0,
         IF(OFFSET(CRONOPLE!$F$15,$M38-$A$15,AN$13)=0,10^12,OFFSET(CRONOPLE!$F$15,$M38-$A$15,AN$13)))</f>
        <v>1000000000000</v>
      </c>
      <c r="AO38" s="172">
        <f ca="1">IF(OR($D38&lt;&gt;"Serviço",AND(AUTOEVENTO="Manual",$M38=$A$15)),0,
         IF(OFFSET(CRONOPLE!$F$15,$M38-$A$15,AO$13)=0,10^12,OFFSET(CRONOPLE!$F$15,$M38-$A$15,AO$13)))</f>
        <v>1000000000000</v>
      </c>
      <c r="AP38" s="172">
        <f ca="1">IF(OR($D38&lt;&gt;"Serviço",AND(AUTOEVENTO="Manual",$M38=$A$15)),0,
         IF(OFFSET(CRONOPLE!$F$15,$M38-$A$15,AP$13)=0,10^12,OFFSET(CRONOPLE!$F$15,$M38-$A$15,AP$13)))</f>
        <v>1000000000000</v>
      </c>
      <c r="AQ38" s="172">
        <f ca="1">IF(OR($D38&lt;&gt;"Serviço",AND(AUTOEVENTO="Manual",$M38=$A$15)),0,
         IF(OFFSET(CRONOPLE!$F$15,$M38-$A$15,AQ$13)=0,10^12,OFFSET(CRONOPLE!$F$15,$M38-$A$15,AQ$13)))</f>
        <v>1000000000000</v>
      </c>
      <c r="AR38" s="172">
        <f ca="1">IF(OR($D38&lt;&gt;"Serviço",AND(AUTOEVENTO="Manual",$M38=$A$15)),0,
         IF(OFFSET(CRONOPLE!$F$15,$M38-$A$15,AR$13)=0,10^12,OFFSET(CRONOPLE!$F$15,$M38-$A$15,AR$13)))</f>
        <v>1000000000000</v>
      </c>
      <c r="AS38" s="172">
        <f ca="1">IF(OR($D38&lt;&gt;"Serviço",AND(AUTOEVENTO="Manual",$M38=$A$15)),0,
         IF(OFFSET(CRONOPLE!$F$15,$M38-$A$15,AS$13)=0,10^12,OFFSET(CRONOPLE!$F$15,$M38-$A$15,AS$13)))</f>
        <v>1000000000000</v>
      </c>
      <c r="AT38" s="172">
        <f ca="1">IF(OR($D38&lt;&gt;"Serviço",AND(AUTOEVENTO="Manual",$M38=$A$15)),0,
         IF(OFFSET(CRONOPLE!$F$15,$M38-$A$15,AT$13)=0,10^12,OFFSET(CRONOPLE!$F$15,$M38-$A$15,AT$13)))</f>
        <v>1000000000000</v>
      </c>
      <c r="AU38" s="172">
        <f ca="1">IF(OR($D38&lt;&gt;"Serviço",AND(AUTOEVENTO="Manual",$M38=$A$15)),0,
         IF(OFFSET(CRONOPLE!$F$15,$M38-$A$15,AU$13)=0,10^12,OFFSET(CRONOPLE!$F$15,$M38-$A$15,AU$13)))</f>
        <v>1000000000000</v>
      </c>
      <c r="AV38" s="172">
        <f ca="1">IF(OR($D38&lt;&gt;"Serviço",AND(AUTOEVENTO="Manual",$M38=$A$15)),0,
         IF(OFFSET(CRONOPLE!$F$15,$M38-$A$15,AV$13)=0,10^12,OFFSET(CRONOPLE!$F$15,$M38-$A$15,AV$13)))</f>
        <v>1000000000000</v>
      </c>
      <c r="AX38" s="173">
        <f ca="1">IF(OR($D38&lt;&gt;"Serviço",AND(AUTOEVENTO="Manual",$M38=$A$15),$M38&gt;(ROW(PLE.lastrow)-ROW(PLE.firstrow))),0,
           IF(OFFSET(PLE!$G$15,$M38-$A$15,AX$13)="",10^12,OFFSET(PLE!$G$15,$M38-$A$15,AX$13)))</f>
        <v>1000000000000</v>
      </c>
      <c r="AY38" s="173">
        <f ca="1">IF(OR($D38&lt;&gt;"Serviço",AND(AUTOEVENTO="Manual",$M38=$A$15),$M38&gt;(ROW(PLE.lastrow)-ROW(PLE.firstrow))),0,
           IF(OFFSET(PLE!$G$15,$M38-$A$15,AY$13)="",10^12,OFFSET(PLE!$G$15,$M38-$A$15,AY$13)))</f>
        <v>1000000000000</v>
      </c>
      <c r="AZ38" s="173">
        <f ca="1">IF(OR($D38&lt;&gt;"Serviço",AND(AUTOEVENTO="Manual",$M38=$A$15),$M38&gt;(ROW(PLE.lastrow)-ROW(PLE.firstrow))),0,
           IF(OFFSET(PLE!$G$15,$M38-$A$15,AZ$13)="",10^12,OFFSET(PLE!$G$15,$M38-$A$15,AZ$13)))</f>
        <v>1000000000000</v>
      </c>
      <c r="BA38" s="173">
        <f ca="1">IF(OR($D38&lt;&gt;"Serviço",AND(AUTOEVENTO="Manual",$M38=$A$15),$M38&gt;(ROW(PLE.lastrow)-ROW(PLE.firstrow))),0,
           IF(OFFSET(PLE!$G$15,$M38-$A$15,BA$13)="",10^12,OFFSET(PLE!$G$15,$M38-$A$15,BA$13)))</f>
        <v>1000000000000</v>
      </c>
      <c r="BB38" s="173">
        <f ca="1">IF(OR($D38&lt;&gt;"Serviço",AND(AUTOEVENTO="Manual",$M38=$A$15),$M38&gt;(ROW(PLE.lastrow)-ROW(PLE.firstrow))),0,
           IF(OFFSET(PLE!$G$15,$M38-$A$15,BB$13)="",10^12,OFFSET(PLE!$G$15,$M38-$A$15,BB$13)))</f>
        <v>1000000000000</v>
      </c>
      <c r="BC38" s="173">
        <f ca="1">IF(OR($D38&lt;&gt;"Serviço",AND(AUTOEVENTO="Manual",$M38=$A$15),$M38&gt;(ROW(PLE.lastrow)-ROW(PLE.firstrow))),0,
           IF(OFFSET(PLE!$G$15,$M38-$A$15,BC$13)="",10^12,OFFSET(PLE!$G$15,$M38-$A$15,BC$13)))</f>
        <v>1000000000000</v>
      </c>
      <c r="BD38" s="173">
        <f ca="1">IF(OR($D38&lt;&gt;"Serviço",AND(AUTOEVENTO="Manual",$M38=$A$15),$M38&gt;(ROW(PLE.lastrow)-ROW(PLE.firstrow))),0,
           IF(OFFSET(PLE!$G$15,$M38-$A$15,BD$13)="",10^12,OFFSET(PLE!$G$15,$M38-$A$15,BD$13)))</f>
        <v>1000000000000</v>
      </c>
      <c r="BE38" s="173">
        <f ca="1">IF(OR($D38&lt;&gt;"Serviço",AND(AUTOEVENTO="Manual",$M38=$A$15),$M38&gt;(ROW(PLE.lastrow)-ROW(PLE.firstrow))),0,
           IF(OFFSET(PLE!$G$15,$M38-$A$15,BE$13)="",10^12,OFFSET(PLE!$G$15,$M38-$A$15,BE$13)))</f>
        <v>1000000000000</v>
      </c>
      <c r="BF38" s="173">
        <f ca="1">IF(OR($D38&lt;&gt;"Serviço",AND(AUTOEVENTO="Manual",$M38=$A$15),$M38&gt;(ROW(PLE.lastrow)-ROW(PLE.firstrow))),0,
           IF(OFFSET(PLE!$G$15,$M38-$A$15,BF$13)="",10^12,OFFSET(PLE!$G$15,$M38-$A$15,BF$13)))</f>
        <v>1000000000000</v>
      </c>
      <c r="BG38" s="173">
        <f ca="1">IF(OR($D38&lt;&gt;"Serviço",AND(AUTOEVENTO="Manual",$M38=$A$15),$M38&gt;(ROW(PLE.lastrow)-ROW(PLE.firstrow))),0,
           IF(OFFSET(PLE!$G$15,$M38-$A$15,BG$13)="",10^12,OFFSET(PLE!$G$15,$M38-$A$15,BG$13)))</f>
        <v>1000000000000</v>
      </c>
    </row>
    <row r="39" spans="1:59" ht="38.25" x14ac:dyDescent="0.2">
      <c r="A39" s="7" t="str">
        <f t="shared" ca="1" si="9"/>
        <v>18</v>
      </c>
      <c r="B39" s="7" t="str">
        <f ca="1">OFFSET(ORÇAMENTO!C$15,ROW(B39)-ROW(B$15),0)</f>
        <v>S</v>
      </c>
      <c r="C39" s="7" t="str">
        <f ca="1">OFFSET(ORÇAMENTO!L$15,ROW(C39)-ROW(C$15),0)</f>
        <v>F</v>
      </c>
      <c r="D39" s="117" t="str">
        <f ca="1">OFFSET(ORÇAMENTO!N$15,ROW(D39)-ROW(D$15),0)</f>
        <v>Serviço</v>
      </c>
      <c r="E39" s="118" t="str">
        <f ca="1">OFFSET(ORÇAMENTO!O$15,ROW(E39)-ROW(E$15),0)</f>
        <v>1.3.6.</v>
      </c>
      <c r="F39" s="164" t="str">
        <f ca="1">OFFSET(ORÇAMENTO!R$15,ROW(F39)-ROW(F$15),0)</f>
        <v>CAIXA COM GRELHA RETANGULAR DE FERRO FUNDIDO, EM ALVENARIA COM TIJOLOS CERÂMICOS MACIÇOS, DIMENSÕES INTERNAS: 0,15 X 1,00 X 0,3 M. AF_05/2025</v>
      </c>
      <c r="G39" s="165" t="str">
        <f ca="1">IF($D39&lt;&gt;"Serviço","",OFFSET(ORÇAMENTO!S$15,ROW(G39)-ROW(G$15),0))</f>
        <v>UN</v>
      </c>
      <c r="H39" s="123">
        <f ca="1">IF($D39&lt;&gt;"Serviço",0,IF(ACOMPANHAMENTO="BM",ROUND(OFFSET(ORÇAMENTO!AJ$15,ROW(H39)-ROW(H$15),0),15-13*ORÇAMENTO!$AF$7),SUMPRODUCT(($Q$1:$AA$1=1)*ROUND($Q39:$AA39,15-13*ORÇAMENTO!$AF$7))))</f>
        <v>6</v>
      </c>
      <c r="I39" s="469" t="s">
        <v>1014</v>
      </c>
      <c r="J39" s="663" t="str">
        <f ca="1">IF(OR(B39&lt;&gt;"S",CÁLCULO.FrentesPreenchidas=0),"",IF(AND(ACOMPANHAMENTO="PLE",AUTOEVENTO="Manual",OR(H39&gt;0,ORÇAMENTO!AC39="QUANT."),OR(K39="",M39=0,N39="")),"►",IF(AND(ACOMPANHAMENTO="PLE",ORÇAMENTO!AC39="QUANT."),"►►",IF(AND(COUNTIF($P$11:$AA$11,"▼")=0,H39&gt;0,I39=""),"◄",""))))</f>
        <v/>
      </c>
      <c r="K39" s="664"/>
      <c r="L39" s="166" t="s">
        <v>765</v>
      </c>
      <c r="M39" s="167">
        <f ca="1">IF($D39&lt;&gt;"Serviço","",
          IF(AUTOEVENTO="manual",$A39,
                IF(ISERROR(MATCH($A39,$A$15:OFFSET($A39,-1,0),0)),MAX($M$15:OFFSET(M39,-1,0))+1,
                      INDEX($M$15:OFFSET(M39,-1,0),MATCH($A39,$A$15:OFFSET($A39,-1,0),0)))))</f>
        <v>3</v>
      </c>
      <c r="N39" s="168" t="str">
        <f ca="1">IF($D39&lt;&gt;"Serviço","",
         IF(AUTOEVENTO="Manual",
                IF($A39=0,"&lt;-- defina o número do agrupador",
                       OFFSET(EVENTOS!$D$15,$A39-$A$15,0)),
                OFFSET($F$15,$A39,0)))</f>
        <v>PISOS E DRENAGEM</v>
      </c>
      <c r="O39" s="169"/>
      <c r="Q39" s="169">
        <v>6</v>
      </c>
      <c r="R39" s="170"/>
      <c r="S39" s="170"/>
      <c r="T39" s="170"/>
      <c r="U39" s="170"/>
      <c r="V39" s="170"/>
      <c r="W39" s="170"/>
      <c r="X39" s="170"/>
      <c r="Y39" s="170"/>
      <c r="Z39" s="171"/>
      <c r="AB39" s="454">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4406.16</v>
      </c>
      <c r="AC39" s="454">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4">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4">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4">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4">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4">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4">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4">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4">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2">
        <f ca="1">IF(OR($D39&lt;&gt;"Serviço",AND(AUTOEVENTO="Manual",$M39=$A$15)),0,
         IF(OFFSET(CRONOPLE!$F$15,$M39-$A$15,AM$13)=0,10^12,OFFSET(CRONOPLE!$F$15,$M39-$A$15,AM$13)))</f>
        <v>1</v>
      </c>
      <c r="AN39" s="172">
        <f ca="1">IF(OR($D39&lt;&gt;"Serviço",AND(AUTOEVENTO="Manual",$M39=$A$15)),0,
         IF(OFFSET(CRONOPLE!$F$15,$M39-$A$15,AN$13)=0,10^12,OFFSET(CRONOPLE!$F$15,$M39-$A$15,AN$13)))</f>
        <v>1000000000000</v>
      </c>
      <c r="AO39" s="172">
        <f ca="1">IF(OR($D39&lt;&gt;"Serviço",AND(AUTOEVENTO="Manual",$M39=$A$15)),0,
         IF(OFFSET(CRONOPLE!$F$15,$M39-$A$15,AO$13)=0,10^12,OFFSET(CRONOPLE!$F$15,$M39-$A$15,AO$13)))</f>
        <v>1000000000000</v>
      </c>
      <c r="AP39" s="172">
        <f ca="1">IF(OR($D39&lt;&gt;"Serviço",AND(AUTOEVENTO="Manual",$M39=$A$15)),0,
         IF(OFFSET(CRONOPLE!$F$15,$M39-$A$15,AP$13)=0,10^12,OFFSET(CRONOPLE!$F$15,$M39-$A$15,AP$13)))</f>
        <v>1000000000000</v>
      </c>
      <c r="AQ39" s="172">
        <f ca="1">IF(OR($D39&lt;&gt;"Serviço",AND(AUTOEVENTO="Manual",$M39=$A$15)),0,
         IF(OFFSET(CRONOPLE!$F$15,$M39-$A$15,AQ$13)=0,10^12,OFFSET(CRONOPLE!$F$15,$M39-$A$15,AQ$13)))</f>
        <v>1000000000000</v>
      </c>
      <c r="AR39" s="172">
        <f ca="1">IF(OR($D39&lt;&gt;"Serviço",AND(AUTOEVENTO="Manual",$M39=$A$15)),0,
         IF(OFFSET(CRONOPLE!$F$15,$M39-$A$15,AR$13)=0,10^12,OFFSET(CRONOPLE!$F$15,$M39-$A$15,AR$13)))</f>
        <v>1000000000000</v>
      </c>
      <c r="AS39" s="172">
        <f ca="1">IF(OR($D39&lt;&gt;"Serviço",AND(AUTOEVENTO="Manual",$M39=$A$15)),0,
         IF(OFFSET(CRONOPLE!$F$15,$M39-$A$15,AS$13)=0,10^12,OFFSET(CRONOPLE!$F$15,$M39-$A$15,AS$13)))</f>
        <v>1000000000000</v>
      </c>
      <c r="AT39" s="172">
        <f ca="1">IF(OR($D39&lt;&gt;"Serviço",AND(AUTOEVENTO="Manual",$M39=$A$15)),0,
         IF(OFFSET(CRONOPLE!$F$15,$M39-$A$15,AT$13)=0,10^12,OFFSET(CRONOPLE!$F$15,$M39-$A$15,AT$13)))</f>
        <v>1000000000000</v>
      </c>
      <c r="AU39" s="172">
        <f ca="1">IF(OR($D39&lt;&gt;"Serviço",AND(AUTOEVENTO="Manual",$M39=$A$15)),0,
         IF(OFFSET(CRONOPLE!$F$15,$M39-$A$15,AU$13)=0,10^12,OFFSET(CRONOPLE!$F$15,$M39-$A$15,AU$13)))</f>
        <v>1000000000000</v>
      </c>
      <c r="AV39" s="172">
        <f ca="1">IF(OR($D39&lt;&gt;"Serviço",AND(AUTOEVENTO="Manual",$M39=$A$15)),0,
         IF(OFFSET(CRONOPLE!$F$15,$M39-$A$15,AV$13)=0,10^12,OFFSET(CRONOPLE!$F$15,$M39-$A$15,AV$13)))</f>
        <v>1000000000000</v>
      </c>
      <c r="AX39" s="173">
        <f ca="1">IF(OR($D39&lt;&gt;"Serviço",AND(AUTOEVENTO="Manual",$M39=$A$15),$M39&gt;(ROW(PLE.lastrow)-ROW(PLE.firstrow))),0,
           IF(OFFSET(PLE!$G$15,$M39-$A$15,AX$13)="",10^12,OFFSET(PLE!$G$15,$M39-$A$15,AX$13)))</f>
        <v>1000000000000</v>
      </c>
      <c r="AY39" s="173">
        <f ca="1">IF(OR($D39&lt;&gt;"Serviço",AND(AUTOEVENTO="Manual",$M39=$A$15),$M39&gt;(ROW(PLE.lastrow)-ROW(PLE.firstrow))),0,
           IF(OFFSET(PLE!$G$15,$M39-$A$15,AY$13)="",10^12,OFFSET(PLE!$G$15,$M39-$A$15,AY$13)))</f>
        <v>1000000000000</v>
      </c>
      <c r="AZ39" s="173">
        <f ca="1">IF(OR($D39&lt;&gt;"Serviço",AND(AUTOEVENTO="Manual",$M39=$A$15),$M39&gt;(ROW(PLE.lastrow)-ROW(PLE.firstrow))),0,
           IF(OFFSET(PLE!$G$15,$M39-$A$15,AZ$13)="",10^12,OFFSET(PLE!$G$15,$M39-$A$15,AZ$13)))</f>
        <v>1000000000000</v>
      </c>
      <c r="BA39" s="173">
        <f ca="1">IF(OR($D39&lt;&gt;"Serviço",AND(AUTOEVENTO="Manual",$M39=$A$15),$M39&gt;(ROW(PLE.lastrow)-ROW(PLE.firstrow))),0,
           IF(OFFSET(PLE!$G$15,$M39-$A$15,BA$13)="",10^12,OFFSET(PLE!$G$15,$M39-$A$15,BA$13)))</f>
        <v>1000000000000</v>
      </c>
      <c r="BB39" s="173">
        <f ca="1">IF(OR($D39&lt;&gt;"Serviço",AND(AUTOEVENTO="Manual",$M39=$A$15),$M39&gt;(ROW(PLE.lastrow)-ROW(PLE.firstrow))),0,
           IF(OFFSET(PLE!$G$15,$M39-$A$15,BB$13)="",10^12,OFFSET(PLE!$G$15,$M39-$A$15,BB$13)))</f>
        <v>1000000000000</v>
      </c>
      <c r="BC39" s="173">
        <f ca="1">IF(OR($D39&lt;&gt;"Serviço",AND(AUTOEVENTO="Manual",$M39=$A$15),$M39&gt;(ROW(PLE.lastrow)-ROW(PLE.firstrow))),0,
           IF(OFFSET(PLE!$G$15,$M39-$A$15,BC$13)="",10^12,OFFSET(PLE!$G$15,$M39-$A$15,BC$13)))</f>
        <v>1000000000000</v>
      </c>
      <c r="BD39" s="173">
        <f ca="1">IF(OR($D39&lt;&gt;"Serviço",AND(AUTOEVENTO="Manual",$M39=$A$15),$M39&gt;(ROW(PLE.lastrow)-ROW(PLE.firstrow))),0,
           IF(OFFSET(PLE!$G$15,$M39-$A$15,BD$13)="",10^12,OFFSET(PLE!$G$15,$M39-$A$15,BD$13)))</f>
        <v>1000000000000</v>
      </c>
      <c r="BE39" s="173">
        <f ca="1">IF(OR($D39&lt;&gt;"Serviço",AND(AUTOEVENTO="Manual",$M39=$A$15),$M39&gt;(ROW(PLE.lastrow)-ROW(PLE.firstrow))),0,
           IF(OFFSET(PLE!$G$15,$M39-$A$15,BE$13)="",10^12,OFFSET(PLE!$G$15,$M39-$A$15,BE$13)))</f>
        <v>1000000000000</v>
      </c>
      <c r="BF39" s="173">
        <f ca="1">IF(OR($D39&lt;&gt;"Serviço",AND(AUTOEVENTO="Manual",$M39=$A$15),$M39&gt;(ROW(PLE.lastrow)-ROW(PLE.firstrow))),0,
           IF(OFFSET(PLE!$G$15,$M39-$A$15,BF$13)="",10^12,OFFSET(PLE!$G$15,$M39-$A$15,BF$13)))</f>
        <v>1000000000000</v>
      </c>
      <c r="BG39" s="173">
        <f ca="1">IF(OR($D39&lt;&gt;"Serviço",AND(AUTOEVENTO="Manual",$M39=$A$15),$M39&gt;(ROW(PLE.lastrow)-ROW(PLE.firstrow))),0,
           IF(OFFSET(PLE!$G$15,$M39-$A$15,BG$13)="",10^12,OFFSET(PLE!$G$15,$M39-$A$15,BG$13)))</f>
        <v>1000000000000</v>
      </c>
    </row>
    <row r="40" spans="1:59" ht="38.25" x14ac:dyDescent="0.2">
      <c r="A40" s="7" t="str">
        <f t="shared" ca="1" si="9"/>
        <v>18</v>
      </c>
      <c r="B40" s="7" t="str">
        <f ca="1">OFFSET(ORÇAMENTO!C$15,ROW(B40)-ROW(B$15),0)</f>
        <v>S</v>
      </c>
      <c r="C40" s="7" t="str">
        <f ca="1">OFFSET(ORÇAMENTO!L$15,ROW(C40)-ROW(C$15),0)</f>
        <v>F</v>
      </c>
      <c r="D40" s="117" t="str">
        <f ca="1">OFFSET(ORÇAMENTO!N$15,ROW(D40)-ROW(D$15),0)</f>
        <v>Serviço</v>
      </c>
      <c r="E40" s="118" t="str">
        <f ca="1">OFFSET(ORÇAMENTO!O$15,ROW(E40)-ROW(E$15),0)</f>
        <v>1.3.7.</v>
      </c>
      <c r="F40" s="164" t="str">
        <f ca="1">OFFSET(ORÇAMENTO!R$15,ROW(F40)-ROW(F$15),0)</f>
        <v>TUBO PVC, SÉRIE R, ÁGUA PLUVIAL, DN 75 MM, FORNECIDO E INSTALADO EM CONDUTORES VERTICAIS DE ÁGUAS PLUVIAIS. AF_06/2022</v>
      </c>
      <c r="G40" s="165" t="str">
        <f ca="1">IF($D40&lt;&gt;"Serviço","",OFFSET(ORÇAMENTO!S$15,ROW(G40)-ROW(G$15),0))</f>
        <v>M</v>
      </c>
      <c r="H40" s="123">
        <f ca="1">IF($D40&lt;&gt;"Serviço",0,IF(ACOMPANHAMENTO="BM",ROUND(OFFSET(ORÇAMENTO!AJ$15,ROW(H40)-ROW(H$15),0),15-13*ORÇAMENTO!$AF$7),SUMPRODUCT(($Q$1:$AA$1=1)*ROUND($Q40:$AA40,15-13*ORÇAMENTO!$AF$7))))</f>
        <v>12</v>
      </c>
      <c r="I40" s="469" t="s">
        <v>1014</v>
      </c>
      <c r="J40" s="663" t="str">
        <f ca="1">IF(OR(B40&lt;&gt;"S",CÁLCULO.FrentesPreenchidas=0),"",IF(AND(ACOMPANHAMENTO="PLE",AUTOEVENTO="Manual",OR(H40&gt;0,ORÇAMENTO!AC40="QUANT."),OR(K40="",M40=0,N40="")),"►",IF(AND(ACOMPANHAMENTO="PLE",ORÇAMENTO!AC40="QUANT."),"►►",IF(AND(COUNTIF($P$11:$AA$11,"▼")=0,H40&gt;0,I40=""),"◄",""))))</f>
        <v/>
      </c>
      <c r="K40" s="664"/>
      <c r="L40" s="166" t="s">
        <v>765</v>
      </c>
      <c r="M40" s="167">
        <f ca="1">IF($D40&lt;&gt;"Serviço","",
          IF(AUTOEVENTO="manual",$A40,
                IF(ISERROR(MATCH($A40,$A$15:OFFSET($A40,-1,0),0)),MAX($M$15:OFFSET(M40,-1,0))+1,
                      INDEX($M$15:OFFSET(M40,-1,0),MATCH($A40,$A$15:OFFSET($A40,-1,0),0)))))</f>
        <v>3</v>
      </c>
      <c r="N40" s="168" t="str">
        <f ca="1">IF($D40&lt;&gt;"Serviço","",
         IF(AUTOEVENTO="Manual",
                IF($A40=0,"&lt;-- defina o número do agrupador",
                       OFFSET(EVENTOS!$D$15,$A40-$A$15,0)),
                OFFSET($F$15,$A40,0)))</f>
        <v>PISOS E DRENAGEM</v>
      </c>
      <c r="O40" s="169"/>
      <c r="Q40" s="169">
        <v>12</v>
      </c>
      <c r="R40" s="170"/>
      <c r="S40" s="170"/>
      <c r="T40" s="170"/>
      <c r="U40" s="170"/>
      <c r="V40" s="170"/>
      <c r="W40" s="170"/>
      <c r="X40" s="170"/>
      <c r="Y40" s="170"/>
      <c r="Z40" s="171"/>
      <c r="AB40" s="454">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471.84</v>
      </c>
      <c r="AC40" s="454">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4">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4">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4">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4">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4">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4">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4">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4">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2">
        <f ca="1">IF(OR($D40&lt;&gt;"Serviço",AND(AUTOEVENTO="Manual",$M40=$A$15)),0,
         IF(OFFSET(CRONOPLE!$F$15,$M40-$A$15,AM$13)=0,10^12,OFFSET(CRONOPLE!$F$15,$M40-$A$15,AM$13)))</f>
        <v>1</v>
      </c>
      <c r="AN40" s="172">
        <f ca="1">IF(OR($D40&lt;&gt;"Serviço",AND(AUTOEVENTO="Manual",$M40=$A$15)),0,
         IF(OFFSET(CRONOPLE!$F$15,$M40-$A$15,AN$13)=0,10^12,OFFSET(CRONOPLE!$F$15,$M40-$A$15,AN$13)))</f>
        <v>1000000000000</v>
      </c>
      <c r="AO40" s="172">
        <f ca="1">IF(OR($D40&lt;&gt;"Serviço",AND(AUTOEVENTO="Manual",$M40=$A$15)),0,
         IF(OFFSET(CRONOPLE!$F$15,$M40-$A$15,AO$13)=0,10^12,OFFSET(CRONOPLE!$F$15,$M40-$A$15,AO$13)))</f>
        <v>1000000000000</v>
      </c>
      <c r="AP40" s="172">
        <f ca="1">IF(OR($D40&lt;&gt;"Serviço",AND(AUTOEVENTO="Manual",$M40=$A$15)),0,
         IF(OFFSET(CRONOPLE!$F$15,$M40-$A$15,AP$13)=0,10^12,OFFSET(CRONOPLE!$F$15,$M40-$A$15,AP$13)))</f>
        <v>1000000000000</v>
      </c>
      <c r="AQ40" s="172">
        <f ca="1">IF(OR($D40&lt;&gt;"Serviço",AND(AUTOEVENTO="Manual",$M40=$A$15)),0,
         IF(OFFSET(CRONOPLE!$F$15,$M40-$A$15,AQ$13)=0,10^12,OFFSET(CRONOPLE!$F$15,$M40-$A$15,AQ$13)))</f>
        <v>1000000000000</v>
      </c>
      <c r="AR40" s="172">
        <f ca="1">IF(OR($D40&lt;&gt;"Serviço",AND(AUTOEVENTO="Manual",$M40=$A$15)),0,
         IF(OFFSET(CRONOPLE!$F$15,$M40-$A$15,AR$13)=0,10^12,OFFSET(CRONOPLE!$F$15,$M40-$A$15,AR$13)))</f>
        <v>1000000000000</v>
      </c>
      <c r="AS40" s="172">
        <f ca="1">IF(OR($D40&lt;&gt;"Serviço",AND(AUTOEVENTO="Manual",$M40=$A$15)),0,
         IF(OFFSET(CRONOPLE!$F$15,$M40-$A$15,AS$13)=0,10^12,OFFSET(CRONOPLE!$F$15,$M40-$A$15,AS$13)))</f>
        <v>1000000000000</v>
      </c>
      <c r="AT40" s="172">
        <f ca="1">IF(OR($D40&lt;&gt;"Serviço",AND(AUTOEVENTO="Manual",$M40=$A$15)),0,
         IF(OFFSET(CRONOPLE!$F$15,$M40-$A$15,AT$13)=0,10^12,OFFSET(CRONOPLE!$F$15,$M40-$A$15,AT$13)))</f>
        <v>1000000000000</v>
      </c>
      <c r="AU40" s="172">
        <f ca="1">IF(OR($D40&lt;&gt;"Serviço",AND(AUTOEVENTO="Manual",$M40=$A$15)),0,
         IF(OFFSET(CRONOPLE!$F$15,$M40-$A$15,AU$13)=0,10^12,OFFSET(CRONOPLE!$F$15,$M40-$A$15,AU$13)))</f>
        <v>1000000000000</v>
      </c>
      <c r="AV40" s="172">
        <f ca="1">IF(OR($D40&lt;&gt;"Serviço",AND(AUTOEVENTO="Manual",$M40=$A$15)),0,
         IF(OFFSET(CRONOPLE!$F$15,$M40-$A$15,AV$13)=0,10^12,OFFSET(CRONOPLE!$F$15,$M40-$A$15,AV$13)))</f>
        <v>1000000000000</v>
      </c>
      <c r="AX40" s="173">
        <f ca="1">IF(OR($D40&lt;&gt;"Serviço",AND(AUTOEVENTO="Manual",$M40=$A$15),$M40&gt;(ROW(PLE.lastrow)-ROW(PLE.firstrow))),0,
           IF(OFFSET(PLE!$G$15,$M40-$A$15,AX$13)="",10^12,OFFSET(PLE!$G$15,$M40-$A$15,AX$13)))</f>
        <v>1000000000000</v>
      </c>
      <c r="AY40" s="173">
        <f ca="1">IF(OR($D40&lt;&gt;"Serviço",AND(AUTOEVENTO="Manual",$M40=$A$15),$M40&gt;(ROW(PLE.lastrow)-ROW(PLE.firstrow))),0,
           IF(OFFSET(PLE!$G$15,$M40-$A$15,AY$13)="",10^12,OFFSET(PLE!$G$15,$M40-$A$15,AY$13)))</f>
        <v>1000000000000</v>
      </c>
      <c r="AZ40" s="173">
        <f ca="1">IF(OR($D40&lt;&gt;"Serviço",AND(AUTOEVENTO="Manual",$M40=$A$15),$M40&gt;(ROW(PLE.lastrow)-ROW(PLE.firstrow))),0,
           IF(OFFSET(PLE!$G$15,$M40-$A$15,AZ$13)="",10^12,OFFSET(PLE!$G$15,$M40-$A$15,AZ$13)))</f>
        <v>1000000000000</v>
      </c>
      <c r="BA40" s="173">
        <f ca="1">IF(OR($D40&lt;&gt;"Serviço",AND(AUTOEVENTO="Manual",$M40=$A$15),$M40&gt;(ROW(PLE.lastrow)-ROW(PLE.firstrow))),0,
           IF(OFFSET(PLE!$G$15,$M40-$A$15,BA$13)="",10^12,OFFSET(PLE!$G$15,$M40-$A$15,BA$13)))</f>
        <v>1000000000000</v>
      </c>
      <c r="BB40" s="173">
        <f ca="1">IF(OR($D40&lt;&gt;"Serviço",AND(AUTOEVENTO="Manual",$M40=$A$15),$M40&gt;(ROW(PLE.lastrow)-ROW(PLE.firstrow))),0,
           IF(OFFSET(PLE!$G$15,$M40-$A$15,BB$13)="",10^12,OFFSET(PLE!$G$15,$M40-$A$15,BB$13)))</f>
        <v>1000000000000</v>
      </c>
      <c r="BC40" s="173">
        <f ca="1">IF(OR($D40&lt;&gt;"Serviço",AND(AUTOEVENTO="Manual",$M40=$A$15),$M40&gt;(ROW(PLE.lastrow)-ROW(PLE.firstrow))),0,
           IF(OFFSET(PLE!$G$15,$M40-$A$15,BC$13)="",10^12,OFFSET(PLE!$G$15,$M40-$A$15,BC$13)))</f>
        <v>1000000000000</v>
      </c>
      <c r="BD40" s="173">
        <f ca="1">IF(OR($D40&lt;&gt;"Serviço",AND(AUTOEVENTO="Manual",$M40=$A$15),$M40&gt;(ROW(PLE.lastrow)-ROW(PLE.firstrow))),0,
           IF(OFFSET(PLE!$G$15,$M40-$A$15,BD$13)="",10^12,OFFSET(PLE!$G$15,$M40-$A$15,BD$13)))</f>
        <v>1000000000000</v>
      </c>
      <c r="BE40" s="173">
        <f ca="1">IF(OR($D40&lt;&gt;"Serviço",AND(AUTOEVENTO="Manual",$M40=$A$15),$M40&gt;(ROW(PLE.lastrow)-ROW(PLE.firstrow))),0,
           IF(OFFSET(PLE!$G$15,$M40-$A$15,BE$13)="",10^12,OFFSET(PLE!$G$15,$M40-$A$15,BE$13)))</f>
        <v>1000000000000</v>
      </c>
      <c r="BF40" s="173">
        <f ca="1">IF(OR($D40&lt;&gt;"Serviço",AND(AUTOEVENTO="Manual",$M40=$A$15),$M40&gt;(ROW(PLE.lastrow)-ROW(PLE.firstrow))),0,
           IF(OFFSET(PLE!$G$15,$M40-$A$15,BF$13)="",10^12,OFFSET(PLE!$G$15,$M40-$A$15,BF$13)))</f>
        <v>1000000000000</v>
      </c>
      <c r="BG40" s="173">
        <f ca="1">IF(OR($D40&lt;&gt;"Serviço",AND(AUTOEVENTO="Manual",$M40=$A$15),$M40&gt;(ROW(PLE.lastrow)-ROW(PLE.firstrow))),0,
           IF(OFFSET(PLE!$G$15,$M40-$A$15,BG$13)="",10^12,OFFSET(PLE!$G$15,$M40-$A$15,BG$13)))</f>
        <v>1000000000000</v>
      </c>
    </row>
    <row r="41" spans="1:59" ht="12.75" x14ac:dyDescent="0.2">
      <c r="A41" s="7" t="str">
        <f t="shared" ca="1" si="9"/>
        <v>26.</v>
      </c>
      <c r="B41" s="7">
        <f ca="1">OFFSET(ORÇAMENTO!C$15,ROW(B41)-ROW(B$15),0)</f>
        <v>2</v>
      </c>
      <c r="C41" s="7" t="str">
        <f ca="1">OFFSET(ORÇAMENTO!L$15,ROW(C41)-ROW(C$15),0)</f>
        <v>F</v>
      </c>
      <c r="D41" s="117" t="str">
        <f ca="1">OFFSET(ORÇAMENTO!N$15,ROW(D41)-ROW(D$15),0)</f>
        <v>Nível 2</v>
      </c>
      <c r="E41" s="118" t="str">
        <f ca="1">OFFSET(ORÇAMENTO!O$15,ROW(E41)-ROW(E$15),0)</f>
        <v>1.4.</v>
      </c>
      <c r="F41" s="164" t="str">
        <f ca="1">OFFSET(ORÇAMENTO!R$15,ROW(F41)-ROW(F$15),0)</f>
        <v xml:space="preserve">PAREDES E MURROS </v>
      </c>
      <c r="G41" s="165" t="str">
        <f ca="1">IF($D41&lt;&gt;"Serviço","",OFFSET(ORÇAMENTO!S$15,ROW(G41)-ROW(G$15),0))</f>
        <v/>
      </c>
      <c r="H41" s="123">
        <f ca="1">IF($D41&lt;&gt;"Serviço",0,IF(ACOMPANHAMENTO="BM",ROUND(OFFSET(ORÇAMENTO!AJ$15,ROW(H41)-ROW(H$15),0),15-13*ORÇAMENTO!$AF$7),SUMPRODUCT(($Q$1:$AA$1=1)*ROUND($Q41:$AA41,15-13*ORÇAMENTO!$AF$7))))</f>
        <v>0</v>
      </c>
      <c r="I41" s="469"/>
      <c r="J41" s="663" t="str">
        <f ca="1">IF(OR(B41&lt;&gt;"S",CÁLCULO.FrentesPreenchidas=0),"",IF(AND(ACOMPANHAMENTO="PLE",AUTOEVENTO="Manual",OR(H41&gt;0,ORÇAMENTO!AC41="QUANT."),OR(K41="",M41=0,N41="")),"►",IF(AND(ACOMPANHAMENTO="PLE",ORÇAMENTO!AC41="QUANT."),"►►",IF(AND(COUNTIF($P$11:$AA$11,"▼")=0,H41&gt;0,I41=""),"◄",""))))</f>
        <v/>
      </c>
      <c r="K41" s="664"/>
      <c r="L41" s="166" t="s">
        <v>765</v>
      </c>
      <c r="M41" s="167" t="str">
        <f ca="1">IF($D41&lt;&gt;"Serviço","",
          IF(AUTOEVENTO="manual",$A41,
                IF(ISERROR(MATCH($A41,$A$15:OFFSET($A41,-1,0),0)),MAX($M$15:OFFSET(M41,-1,0))+1,
                      INDEX($M$15:OFFSET(M41,-1,0),MATCH($A41,$A$15:OFFSET($A41,-1,0),0)))))</f>
        <v/>
      </c>
      <c r="N41" s="168" t="str">
        <f ca="1">IF($D41&lt;&gt;"Serviço","",
         IF(AUTOEVENTO="Manual",
                IF($A41=0,"&lt;-- defina o número do agrupador",
                       OFFSET(EVENTOS!$D$15,$A41-$A$15,0)),
                OFFSET($F$15,$A41,0)))</f>
        <v/>
      </c>
      <c r="O41" s="169"/>
      <c r="Q41" s="169">
        <v>50</v>
      </c>
      <c r="R41" s="170"/>
      <c r="S41" s="170"/>
      <c r="T41" s="170"/>
      <c r="U41" s="170"/>
      <c r="V41" s="170"/>
      <c r="W41" s="170"/>
      <c r="X41" s="170"/>
      <c r="Y41" s="170"/>
      <c r="Z41" s="171"/>
      <c r="AB41" s="454">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4">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4">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4">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4">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4">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4">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4">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4">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4">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2">
        <f ca="1">IF(OR($D41&lt;&gt;"Serviço",AND(AUTOEVENTO="Manual",$M41=$A$15)),0,
         IF(OFFSET(CRONOPLE!$F$15,$M41-$A$15,AM$13)=0,10^12,OFFSET(CRONOPLE!$F$15,$M41-$A$15,AM$13)))</f>
        <v>0</v>
      </c>
      <c r="AN41" s="172">
        <f ca="1">IF(OR($D41&lt;&gt;"Serviço",AND(AUTOEVENTO="Manual",$M41=$A$15)),0,
         IF(OFFSET(CRONOPLE!$F$15,$M41-$A$15,AN$13)=0,10^12,OFFSET(CRONOPLE!$F$15,$M41-$A$15,AN$13)))</f>
        <v>0</v>
      </c>
      <c r="AO41" s="172">
        <f ca="1">IF(OR($D41&lt;&gt;"Serviço",AND(AUTOEVENTO="Manual",$M41=$A$15)),0,
         IF(OFFSET(CRONOPLE!$F$15,$M41-$A$15,AO$13)=0,10^12,OFFSET(CRONOPLE!$F$15,$M41-$A$15,AO$13)))</f>
        <v>0</v>
      </c>
      <c r="AP41" s="172">
        <f ca="1">IF(OR($D41&lt;&gt;"Serviço",AND(AUTOEVENTO="Manual",$M41=$A$15)),0,
         IF(OFFSET(CRONOPLE!$F$15,$M41-$A$15,AP$13)=0,10^12,OFFSET(CRONOPLE!$F$15,$M41-$A$15,AP$13)))</f>
        <v>0</v>
      </c>
      <c r="AQ41" s="172">
        <f ca="1">IF(OR($D41&lt;&gt;"Serviço",AND(AUTOEVENTO="Manual",$M41=$A$15)),0,
         IF(OFFSET(CRONOPLE!$F$15,$M41-$A$15,AQ$13)=0,10^12,OFFSET(CRONOPLE!$F$15,$M41-$A$15,AQ$13)))</f>
        <v>0</v>
      </c>
      <c r="AR41" s="172">
        <f ca="1">IF(OR($D41&lt;&gt;"Serviço",AND(AUTOEVENTO="Manual",$M41=$A$15)),0,
         IF(OFFSET(CRONOPLE!$F$15,$M41-$A$15,AR$13)=0,10^12,OFFSET(CRONOPLE!$F$15,$M41-$A$15,AR$13)))</f>
        <v>0</v>
      </c>
      <c r="AS41" s="172">
        <f ca="1">IF(OR($D41&lt;&gt;"Serviço",AND(AUTOEVENTO="Manual",$M41=$A$15)),0,
         IF(OFFSET(CRONOPLE!$F$15,$M41-$A$15,AS$13)=0,10^12,OFFSET(CRONOPLE!$F$15,$M41-$A$15,AS$13)))</f>
        <v>0</v>
      </c>
      <c r="AT41" s="172">
        <f ca="1">IF(OR($D41&lt;&gt;"Serviço",AND(AUTOEVENTO="Manual",$M41=$A$15)),0,
         IF(OFFSET(CRONOPLE!$F$15,$M41-$A$15,AT$13)=0,10^12,OFFSET(CRONOPLE!$F$15,$M41-$A$15,AT$13)))</f>
        <v>0</v>
      </c>
      <c r="AU41" s="172">
        <f ca="1">IF(OR($D41&lt;&gt;"Serviço",AND(AUTOEVENTO="Manual",$M41=$A$15)),0,
         IF(OFFSET(CRONOPLE!$F$15,$M41-$A$15,AU$13)=0,10^12,OFFSET(CRONOPLE!$F$15,$M41-$A$15,AU$13)))</f>
        <v>0</v>
      </c>
      <c r="AV41" s="172">
        <f ca="1">IF(OR($D41&lt;&gt;"Serviço",AND(AUTOEVENTO="Manual",$M41=$A$15)),0,
         IF(OFFSET(CRONOPLE!$F$15,$M41-$A$15,AV$13)=0,10^12,OFFSET(CRONOPLE!$F$15,$M41-$A$15,AV$13)))</f>
        <v>0</v>
      </c>
      <c r="AX41" s="173">
        <f ca="1">IF(OR($D41&lt;&gt;"Serviço",AND(AUTOEVENTO="Manual",$M41=$A$15),$M41&gt;(ROW(PLE.lastrow)-ROW(PLE.firstrow))),0,
           IF(OFFSET(PLE!$G$15,$M41-$A$15,AX$13)="",10^12,OFFSET(PLE!$G$15,$M41-$A$15,AX$13)))</f>
        <v>0</v>
      </c>
      <c r="AY41" s="173">
        <f ca="1">IF(OR($D41&lt;&gt;"Serviço",AND(AUTOEVENTO="Manual",$M41=$A$15),$M41&gt;(ROW(PLE.lastrow)-ROW(PLE.firstrow))),0,
           IF(OFFSET(PLE!$G$15,$M41-$A$15,AY$13)="",10^12,OFFSET(PLE!$G$15,$M41-$A$15,AY$13)))</f>
        <v>0</v>
      </c>
      <c r="AZ41" s="173">
        <f ca="1">IF(OR($D41&lt;&gt;"Serviço",AND(AUTOEVENTO="Manual",$M41=$A$15),$M41&gt;(ROW(PLE.lastrow)-ROW(PLE.firstrow))),0,
           IF(OFFSET(PLE!$G$15,$M41-$A$15,AZ$13)="",10^12,OFFSET(PLE!$G$15,$M41-$A$15,AZ$13)))</f>
        <v>0</v>
      </c>
      <c r="BA41" s="173">
        <f ca="1">IF(OR($D41&lt;&gt;"Serviço",AND(AUTOEVENTO="Manual",$M41=$A$15),$M41&gt;(ROW(PLE.lastrow)-ROW(PLE.firstrow))),0,
           IF(OFFSET(PLE!$G$15,$M41-$A$15,BA$13)="",10^12,OFFSET(PLE!$G$15,$M41-$A$15,BA$13)))</f>
        <v>0</v>
      </c>
      <c r="BB41" s="173">
        <f ca="1">IF(OR($D41&lt;&gt;"Serviço",AND(AUTOEVENTO="Manual",$M41=$A$15),$M41&gt;(ROW(PLE.lastrow)-ROW(PLE.firstrow))),0,
           IF(OFFSET(PLE!$G$15,$M41-$A$15,BB$13)="",10^12,OFFSET(PLE!$G$15,$M41-$A$15,BB$13)))</f>
        <v>0</v>
      </c>
      <c r="BC41" s="173">
        <f ca="1">IF(OR($D41&lt;&gt;"Serviço",AND(AUTOEVENTO="Manual",$M41=$A$15),$M41&gt;(ROW(PLE.lastrow)-ROW(PLE.firstrow))),0,
           IF(OFFSET(PLE!$G$15,$M41-$A$15,BC$13)="",10^12,OFFSET(PLE!$G$15,$M41-$A$15,BC$13)))</f>
        <v>0</v>
      </c>
      <c r="BD41" s="173">
        <f ca="1">IF(OR($D41&lt;&gt;"Serviço",AND(AUTOEVENTO="Manual",$M41=$A$15),$M41&gt;(ROW(PLE.lastrow)-ROW(PLE.firstrow))),0,
           IF(OFFSET(PLE!$G$15,$M41-$A$15,BD$13)="",10^12,OFFSET(PLE!$G$15,$M41-$A$15,BD$13)))</f>
        <v>0</v>
      </c>
      <c r="BE41" s="173">
        <f ca="1">IF(OR($D41&lt;&gt;"Serviço",AND(AUTOEVENTO="Manual",$M41=$A$15),$M41&gt;(ROW(PLE.lastrow)-ROW(PLE.firstrow))),0,
           IF(OFFSET(PLE!$G$15,$M41-$A$15,BE$13)="",10^12,OFFSET(PLE!$G$15,$M41-$A$15,BE$13)))</f>
        <v>0</v>
      </c>
      <c r="BF41" s="173">
        <f ca="1">IF(OR($D41&lt;&gt;"Serviço",AND(AUTOEVENTO="Manual",$M41=$A$15),$M41&gt;(ROW(PLE.lastrow)-ROW(PLE.firstrow))),0,
           IF(OFFSET(PLE!$G$15,$M41-$A$15,BF$13)="",10^12,OFFSET(PLE!$G$15,$M41-$A$15,BF$13)))</f>
        <v>0</v>
      </c>
      <c r="BG41" s="173">
        <f ca="1">IF(OR($D41&lt;&gt;"Serviço",AND(AUTOEVENTO="Manual",$M41=$A$15),$M41&gt;(ROW(PLE.lastrow)-ROW(PLE.firstrow))),0,
           IF(OFFSET(PLE!$G$15,$M41-$A$15,BG$13)="",10^12,OFFSET(PLE!$G$15,$M41-$A$15,BG$13)))</f>
        <v>0</v>
      </c>
    </row>
    <row r="42" spans="1:59" ht="25.5" x14ac:dyDescent="0.2">
      <c r="A42" s="7" t="str">
        <f t="shared" ca="1" si="9"/>
        <v>26</v>
      </c>
      <c r="B42" s="7" t="str">
        <f ca="1">OFFSET(ORÇAMENTO!C$15,ROW(B42)-ROW(B$15),0)</f>
        <v>S</v>
      </c>
      <c r="C42" s="7" t="str">
        <f ca="1">OFFSET(ORÇAMENTO!L$15,ROW(C42)-ROW(C$15),0)</f>
        <v>F</v>
      </c>
      <c r="D42" s="117" t="str">
        <f ca="1">OFFSET(ORÇAMENTO!N$15,ROW(D42)-ROW(D$15),0)</f>
        <v>Serviço</v>
      </c>
      <c r="E42" s="118" t="str">
        <f ca="1">OFFSET(ORÇAMENTO!O$15,ROW(E42)-ROW(E$15),0)</f>
        <v>1.4.1.</v>
      </c>
      <c r="F42" s="164" t="str">
        <f ca="1">OFFSET(ORÇAMENTO!R$15,ROW(F42)-ROW(F$15),0)</f>
        <v>PINTURA LÁTEX ACRÍLICA PREMIUM, APLICAÇÃO MANUAL EM PAREDES, DUAS DEMÃOS. AF_04/2023</v>
      </c>
      <c r="G42" s="165" t="str">
        <f ca="1">IF($D42&lt;&gt;"Serviço","",OFFSET(ORÇAMENTO!S$15,ROW(G42)-ROW(G$15),0))</f>
        <v>M2</v>
      </c>
      <c r="H42" s="123">
        <f ca="1">IF($D42&lt;&gt;"Serviço",0,IF(ACOMPANHAMENTO="BM",ROUND(OFFSET(ORÇAMENTO!AJ$15,ROW(H42)-ROW(H$15),0),15-13*ORÇAMENTO!$AF$7),SUMPRODUCT(($Q$1:$AA$1=1)*ROUND($Q42:$AA42,15-13*ORÇAMENTO!$AF$7))))</f>
        <v>590</v>
      </c>
      <c r="I42" s="469" t="s">
        <v>989</v>
      </c>
      <c r="J42" s="663" t="str">
        <f ca="1">IF(OR(B42&lt;&gt;"S",CÁLCULO.FrentesPreenchidas=0),"",IF(AND(ACOMPANHAMENTO="PLE",AUTOEVENTO="Manual",OR(H42&gt;0,ORÇAMENTO!AC42="QUANT."),OR(K42="",M42=0,N42="")),"►",IF(AND(ACOMPANHAMENTO="PLE",ORÇAMENTO!AC42="QUANT."),"►►",IF(AND(COUNTIF($P$11:$AA$11,"▼")=0,H42&gt;0,I42=""),"◄",""))))</f>
        <v/>
      </c>
      <c r="K42" s="664"/>
      <c r="L42" s="166" t="s">
        <v>765</v>
      </c>
      <c r="M42" s="167">
        <f ca="1">IF($D42&lt;&gt;"Serviço","",
          IF(AUTOEVENTO="manual",$A42,
                IF(ISERROR(MATCH($A42,$A$15:OFFSET($A42,-1,0),0)),MAX($M$15:OFFSET(M42,-1,0))+1,
                      INDEX($M$15:OFFSET(M42,-1,0),MATCH($A42,$A$15:OFFSET($A42,-1,0),0)))))</f>
        <v>4</v>
      </c>
      <c r="N42" s="168" t="str">
        <f ca="1">IF($D42&lt;&gt;"Serviço","",
         IF(AUTOEVENTO="Manual",
                IF($A42=0,"&lt;-- defina o número do agrupador",
                       OFFSET(EVENTOS!$D$15,$A42-$A$15,0)),
                OFFSET($F$15,$A42,0)))</f>
        <v xml:space="preserve">PAREDES E MURROS </v>
      </c>
      <c r="O42" s="169"/>
      <c r="Q42" s="169">
        <v>590</v>
      </c>
      <c r="R42" s="170"/>
      <c r="S42" s="170"/>
      <c r="T42" s="170"/>
      <c r="U42" s="170"/>
      <c r="V42" s="170"/>
      <c r="W42" s="170"/>
      <c r="X42" s="170"/>
      <c r="Y42" s="170"/>
      <c r="Z42" s="171"/>
      <c r="AB42" s="454">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9422.2999999999993</v>
      </c>
      <c r="AC42" s="454">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4">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4">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4">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4">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4">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4">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4">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4">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2">
        <f ca="1">IF(OR($D42&lt;&gt;"Serviço",AND(AUTOEVENTO="Manual",$M42=$A$15)),0,
         IF(OFFSET(CRONOPLE!$F$15,$M42-$A$15,AM$13)=0,10^12,OFFSET(CRONOPLE!$F$15,$M42-$A$15,AM$13)))</f>
        <v>3</v>
      </c>
      <c r="AN42" s="172">
        <f ca="1">IF(OR($D42&lt;&gt;"Serviço",AND(AUTOEVENTO="Manual",$M42=$A$15)),0,
         IF(OFFSET(CRONOPLE!$F$15,$M42-$A$15,AN$13)=0,10^12,OFFSET(CRONOPLE!$F$15,$M42-$A$15,AN$13)))</f>
        <v>1000000000000</v>
      </c>
      <c r="AO42" s="172">
        <f ca="1">IF(OR($D42&lt;&gt;"Serviço",AND(AUTOEVENTO="Manual",$M42=$A$15)),0,
         IF(OFFSET(CRONOPLE!$F$15,$M42-$A$15,AO$13)=0,10^12,OFFSET(CRONOPLE!$F$15,$M42-$A$15,AO$13)))</f>
        <v>1000000000000</v>
      </c>
      <c r="AP42" s="172">
        <f ca="1">IF(OR($D42&lt;&gt;"Serviço",AND(AUTOEVENTO="Manual",$M42=$A$15)),0,
         IF(OFFSET(CRONOPLE!$F$15,$M42-$A$15,AP$13)=0,10^12,OFFSET(CRONOPLE!$F$15,$M42-$A$15,AP$13)))</f>
        <v>1000000000000</v>
      </c>
      <c r="AQ42" s="172">
        <f ca="1">IF(OR($D42&lt;&gt;"Serviço",AND(AUTOEVENTO="Manual",$M42=$A$15)),0,
         IF(OFFSET(CRONOPLE!$F$15,$M42-$A$15,AQ$13)=0,10^12,OFFSET(CRONOPLE!$F$15,$M42-$A$15,AQ$13)))</f>
        <v>1000000000000</v>
      </c>
      <c r="AR42" s="172">
        <f ca="1">IF(OR($D42&lt;&gt;"Serviço",AND(AUTOEVENTO="Manual",$M42=$A$15)),0,
         IF(OFFSET(CRONOPLE!$F$15,$M42-$A$15,AR$13)=0,10^12,OFFSET(CRONOPLE!$F$15,$M42-$A$15,AR$13)))</f>
        <v>1000000000000</v>
      </c>
      <c r="AS42" s="172">
        <f ca="1">IF(OR($D42&lt;&gt;"Serviço",AND(AUTOEVENTO="Manual",$M42=$A$15)),0,
         IF(OFFSET(CRONOPLE!$F$15,$M42-$A$15,AS$13)=0,10^12,OFFSET(CRONOPLE!$F$15,$M42-$A$15,AS$13)))</f>
        <v>1000000000000</v>
      </c>
      <c r="AT42" s="172">
        <f ca="1">IF(OR($D42&lt;&gt;"Serviço",AND(AUTOEVENTO="Manual",$M42=$A$15)),0,
         IF(OFFSET(CRONOPLE!$F$15,$M42-$A$15,AT$13)=0,10^12,OFFSET(CRONOPLE!$F$15,$M42-$A$15,AT$13)))</f>
        <v>1000000000000</v>
      </c>
      <c r="AU42" s="172">
        <f ca="1">IF(OR($D42&lt;&gt;"Serviço",AND(AUTOEVENTO="Manual",$M42=$A$15)),0,
         IF(OFFSET(CRONOPLE!$F$15,$M42-$A$15,AU$13)=0,10^12,OFFSET(CRONOPLE!$F$15,$M42-$A$15,AU$13)))</f>
        <v>1000000000000</v>
      </c>
      <c r="AV42" s="172">
        <f ca="1">IF(OR($D42&lt;&gt;"Serviço",AND(AUTOEVENTO="Manual",$M42=$A$15)),0,
         IF(OFFSET(CRONOPLE!$F$15,$M42-$A$15,AV$13)=0,10^12,OFFSET(CRONOPLE!$F$15,$M42-$A$15,AV$13)))</f>
        <v>1000000000000</v>
      </c>
      <c r="AX42" s="173">
        <f ca="1">IF(OR($D42&lt;&gt;"Serviço",AND(AUTOEVENTO="Manual",$M42=$A$15),$M42&gt;(ROW(PLE.lastrow)-ROW(PLE.firstrow))),0,
           IF(OFFSET(PLE!$G$15,$M42-$A$15,AX$13)="",10^12,OFFSET(PLE!$G$15,$M42-$A$15,AX$13)))</f>
        <v>1000000000000</v>
      </c>
      <c r="AY42" s="173">
        <f ca="1">IF(OR($D42&lt;&gt;"Serviço",AND(AUTOEVENTO="Manual",$M42=$A$15),$M42&gt;(ROW(PLE.lastrow)-ROW(PLE.firstrow))),0,
           IF(OFFSET(PLE!$G$15,$M42-$A$15,AY$13)="",10^12,OFFSET(PLE!$G$15,$M42-$A$15,AY$13)))</f>
        <v>1000000000000</v>
      </c>
      <c r="AZ42" s="173">
        <f ca="1">IF(OR($D42&lt;&gt;"Serviço",AND(AUTOEVENTO="Manual",$M42=$A$15),$M42&gt;(ROW(PLE.lastrow)-ROW(PLE.firstrow))),0,
           IF(OFFSET(PLE!$G$15,$M42-$A$15,AZ$13)="",10^12,OFFSET(PLE!$G$15,$M42-$A$15,AZ$13)))</f>
        <v>1000000000000</v>
      </c>
      <c r="BA42" s="173">
        <f ca="1">IF(OR($D42&lt;&gt;"Serviço",AND(AUTOEVENTO="Manual",$M42=$A$15),$M42&gt;(ROW(PLE.lastrow)-ROW(PLE.firstrow))),0,
           IF(OFFSET(PLE!$G$15,$M42-$A$15,BA$13)="",10^12,OFFSET(PLE!$G$15,$M42-$A$15,BA$13)))</f>
        <v>1000000000000</v>
      </c>
      <c r="BB42" s="173">
        <f ca="1">IF(OR($D42&lt;&gt;"Serviço",AND(AUTOEVENTO="Manual",$M42=$A$15),$M42&gt;(ROW(PLE.lastrow)-ROW(PLE.firstrow))),0,
           IF(OFFSET(PLE!$G$15,$M42-$A$15,BB$13)="",10^12,OFFSET(PLE!$G$15,$M42-$A$15,BB$13)))</f>
        <v>1000000000000</v>
      </c>
      <c r="BC42" s="173">
        <f ca="1">IF(OR($D42&lt;&gt;"Serviço",AND(AUTOEVENTO="Manual",$M42=$A$15),$M42&gt;(ROW(PLE.lastrow)-ROW(PLE.firstrow))),0,
           IF(OFFSET(PLE!$G$15,$M42-$A$15,BC$13)="",10^12,OFFSET(PLE!$G$15,$M42-$A$15,BC$13)))</f>
        <v>1000000000000</v>
      </c>
      <c r="BD42" s="173">
        <f ca="1">IF(OR($D42&lt;&gt;"Serviço",AND(AUTOEVENTO="Manual",$M42=$A$15),$M42&gt;(ROW(PLE.lastrow)-ROW(PLE.firstrow))),0,
           IF(OFFSET(PLE!$G$15,$M42-$A$15,BD$13)="",10^12,OFFSET(PLE!$G$15,$M42-$A$15,BD$13)))</f>
        <v>1000000000000</v>
      </c>
      <c r="BE42" s="173">
        <f ca="1">IF(OR($D42&lt;&gt;"Serviço",AND(AUTOEVENTO="Manual",$M42=$A$15),$M42&gt;(ROW(PLE.lastrow)-ROW(PLE.firstrow))),0,
           IF(OFFSET(PLE!$G$15,$M42-$A$15,BE$13)="",10^12,OFFSET(PLE!$G$15,$M42-$A$15,BE$13)))</f>
        <v>1000000000000</v>
      </c>
      <c r="BF42" s="173">
        <f ca="1">IF(OR($D42&lt;&gt;"Serviço",AND(AUTOEVENTO="Manual",$M42=$A$15),$M42&gt;(ROW(PLE.lastrow)-ROW(PLE.firstrow))),0,
           IF(OFFSET(PLE!$G$15,$M42-$A$15,BF$13)="",10^12,OFFSET(PLE!$G$15,$M42-$A$15,BF$13)))</f>
        <v>1000000000000</v>
      </c>
      <c r="BG42" s="173">
        <f ca="1">IF(OR($D42&lt;&gt;"Serviço",AND(AUTOEVENTO="Manual",$M42=$A$15),$M42&gt;(ROW(PLE.lastrow)-ROW(PLE.firstrow))),0,
           IF(OFFSET(PLE!$G$15,$M42-$A$15,BG$13)="",10^12,OFFSET(PLE!$G$15,$M42-$A$15,BG$13)))</f>
        <v>1000000000000</v>
      </c>
    </row>
    <row r="43" spans="1:59" ht="25.5" x14ac:dyDescent="0.2">
      <c r="A43" s="7" t="str">
        <f t="shared" ca="1" si="9"/>
        <v>26</v>
      </c>
      <c r="B43" s="7" t="str">
        <f ca="1">OFFSET(ORÇAMENTO!C$15,ROW(B43)-ROW(B$15),0)</f>
        <v>S</v>
      </c>
      <c r="C43" s="7" t="str">
        <f ca="1">OFFSET(ORÇAMENTO!L$15,ROW(C43)-ROW(C$15),0)</f>
        <v>F</v>
      </c>
      <c r="D43" s="117" t="str">
        <f ca="1">OFFSET(ORÇAMENTO!N$15,ROW(D43)-ROW(D$15),0)</f>
        <v>Serviço</v>
      </c>
      <c r="E43" s="118" t="str">
        <f ca="1">OFFSET(ORÇAMENTO!O$15,ROW(E43)-ROW(E$15),0)</f>
        <v>1.4.2.</v>
      </c>
      <c r="F43" s="164" t="str">
        <f ca="1">OFFSET(ORÇAMENTO!R$15,ROW(F43)-ROW(F$15),0)</f>
        <v>APLICAÇÃO MANUAL DE FUNDO SELADOR ACRÍLICO EM PAREDES EXTERNAS DE CASAS. AF_03/2024</v>
      </c>
      <c r="G43" s="165" t="str">
        <f ca="1">IF($D43&lt;&gt;"Serviço","",OFFSET(ORÇAMENTO!S$15,ROW(G43)-ROW(G$15),0))</f>
        <v>M2</v>
      </c>
      <c r="H43" s="123">
        <f ca="1">IF($D43&lt;&gt;"Serviço",0,IF(ACOMPANHAMENTO="BM",ROUND(OFFSET(ORÇAMENTO!AJ$15,ROW(H43)-ROW(H$15),0),15-13*ORÇAMENTO!$AF$7),SUMPRODUCT(($Q$1:$AA$1=1)*ROUND($Q43:$AA43,15-13*ORÇAMENTO!$AF$7))))</f>
        <v>7</v>
      </c>
      <c r="I43" s="469" t="s">
        <v>975</v>
      </c>
      <c r="J43" s="663" t="str">
        <f ca="1">IF(OR(B43&lt;&gt;"S",CÁLCULO.FrentesPreenchidas=0),"",IF(AND(ACOMPANHAMENTO="PLE",AUTOEVENTO="Manual",OR(H43&gt;0,ORÇAMENTO!AC43="QUANT."),OR(K43="",M43=0,N43="")),"►",IF(AND(ACOMPANHAMENTO="PLE",ORÇAMENTO!AC43="QUANT."),"►►",IF(AND(COUNTIF($P$11:$AA$11,"▼")=0,H43&gt;0,I43=""),"◄",""))))</f>
        <v/>
      </c>
      <c r="K43" s="664"/>
      <c r="L43" s="166" t="s">
        <v>765</v>
      </c>
      <c r="M43" s="167">
        <f ca="1">IF($D43&lt;&gt;"Serviço","",
          IF(AUTOEVENTO="manual",$A43,
                IF(ISERROR(MATCH($A43,$A$15:OFFSET($A43,-1,0),0)),MAX($M$15:OFFSET(M43,-1,0))+1,
                      INDEX($M$15:OFFSET(M43,-1,0),MATCH($A43,$A$15:OFFSET($A43,-1,0),0)))))</f>
        <v>4</v>
      </c>
      <c r="N43" s="168" t="str">
        <f ca="1">IF($D43&lt;&gt;"Serviço","",
         IF(AUTOEVENTO="Manual",
                IF($A43=0,"&lt;-- defina o número do agrupador",
                       OFFSET(EVENTOS!$D$15,$A43-$A$15,0)),
                OFFSET($F$15,$A43,0)))</f>
        <v xml:space="preserve">PAREDES E MURROS </v>
      </c>
      <c r="O43" s="169"/>
      <c r="Q43" s="169">
        <v>7</v>
      </c>
      <c r="R43" s="170"/>
      <c r="S43" s="170"/>
      <c r="T43" s="170"/>
      <c r="U43" s="170"/>
      <c r="V43" s="170"/>
      <c r="W43" s="170"/>
      <c r="X43" s="170"/>
      <c r="Y43" s="170"/>
      <c r="Z43" s="171"/>
      <c r="AB43" s="454">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36.54</v>
      </c>
      <c r="AC43" s="454">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4">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4">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4">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4">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4">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4">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4">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4">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2">
        <f ca="1">IF(OR($D43&lt;&gt;"Serviço",AND(AUTOEVENTO="Manual",$M43=$A$15)),0,
         IF(OFFSET(CRONOPLE!$F$15,$M43-$A$15,AM$13)=0,10^12,OFFSET(CRONOPLE!$F$15,$M43-$A$15,AM$13)))</f>
        <v>3</v>
      </c>
      <c r="AN43" s="172">
        <f ca="1">IF(OR($D43&lt;&gt;"Serviço",AND(AUTOEVENTO="Manual",$M43=$A$15)),0,
         IF(OFFSET(CRONOPLE!$F$15,$M43-$A$15,AN$13)=0,10^12,OFFSET(CRONOPLE!$F$15,$M43-$A$15,AN$13)))</f>
        <v>1000000000000</v>
      </c>
      <c r="AO43" s="172">
        <f ca="1">IF(OR($D43&lt;&gt;"Serviço",AND(AUTOEVENTO="Manual",$M43=$A$15)),0,
         IF(OFFSET(CRONOPLE!$F$15,$M43-$A$15,AO$13)=0,10^12,OFFSET(CRONOPLE!$F$15,$M43-$A$15,AO$13)))</f>
        <v>1000000000000</v>
      </c>
      <c r="AP43" s="172">
        <f ca="1">IF(OR($D43&lt;&gt;"Serviço",AND(AUTOEVENTO="Manual",$M43=$A$15)),0,
         IF(OFFSET(CRONOPLE!$F$15,$M43-$A$15,AP$13)=0,10^12,OFFSET(CRONOPLE!$F$15,$M43-$A$15,AP$13)))</f>
        <v>1000000000000</v>
      </c>
      <c r="AQ43" s="172">
        <f ca="1">IF(OR($D43&lt;&gt;"Serviço",AND(AUTOEVENTO="Manual",$M43=$A$15)),0,
         IF(OFFSET(CRONOPLE!$F$15,$M43-$A$15,AQ$13)=0,10^12,OFFSET(CRONOPLE!$F$15,$M43-$A$15,AQ$13)))</f>
        <v>1000000000000</v>
      </c>
      <c r="AR43" s="172">
        <f ca="1">IF(OR($D43&lt;&gt;"Serviço",AND(AUTOEVENTO="Manual",$M43=$A$15)),0,
         IF(OFFSET(CRONOPLE!$F$15,$M43-$A$15,AR$13)=0,10^12,OFFSET(CRONOPLE!$F$15,$M43-$A$15,AR$13)))</f>
        <v>1000000000000</v>
      </c>
      <c r="AS43" s="172">
        <f ca="1">IF(OR($D43&lt;&gt;"Serviço",AND(AUTOEVENTO="Manual",$M43=$A$15)),0,
         IF(OFFSET(CRONOPLE!$F$15,$M43-$A$15,AS$13)=0,10^12,OFFSET(CRONOPLE!$F$15,$M43-$A$15,AS$13)))</f>
        <v>1000000000000</v>
      </c>
      <c r="AT43" s="172">
        <f ca="1">IF(OR($D43&lt;&gt;"Serviço",AND(AUTOEVENTO="Manual",$M43=$A$15)),0,
         IF(OFFSET(CRONOPLE!$F$15,$M43-$A$15,AT$13)=0,10^12,OFFSET(CRONOPLE!$F$15,$M43-$A$15,AT$13)))</f>
        <v>1000000000000</v>
      </c>
      <c r="AU43" s="172">
        <f ca="1">IF(OR($D43&lt;&gt;"Serviço",AND(AUTOEVENTO="Manual",$M43=$A$15)),0,
         IF(OFFSET(CRONOPLE!$F$15,$M43-$A$15,AU$13)=0,10^12,OFFSET(CRONOPLE!$F$15,$M43-$A$15,AU$13)))</f>
        <v>1000000000000</v>
      </c>
      <c r="AV43" s="172">
        <f ca="1">IF(OR($D43&lt;&gt;"Serviço",AND(AUTOEVENTO="Manual",$M43=$A$15)),0,
         IF(OFFSET(CRONOPLE!$F$15,$M43-$A$15,AV$13)=0,10^12,OFFSET(CRONOPLE!$F$15,$M43-$A$15,AV$13)))</f>
        <v>1000000000000</v>
      </c>
      <c r="AX43" s="173">
        <f ca="1">IF(OR($D43&lt;&gt;"Serviço",AND(AUTOEVENTO="Manual",$M43=$A$15),$M43&gt;(ROW(PLE.lastrow)-ROW(PLE.firstrow))),0,
           IF(OFFSET(PLE!$G$15,$M43-$A$15,AX$13)="",10^12,OFFSET(PLE!$G$15,$M43-$A$15,AX$13)))</f>
        <v>1000000000000</v>
      </c>
      <c r="AY43" s="173">
        <f ca="1">IF(OR($D43&lt;&gt;"Serviço",AND(AUTOEVENTO="Manual",$M43=$A$15),$M43&gt;(ROW(PLE.lastrow)-ROW(PLE.firstrow))),0,
           IF(OFFSET(PLE!$G$15,$M43-$A$15,AY$13)="",10^12,OFFSET(PLE!$G$15,$M43-$A$15,AY$13)))</f>
        <v>1000000000000</v>
      </c>
      <c r="AZ43" s="173">
        <f ca="1">IF(OR($D43&lt;&gt;"Serviço",AND(AUTOEVENTO="Manual",$M43=$A$15),$M43&gt;(ROW(PLE.lastrow)-ROW(PLE.firstrow))),0,
           IF(OFFSET(PLE!$G$15,$M43-$A$15,AZ$13)="",10^12,OFFSET(PLE!$G$15,$M43-$A$15,AZ$13)))</f>
        <v>1000000000000</v>
      </c>
      <c r="BA43" s="173">
        <f ca="1">IF(OR($D43&lt;&gt;"Serviço",AND(AUTOEVENTO="Manual",$M43=$A$15),$M43&gt;(ROW(PLE.lastrow)-ROW(PLE.firstrow))),0,
           IF(OFFSET(PLE!$G$15,$M43-$A$15,BA$13)="",10^12,OFFSET(PLE!$G$15,$M43-$A$15,BA$13)))</f>
        <v>1000000000000</v>
      </c>
      <c r="BB43" s="173">
        <f ca="1">IF(OR($D43&lt;&gt;"Serviço",AND(AUTOEVENTO="Manual",$M43=$A$15),$M43&gt;(ROW(PLE.lastrow)-ROW(PLE.firstrow))),0,
           IF(OFFSET(PLE!$G$15,$M43-$A$15,BB$13)="",10^12,OFFSET(PLE!$G$15,$M43-$A$15,BB$13)))</f>
        <v>1000000000000</v>
      </c>
      <c r="BC43" s="173">
        <f ca="1">IF(OR($D43&lt;&gt;"Serviço",AND(AUTOEVENTO="Manual",$M43=$A$15),$M43&gt;(ROW(PLE.lastrow)-ROW(PLE.firstrow))),0,
           IF(OFFSET(PLE!$G$15,$M43-$A$15,BC$13)="",10^12,OFFSET(PLE!$G$15,$M43-$A$15,BC$13)))</f>
        <v>1000000000000</v>
      </c>
      <c r="BD43" s="173">
        <f ca="1">IF(OR($D43&lt;&gt;"Serviço",AND(AUTOEVENTO="Manual",$M43=$A$15),$M43&gt;(ROW(PLE.lastrow)-ROW(PLE.firstrow))),0,
           IF(OFFSET(PLE!$G$15,$M43-$A$15,BD$13)="",10^12,OFFSET(PLE!$G$15,$M43-$A$15,BD$13)))</f>
        <v>1000000000000</v>
      </c>
      <c r="BE43" s="173">
        <f ca="1">IF(OR($D43&lt;&gt;"Serviço",AND(AUTOEVENTO="Manual",$M43=$A$15),$M43&gt;(ROW(PLE.lastrow)-ROW(PLE.firstrow))),0,
           IF(OFFSET(PLE!$G$15,$M43-$A$15,BE$13)="",10^12,OFFSET(PLE!$G$15,$M43-$A$15,BE$13)))</f>
        <v>1000000000000</v>
      </c>
      <c r="BF43" s="173">
        <f ca="1">IF(OR($D43&lt;&gt;"Serviço",AND(AUTOEVENTO="Manual",$M43=$A$15),$M43&gt;(ROW(PLE.lastrow)-ROW(PLE.firstrow))),0,
           IF(OFFSET(PLE!$G$15,$M43-$A$15,BF$13)="",10^12,OFFSET(PLE!$G$15,$M43-$A$15,BF$13)))</f>
        <v>1000000000000</v>
      </c>
      <c r="BG43" s="173">
        <f ca="1">IF(OR($D43&lt;&gt;"Serviço",AND(AUTOEVENTO="Manual",$M43=$A$15),$M43&gt;(ROW(PLE.lastrow)-ROW(PLE.firstrow))),0,
           IF(OFFSET(PLE!$G$15,$M43-$A$15,BG$13)="",10^12,OFFSET(PLE!$G$15,$M43-$A$15,BG$13)))</f>
        <v>1000000000000</v>
      </c>
    </row>
    <row r="44" spans="1:59" ht="12.75" x14ac:dyDescent="0.2">
      <c r="A44" s="7" t="str">
        <f t="shared" ca="1" si="9"/>
        <v>26</v>
      </c>
      <c r="B44" s="7" t="str">
        <f ca="1">OFFSET(ORÇAMENTO!C$15,ROW(B44)-ROW(B$15),0)</f>
        <v>S</v>
      </c>
      <c r="C44" s="7" t="str">
        <f ca="1">OFFSET(ORÇAMENTO!L$15,ROW(C44)-ROW(C$15),0)</f>
        <v>F</v>
      </c>
      <c r="D44" s="117" t="str">
        <f ca="1">OFFSET(ORÇAMENTO!N$15,ROW(D44)-ROW(D$15),0)</f>
        <v>Serviço</v>
      </c>
      <c r="E44" s="118" t="str">
        <f ca="1">OFFSET(ORÇAMENTO!O$15,ROW(E44)-ROW(E$15),0)</f>
        <v>1.4.3.</v>
      </c>
      <c r="F44" s="164" t="str">
        <f ca="1">OFFSET(ORÇAMENTO!R$15,ROW(F44)-ROW(F$15),0)</f>
        <v>PINTOR COM ENCARGOS COMPLEMENTARES</v>
      </c>
      <c r="G44" s="165" t="str">
        <f ca="1">IF($D44&lt;&gt;"Serviço","",OFFSET(ORÇAMENTO!S$15,ROW(G44)-ROW(G$15),0))</f>
        <v>H</v>
      </c>
      <c r="H44" s="123">
        <f ca="1">IF($D44&lt;&gt;"Serviço",0,IF(ACOMPANHAMENTO="BM",ROUND(OFFSET(ORÇAMENTO!AJ$15,ROW(H44)-ROW(H$15),0),15-13*ORÇAMENTO!$AF$7),SUMPRODUCT(($Q$1:$AA$1=1)*ROUND($Q44:$AA44,15-13*ORÇAMENTO!$AF$7))))</f>
        <v>80</v>
      </c>
      <c r="I44" s="469" t="s">
        <v>997</v>
      </c>
      <c r="J44" s="663" t="str">
        <f ca="1">IF(OR(B44&lt;&gt;"S",CÁLCULO.FrentesPreenchidas=0),"",IF(AND(ACOMPANHAMENTO="PLE",AUTOEVENTO="Manual",OR(H44&gt;0,ORÇAMENTO!AC44="QUANT."),OR(K44="",M44=0,N44="")),"►",IF(AND(ACOMPANHAMENTO="PLE",ORÇAMENTO!AC44="QUANT."),"►►",IF(AND(COUNTIF($P$11:$AA$11,"▼")=0,H44&gt;0,I44=""),"◄",""))))</f>
        <v/>
      </c>
      <c r="K44" s="664"/>
      <c r="L44" s="166" t="s">
        <v>765</v>
      </c>
      <c r="M44" s="167">
        <f ca="1">IF($D44&lt;&gt;"Serviço","",
          IF(AUTOEVENTO="manual",$A44,
                IF(ISERROR(MATCH($A44,$A$15:OFFSET($A44,-1,0),0)),MAX($M$15:OFFSET(M44,-1,0))+1,
                      INDEX($M$15:OFFSET(M44,-1,0),MATCH($A44,$A$15:OFFSET($A44,-1,0),0)))))</f>
        <v>4</v>
      </c>
      <c r="N44" s="168" t="str">
        <f ca="1">IF($D44&lt;&gt;"Serviço","",
         IF(AUTOEVENTO="Manual",
                IF($A44=0,"&lt;-- defina o número do agrupador",
                       OFFSET(EVENTOS!$D$15,$A44-$A$15,0)),
                OFFSET($F$15,$A44,0)))</f>
        <v xml:space="preserve">PAREDES E MURROS </v>
      </c>
      <c r="O44" s="169"/>
      <c r="Q44" s="169">
        <v>80</v>
      </c>
      <c r="R44" s="170"/>
      <c r="S44" s="170"/>
      <c r="T44" s="170"/>
      <c r="U44" s="170"/>
      <c r="V44" s="170"/>
      <c r="W44" s="170"/>
      <c r="X44" s="170"/>
      <c r="Y44" s="170"/>
      <c r="Z44" s="171"/>
      <c r="AB44" s="454">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2840</v>
      </c>
      <c r="AC44" s="454">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4">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4">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4">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4">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4">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4">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4">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4">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2">
        <f ca="1">IF(OR($D44&lt;&gt;"Serviço",AND(AUTOEVENTO="Manual",$M44=$A$15)),0,
         IF(OFFSET(CRONOPLE!$F$15,$M44-$A$15,AM$13)=0,10^12,OFFSET(CRONOPLE!$F$15,$M44-$A$15,AM$13)))</f>
        <v>3</v>
      </c>
      <c r="AN44" s="172">
        <f ca="1">IF(OR($D44&lt;&gt;"Serviço",AND(AUTOEVENTO="Manual",$M44=$A$15)),0,
         IF(OFFSET(CRONOPLE!$F$15,$M44-$A$15,AN$13)=0,10^12,OFFSET(CRONOPLE!$F$15,$M44-$A$15,AN$13)))</f>
        <v>1000000000000</v>
      </c>
      <c r="AO44" s="172">
        <f ca="1">IF(OR($D44&lt;&gt;"Serviço",AND(AUTOEVENTO="Manual",$M44=$A$15)),0,
         IF(OFFSET(CRONOPLE!$F$15,$M44-$A$15,AO$13)=0,10^12,OFFSET(CRONOPLE!$F$15,$M44-$A$15,AO$13)))</f>
        <v>1000000000000</v>
      </c>
      <c r="AP44" s="172">
        <f ca="1">IF(OR($D44&lt;&gt;"Serviço",AND(AUTOEVENTO="Manual",$M44=$A$15)),0,
         IF(OFFSET(CRONOPLE!$F$15,$M44-$A$15,AP$13)=0,10^12,OFFSET(CRONOPLE!$F$15,$M44-$A$15,AP$13)))</f>
        <v>1000000000000</v>
      </c>
      <c r="AQ44" s="172">
        <f ca="1">IF(OR($D44&lt;&gt;"Serviço",AND(AUTOEVENTO="Manual",$M44=$A$15)),0,
         IF(OFFSET(CRONOPLE!$F$15,$M44-$A$15,AQ$13)=0,10^12,OFFSET(CRONOPLE!$F$15,$M44-$A$15,AQ$13)))</f>
        <v>1000000000000</v>
      </c>
      <c r="AR44" s="172">
        <f ca="1">IF(OR($D44&lt;&gt;"Serviço",AND(AUTOEVENTO="Manual",$M44=$A$15)),0,
         IF(OFFSET(CRONOPLE!$F$15,$M44-$A$15,AR$13)=0,10^12,OFFSET(CRONOPLE!$F$15,$M44-$A$15,AR$13)))</f>
        <v>1000000000000</v>
      </c>
      <c r="AS44" s="172">
        <f ca="1">IF(OR($D44&lt;&gt;"Serviço",AND(AUTOEVENTO="Manual",$M44=$A$15)),0,
         IF(OFFSET(CRONOPLE!$F$15,$M44-$A$15,AS$13)=0,10^12,OFFSET(CRONOPLE!$F$15,$M44-$A$15,AS$13)))</f>
        <v>1000000000000</v>
      </c>
      <c r="AT44" s="172">
        <f ca="1">IF(OR($D44&lt;&gt;"Serviço",AND(AUTOEVENTO="Manual",$M44=$A$15)),0,
         IF(OFFSET(CRONOPLE!$F$15,$M44-$A$15,AT$13)=0,10^12,OFFSET(CRONOPLE!$F$15,$M44-$A$15,AT$13)))</f>
        <v>1000000000000</v>
      </c>
      <c r="AU44" s="172">
        <f ca="1">IF(OR($D44&lt;&gt;"Serviço",AND(AUTOEVENTO="Manual",$M44=$A$15)),0,
         IF(OFFSET(CRONOPLE!$F$15,$M44-$A$15,AU$13)=0,10^12,OFFSET(CRONOPLE!$F$15,$M44-$A$15,AU$13)))</f>
        <v>1000000000000</v>
      </c>
      <c r="AV44" s="172">
        <f ca="1">IF(OR($D44&lt;&gt;"Serviço",AND(AUTOEVENTO="Manual",$M44=$A$15)),0,
         IF(OFFSET(CRONOPLE!$F$15,$M44-$A$15,AV$13)=0,10^12,OFFSET(CRONOPLE!$F$15,$M44-$A$15,AV$13)))</f>
        <v>1000000000000</v>
      </c>
      <c r="AX44" s="173">
        <f ca="1">IF(OR($D44&lt;&gt;"Serviço",AND(AUTOEVENTO="Manual",$M44=$A$15),$M44&gt;(ROW(PLE.lastrow)-ROW(PLE.firstrow))),0,
           IF(OFFSET(PLE!$G$15,$M44-$A$15,AX$13)="",10^12,OFFSET(PLE!$G$15,$M44-$A$15,AX$13)))</f>
        <v>1000000000000</v>
      </c>
      <c r="AY44" s="173">
        <f ca="1">IF(OR($D44&lt;&gt;"Serviço",AND(AUTOEVENTO="Manual",$M44=$A$15),$M44&gt;(ROW(PLE.lastrow)-ROW(PLE.firstrow))),0,
           IF(OFFSET(PLE!$G$15,$M44-$A$15,AY$13)="",10^12,OFFSET(PLE!$G$15,$M44-$A$15,AY$13)))</f>
        <v>1000000000000</v>
      </c>
      <c r="AZ44" s="173">
        <f ca="1">IF(OR($D44&lt;&gt;"Serviço",AND(AUTOEVENTO="Manual",$M44=$A$15),$M44&gt;(ROW(PLE.lastrow)-ROW(PLE.firstrow))),0,
           IF(OFFSET(PLE!$G$15,$M44-$A$15,AZ$13)="",10^12,OFFSET(PLE!$G$15,$M44-$A$15,AZ$13)))</f>
        <v>1000000000000</v>
      </c>
      <c r="BA44" s="173">
        <f ca="1">IF(OR($D44&lt;&gt;"Serviço",AND(AUTOEVENTO="Manual",$M44=$A$15),$M44&gt;(ROW(PLE.lastrow)-ROW(PLE.firstrow))),0,
           IF(OFFSET(PLE!$G$15,$M44-$A$15,BA$13)="",10^12,OFFSET(PLE!$G$15,$M44-$A$15,BA$13)))</f>
        <v>1000000000000</v>
      </c>
      <c r="BB44" s="173">
        <f ca="1">IF(OR($D44&lt;&gt;"Serviço",AND(AUTOEVENTO="Manual",$M44=$A$15),$M44&gt;(ROW(PLE.lastrow)-ROW(PLE.firstrow))),0,
           IF(OFFSET(PLE!$G$15,$M44-$A$15,BB$13)="",10^12,OFFSET(PLE!$G$15,$M44-$A$15,BB$13)))</f>
        <v>1000000000000</v>
      </c>
      <c r="BC44" s="173">
        <f ca="1">IF(OR($D44&lt;&gt;"Serviço",AND(AUTOEVENTO="Manual",$M44=$A$15),$M44&gt;(ROW(PLE.lastrow)-ROW(PLE.firstrow))),0,
           IF(OFFSET(PLE!$G$15,$M44-$A$15,BC$13)="",10^12,OFFSET(PLE!$G$15,$M44-$A$15,BC$13)))</f>
        <v>1000000000000</v>
      </c>
      <c r="BD44" s="173">
        <f ca="1">IF(OR($D44&lt;&gt;"Serviço",AND(AUTOEVENTO="Manual",$M44=$A$15),$M44&gt;(ROW(PLE.lastrow)-ROW(PLE.firstrow))),0,
           IF(OFFSET(PLE!$G$15,$M44-$A$15,BD$13)="",10^12,OFFSET(PLE!$G$15,$M44-$A$15,BD$13)))</f>
        <v>1000000000000</v>
      </c>
      <c r="BE44" s="173">
        <f ca="1">IF(OR($D44&lt;&gt;"Serviço",AND(AUTOEVENTO="Manual",$M44=$A$15),$M44&gt;(ROW(PLE.lastrow)-ROW(PLE.firstrow))),0,
           IF(OFFSET(PLE!$G$15,$M44-$A$15,BE$13)="",10^12,OFFSET(PLE!$G$15,$M44-$A$15,BE$13)))</f>
        <v>1000000000000</v>
      </c>
      <c r="BF44" s="173">
        <f ca="1">IF(OR($D44&lt;&gt;"Serviço",AND(AUTOEVENTO="Manual",$M44=$A$15),$M44&gt;(ROW(PLE.lastrow)-ROW(PLE.firstrow))),0,
           IF(OFFSET(PLE!$G$15,$M44-$A$15,BF$13)="",10^12,OFFSET(PLE!$G$15,$M44-$A$15,BF$13)))</f>
        <v>1000000000000</v>
      </c>
      <c r="BG44" s="173">
        <f ca="1">IF(OR($D44&lt;&gt;"Serviço",AND(AUTOEVENTO="Manual",$M44=$A$15),$M44&gt;(ROW(PLE.lastrow)-ROW(PLE.firstrow))),0,
           IF(OFFSET(PLE!$G$15,$M44-$A$15,BG$13)="",10^12,OFFSET(PLE!$G$15,$M44-$A$15,BG$13)))</f>
        <v>1000000000000</v>
      </c>
    </row>
    <row r="45" spans="1:59" ht="12.75" x14ac:dyDescent="0.2">
      <c r="A45" s="7" t="str">
        <f t="shared" ca="1" si="9"/>
        <v>26</v>
      </c>
      <c r="B45" s="7" t="str">
        <f ca="1">OFFSET(ORÇAMENTO!C$15,ROW(B45)-ROW(B$15),0)</f>
        <v>S</v>
      </c>
      <c r="C45" s="7" t="str">
        <f ca="1">OFFSET(ORÇAMENTO!L$15,ROW(C45)-ROW(C$15),0)</f>
        <v>F</v>
      </c>
      <c r="D45" s="117" t="str">
        <f ca="1">OFFSET(ORÇAMENTO!N$15,ROW(D45)-ROW(D$15),0)</f>
        <v>Serviço</v>
      </c>
      <c r="E45" s="118" t="str">
        <f ca="1">OFFSET(ORÇAMENTO!O$15,ROW(E45)-ROW(E$15),0)</f>
        <v>1.4.4.</v>
      </c>
      <c r="F45" s="164" t="str">
        <f ca="1">OFFSET(ORÇAMENTO!R$15,ROW(F45)-ROW(F$15),0)</f>
        <v>AJUDANTE DE PINTOR COM ENCARGOS COMPLEMENTARES</v>
      </c>
      <c r="G45" s="165" t="str">
        <f ca="1">IF($D45&lt;&gt;"Serviço","",OFFSET(ORÇAMENTO!S$15,ROW(G45)-ROW(G$15),0))</f>
        <v>H</v>
      </c>
      <c r="H45" s="123">
        <f ca="1">IF($D45&lt;&gt;"Serviço",0,IF(ACOMPANHAMENTO="BM",ROUND(OFFSET(ORÇAMENTO!AJ$15,ROW(H45)-ROW(H$15),0),15-13*ORÇAMENTO!$AF$7),SUMPRODUCT(($Q$1:$AA$1=1)*ROUND($Q45:$AA45,15-13*ORÇAMENTO!$AF$7))))</f>
        <v>80</v>
      </c>
      <c r="I45" s="469" t="s">
        <v>997</v>
      </c>
      <c r="J45" s="663" t="str">
        <f ca="1">IF(OR(B45&lt;&gt;"S",CÁLCULO.FrentesPreenchidas=0),"",IF(AND(ACOMPANHAMENTO="PLE",AUTOEVENTO="Manual",OR(H45&gt;0,ORÇAMENTO!AC45="QUANT."),OR(K45="",M45=0,N45="")),"►",IF(AND(ACOMPANHAMENTO="PLE",ORÇAMENTO!AC45="QUANT."),"►►",IF(AND(COUNTIF($P$11:$AA$11,"▼")=0,H45&gt;0,I45=""),"◄",""))))</f>
        <v/>
      </c>
      <c r="K45" s="664"/>
      <c r="L45" s="166" t="s">
        <v>765</v>
      </c>
      <c r="M45" s="167">
        <f ca="1">IF($D45&lt;&gt;"Serviço","",
          IF(AUTOEVENTO="manual",$A45,
                IF(ISERROR(MATCH($A45,$A$15:OFFSET($A45,-1,0),0)),MAX($M$15:OFFSET(M45,-1,0))+1,
                      INDEX($M$15:OFFSET(M45,-1,0),MATCH($A45,$A$15:OFFSET($A45,-1,0),0)))))</f>
        <v>4</v>
      </c>
      <c r="N45" s="168" t="str">
        <f ca="1">IF($D45&lt;&gt;"Serviço","",
         IF(AUTOEVENTO="Manual",
                IF($A45=0,"&lt;-- defina o número do agrupador",
                       OFFSET(EVENTOS!$D$15,$A45-$A$15,0)),
                OFFSET($F$15,$A45,0)))</f>
        <v xml:space="preserve">PAREDES E MURROS </v>
      </c>
      <c r="O45" s="169"/>
      <c r="Q45" s="169">
        <v>80</v>
      </c>
      <c r="R45" s="170"/>
      <c r="S45" s="170"/>
      <c r="T45" s="170"/>
      <c r="U45" s="170"/>
      <c r="V45" s="170"/>
      <c r="W45" s="170"/>
      <c r="X45" s="170"/>
      <c r="Y45" s="170"/>
      <c r="Z45" s="171"/>
      <c r="AB45" s="454">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2519.1999999999998</v>
      </c>
      <c r="AC45" s="454">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4">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4">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4">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4">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4">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4">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4">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4">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2">
        <f ca="1">IF(OR($D45&lt;&gt;"Serviço",AND(AUTOEVENTO="Manual",$M45=$A$15)),0,
         IF(OFFSET(CRONOPLE!$F$15,$M45-$A$15,AM$13)=0,10^12,OFFSET(CRONOPLE!$F$15,$M45-$A$15,AM$13)))</f>
        <v>3</v>
      </c>
      <c r="AN45" s="172">
        <f ca="1">IF(OR($D45&lt;&gt;"Serviço",AND(AUTOEVENTO="Manual",$M45=$A$15)),0,
         IF(OFFSET(CRONOPLE!$F$15,$M45-$A$15,AN$13)=0,10^12,OFFSET(CRONOPLE!$F$15,$M45-$A$15,AN$13)))</f>
        <v>1000000000000</v>
      </c>
      <c r="AO45" s="172">
        <f ca="1">IF(OR($D45&lt;&gt;"Serviço",AND(AUTOEVENTO="Manual",$M45=$A$15)),0,
         IF(OFFSET(CRONOPLE!$F$15,$M45-$A$15,AO$13)=0,10^12,OFFSET(CRONOPLE!$F$15,$M45-$A$15,AO$13)))</f>
        <v>1000000000000</v>
      </c>
      <c r="AP45" s="172">
        <f ca="1">IF(OR($D45&lt;&gt;"Serviço",AND(AUTOEVENTO="Manual",$M45=$A$15)),0,
         IF(OFFSET(CRONOPLE!$F$15,$M45-$A$15,AP$13)=0,10^12,OFFSET(CRONOPLE!$F$15,$M45-$A$15,AP$13)))</f>
        <v>1000000000000</v>
      </c>
      <c r="AQ45" s="172">
        <f ca="1">IF(OR($D45&lt;&gt;"Serviço",AND(AUTOEVENTO="Manual",$M45=$A$15)),0,
         IF(OFFSET(CRONOPLE!$F$15,$M45-$A$15,AQ$13)=0,10^12,OFFSET(CRONOPLE!$F$15,$M45-$A$15,AQ$13)))</f>
        <v>1000000000000</v>
      </c>
      <c r="AR45" s="172">
        <f ca="1">IF(OR($D45&lt;&gt;"Serviço",AND(AUTOEVENTO="Manual",$M45=$A$15)),0,
         IF(OFFSET(CRONOPLE!$F$15,$M45-$A$15,AR$13)=0,10^12,OFFSET(CRONOPLE!$F$15,$M45-$A$15,AR$13)))</f>
        <v>1000000000000</v>
      </c>
      <c r="AS45" s="172">
        <f ca="1">IF(OR($D45&lt;&gt;"Serviço",AND(AUTOEVENTO="Manual",$M45=$A$15)),0,
         IF(OFFSET(CRONOPLE!$F$15,$M45-$A$15,AS$13)=0,10^12,OFFSET(CRONOPLE!$F$15,$M45-$A$15,AS$13)))</f>
        <v>1000000000000</v>
      </c>
      <c r="AT45" s="172">
        <f ca="1">IF(OR($D45&lt;&gt;"Serviço",AND(AUTOEVENTO="Manual",$M45=$A$15)),0,
         IF(OFFSET(CRONOPLE!$F$15,$M45-$A$15,AT$13)=0,10^12,OFFSET(CRONOPLE!$F$15,$M45-$A$15,AT$13)))</f>
        <v>1000000000000</v>
      </c>
      <c r="AU45" s="172">
        <f ca="1">IF(OR($D45&lt;&gt;"Serviço",AND(AUTOEVENTO="Manual",$M45=$A$15)),0,
         IF(OFFSET(CRONOPLE!$F$15,$M45-$A$15,AU$13)=0,10^12,OFFSET(CRONOPLE!$F$15,$M45-$A$15,AU$13)))</f>
        <v>1000000000000</v>
      </c>
      <c r="AV45" s="172">
        <f ca="1">IF(OR($D45&lt;&gt;"Serviço",AND(AUTOEVENTO="Manual",$M45=$A$15)),0,
         IF(OFFSET(CRONOPLE!$F$15,$M45-$A$15,AV$13)=0,10^12,OFFSET(CRONOPLE!$F$15,$M45-$A$15,AV$13)))</f>
        <v>1000000000000</v>
      </c>
      <c r="AX45" s="173">
        <f ca="1">IF(OR($D45&lt;&gt;"Serviço",AND(AUTOEVENTO="Manual",$M45=$A$15),$M45&gt;(ROW(PLE.lastrow)-ROW(PLE.firstrow))),0,
           IF(OFFSET(PLE!$G$15,$M45-$A$15,AX$13)="",10^12,OFFSET(PLE!$G$15,$M45-$A$15,AX$13)))</f>
        <v>1000000000000</v>
      </c>
      <c r="AY45" s="173">
        <f ca="1">IF(OR($D45&lt;&gt;"Serviço",AND(AUTOEVENTO="Manual",$M45=$A$15),$M45&gt;(ROW(PLE.lastrow)-ROW(PLE.firstrow))),0,
           IF(OFFSET(PLE!$G$15,$M45-$A$15,AY$13)="",10^12,OFFSET(PLE!$G$15,$M45-$A$15,AY$13)))</f>
        <v>1000000000000</v>
      </c>
      <c r="AZ45" s="173">
        <f ca="1">IF(OR($D45&lt;&gt;"Serviço",AND(AUTOEVENTO="Manual",$M45=$A$15),$M45&gt;(ROW(PLE.lastrow)-ROW(PLE.firstrow))),0,
           IF(OFFSET(PLE!$G$15,$M45-$A$15,AZ$13)="",10^12,OFFSET(PLE!$G$15,$M45-$A$15,AZ$13)))</f>
        <v>1000000000000</v>
      </c>
      <c r="BA45" s="173">
        <f ca="1">IF(OR($D45&lt;&gt;"Serviço",AND(AUTOEVENTO="Manual",$M45=$A$15),$M45&gt;(ROW(PLE.lastrow)-ROW(PLE.firstrow))),0,
           IF(OFFSET(PLE!$G$15,$M45-$A$15,BA$13)="",10^12,OFFSET(PLE!$G$15,$M45-$A$15,BA$13)))</f>
        <v>1000000000000</v>
      </c>
      <c r="BB45" s="173">
        <f ca="1">IF(OR($D45&lt;&gt;"Serviço",AND(AUTOEVENTO="Manual",$M45=$A$15),$M45&gt;(ROW(PLE.lastrow)-ROW(PLE.firstrow))),0,
           IF(OFFSET(PLE!$G$15,$M45-$A$15,BB$13)="",10^12,OFFSET(PLE!$G$15,$M45-$A$15,BB$13)))</f>
        <v>1000000000000</v>
      </c>
      <c r="BC45" s="173">
        <f ca="1">IF(OR($D45&lt;&gt;"Serviço",AND(AUTOEVENTO="Manual",$M45=$A$15),$M45&gt;(ROW(PLE.lastrow)-ROW(PLE.firstrow))),0,
           IF(OFFSET(PLE!$G$15,$M45-$A$15,BC$13)="",10^12,OFFSET(PLE!$G$15,$M45-$A$15,BC$13)))</f>
        <v>1000000000000</v>
      </c>
      <c r="BD45" s="173">
        <f ca="1">IF(OR($D45&lt;&gt;"Serviço",AND(AUTOEVENTO="Manual",$M45=$A$15),$M45&gt;(ROW(PLE.lastrow)-ROW(PLE.firstrow))),0,
           IF(OFFSET(PLE!$G$15,$M45-$A$15,BD$13)="",10^12,OFFSET(PLE!$G$15,$M45-$A$15,BD$13)))</f>
        <v>1000000000000</v>
      </c>
      <c r="BE45" s="173">
        <f ca="1">IF(OR($D45&lt;&gt;"Serviço",AND(AUTOEVENTO="Manual",$M45=$A$15),$M45&gt;(ROW(PLE.lastrow)-ROW(PLE.firstrow))),0,
           IF(OFFSET(PLE!$G$15,$M45-$A$15,BE$13)="",10^12,OFFSET(PLE!$G$15,$M45-$A$15,BE$13)))</f>
        <v>1000000000000</v>
      </c>
      <c r="BF45" s="173">
        <f ca="1">IF(OR($D45&lt;&gt;"Serviço",AND(AUTOEVENTO="Manual",$M45=$A$15),$M45&gt;(ROW(PLE.lastrow)-ROW(PLE.firstrow))),0,
           IF(OFFSET(PLE!$G$15,$M45-$A$15,BF$13)="",10^12,OFFSET(PLE!$G$15,$M45-$A$15,BF$13)))</f>
        <v>1000000000000</v>
      </c>
      <c r="BG45" s="173">
        <f ca="1">IF(OR($D45&lt;&gt;"Serviço",AND(AUTOEVENTO="Manual",$M45=$A$15),$M45&gt;(ROW(PLE.lastrow)-ROW(PLE.firstrow))),0,
           IF(OFFSET(PLE!$G$15,$M45-$A$15,BG$13)="",10^12,OFFSET(PLE!$G$15,$M45-$A$15,BG$13)))</f>
        <v>1000000000000</v>
      </c>
    </row>
    <row r="46" spans="1:59" ht="51" x14ac:dyDescent="0.2">
      <c r="A46" s="7" t="str">
        <f t="shared" ca="1" si="9"/>
        <v>26</v>
      </c>
      <c r="B46" s="7" t="str">
        <f ca="1">OFFSET(ORÇAMENTO!C$15,ROW(B46)-ROW(B$15),0)</f>
        <v>S</v>
      </c>
      <c r="C46" s="7" t="str">
        <f ca="1">OFFSET(ORÇAMENTO!L$15,ROW(C46)-ROW(C$15),0)</f>
        <v>F</v>
      </c>
      <c r="D46" s="117" t="str">
        <f ca="1">OFFSET(ORÇAMENTO!N$15,ROW(D46)-ROW(D$15),0)</f>
        <v>Serviço</v>
      </c>
      <c r="E46" s="118" t="str">
        <f ca="1">OFFSET(ORÇAMENTO!O$15,ROW(E46)-ROW(E$15),0)</f>
        <v>1.4.5.</v>
      </c>
      <c r="F46" s="164" t="str">
        <f ca="1">OFFSET(ORÇAMENTO!R$15,ROW(F46)-ROW(F$15),0)</f>
        <v>ALVENARIA DE VEDAÇÃO DE BLOCOS CERÂMICOS FURADOS NA HORIZONTAL DE 11,5X19X39 CM (ESPESSURA 11,5 CM) E ARGAMASSA DE ASSENTAMENTO COM PREPARO EM BETONEIRA. AF_12/2021</v>
      </c>
      <c r="G46" s="165" t="str">
        <f ca="1">IF($D46&lt;&gt;"Serviço","",OFFSET(ORÇAMENTO!S$15,ROW(G46)-ROW(G$15),0))</f>
        <v>M2</v>
      </c>
      <c r="H46" s="123">
        <f ca="1">IF($D46&lt;&gt;"Serviço",0,IF(ACOMPANHAMENTO="BM",ROUND(OFFSET(ORÇAMENTO!AJ$15,ROW(H46)-ROW(H$15),0),15-13*ORÇAMENTO!$AF$7),SUMPRODUCT(($Q$1:$AA$1=1)*ROUND($Q46:$AA46,15-13*ORÇAMENTO!$AF$7))))</f>
        <v>7</v>
      </c>
      <c r="I46" s="469" t="s">
        <v>975</v>
      </c>
      <c r="J46" s="663" t="str">
        <f ca="1">IF(OR(B46&lt;&gt;"S",CÁLCULO.FrentesPreenchidas=0),"",IF(AND(ACOMPANHAMENTO="PLE",AUTOEVENTO="Manual",OR(H46&gt;0,ORÇAMENTO!AC46="QUANT."),OR(K46="",M46=0,N46="")),"►",IF(AND(ACOMPANHAMENTO="PLE",ORÇAMENTO!AC46="QUANT."),"►►",IF(AND(COUNTIF($P$11:$AA$11,"▼")=0,H46&gt;0,I46=""),"◄",""))))</f>
        <v/>
      </c>
      <c r="K46" s="664"/>
      <c r="L46" s="166" t="s">
        <v>765</v>
      </c>
      <c r="M46" s="167">
        <f ca="1">IF($D46&lt;&gt;"Serviço","",
          IF(AUTOEVENTO="manual",$A46,
                IF(ISERROR(MATCH($A46,$A$15:OFFSET($A46,-1,0),0)),MAX($M$15:OFFSET(M46,-1,0))+1,
                      INDEX($M$15:OFFSET(M46,-1,0),MATCH($A46,$A$15:OFFSET($A46,-1,0),0)))))</f>
        <v>4</v>
      </c>
      <c r="N46" s="168" t="str">
        <f ca="1">IF($D46&lt;&gt;"Serviço","",
         IF(AUTOEVENTO="Manual",
                IF($A46=0,"&lt;-- defina o número do agrupador",
                       OFFSET(EVENTOS!$D$15,$A46-$A$15,0)),
                OFFSET($F$15,$A46,0)))</f>
        <v xml:space="preserve">PAREDES E MURROS </v>
      </c>
      <c r="O46" s="169"/>
      <c r="Q46" s="169">
        <v>7</v>
      </c>
      <c r="R46" s="170"/>
      <c r="S46" s="170"/>
      <c r="T46" s="170"/>
      <c r="U46" s="170"/>
      <c r="V46" s="170"/>
      <c r="W46" s="170"/>
      <c r="X46" s="170"/>
      <c r="Y46" s="170"/>
      <c r="Z46" s="171"/>
      <c r="AB46" s="454">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523.32000000000005</v>
      </c>
      <c r="AC46" s="454">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4">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4">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4">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4">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4">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4">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4">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4">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2">
        <f ca="1">IF(OR($D46&lt;&gt;"Serviço",AND(AUTOEVENTO="Manual",$M46=$A$15)),0,
         IF(OFFSET(CRONOPLE!$F$15,$M46-$A$15,AM$13)=0,10^12,OFFSET(CRONOPLE!$F$15,$M46-$A$15,AM$13)))</f>
        <v>3</v>
      </c>
      <c r="AN46" s="172">
        <f ca="1">IF(OR($D46&lt;&gt;"Serviço",AND(AUTOEVENTO="Manual",$M46=$A$15)),0,
         IF(OFFSET(CRONOPLE!$F$15,$M46-$A$15,AN$13)=0,10^12,OFFSET(CRONOPLE!$F$15,$M46-$A$15,AN$13)))</f>
        <v>1000000000000</v>
      </c>
      <c r="AO46" s="172">
        <f ca="1">IF(OR($D46&lt;&gt;"Serviço",AND(AUTOEVENTO="Manual",$M46=$A$15)),0,
         IF(OFFSET(CRONOPLE!$F$15,$M46-$A$15,AO$13)=0,10^12,OFFSET(CRONOPLE!$F$15,$M46-$A$15,AO$13)))</f>
        <v>1000000000000</v>
      </c>
      <c r="AP46" s="172">
        <f ca="1">IF(OR($D46&lt;&gt;"Serviço",AND(AUTOEVENTO="Manual",$M46=$A$15)),0,
         IF(OFFSET(CRONOPLE!$F$15,$M46-$A$15,AP$13)=0,10^12,OFFSET(CRONOPLE!$F$15,$M46-$A$15,AP$13)))</f>
        <v>1000000000000</v>
      </c>
      <c r="AQ46" s="172">
        <f ca="1">IF(OR($D46&lt;&gt;"Serviço",AND(AUTOEVENTO="Manual",$M46=$A$15)),0,
         IF(OFFSET(CRONOPLE!$F$15,$M46-$A$15,AQ$13)=0,10^12,OFFSET(CRONOPLE!$F$15,$M46-$A$15,AQ$13)))</f>
        <v>1000000000000</v>
      </c>
      <c r="AR46" s="172">
        <f ca="1">IF(OR($D46&lt;&gt;"Serviço",AND(AUTOEVENTO="Manual",$M46=$A$15)),0,
         IF(OFFSET(CRONOPLE!$F$15,$M46-$A$15,AR$13)=0,10^12,OFFSET(CRONOPLE!$F$15,$M46-$A$15,AR$13)))</f>
        <v>1000000000000</v>
      </c>
      <c r="AS46" s="172">
        <f ca="1">IF(OR($D46&lt;&gt;"Serviço",AND(AUTOEVENTO="Manual",$M46=$A$15)),0,
         IF(OFFSET(CRONOPLE!$F$15,$M46-$A$15,AS$13)=0,10^12,OFFSET(CRONOPLE!$F$15,$M46-$A$15,AS$13)))</f>
        <v>1000000000000</v>
      </c>
      <c r="AT46" s="172">
        <f ca="1">IF(OR($D46&lt;&gt;"Serviço",AND(AUTOEVENTO="Manual",$M46=$A$15)),0,
         IF(OFFSET(CRONOPLE!$F$15,$M46-$A$15,AT$13)=0,10^12,OFFSET(CRONOPLE!$F$15,$M46-$A$15,AT$13)))</f>
        <v>1000000000000</v>
      </c>
      <c r="AU46" s="172">
        <f ca="1">IF(OR($D46&lt;&gt;"Serviço",AND(AUTOEVENTO="Manual",$M46=$A$15)),0,
         IF(OFFSET(CRONOPLE!$F$15,$M46-$A$15,AU$13)=0,10^12,OFFSET(CRONOPLE!$F$15,$M46-$A$15,AU$13)))</f>
        <v>1000000000000</v>
      </c>
      <c r="AV46" s="172">
        <f ca="1">IF(OR($D46&lt;&gt;"Serviço",AND(AUTOEVENTO="Manual",$M46=$A$15)),0,
         IF(OFFSET(CRONOPLE!$F$15,$M46-$A$15,AV$13)=0,10^12,OFFSET(CRONOPLE!$F$15,$M46-$A$15,AV$13)))</f>
        <v>1000000000000</v>
      </c>
      <c r="AX46" s="173">
        <f ca="1">IF(OR($D46&lt;&gt;"Serviço",AND(AUTOEVENTO="Manual",$M46=$A$15),$M46&gt;(ROW(PLE.lastrow)-ROW(PLE.firstrow))),0,
           IF(OFFSET(PLE!$G$15,$M46-$A$15,AX$13)="",10^12,OFFSET(PLE!$G$15,$M46-$A$15,AX$13)))</f>
        <v>1000000000000</v>
      </c>
      <c r="AY46" s="173">
        <f ca="1">IF(OR($D46&lt;&gt;"Serviço",AND(AUTOEVENTO="Manual",$M46=$A$15),$M46&gt;(ROW(PLE.lastrow)-ROW(PLE.firstrow))),0,
           IF(OFFSET(PLE!$G$15,$M46-$A$15,AY$13)="",10^12,OFFSET(PLE!$G$15,$M46-$A$15,AY$13)))</f>
        <v>1000000000000</v>
      </c>
      <c r="AZ46" s="173">
        <f ca="1">IF(OR($D46&lt;&gt;"Serviço",AND(AUTOEVENTO="Manual",$M46=$A$15),$M46&gt;(ROW(PLE.lastrow)-ROW(PLE.firstrow))),0,
           IF(OFFSET(PLE!$G$15,$M46-$A$15,AZ$13)="",10^12,OFFSET(PLE!$G$15,$M46-$A$15,AZ$13)))</f>
        <v>1000000000000</v>
      </c>
      <c r="BA46" s="173">
        <f ca="1">IF(OR($D46&lt;&gt;"Serviço",AND(AUTOEVENTO="Manual",$M46=$A$15),$M46&gt;(ROW(PLE.lastrow)-ROW(PLE.firstrow))),0,
           IF(OFFSET(PLE!$G$15,$M46-$A$15,BA$13)="",10^12,OFFSET(PLE!$G$15,$M46-$A$15,BA$13)))</f>
        <v>1000000000000</v>
      </c>
      <c r="BB46" s="173">
        <f ca="1">IF(OR($D46&lt;&gt;"Serviço",AND(AUTOEVENTO="Manual",$M46=$A$15),$M46&gt;(ROW(PLE.lastrow)-ROW(PLE.firstrow))),0,
           IF(OFFSET(PLE!$G$15,$M46-$A$15,BB$13)="",10^12,OFFSET(PLE!$G$15,$M46-$A$15,BB$13)))</f>
        <v>1000000000000</v>
      </c>
      <c r="BC46" s="173">
        <f ca="1">IF(OR($D46&lt;&gt;"Serviço",AND(AUTOEVENTO="Manual",$M46=$A$15),$M46&gt;(ROW(PLE.lastrow)-ROW(PLE.firstrow))),0,
           IF(OFFSET(PLE!$G$15,$M46-$A$15,BC$13)="",10^12,OFFSET(PLE!$G$15,$M46-$A$15,BC$13)))</f>
        <v>1000000000000</v>
      </c>
      <c r="BD46" s="173">
        <f ca="1">IF(OR($D46&lt;&gt;"Serviço",AND(AUTOEVENTO="Manual",$M46=$A$15),$M46&gt;(ROW(PLE.lastrow)-ROW(PLE.firstrow))),0,
           IF(OFFSET(PLE!$G$15,$M46-$A$15,BD$13)="",10^12,OFFSET(PLE!$G$15,$M46-$A$15,BD$13)))</f>
        <v>1000000000000</v>
      </c>
      <c r="BE46" s="173">
        <f ca="1">IF(OR($D46&lt;&gt;"Serviço",AND(AUTOEVENTO="Manual",$M46=$A$15),$M46&gt;(ROW(PLE.lastrow)-ROW(PLE.firstrow))),0,
           IF(OFFSET(PLE!$G$15,$M46-$A$15,BE$13)="",10^12,OFFSET(PLE!$G$15,$M46-$A$15,BE$13)))</f>
        <v>1000000000000</v>
      </c>
      <c r="BF46" s="173">
        <f ca="1">IF(OR($D46&lt;&gt;"Serviço",AND(AUTOEVENTO="Manual",$M46=$A$15),$M46&gt;(ROW(PLE.lastrow)-ROW(PLE.firstrow))),0,
           IF(OFFSET(PLE!$G$15,$M46-$A$15,BF$13)="",10^12,OFFSET(PLE!$G$15,$M46-$A$15,BF$13)))</f>
        <v>1000000000000</v>
      </c>
      <c r="BG46" s="173">
        <f ca="1">IF(OR($D46&lt;&gt;"Serviço",AND(AUTOEVENTO="Manual",$M46=$A$15),$M46&gt;(ROW(PLE.lastrow)-ROW(PLE.firstrow))),0,
           IF(OFFSET(PLE!$G$15,$M46-$A$15,BG$13)="",10^12,OFFSET(PLE!$G$15,$M46-$A$15,BG$13)))</f>
        <v>1000000000000</v>
      </c>
    </row>
    <row r="47" spans="1:59" ht="51" x14ac:dyDescent="0.2">
      <c r="A47" s="7" t="str">
        <f t="shared" ca="1" si="9"/>
        <v>26</v>
      </c>
      <c r="B47" s="7" t="str">
        <f ca="1">OFFSET(ORÇAMENTO!C$15,ROW(B47)-ROW(B$15),0)</f>
        <v>S</v>
      </c>
      <c r="C47" s="7" t="str">
        <f ca="1">OFFSET(ORÇAMENTO!L$15,ROW(C47)-ROW(C$15),0)</f>
        <v>F</v>
      </c>
      <c r="D47" s="117" t="str">
        <f ca="1">OFFSET(ORÇAMENTO!N$15,ROW(D47)-ROW(D$15),0)</f>
        <v>Serviço</v>
      </c>
      <c r="E47" s="118" t="str">
        <f ca="1">OFFSET(ORÇAMENTO!O$15,ROW(E47)-ROW(E$15),0)</f>
        <v>1.4.6.</v>
      </c>
      <c r="F47" s="164" t="str">
        <f ca="1">OFFSET(ORÇAMENTO!R$15,ROW(F47)-ROW(F$15),0)</f>
        <v>ARGAMASSA TRAÇO 1:1,5:7,5 (EM VOLUME DE CIMENTO, CAL E AREIA MÉDIA ÚMIDA) PARA EMBOÇO/MASSA ÚNICA/ASSENTAMENTO DE ALVENARIA DE VEDAÇÃO, PREPARO MECÂNICO COM BETONEIRA ATÉ 600 L. AF_07/2026</v>
      </c>
      <c r="G47" s="165" t="str">
        <f ca="1">IF($D47&lt;&gt;"Serviço","",OFFSET(ORÇAMENTO!S$15,ROW(G47)-ROW(G$15),0))</f>
        <v>M3</v>
      </c>
      <c r="H47" s="123">
        <f ca="1">IF($D47&lt;&gt;"Serviço",0,IF(ACOMPANHAMENTO="BM",ROUND(OFFSET(ORÇAMENTO!AJ$15,ROW(H47)-ROW(H$15),0),15-13*ORÇAMENTO!$AF$7),SUMPRODUCT(($Q$1:$AA$1=1)*ROUND($Q47:$AA47,15-13*ORÇAMENTO!$AF$7))))</f>
        <v>0.5</v>
      </c>
      <c r="I47" s="469" t="s">
        <v>977</v>
      </c>
      <c r="J47" s="663" t="str">
        <f ca="1">IF(OR(B47&lt;&gt;"S",CÁLCULO.FrentesPreenchidas=0),"",IF(AND(ACOMPANHAMENTO="PLE",AUTOEVENTO="Manual",OR(H47&gt;0,ORÇAMENTO!AC47="QUANT."),OR(K47="",M47=0,N47="")),"►",IF(AND(ACOMPANHAMENTO="PLE",ORÇAMENTO!AC47="QUANT."),"►►",IF(AND(COUNTIF($P$11:$AA$11,"▼")=0,H47&gt;0,I47=""),"◄",""))))</f>
        <v/>
      </c>
      <c r="K47" s="664"/>
      <c r="L47" s="166" t="s">
        <v>765</v>
      </c>
      <c r="M47" s="167">
        <f ca="1">IF($D47&lt;&gt;"Serviço","",
          IF(AUTOEVENTO="manual",$A47,
                IF(ISERROR(MATCH($A47,$A$15:OFFSET($A47,-1,0),0)),MAX($M$15:OFFSET(M47,-1,0))+1,
                      INDEX($M$15:OFFSET(M47,-1,0),MATCH($A47,$A$15:OFFSET($A47,-1,0),0)))))</f>
        <v>4</v>
      </c>
      <c r="N47" s="168" t="str">
        <f ca="1">IF($D47&lt;&gt;"Serviço","",
         IF(AUTOEVENTO="Manual",
                IF($A47=0,"&lt;-- defina o número do agrupador",
                       OFFSET(EVENTOS!$D$15,$A47-$A$15,0)),
                OFFSET($F$15,$A47,0)))</f>
        <v xml:space="preserve">PAREDES E MURROS </v>
      </c>
      <c r="O47" s="169"/>
      <c r="Q47" s="169">
        <v>0.5</v>
      </c>
      <c r="R47" s="170"/>
      <c r="S47" s="170"/>
      <c r="T47" s="170"/>
      <c r="U47" s="170"/>
      <c r="V47" s="170"/>
      <c r="W47" s="170"/>
      <c r="X47" s="170"/>
      <c r="Y47" s="170"/>
      <c r="Z47" s="171"/>
      <c r="AB47" s="454">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357.77</v>
      </c>
      <c r="AC47" s="454">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4">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4">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4">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4">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4">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4">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4">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4">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2">
        <f ca="1">IF(OR($D47&lt;&gt;"Serviço",AND(AUTOEVENTO="Manual",$M47=$A$15)),0,
         IF(OFFSET(CRONOPLE!$F$15,$M47-$A$15,AM$13)=0,10^12,OFFSET(CRONOPLE!$F$15,$M47-$A$15,AM$13)))</f>
        <v>3</v>
      </c>
      <c r="AN47" s="172">
        <f ca="1">IF(OR($D47&lt;&gt;"Serviço",AND(AUTOEVENTO="Manual",$M47=$A$15)),0,
         IF(OFFSET(CRONOPLE!$F$15,$M47-$A$15,AN$13)=0,10^12,OFFSET(CRONOPLE!$F$15,$M47-$A$15,AN$13)))</f>
        <v>1000000000000</v>
      </c>
      <c r="AO47" s="172">
        <f ca="1">IF(OR($D47&lt;&gt;"Serviço",AND(AUTOEVENTO="Manual",$M47=$A$15)),0,
         IF(OFFSET(CRONOPLE!$F$15,$M47-$A$15,AO$13)=0,10^12,OFFSET(CRONOPLE!$F$15,$M47-$A$15,AO$13)))</f>
        <v>1000000000000</v>
      </c>
      <c r="AP47" s="172">
        <f ca="1">IF(OR($D47&lt;&gt;"Serviço",AND(AUTOEVENTO="Manual",$M47=$A$15)),0,
         IF(OFFSET(CRONOPLE!$F$15,$M47-$A$15,AP$13)=0,10^12,OFFSET(CRONOPLE!$F$15,$M47-$A$15,AP$13)))</f>
        <v>1000000000000</v>
      </c>
      <c r="AQ47" s="172">
        <f ca="1">IF(OR($D47&lt;&gt;"Serviço",AND(AUTOEVENTO="Manual",$M47=$A$15)),0,
         IF(OFFSET(CRONOPLE!$F$15,$M47-$A$15,AQ$13)=0,10^12,OFFSET(CRONOPLE!$F$15,$M47-$A$15,AQ$13)))</f>
        <v>1000000000000</v>
      </c>
      <c r="AR47" s="172">
        <f ca="1">IF(OR($D47&lt;&gt;"Serviço",AND(AUTOEVENTO="Manual",$M47=$A$15)),0,
         IF(OFFSET(CRONOPLE!$F$15,$M47-$A$15,AR$13)=0,10^12,OFFSET(CRONOPLE!$F$15,$M47-$A$15,AR$13)))</f>
        <v>1000000000000</v>
      </c>
      <c r="AS47" s="172">
        <f ca="1">IF(OR($D47&lt;&gt;"Serviço",AND(AUTOEVENTO="Manual",$M47=$A$15)),0,
         IF(OFFSET(CRONOPLE!$F$15,$M47-$A$15,AS$13)=0,10^12,OFFSET(CRONOPLE!$F$15,$M47-$A$15,AS$13)))</f>
        <v>1000000000000</v>
      </c>
      <c r="AT47" s="172">
        <f ca="1">IF(OR($D47&lt;&gt;"Serviço",AND(AUTOEVENTO="Manual",$M47=$A$15)),0,
         IF(OFFSET(CRONOPLE!$F$15,$M47-$A$15,AT$13)=0,10^12,OFFSET(CRONOPLE!$F$15,$M47-$A$15,AT$13)))</f>
        <v>1000000000000</v>
      </c>
      <c r="AU47" s="172">
        <f ca="1">IF(OR($D47&lt;&gt;"Serviço",AND(AUTOEVENTO="Manual",$M47=$A$15)),0,
         IF(OFFSET(CRONOPLE!$F$15,$M47-$A$15,AU$13)=0,10^12,OFFSET(CRONOPLE!$F$15,$M47-$A$15,AU$13)))</f>
        <v>1000000000000</v>
      </c>
      <c r="AV47" s="172">
        <f ca="1">IF(OR($D47&lt;&gt;"Serviço",AND(AUTOEVENTO="Manual",$M47=$A$15)),0,
         IF(OFFSET(CRONOPLE!$F$15,$M47-$A$15,AV$13)=0,10^12,OFFSET(CRONOPLE!$F$15,$M47-$A$15,AV$13)))</f>
        <v>1000000000000</v>
      </c>
      <c r="AX47" s="173">
        <f ca="1">IF(OR($D47&lt;&gt;"Serviço",AND(AUTOEVENTO="Manual",$M47=$A$15),$M47&gt;(ROW(PLE.lastrow)-ROW(PLE.firstrow))),0,
           IF(OFFSET(PLE!$G$15,$M47-$A$15,AX$13)="",10^12,OFFSET(PLE!$G$15,$M47-$A$15,AX$13)))</f>
        <v>1000000000000</v>
      </c>
      <c r="AY47" s="173">
        <f ca="1">IF(OR($D47&lt;&gt;"Serviço",AND(AUTOEVENTO="Manual",$M47=$A$15),$M47&gt;(ROW(PLE.lastrow)-ROW(PLE.firstrow))),0,
           IF(OFFSET(PLE!$G$15,$M47-$A$15,AY$13)="",10^12,OFFSET(PLE!$G$15,$M47-$A$15,AY$13)))</f>
        <v>1000000000000</v>
      </c>
      <c r="AZ47" s="173">
        <f ca="1">IF(OR($D47&lt;&gt;"Serviço",AND(AUTOEVENTO="Manual",$M47=$A$15),$M47&gt;(ROW(PLE.lastrow)-ROW(PLE.firstrow))),0,
           IF(OFFSET(PLE!$G$15,$M47-$A$15,AZ$13)="",10^12,OFFSET(PLE!$G$15,$M47-$A$15,AZ$13)))</f>
        <v>1000000000000</v>
      </c>
      <c r="BA47" s="173">
        <f ca="1">IF(OR($D47&lt;&gt;"Serviço",AND(AUTOEVENTO="Manual",$M47=$A$15),$M47&gt;(ROW(PLE.lastrow)-ROW(PLE.firstrow))),0,
           IF(OFFSET(PLE!$G$15,$M47-$A$15,BA$13)="",10^12,OFFSET(PLE!$G$15,$M47-$A$15,BA$13)))</f>
        <v>1000000000000</v>
      </c>
      <c r="BB47" s="173">
        <f ca="1">IF(OR($D47&lt;&gt;"Serviço",AND(AUTOEVENTO="Manual",$M47=$A$15),$M47&gt;(ROW(PLE.lastrow)-ROW(PLE.firstrow))),0,
           IF(OFFSET(PLE!$G$15,$M47-$A$15,BB$13)="",10^12,OFFSET(PLE!$G$15,$M47-$A$15,BB$13)))</f>
        <v>1000000000000</v>
      </c>
      <c r="BC47" s="173">
        <f ca="1">IF(OR($D47&lt;&gt;"Serviço",AND(AUTOEVENTO="Manual",$M47=$A$15),$M47&gt;(ROW(PLE.lastrow)-ROW(PLE.firstrow))),0,
           IF(OFFSET(PLE!$G$15,$M47-$A$15,BC$13)="",10^12,OFFSET(PLE!$G$15,$M47-$A$15,BC$13)))</f>
        <v>1000000000000</v>
      </c>
      <c r="BD47" s="173">
        <f ca="1">IF(OR($D47&lt;&gt;"Serviço",AND(AUTOEVENTO="Manual",$M47=$A$15),$M47&gt;(ROW(PLE.lastrow)-ROW(PLE.firstrow))),0,
           IF(OFFSET(PLE!$G$15,$M47-$A$15,BD$13)="",10^12,OFFSET(PLE!$G$15,$M47-$A$15,BD$13)))</f>
        <v>1000000000000</v>
      </c>
      <c r="BE47" s="173">
        <f ca="1">IF(OR($D47&lt;&gt;"Serviço",AND(AUTOEVENTO="Manual",$M47=$A$15),$M47&gt;(ROW(PLE.lastrow)-ROW(PLE.firstrow))),0,
           IF(OFFSET(PLE!$G$15,$M47-$A$15,BE$13)="",10^12,OFFSET(PLE!$G$15,$M47-$A$15,BE$13)))</f>
        <v>1000000000000</v>
      </c>
      <c r="BF47" s="173">
        <f ca="1">IF(OR($D47&lt;&gt;"Serviço",AND(AUTOEVENTO="Manual",$M47=$A$15),$M47&gt;(ROW(PLE.lastrow)-ROW(PLE.firstrow))),0,
           IF(OFFSET(PLE!$G$15,$M47-$A$15,BF$13)="",10^12,OFFSET(PLE!$G$15,$M47-$A$15,BF$13)))</f>
        <v>1000000000000</v>
      </c>
      <c r="BG47" s="173">
        <f ca="1">IF(OR($D47&lt;&gt;"Serviço",AND(AUTOEVENTO="Manual",$M47=$A$15),$M47&gt;(ROW(PLE.lastrow)-ROW(PLE.firstrow))),0,
           IF(OFFSET(PLE!$G$15,$M47-$A$15,BG$13)="",10^12,OFFSET(PLE!$G$15,$M47-$A$15,BG$13)))</f>
        <v>1000000000000</v>
      </c>
    </row>
    <row r="48" spans="1:59" ht="12.75" x14ac:dyDescent="0.2">
      <c r="A48" s="7" t="str">
        <f t="shared" ca="1" si="9"/>
        <v>33.</v>
      </c>
      <c r="B48" s="7">
        <f ca="1">OFFSET(ORÇAMENTO!C$15,ROW(B48)-ROW(B$15),0)</f>
        <v>2</v>
      </c>
      <c r="C48" s="7" t="str">
        <f ca="1">OFFSET(ORÇAMENTO!L$15,ROW(C48)-ROW(C$15),0)</f>
        <v>F</v>
      </c>
      <c r="D48" s="117" t="str">
        <f ca="1">OFFSET(ORÇAMENTO!N$15,ROW(D48)-ROW(D$15),0)</f>
        <v>Nível 2</v>
      </c>
      <c r="E48" s="118" t="str">
        <f ca="1">OFFSET(ORÇAMENTO!O$15,ROW(E48)-ROW(E$15),0)</f>
        <v>1.5.</v>
      </c>
      <c r="F48" s="164" t="str">
        <f ca="1">OFFSET(ORÇAMENTO!R$15,ROW(F48)-ROW(F$15),0)</f>
        <v>CORRIMÕES E GRADES - PINTURA</v>
      </c>
      <c r="G48" s="165" t="str">
        <f ca="1">IF($D48&lt;&gt;"Serviço","",OFFSET(ORÇAMENTO!S$15,ROW(G48)-ROW(G$15),0))</f>
        <v/>
      </c>
      <c r="H48" s="123">
        <f ca="1">IF($D48&lt;&gt;"Serviço",0,IF(ACOMPANHAMENTO="BM",ROUND(OFFSET(ORÇAMENTO!AJ$15,ROW(H48)-ROW(H$15),0),15-13*ORÇAMENTO!$AF$7),SUMPRODUCT(($Q$1:$AA$1=1)*ROUND($Q48:$AA48,15-13*ORÇAMENTO!$AF$7))))</f>
        <v>0</v>
      </c>
      <c r="I48" s="469"/>
      <c r="J48" s="663" t="str">
        <f ca="1">IF(OR(B48&lt;&gt;"S",CÁLCULO.FrentesPreenchidas=0),"",IF(AND(ACOMPANHAMENTO="PLE",AUTOEVENTO="Manual",OR(H48&gt;0,ORÇAMENTO!AC48="QUANT."),OR(K48="",M48=0,N48="")),"►",IF(AND(ACOMPANHAMENTO="PLE",ORÇAMENTO!AC48="QUANT."),"►►",IF(AND(COUNTIF($P$11:$AA$11,"▼")=0,H48&gt;0,I48=""),"◄",""))))</f>
        <v/>
      </c>
      <c r="K48" s="664"/>
      <c r="L48" s="166" t="s">
        <v>765</v>
      </c>
      <c r="M48" s="167" t="str">
        <f ca="1">IF($D48&lt;&gt;"Serviço","",
          IF(AUTOEVENTO="manual",$A48,
                IF(ISERROR(MATCH($A48,$A$15:OFFSET($A48,-1,0),0)),MAX($M$15:OFFSET(M48,-1,0))+1,
                      INDEX($M$15:OFFSET(M48,-1,0),MATCH($A48,$A$15:OFFSET($A48,-1,0),0)))))</f>
        <v/>
      </c>
      <c r="N48" s="168" t="str">
        <f ca="1">IF($D48&lt;&gt;"Serviço","",
         IF(AUTOEVENTO="Manual",
                IF($A48=0,"&lt;-- defina o número do agrupador",
                       OFFSET(EVENTOS!$D$15,$A48-$A$15,0)),
                OFFSET($F$15,$A48,0)))</f>
        <v/>
      </c>
      <c r="O48" s="169"/>
      <c r="Q48" s="169"/>
      <c r="R48" s="170"/>
      <c r="S48" s="170"/>
      <c r="T48" s="170"/>
      <c r="U48" s="170"/>
      <c r="V48" s="170"/>
      <c r="W48" s="170"/>
      <c r="X48" s="170"/>
      <c r="Y48" s="170"/>
      <c r="Z48" s="171"/>
      <c r="AB48" s="454">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4">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4">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4">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4">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4">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4">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4">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4">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4">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2">
        <f ca="1">IF(OR($D48&lt;&gt;"Serviço",AND(AUTOEVENTO="Manual",$M48=$A$15)),0,
         IF(OFFSET(CRONOPLE!$F$15,$M48-$A$15,AM$13)=0,10^12,OFFSET(CRONOPLE!$F$15,$M48-$A$15,AM$13)))</f>
        <v>0</v>
      </c>
      <c r="AN48" s="172">
        <f ca="1">IF(OR($D48&lt;&gt;"Serviço",AND(AUTOEVENTO="Manual",$M48=$A$15)),0,
         IF(OFFSET(CRONOPLE!$F$15,$M48-$A$15,AN$13)=0,10^12,OFFSET(CRONOPLE!$F$15,$M48-$A$15,AN$13)))</f>
        <v>0</v>
      </c>
      <c r="AO48" s="172">
        <f ca="1">IF(OR($D48&lt;&gt;"Serviço",AND(AUTOEVENTO="Manual",$M48=$A$15)),0,
         IF(OFFSET(CRONOPLE!$F$15,$M48-$A$15,AO$13)=0,10^12,OFFSET(CRONOPLE!$F$15,$M48-$A$15,AO$13)))</f>
        <v>0</v>
      </c>
      <c r="AP48" s="172">
        <f ca="1">IF(OR($D48&lt;&gt;"Serviço",AND(AUTOEVENTO="Manual",$M48=$A$15)),0,
         IF(OFFSET(CRONOPLE!$F$15,$M48-$A$15,AP$13)=0,10^12,OFFSET(CRONOPLE!$F$15,$M48-$A$15,AP$13)))</f>
        <v>0</v>
      </c>
      <c r="AQ48" s="172">
        <f ca="1">IF(OR($D48&lt;&gt;"Serviço",AND(AUTOEVENTO="Manual",$M48=$A$15)),0,
         IF(OFFSET(CRONOPLE!$F$15,$M48-$A$15,AQ$13)=0,10^12,OFFSET(CRONOPLE!$F$15,$M48-$A$15,AQ$13)))</f>
        <v>0</v>
      </c>
      <c r="AR48" s="172">
        <f ca="1">IF(OR($D48&lt;&gt;"Serviço",AND(AUTOEVENTO="Manual",$M48=$A$15)),0,
         IF(OFFSET(CRONOPLE!$F$15,$M48-$A$15,AR$13)=0,10^12,OFFSET(CRONOPLE!$F$15,$M48-$A$15,AR$13)))</f>
        <v>0</v>
      </c>
      <c r="AS48" s="172">
        <f ca="1">IF(OR($D48&lt;&gt;"Serviço",AND(AUTOEVENTO="Manual",$M48=$A$15)),0,
         IF(OFFSET(CRONOPLE!$F$15,$M48-$A$15,AS$13)=0,10^12,OFFSET(CRONOPLE!$F$15,$M48-$A$15,AS$13)))</f>
        <v>0</v>
      </c>
      <c r="AT48" s="172">
        <f ca="1">IF(OR($D48&lt;&gt;"Serviço",AND(AUTOEVENTO="Manual",$M48=$A$15)),0,
         IF(OFFSET(CRONOPLE!$F$15,$M48-$A$15,AT$13)=0,10^12,OFFSET(CRONOPLE!$F$15,$M48-$A$15,AT$13)))</f>
        <v>0</v>
      </c>
      <c r="AU48" s="172">
        <f ca="1">IF(OR($D48&lt;&gt;"Serviço",AND(AUTOEVENTO="Manual",$M48=$A$15)),0,
         IF(OFFSET(CRONOPLE!$F$15,$M48-$A$15,AU$13)=0,10^12,OFFSET(CRONOPLE!$F$15,$M48-$A$15,AU$13)))</f>
        <v>0</v>
      </c>
      <c r="AV48" s="172">
        <f ca="1">IF(OR($D48&lt;&gt;"Serviço",AND(AUTOEVENTO="Manual",$M48=$A$15)),0,
         IF(OFFSET(CRONOPLE!$F$15,$M48-$A$15,AV$13)=0,10^12,OFFSET(CRONOPLE!$F$15,$M48-$A$15,AV$13)))</f>
        <v>0</v>
      </c>
      <c r="AX48" s="173">
        <f ca="1">IF(OR($D48&lt;&gt;"Serviço",AND(AUTOEVENTO="Manual",$M48=$A$15),$M48&gt;(ROW(PLE.lastrow)-ROW(PLE.firstrow))),0,
           IF(OFFSET(PLE!$G$15,$M48-$A$15,AX$13)="",10^12,OFFSET(PLE!$G$15,$M48-$A$15,AX$13)))</f>
        <v>0</v>
      </c>
      <c r="AY48" s="173">
        <f ca="1">IF(OR($D48&lt;&gt;"Serviço",AND(AUTOEVENTO="Manual",$M48=$A$15),$M48&gt;(ROW(PLE.lastrow)-ROW(PLE.firstrow))),0,
           IF(OFFSET(PLE!$G$15,$M48-$A$15,AY$13)="",10^12,OFFSET(PLE!$G$15,$M48-$A$15,AY$13)))</f>
        <v>0</v>
      </c>
      <c r="AZ48" s="173">
        <f ca="1">IF(OR($D48&lt;&gt;"Serviço",AND(AUTOEVENTO="Manual",$M48=$A$15),$M48&gt;(ROW(PLE.lastrow)-ROW(PLE.firstrow))),0,
           IF(OFFSET(PLE!$G$15,$M48-$A$15,AZ$13)="",10^12,OFFSET(PLE!$G$15,$M48-$A$15,AZ$13)))</f>
        <v>0</v>
      </c>
      <c r="BA48" s="173">
        <f ca="1">IF(OR($D48&lt;&gt;"Serviço",AND(AUTOEVENTO="Manual",$M48=$A$15),$M48&gt;(ROW(PLE.lastrow)-ROW(PLE.firstrow))),0,
           IF(OFFSET(PLE!$G$15,$M48-$A$15,BA$13)="",10^12,OFFSET(PLE!$G$15,$M48-$A$15,BA$13)))</f>
        <v>0</v>
      </c>
      <c r="BB48" s="173">
        <f ca="1">IF(OR($D48&lt;&gt;"Serviço",AND(AUTOEVENTO="Manual",$M48=$A$15),$M48&gt;(ROW(PLE.lastrow)-ROW(PLE.firstrow))),0,
           IF(OFFSET(PLE!$G$15,$M48-$A$15,BB$13)="",10^12,OFFSET(PLE!$G$15,$M48-$A$15,BB$13)))</f>
        <v>0</v>
      </c>
      <c r="BC48" s="173">
        <f ca="1">IF(OR($D48&lt;&gt;"Serviço",AND(AUTOEVENTO="Manual",$M48=$A$15),$M48&gt;(ROW(PLE.lastrow)-ROW(PLE.firstrow))),0,
           IF(OFFSET(PLE!$G$15,$M48-$A$15,BC$13)="",10^12,OFFSET(PLE!$G$15,$M48-$A$15,BC$13)))</f>
        <v>0</v>
      </c>
      <c r="BD48" s="173">
        <f ca="1">IF(OR($D48&lt;&gt;"Serviço",AND(AUTOEVENTO="Manual",$M48=$A$15),$M48&gt;(ROW(PLE.lastrow)-ROW(PLE.firstrow))),0,
           IF(OFFSET(PLE!$G$15,$M48-$A$15,BD$13)="",10^12,OFFSET(PLE!$G$15,$M48-$A$15,BD$13)))</f>
        <v>0</v>
      </c>
      <c r="BE48" s="173">
        <f ca="1">IF(OR($D48&lt;&gt;"Serviço",AND(AUTOEVENTO="Manual",$M48=$A$15),$M48&gt;(ROW(PLE.lastrow)-ROW(PLE.firstrow))),0,
           IF(OFFSET(PLE!$G$15,$M48-$A$15,BE$13)="",10^12,OFFSET(PLE!$G$15,$M48-$A$15,BE$13)))</f>
        <v>0</v>
      </c>
      <c r="BF48" s="173">
        <f ca="1">IF(OR($D48&lt;&gt;"Serviço",AND(AUTOEVENTO="Manual",$M48=$A$15),$M48&gt;(ROW(PLE.lastrow)-ROW(PLE.firstrow))),0,
           IF(OFFSET(PLE!$G$15,$M48-$A$15,BF$13)="",10^12,OFFSET(PLE!$G$15,$M48-$A$15,BF$13)))</f>
        <v>0</v>
      </c>
      <c r="BG48" s="173">
        <f ca="1">IF(OR($D48&lt;&gt;"Serviço",AND(AUTOEVENTO="Manual",$M48=$A$15),$M48&gt;(ROW(PLE.lastrow)-ROW(PLE.firstrow))),0,
           IF(OFFSET(PLE!$G$15,$M48-$A$15,BG$13)="",10^12,OFFSET(PLE!$G$15,$M48-$A$15,BG$13)))</f>
        <v>0</v>
      </c>
    </row>
    <row r="49" spans="1:59" ht="38.25" x14ac:dyDescent="0.2">
      <c r="A49" s="7" t="str">
        <f t="shared" ca="1" si="9"/>
        <v>33</v>
      </c>
      <c r="B49" s="7" t="str">
        <f ca="1">OFFSET(ORÇAMENTO!C$15,ROW(B49)-ROW(B$15),0)</f>
        <v>S</v>
      </c>
      <c r="C49" s="7" t="str">
        <f ca="1">OFFSET(ORÇAMENTO!L$15,ROW(C49)-ROW(C$15),0)</f>
        <v>F</v>
      </c>
      <c r="D49" s="117" t="str">
        <f ca="1">OFFSET(ORÇAMENTO!N$15,ROW(D49)-ROW(D$15),0)</f>
        <v>Serviço</v>
      </c>
      <c r="E49" s="118" t="str">
        <f ca="1">OFFSET(ORÇAMENTO!O$15,ROW(E49)-ROW(E$15),0)</f>
        <v>1.5.1.</v>
      </c>
      <c r="F49" s="164" t="str">
        <f ca="1">OFFSET(ORÇAMENTO!R$15,ROW(F49)-ROW(F$15),0)</f>
        <v>PINTURA COM TINTA ACRILICA DE ACABAMENTO PULVERIZADA SOBRE SUPERFICIES METALICAS (EXCETO PERFIL) EXECUTADO EM OBRA (02 DEMAOS). AF_01/2020</v>
      </c>
      <c r="G49" s="165" t="str">
        <f ca="1">IF($D49&lt;&gt;"Serviço","",OFFSET(ORÇAMENTO!S$15,ROW(G49)-ROW(G$15),0))</f>
        <v>M2</v>
      </c>
      <c r="H49" s="123">
        <f ca="1">IF($D49&lt;&gt;"Serviço",0,IF(ACOMPANHAMENTO="BM",ROUND(OFFSET(ORÇAMENTO!AJ$15,ROW(H49)-ROW(H$15),0),15-13*ORÇAMENTO!$AF$7),SUMPRODUCT(($Q$1:$AA$1=1)*ROUND($Q49:$AA49,15-13*ORÇAMENTO!$AF$7))))</f>
        <v>103</v>
      </c>
      <c r="I49" s="469" t="s">
        <v>1012</v>
      </c>
      <c r="J49" s="663" t="str">
        <f ca="1">IF(OR(B49&lt;&gt;"S",CÁLCULO.FrentesPreenchidas=0),"",IF(AND(ACOMPANHAMENTO="PLE",AUTOEVENTO="Manual",OR(H49&gt;0,ORÇAMENTO!AC49="QUANT."),OR(K49="",M49=0,N49="")),"►",IF(AND(ACOMPANHAMENTO="PLE",ORÇAMENTO!AC49="QUANT."),"►►",IF(AND(COUNTIF($P$11:$AA$11,"▼")=0,H49&gt;0,I49=""),"◄",""))))</f>
        <v/>
      </c>
      <c r="K49" s="664"/>
      <c r="L49" s="166" t="s">
        <v>765</v>
      </c>
      <c r="M49" s="167">
        <f ca="1">IF($D49&lt;&gt;"Serviço","",
          IF(AUTOEVENTO="manual",$A49,
                IF(ISERROR(MATCH($A49,$A$15:OFFSET($A49,-1,0),0)),MAX($M$15:OFFSET(M49,-1,0))+1,
                      INDEX($M$15:OFFSET(M49,-1,0),MATCH($A49,$A$15:OFFSET($A49,-1,0),0)))))</f>
        <v>5</v>
      </c>
      <c r="N49" s="168" t="str">
        <f ca="1">IF($D49&lt;&gt;"Serviço","",
         IF(AUTOEVENTO="Manual",
                IF($A49=0,"&lt;-- defina o número do agrupador",
                       OFFSET(EVENTOS!$D$15,$A49-$A$15,0)),
                OFFSET($F$15,$A49,0)))</f>
        <v>CORRIMÕES E GRADES - PINTURA</v>
      </c>
      <c r="O49" s="169"/>
      <c r="Q49" s="169">
        <v>103</v>
      </c>
      <c r="R49" s="170"/>
      <c r="S49" s="170"/>
      <c r="T49" s="170"/>
      <c r="U49" s="170"/>
      <c r="V49" s="170"/>
      <c r="W49" s="170"/>
      <c r="X49" s="170"/>
      <c r="Y49" s="170"/>
      <c r="Z49" s="171"/>
      <c r="AB49" s="454">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2857.22</v>
      </c>
      <c r="AC49" s="454">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4">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4">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4">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4">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4">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4">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4">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4">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2">
        <f ca="1">IF(OR($D49&lt;&gt;"Serviço",AND(AUTOEVENTO="Manual",$M49=$A$15)),0,
         IF(OFFSET(CRONOPLE!$F$15,$M49-$A$15,AM$13)=0,10^12,OFFSET(CRONOPLE!$F$15,$M49-$A$15,AM$13)))</f>
        <v>3</v>
      </c>
      <c r="AN49" s="172">
        <f ca="1">IF(OR($D49&lt;&gt;"Serviço",AND(AUTOEVENTO="Manual",$M49=$A$15)),0,
         IF(OFFSET(CRONOPLE!$F$15,$M49-$A$15,AN$13)=0,10^12,OFFSET(CRONOPLE!$F$15,$M49-$A$15,AN$13)))</f>
        <v>1000000000000</v>
      </c>
      <c r="AO49" s="172">
        <f ca="1">IF(OR($D49&lt;&gt;"Serviço",AND(AUTOEVENTO="Manual",$M49=$A$15)),0,
         IF(OFFSET(CRONOPLE!$F$15,$M49-$A$15,AO$13)=0,10^12,OFFSET(CRONOPLE!$F$15,$M49-$A$15,AO$13)))</f>
        <v>1000000000000</v>
      </c>
      <c r="AP49" s="172">
        <f ca="1">IF(OR($D49&lt;&gt;"Serviço",AND(AUTOEVENTO="Manual",$M49=$A$15)),0,
         IF(OFFSET(CRONOPLE!$F$15,$M49-$A$15,AP$13)=0,10^12,OFFSET(CRONOPLE!$F$15,$M49-$A$15,AP$13)))</f>
        <v>1000000000000</v>
      </c>
      <c r="AQ49" s="172">
        <f ca="1">IF(OR($D49&lt;&gt;"Serviço",AND(AUTOEVENTO="Manual",$M49=$A$15)),0,
         IF(OFFSET(CRONOPLE!$F$15,$M49-$A$15,AQ$13)=0,10^12,OFFSET(CRONOPLE!$F$15,$M49-$A$15,AQ$13)))</f>
        <v>1000000000000</v>
      </c>
      <c r="AR49" s="172">
        <f ca="1">IF(OR($D49&lt;&gt;"Serviço",AND(AUTOEVENTO="Manual",$M49=$A$15)),0,
         IF(OFFSET(CRONOPLE!$F$15,$M49-$A$15,AR$13)=0,10^12,OFFSET(CRONOPLE!$F$15,$M49-$A$15,AR$13)))</f>
        <v>1000000000000</v>
      </c>
      <c r="AS49" s="172">
        <f ca="1">IF(OR($D49&lt;&gt;"Serviço",AND(AUTOEVENTO="Manual",$M49=$A$15)),0,
         IF(OFFSET(CRONOPLE!$F$15,$M49-$A$15,AS$13)=0,10^12,OFFSET(CRONOPLE!$F$15,$M49-$A$15,AS$13)))</f>
        <v>1000000000000</v>
      </c>
      <c r="AT49" s="172">
        <f ca="1">IF(OR($D49&lt;&gt;"Serviço",AND(AUTOEVENTO="Manual",$M49=$A$15)),0,
         IF(OFFSET(CRONOPLE!$F$15,$M49-$A$15,AT$13)=0,10^12,OFFSET(CRONOPLE!$F$15,$M49-$A$15,AT$13)))</f>
        <v>1000000000000</v>
      </c>
      <c r="AU49" s="172">
        <f ca="1">IF(OR($D49&lt;&gt;"Serviço",AND(AUTOEVENTO="Manual",$M49=$A$15)),0,
         IF(OFFSET(CRONOPLE!$F$15,$M49-$A$15,AU$13)=0,10^12,OFFSET(CRONOPLE!$F$15,$M49-$A$15,AU$13)))</f>
        <v>1000000000000</v>
      </c>
      <c r="AV49" s="172">
        <f ca="1">IF(OR($D49&lt;&gt;"Serviço",AND(AUTOEVENTO="Manual",$M49=$A$15)),0,
         IF(OFFSET(CRONOPLE!$F$15,$M49-$A$15,AV$13)=0,10^12,OFFSET(CRONOPLE!$F$15,$M49-$A$15,AV$13)))</f>
        <v>1000000000000</v>
      </c>
      <c r="AX49" s="173">
        <f ca="1">IF(OR($D49&lt;&gt;"Serviço",AND(AUTOEVENTO="Manual",$M49=$A$15),$M49&gt;(ROW(PLE.lastrow)-ROW(PLE.firstrow))),0,
           IF(OFFSET(PLE!$G$15,$M49-$A$15,AX$13)="",10^12,OFFSET(PLE!$G$15,$M49-$A$15,AX$13)))</f>
        <v>1000000000000</v>
      </c>
      <c r="AY49" s="173">
        <f ca="1">IF(OR($D49&lt;&gt;"Serviço",AND(AUTOEVENTO="Manual",$M49=$A$15),$M49&gt;(ROW(PLE.lastrow)-ROW(PLE.firstrow))),0,
           IF(OFFSET(PLE!$G$15,$M49-$A$15,AY$13)="",10^12,OFFSET(PLE!$G$15,$M49-$A$15,AY$13)))</f>
        <v>1000000000000</v>
      </c>
      <c r="AZ49" s="173">
        <f ca="1">IF(OR($D49&lt;&gt;"Serviço",AND(AUTOEVENTO="Manual",$M49=$A$15),$M49&gt;(ROW(PLE.lastrow)-ROW(PLE.firstrow))),0,
           IF(OFFSET(PLE!$G$15,$M49-$A$15,AZ$13)="",10^12,OFFSET(PLE!$G$15,$M49-$A$15,AZ$13)))</f>
        <v>1000000000000</v>
      </c>
      <c r="BA49" s="173">
        <f ca="1">IF(OR($D49&lt;&gt;"Serviço",AND(AUTOEVENTO="Manual",$M49=$A$15),$M49&gt;(ROW(PLE.lastrow)-ROW(PLE.firstrow))),0,
           IF(OFFSET(PLE!$G$15,$M49-$A$15,BA$13)="",10^12,OFFSET(PLE!$G$15,$M49-$A$15,BA$13)))</f>
        <v>1000000000000</v>
      </c>
      <c r="BB49" s="173">
        <f ca="1">IF(OR($D49&lt;&gt;"Serviço",AND(AUTOEVENTO="Manual",$M49=$A$15),$M49&gt;(ROW(PLE.lastrow)-ROW(PLE.firstrow))),0,
           IF(OFFSET(PLE!$G$15,$M49-$A$15,BB$13)="",10^12,OFFSET(PLE!$G$15,$M49-$A$15,BB$13)))</f>
        <v>1000000000000</v>
      </c>
      <c r="BC49" s="173">
        <f ca="1">IF(OR($D49&lt;&gt;"Serviço",AND(AUTOEVENTO="Manual",$M49=$A$15),$M49&gt;(ROW(PLE.lastrow)-ROW(PLE.firstrow))),0,
           IF(OFFSET(PLE!$G$15,$M49-$A$15,BC$13)="",10^12,OFFSET(PLE!$G$15,$M49-$A$15,BC$13)))</f>
        <v>1000000000000</v>
      </c>
      <c r="BD49" s="173">
        <f ca="1">IF(OR($D49&lt;&gt;"Serviço",AND(AUTOEVENTO="Manual",$M49=$A$15),$M49&gt;(ROW(PLE.lastrow)-ROW(PLE.firstrow))),0,
           IF(OFFSET(PLE!$G$15,$M49-$A$15,BD$13)="",10^12,OFFSET(PLE!$G$15,$M49-$A$15,BD$13)))</f>
        <v>1000000000000</v>
      </c>
      <c r="BE49" s="173">
        <f ca="1">IF(OR($D49&lt;&gt;"Serviço",AND(AUTOEVENTO="Manual",$M49=$A$15),$M49&gt;(ROW(PLE.lastrow)-ROW(PLE.firstrow))),0,
           IF(OFFSET(PLE!$G$15,$M49-$A$15,BE$13)="",10^12,OFFSET(PLE!$G$15,$M49-$A$15,BE$13)))</f>
        <v>1000000000000</v>
      </c>
      <c r="BF49" s="173">
        <f ca="1">IF(OR($D49&lt;&gt;"Serviço",AND(AUTOEVENTO="Manual",$M49=$A$15),$M49&gt;(ROW(PLE.lastrow)-ROW(PLE.firstrow))),0,
           IF(OFFSET(PLE!$G$15,$M49-$A$15,BF$13)="",10^12,OFFSET(PLE!$G$15,$M49-$A$15,BF$13)))</f>
        <v>1000000000000</v>
      </c>
      <c r="BG49" s="173">
        <f ca="1">IF(OR($D49&lt;&gt;"Serviço",AND(AUTOEVENTO="Manual",$M49=$A$15),$M49&gt;(ROW(PLE.lastrow)-ROW(PLE.firstrow))),0,
           IF(OFFSET(PLE!$G$15,$M49-$A$15,BG$13)="",10^12,OFFSET(PLE!$G$15,$M49-$A$15,BG$13)))</f>
        <v>1000000000000</v>
      </c>
    </row>
    <row r="50" spans="1:59" ht="12.75" x14ac:dyDescent="0.2">
      <c r="A50" s="7" t="str">
        <f t="shared" ca="1" si="9"/>
        <v>35.</v>
      </c>
      <c r="B50" s="7">
        <f ca="1">OFFSET(ORÇAMENTO!C$15,ROW(B50)-ROW(B$15),0)</f>
        <v>2</v>
      </c>
      <c r="C50" s="7" t="str">
        <f ca="1">OFFSET(ORÇAMENTO!L$15,ROW(C50)-ROW(C$15),0)</f>
        <v>F</v>
      </c>
      <c r="D50" s="117" t="str">
        <f ca="1">OFFSET(ORÇAMENTO!N$15,ROW(D50)-ROW(D$15),0)</f>
        <v>Nível 2</v>
      </c>
      <c r="E50" s="118" t="str">
        <f ca="1">OFFSET(ORÇAMENTO!O$15,ROW(E50)-ROW(E$15),0)</f>
        <v>1.6.</v>
      </c>
      <c r="F50" s="164" t="str">
        <f ca="1">OFFSET(ORÇAMENTO!R$15,ROW(F50)-ROW(F$15),0)</f>
        <v>READEQUAÇÃO DA FACHADA PRINCIPAL</v>
      </c>
      <c r="G50" s="165" t="str">
        <f ca="1">IF($D50&lt;&gt;"Serviço","",OFFSET(ORÇAMENTO!S$15,ROW(G50)-ROW(G$15),0))</f>
        <v/>
      </c>
      <c r="H50" s="123">
        <f ca="1">IF($D50&lt;&gt;"Serviço",0,IF(ACOMPANHAMENTO="BM",ROUND(OFFSET(ORÇAMENTO!AJ$15,ROW(H50)-ROW(H$15),0),15-13*ORÇAMENTO!$AF$7),SUMPRODUCT(($Q$1:$AA$1=1)*ROUND($Q50:$AA50,15-13*ORÇAMENTO!$AF$7))))</f>
        <v>0</v>
      </c>
      <c r="I50" s="469"/>
      <c r="J50" s="663" t="str">
        <f ca="1">IF(OR(B50&lt;&gt;"S",CÁLCULO.FrentesPreenchidas=0),"",IF(AND(ACOMPANHAMENTO="PLE",AUTOEVENTO="Manual",OR(H50&gt;0,ORÇAMENTO!AC50="QUANT."),OR(K50="",M50=0,N50="")),"►",IF(AND(ACOMPANHAMENTO="PLE",ORÇAMENTO!AC50="QUANT."),"►►",IF(AND(COUNTIF($P$11:$AA$11,"▼")=0,H50&gt;0,I50=""),"◄",""))))</f>
        <v/>
      </c>
      <c r="K50" s="664"/>
      <c r="L50" s="166" t="s">
        <v>765</v>
      </c>
      <c r="M50" s="167" t="str">
        <f ca="1">IF($D50&lt;&gt;"Serviço","",
          IF(AUTOEVENTO="manual",$A50,
                IF(ISERROR(MATCH($A50,$A$15:OFFSET($A50,-1,0),0)),MAX($M$15:OFFSET(M50,-1,0))+1,
                      INDEX($M$15:OFFSET(M50,-1,0),MATCH($A50,$A$15:OFFSET($A50,-1,0),0)))))</f>
        <v/>
      </c>
      <c r="N50" s="168" t="str">
        <f ca="1">IF($D50&lt;&gt;"Serviço","",
         IF(AUTOEVENTO="Manual",
                IF($A50=0,"&lt;-- defina o número do agrupador",
                       OFFSET(EVENTOS!$D$15,$A50-$A$15,0)),
                OFFSET($F$15,$A50,0)))</f>
        <v/>
      </c>
      <c r="O50" s="169"/>
      <c r="Q50" s="169"/>
      <c r="R50" s="170"/>
      <c r="S50" s="170"/>
      <c r="T50" s="170"/>
      <c r="U50" s="170"/>
      <c r="V50" s="170"/>
      <c r="W50" s="170"/>
      <c r="X50" s="170"/>
      <c r="Y50" s="170"/>
      <c r="Z50" s="171"/>
      <c r="AB50" s="454">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4">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4">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4">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4">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4">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4">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4">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4">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4">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2">
        <f ca="1">IF(OR($D50&lt;&gt;"Serviço",AND(AUTOEVENTO="Manual",$M50=$A$15)),0,
         IF(OFFSET(CRONOPLE!$F$15,$M50-$A$15,AM$13)=0,10^12,OFFSET(CRONOPLE!$F$15,$M50-$A$15,AM$13)))</f>
        <v>0</v>
      </c>
      <c r="AN50" s="172">
        <f ca="1">IF(OR($D50&lt;&gt;"Serviço",AND(AUTOEVENTO="Manual",$M50=$A$15)),0,
         IF(OFFSET(CRONOPLE!$F$15,$M50-$A$15,AN$13)=0,10^12,OFFSET(CRONOPLE!$F$15,$M50-$A$15,AN$13)))</f>
        <v>0</v>
      </c>
      <c r="AO50" s="172">
        <f ca="1">IF(OR($D50&lt;&gt;"Serviço",AND(AUTOEVENTO="Manual",$M50=$A$15)),0,
         IF(OFFSET(CRONOPLE!$F$15,$M50-$A$15,AO$13)=0,10^12,OFFSET(CRONOPLE!$F$15,$M50-$A$15,AO$13)))</f>
        <v>0</v>
      </c>
      <c r="AP50" s="172">
        <f ca="1">IF(OR($D50&lt;&gt;"Serviço",AND(AUTOEVENTO="Manual",$M50=$A$15)),0,
         IF(OFFSET(CRONOPLE!$F$15,$M50-$A$15,AP$13)=0,10^12,OFFSET(CRONOPLE!$F$15,$M50-$A$15,AP$13)))</f>
        <v>0</v>
      </c>
      <c r="AQ50" s="172">
        <f ca="1">IF(OR($D50&lt;&gt;"Serviço",AND(AUTOEVENTO="Manual",$M50=$A$15)),0,
         IF(OFFSET(CRONOPLE!$F$15,$M50-$A$15,AQ$13)=0,10^12,OFFSET(CRONOPLE!$F$15,$M50-$A$15,AQ$13)))</f>
        <v>0</v>
      </c>
      <c r="AR50" s="172">
        <f ca="1">IF(OR($D50&lt;&gt;"Serviço",AND(AUTOEVENTO="Manual",$M50=$A$15)),0,
         IF(OFFSET(CRONOPLE!$F$15,$M50-$A$15,AR$13)=0,10^12,OFFSET(CRONOPLE!$F$15,$M50-$A$15,AR$13)))</f>
        <v>0</v>
      </c>
      <c r="AS50" s="172">
        <f ca="1">IF(OR($D50&lt;&gt;"Serviço",AND(AUTOEVENTO="Manual",$M50=$A$15)),0,
         IF(OFFSET(CRONOPLE!$F$15,$M50-$A$15,AS$13)=0,10^12,OFFSET(CRONOPLE!$F$15,$M50-$A$15,AS$13)))</f>
        <v>0</v>
      </c>
      <c r="AT50" s="172">
        <f ca="1">IF(OR($D50&lt;&gt;"Serviço",AND(AUTOEVENTO="Manual",$M50=$A$15)),0,
         IF(OFFSET(CRONOPLE!$F$15,$M50-$A$15,AT$13)=0,10^12,OFFSET(CRONOPLE!$F$15,$M50-$A$15,AT$13)))</f>
        <v>0</v>
      </c>
      <c r="AU50" s="172">
        <f ca="1">IF(OR($D50&lt;&gt;"Serviço",AND(AUTOEVENTO="Manual",$M50=$A$15)),0,
         IF(OFFSET(CRONOPLE!$F$15,$M50-$A$15,AU$13)=0,10^12,OFFSET(CRONOPLE!$F$15,$M50-$A$15,AU$13)))</f>
        <v>0</v>
      </c>
      <c r="AV50" s="172">
        <f ca="1">IF(OR($D50&lt;&gt;"Serviço",AND(AUTOEVENTO="Manual",$M50=$A$15)),0,
         IF(OFFSET(CRONOPLE!$F$15,$M50-$A$15,AV$13)=0,10^12,OFFSET(CRONOPLE!$F$15,$M50-$A$15,AV$13)))</f>
        <v>0</v>
      </c>
      <c r="AX50" s="173">
        <f ca="1">IF(OR($D50&lt;&gt;"Serviço",AND(AUTOEVENTO="Manual",$M50=$A$15),$M50&gt;(ROW(PLE.lastrow)-ROW(PLE.firstrow))),0,
           IF(OFFSET(PLE!$G$15,$M50-$A$15,AX$13)="",10^12,OFFSET(PLE!$G$15,$M50-$A$15,AX$13)))</f>
        <v>0</v>
      </c>
      <c r="AY50" s="173">
        <f ca="1">IF(OR($D50&lt;&gt;"Serviço",AND(AUTOEVENTO="Manual",$M50=$A$15),$M50&gt;(ROW(PLE.lastrow)-ROW(PLE.firstrow))),0,
           IF(OFFSET(PLE!$G$15,$M50-$A$15,AY$13)="",10^12,OFFSET(PLE!$G$15,$M50-$A$15,AY$13)))</f>
        <v>0</v>
      </c>
      <c r="AZ50" s="173">
        <f ca="1">IF(OR($D50&lt;&gt;"Serviço",AND(AUTOEVENTO="Manual",$M50=$A$15),$M50&gt;(ROW(PLE.lastrow)-ROW(PLE.firstrow))),0,
           IF(OFFSET(PLE!$G$15,$M50-$A$15,AZ$13)="",10^12,OFFSET(PLE!$G$15,$M50-$A$15,AZ$13)))</f>
        <v>0</v>
      </c>
      <c r="BA50" s="173">
        <f ca="1">IF(OR($D50&lt;&gt;"Serviço",AND(AUTOEVENTO="Manual",$M50=$A$15),$M50&gt;(ROW(PLE.lastrow)-ROW(PLE.firstrow))),0,
           IF(OFFSET(PLE!$G$15,$M50-$A$15,BA$13)="",10^12,OFFSET(PLE!$G$15,$M50-$A$15,BA$13)))</f>
        <v>0</v>
      </c>
      <c r="BB50" s="173">
        <f ca="1">IF(OR($D50&lt;&gt;"Serviço",AND(AUTOEVENTO="Manual",$M50=$A$15),$M50&gt;(ROW(PLE.lastrow)-ROW(PLE.firstrow))),0,
           IF(OFFSET(PLE!$G$15,$M50-$A$15,BB$13)="",10^12,OFFSET(PLE!$G$15,$M50-$A$15,BB$13)))</f>
        <v>0</v>
      </c>
      <c r="BC50" s="173">
        <f ca="1">IF(OR($D50&lt;&gt;"Serviço",AND(AUTOEVENTO="Manual",$M50=$A$15),$M50&gt;(ROW(PLE.lastrow)-ROW(PLE.firstrow))),0,
           IF(OFFSET(PLE!$G$15,$M50-$A$15,BC$13)="",10^12,OFFSET(PLE!$G$15,$M50-$A$15,BC$13)))</f>
        <v>0</v>
      </c>
      <c r="BD50" s="173">
        <f ca="1">IF(OR($D50&lt;&gt;"Serviço",AND(AUTOEVENTO="Manual",$M50=$A$15),$M50&gt;(ROW(PLE.lastrow)-ROW(PLE.firstrow))),0,
           IF(OFFSET(PLE!$G$15,$M50-$A$15,BD$13)="",10^12,OFFSET(PLE!$G$15,$M50-$A$15,BD$13)))</f>
        <v>0</v>
      </c>
      <c r="BE50" s="173">
        <f ca="1">IF(OR($D50&lt;&gt;"Serviço",AND(AUTOEVENTO="Manual",$M50=$A$15),$M50&gt;(ROW(PLE.lastrow)-ROW(PLE.firstrow))),0,
           IF(OFFSET(PLE!$G$15,$M50-$A$15,BE$13)="",10^12,OFFSET(PLE!$G$15,$M50-$A$15,BE$13)))</f>
        <v>0</v>
      </c>
      <c r="BF50" s="173">
        <f ca="1">IF(OR($D50&lt;&gt;"Serviço",AND(AUTOEVENTO="Manual",$M50=$A$15),$M50&gt;(ROW(PLE.lastrow)-ROW(PLE.firstrow))),0,
           IF(OFFSET(PLE!$G$15,$M50-$A$15,BF$13)="",10^12,OFFSET(PLE!$G$15,$M50-$A$15,BF$13)))</f>
        <v>0</v>
      </c>
      <c r="BG50" s="173">
        <f ca="1">IF(OR($D50&lt;&gt;"Serviço",AND(AUTOEVENTO="Manual",$M50=$A$15),$M50&gt;(ROW(PLE.lastrow)-ROW(PLE.firstrow))),0,
           IF(OFFSET(PLE!$G$15,$M50-$A$15,BG$13)="",10^12,OFFSET(PLE!$G$15,$M50-$A$15,BG$13)))</f>
        <v>0</v>
      </c>
    </row>
    <row r="51" spans="1:59" ht="51" x14ac:dyDescent="0.2">
      <c r="A51" s="7" t="str">
        <f t="shared" ca="1" si="9"/>
        <v>35</v>
      </c>
      <c r="B51" s="7" t="str">
        <f ca="1">OFFSET(ORÇAMENTO!C$15,ROW(B51)-ROW(B$15),0)</f>
        <v>S</v>
      </c>
      <c r="C51" s="7" t="str">
        <f ca="1">OFFSET(ORÇAMENTO!L$15,ROW(C51)-ROW(C$15),0)</f>
        <v>F</v>
      </c>
      <c r="D51" s="117" t="str">
        <f ca="1">OFFSET(ORÇAMENTO!N$15,ROW(D51)-ROW(D$15),0)</f>
        <v>Serviço</v>
      </c>
      <c r="E51" s="118" t="str">
        <f ca="1">OFFSET(ORÇAMENTO!O$15,ROW(E51)-ROW(E$15),0)</f>
        <v>1.6.1.</v>
      </c>
      <c r="F51" s="164" t="str">
        <f ca="1">OFFSET(ORÇAMENTO!R$15,ROW(F51)-ROW(F$15),0)</f>
        <v>LAJE PRÉ-MOLDADA UNIDIRECIONAL COM VÃOS MAIORES QUE 3,0 M, BIAPOIADA, PARA PISO, ENCHIMENTO EM CERÂMICA, VIGOTA PROTENDIDA, ALTURA TOTAL DA LAJE "LT" = 16 CM (ENCHIMENTO+CAPA) = (12+4). AF_08/2025</v>
      </c>
      <c r="G51" s="165" t="str">
        <f ca="1">IF($D51&lt;&gt;"Serviço","",OFFSET(ORÇAMENTO!S$15,ROW(G51)-ROW(G$15),0))</f>
        <v>M2</v>
      </c>
      <c r="H51" s="123">
        <f ca="1">IF($D51&lt;&gt;"Serviço",0,IF(ACOMPANHAMENTO="BM",ROUND(OFFSET(ORÇAMENTO!AJ$15,ROW(H51)-ROW(H$15),0),15-13*ORÇAMENTO!$AF$7),SUMPRODUCT(($Q$1:$AA$1=1)*ROUND($Q51:$AA51,15-13*ORÇAMENTO!$AF$7))))</f>
        <v>22.25</v>
      </c>
      <c r="I51" s="469" t="s">
        <v>1022</v>
      </c>
      <c r="J51" s="663" t="str">
        <f ca="1">IF(OR(B51&lt;&gt;"S",CÁLCULO.FrentesPreenchidas=0),"",IF(AND(ACOMPANHAMENTO="PLE",AUTOEVENTO="Manual",OR(H51&gt;0,ORÇAMENTO!AC51="QUANT."),OR(K51="",M51=0,N51="")),"►",IF(AND(ACOMPANHAMENTO="PLE",ORÇAMENTO!AC51="QUANT."),"►►",IF(AND(COUNTIF($P$11:$AA$11,"▼")=0,H51&gt;0,I51=""),"◄",""))))</f>
        <v/>
      </c>
      <c r="K51" s="664"/>
      <c r="L51" s="166" t="s">
        <v>765</v>
      </c>
      <c r="M51" s="167">
        <f ca="1">IF($D51&lt;&gt;"Serviço","",
          IF(AUTOEVENTO="manual",$A51,
                IF(ISERROR(MATCH($A51,$A$15:OFFSET($A51,-1,0),0)),MAX($M$15:OFFSET(M51,-1,0))+1,
                      INDEX($M$15:OFFSET(M51,-1,0),MATCH($A51,$A$15:OFFSET($A51,-1,0),0)))))</f>
        <v>6</v>
      </c>
      <c r="N51" s="168" t="str">
        <f ca="1">IF($D51&lt;&gt;"Serviço","",
         IF(AUTOEVENTO="Manual",
                IF($A51=0,"&lt;-- defina o número do agrupador",
                       OFFSET(EVENTOS!$D$15,$A51-$A$15,0)),
                OFFSET($F$15,$A51,0)))</f>
        <v>READEQUAÇÃO DA FACHADA PRINCIPAL</v>
      </c>
      <c r="O51" s="169"/>
      <c r="Q51" s="169">
        <v>22.25</v>
      </c>
      <c r="R51" s="170"/>
      <c r="S51" s="170"/>
      <c r="T51" s="170"/>
      <c r="U51" s="170"/>
      <c r="V51" s="170"/>
      <c r="W51" s="170"/>
      <c r="X51" s="170"/>
      <c r="Y51" s="170"/>
      <c r="Z51" s="171"/>
      <c r="AB51" s="454">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5143.09</v>
      </c>
      <c r="AC51" s="454">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4">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4">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4">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4">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4">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4">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4">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4">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2">
        <f ca="1">IF(OR($D51&lt;&gt;"Serviço",AND(AUTOEVENTO="Manual",$M51=$A$15)),0,
         IF(OFFSET(CRONOPLE!$F$15,$M51-$A$15,AM$13)=0,10^12,OFFSET(CRONOPLE!$F$15,$M51-$A$15,AM$13)))</f>
        <v>1</v>
      </c>
      <c r="AN51" s="172">
        <f ca="1">IF(OR($D51&lt;&gt;"Serviço",AND(AUTOEVENTO="Manual",$M51=$A$15)),0,
         IF(OFFSET(CRONOPLE!$F$15,$M51-$A$15,AN$13)=0,10^12,OFFSET(CRONOPLE!$F$15,$M51-$A$15,AN$13)))</f>
        <v>1000000000000</v>
      </c>
      <c r="AO51" s="172">
        <f ca="1">IF(OR($D51&lt;&gt;"Serviço",AND(AUTOEVENTO="Manual",$M51=$A$15)),0,
         IF(OFFSET(CRONOPLE!$F$15,$M51-$A$15,AO$13)=0,10^12,OFFSET(CRONOPLE!$F$15,$M51-$A$15,AO$13)))</f>
        <v>1000000000000</v>
      </c>
      <c r="AP51" s="172">
        <f ca="1">IF(OR($D51&lt;&gt;"Serviço",AND(AUTOEVENTO="Manual",$M51=$A$15)),0,
         IF(OFFSET(CRONOPLE!$F$15,$M51-$A$15,AP$13)=0,10^12,OFFSET(CRONOPLE!$F$15,$M51-$A$15,AP$13)))</f>
        <v>1000000000000</v>
      </c>
      <c r="AQ51" s="172">
        <f ca="1">IF(OR($D51&lt;&gt;"Serviço",AND(AUTOEVENTO="Manual",$M51=$A$15)),0,
         IF(OFFSET(CRONOPLE!$F$15,$M51-$A$15,AQ$13)=0,10^12,OFFSET(CRONOPLE!$F$15,$M51-$A$15,AQ$13)))</f>
        <v>1000000000000</v>
      </c>
      <c r="AR51" s="172">
        <f ca="1">IF(OR($D51&lt;&gt;"Serviço",AND(AUTOEVENTO="Manual",$M51=$A$15)),0,
         IF(OFFSET(CRONOPLE!$F$15,$M51-$A$15,AR$13)=0,10^12,OFFSET(CRONOPLE!$F$15,$M51-$A$15,AR$13)))</f>
        <v>1000000000000</v>
      </c>
      <c r="AS51" s="172">
        <f ca="1">IF(OR($D51&lt;&gt;"Serviço",AND(AUTOEVENTO="Manual",$M51=$A$15)),0,
         IF(OFFSET(CRONOPLE!$F$15,$M51-$A$15,AS$13)=0,10^12,OFFSET(CRONOPLE!$F$15,$M51-$A$15,AS$13)))</f>
        <v>1000000000000</v>
      </c>
      <c r="AT51" s="172">
        <f ca="1">IF(OR($D51&lt;&gt;"Serviço",AND(AUTOEVENTO="Manual",$M51=$A$15)),0,
         IF(OFFSET(CRONOPLE!$F$15,$M51-$A$15,AT$13)=0,10^12,OFFSET(CRONOPLE!$F$15,$M51-$A$15,AT$13)))</f>
        <v>1000000000000</v>
      </c>
      <c r="AU51" s="172">
        <f ca="1">IF(OR($D51&lt;&gt;"Serviço",AND(AUTOEVENTO="Manual",$M51=$A$15)),0,
         IF(OFFSET(CRONOPLE!$F$15,$M51-$A$15,AU$13)=0,10^12,OFFSET(CRONOPLE!$F$15,$M51-$A$15,AU$13)))</f>
        <v>1000000000000</v>
      </c>
      <c r="AV51" s="172">
        <f ca="1">IF(OR($D51&lt;&gt;"Serviço",AND(AUTOEVENTO="Manual",$M51=$A$15)),0,
         IF(OFFSET(CRONOPLE!$F$15,$M51-$A$15,AV$13)=0,10^12,OFFSET(CRONOPLE!$F$15,$M51-$A$15,AV$13)))</f>
        <v>1000000000000</v>
      </c>
      <c r="AX51" s="173">
        <f ca="1">IF(OR($D51&lt;&gt;"Serviço",AND(AUTOEVENTO="Manual",$M51=$A$15),$M51&gt;(ROW(PLE.lastrow)-ROW(PLE.firstrow))),0,
           IF(OFFSET(PLE!$G$15,$M51-$A$15,AX$13)="",10^12,OFFSET(PLE!$G$15,$M51-$A$15,AX$13)))</f>
        <v>1000000000000</v>
      </c>
      <c r="AY51" s="173">
        <f ca="1">IF(OR($D51&lt;&gt;"Serviço",AND(AUTOEVENTO="Manual",$M51=$A$15),$M51&gt;(ROW(PLE.lastrow)-ROW(PLE.firstrow))),0,
           IF(OFFSET(PLE!$G$15,$M51-$A$15,AY$13)="",10^12,OFFSET(PLE!$G$15,$M51-$A$15,AY$13)))</f>
        <v>1000000000000</v>
      </c>
      <c r="AZ51" s="173">
        <f ca="1">IF(OR($D51&lt;&gt;"Serviço",AND(AUTOEVENTO="Manual",$M51=$A$15),$M51&gt;(ROW(PLE.lastrow)-ROW(PLE.firstrow))),0,
           IF(OFFSET(PLE!$G$15,$M51-$A$15,AZ$13)="",10^12,OFFSET(PLE!$G$15,$M51-$A$15,AZ$13)))</f>
        <v>1000000000000</v>
      </c>
      <c r="BA51" s="173">
        <f ca="1">IF(OR($D51&lt;&gt;"Serviço",AND(AUTOEVENTO="Manual",$M51=$A$15),$M51&gt;(ROW(PLE.lastrow)-ROW(PLE.firstrow))),0,
           IF(OFFSET(PLE!$G$15,$M51-$A$15,BA$13)="",10^12,OFFSET(PLE!$G$15,$M51-$A$15,BA$13)))</f>
        <v>1000000000000</v>
      </c>
      <c r="BB51" s="173">
        <f ca="1">IF(OR($D51&lt;&gt;"Serviço",AND(AUTOEVENTO="Manual",$M51=$A$15),$M51&gt;(ROW(PLE.lastrow)-ROW(PLE.firstrow))),0,
           IF(OFFSET(PLE!$G$15,$M51-$A$15,BB$13)="",10^12,OFFSET(PLE!$G$15,$M51-$A$15,BB$13)))</f>
        <v>1000000000000</v>
      </c>
      <c r="BC51" s="173">
        <f ca="1">IF(OR($D51&lt;&gt;"Serviço",AND(AUTOEVENTO="Manual",$M51=$A$15),$M51&gt;(ROW(PLE.lastrow)-ROW(PLE.firstrow))),0,
           IF(OFFSET(PLE!$G$15,$M51-$A$15,BC$13)="",10^12,OFFSET(PLE!$G$15,$M51-$A$15,BC$13)))</f>
        <v>1000000000000</v>
      </c>
      <c r="BD51" s="173">
        <f ca="1">IF(OR($D51&lt;&gt;"Serviço",AND(AUTOEVENTO="Manual",$M51=$A$15),$M51&gt;(ROW(PLE.lastrow)-ROW(PLE.firstrow))),0,
           IF(OFFSET(PLE!$G$15,$M51-$A$15,BD$13)="",10^12,OFFSET(PLE!$G$15,$M51-$A$15,BD$13)))</f>
        <v>1000000000000</v>
      </c>
      <c r="BE51" s="173">
        <f ca="1">IF(OR($D51&lt;&gt;"Serviço",AND(AUTOEVENTO="Manual",$M51=$A$15),$M51&gt;(ROW(PLE.lastrow)-ROW(PLE.firstrow))),0,
           IF(OFFSET(PLE!$G$15,$M51-$A$15,BE$13)="",10^12,OFFSET(PLE!$G$15,$M51-$A$15,BE$13)))</f>
        <v>1000000000000</v>
      </c>
      <c r="BF51" s="173">
        <f ca="1">IF(OR($D51&lt;&gt;"Serviço",AND(AUTOEVENTO="Manual",$M51=$A$15),$M51&gt;(ROW(PLE.lastrow)-ROW(PLE.firstrow))),0,
           IF(OFFSET(PLE!$G$15,$M51-$A$15,BF$13)="",10^12,OFFSET(PLE!$G$15,$M51-$A$15,BF$13)))</f>
        <v>1000000000000</v>
      </c>
      <c r="BG51" s="173">
        <f ca="1">IF(OR($D51&lt;&gt;"Serviço",AND(AUTOEVENTO="Manual",$M51=$A$15),$M51&gt;(ROW(PLE.lastrow)-ROW(PLE.firstrow))),0,
           IF(OFFSET(PLE!$G$15,$M51-$A$15,BG$13)="",10^12,OFFSET(PLE!$G$15,$M51-$A$15,BG$13)))</f>
        <v>1000000000000</v>
      </c>
    </row>
    <row r="52" spans="1:59" ht="38.25" x14ac:dyDescent="0.2">
      <c r="A52" s="7" t="str">
        <f t="shared" ca="1" si="9"/>
        <v>35</v>
      </c>
      <c r="B52" s="7" t="str">
        <f ca="1">OFFSET(ORÇAMENTO!C$15,ROW(B52)-ROW(B$15),0)</f>
        <v>S</v>
      </c>
      <c r="C52" s="7" t="str">
        <f ca="1">OFFSET(ORÇAMENTO!L$15,ROW(C52)-ROW(C$15),0)</f>
        <v>F</v>
      </c>
      <c r="D52" s="117" t="str">
        <f ca="1">OFFSET(ORÇAMENTO!N$15,ROW(D52)-ROW(D$15),0)</f>
        <v>Serviço</v>
      </c>
      <c r="E52" s="118" t="str">
        <f ca="1">OFFSET(ORÇAMENTO!O$15,ROW(E52)-ROW(E$15),0)</f>
        <v>1.6.2.</v>
      </c>
      <c r="F52" s="164" t="str">
        <f ca="1">OFFSET(ORÇAMENTO!R$15,ROW(F52)-ROW(F$15),0)</f>
        <v>PONTALETE ROLICO SEM TRATAMENTO, D = 8 A 11 CM, H = 6 M, EM EUCALIPTO OU EQUIVALENTE DA REGIAO - BRUTA (PARA ESCORAMENTO)</v>
      </c>
      <c r="G52" s="165" t="str">
        <f ca="1">IF($D52&lt;&gt;"Serviço","",OFFSET(ORÇAMENTO!S$15,ROW(G52)-ROW(G$15),0))</f>
        <v>M</v>
      </c>
      <c r="H52" s="123">
        <f ca="1">IF($D52&lt;&gt;"Serviço",0,IF(ACOMPANHAMENTO="BM",ROUND(OFFSET(ORÇAMENTO!AJ$15,ROW(H52)-ROW(H$15),0),15-13*ORÇAMENTO!$AF$7),SUMPRODUCT(($Q$1:$AA$1=1)*ROUND($Q52:$AA52,15-13*ORÇAMENTO!$AF$7))))</f>
        <v>158</v>
      </c>
      <c r="I52" s="469" t="s">
        <v>1024</v>
      </c>
      <c r="J52" s="663" t="str">
        <f ca="1">IF(OR(B52&lt;&gt;"S",CÁLCULO.FrentesPreenchidas=0),"",IF(AND(ACOMPANHAMENTO="PLE",AUTOEVENTO="Manual",OR(H52&gt;0,ORÇAMENTO!AC52="QUANT."),OR(K52="",M52=0,N52="")),"►",IF(AND(ACOMPANHAMENTO="PLE",ORÇAMENTO!AC52="QUANT."),"►►",IF(AND(COUNTIF($P$11:$AA$11,"▼")=0,H52&gt;0,I52=""),"◄",""))))</f>
        <v/>
      </c>
      <c r="K52" s="664"/>
      <c r="L52" s="166" t="s">
        <v>765</v>
      </c>
      <c r="M52" s="167">
        <f ca="1">IF($D52&lt;&gt;"Serviço","",
          IF(AUTOEVENTO="manual",$A52,
                IF(ISERROR(MATCH($A52,$A$15:OFFSET($A52,-1,0),0)),MAX($M$15:OFFSET(M52,-1,0))+1,
                      INDEX($M$15:OFFSET(M52,-1,0),MATCH($A52,$A$15:OFFSET($A52,-1,0),0)))))</f>
        <v>6</v>
      </c>
      <c r="N52" s="168" t="str">
        <f ca="1">IF($D52&lt;&gt;"Serviço","",
         IF(AUTOEVENTO="Manual",
                IF($A52=0,"&lt;-- defina o número do agrupador",
                       OFFSET(EVENTOS!$D$15,$A52-$A$15,0)),
                OFFSET($F$15,$A52,0)))</f>
        <v>READEQUAÇÃO DA FACHADA PRINCIPAL</v>
      </c>
      <c r="O52" s="169"/>
      <c r="Q52" s="169">
        <v>158</v>
      </c>
      <c r="R52" s="170"/>
      <c r="S52" s="170"/>
      <c r="T52" s="170"/>
      <c r="U52" s="170"/>
      <c r="V52" s="170"/>
      <c r="W52" s="170"/>
      <c r="X52" s="170"/>
      <c r="Y52" s="170"/>
      <c r="Z52" s="171"/>
      <c r="AB52" s="454">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1336.68</v>
      </c>
      <c r="AC52" s="454">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4">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4">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4">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4">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4">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4">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4">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4">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2">
        <f ca="1">IF(OR($D52&lt;&gt;"Serviço",AND(AUTOEVENTO="Manual",$M52=$A$15)),0,
         IF(OFFSET(CRONOPLE!$F$15,$M52-$A$15,AM$13)=0,10^12,OFFSET(CRONOPLE!$F$15,$M52-$A$15,AM$13)))</f>
        <v>1</v>
      </c>
      <c r="AN52" s="172">
        <f ca="1">IF(OR($D52&lt;&gt;"Serviço",AND(AUTOEVENTO="Manual",$M52=$A$15)),0,
         IF(OFFSET(CRONOPLE!$F$15,$M52-$A$15,AN$13)=0,10^12,OFFSET(CRONOPLE!$F$15,$M52-$A$15,AN$13)))</f>
        <v>1000000000000</v>
      </c>
      <c r="AO52" s="172">
        <f ca="1">IF(OR($D52&lt;&gt;"Serviço",AND(AUTOEVENTO="Manual",$M52=$A$15)),0,
         IF(OFFSET(CRONOPLE!$F$15,$M52-$A$15,AO$13)=0,10^12,OFFSET(CRONOPLE!$F$15,$M52-$A$15,AO$13)))</f>
        <v>1000000000000</v>
      </c>
      <c r="AP52" s="172">
        <f ca="1">IF(OR($D52&lt;&gt;"Serviço",AND(AUTOEVENTO="Manual",$M52=$A$15)),0,
         IF(OFFSET(CRONOPLE!$F$15,$M52-$A$15,AP$13)=0,10^12,OFFSET(CRONOPLE!$F$15,$M52-$A$15,AP$13)))</f>
        <v>1000000000000</v>
      </c>
      <c r="AQ52" s="172">
        <f ca="1">IF(OR($D52&lt;&gt;"Serviço",AND(AUTOEVENTO="Manual",$M52=$A$15)),0,
         IF(OFFSET(CRONOPLE!$F$15,$M52-$A$15,AQ$13)=0,10^12,OFFSET(CRONOPLE!$F$15,$M52-$A$15,AQ$13)))</f>
        <v>1000000000000</v>
      </c>
      <c r="AR52" s="172">
        <f ca="1">IF(OR($D52&lt;&gt;"Serviço",AND(AUTOEVENTO="Manual",$M52=$A$15)),0,
         IF(OFFSET(CRONOPLE!$F$15,$M52-$A$15,AR$13)=0,10^12,OFFSET(CRONOPLE!$F$15,$M52-$A$15,AR$13)))</f>
        <v>1000000000000</v>
      </c>
      <c r="AS52" s="172">
        <f ca="1">IF(OR($D52&lt;&gt;"Serviço",AND(AUTOEVENTO="Manual",$M52=$A$15)),0,
         IF(OFFSET(CRONOPLE!$F$15,$M52-$A$15,AS$13)=0,10^12,OFFSET(CRONOPLE!$F$15,$M52-$A$15,AS$13)))</f>
        <v>1000000000000</v>
      </c>
      <c r="AT52" s="172">
        <f ca="1">IF(OR($D52&lt;&gt;"Serviço",AND(AUTOEVENTO="Manual",$M52=$A$15)),0,
         IF(OFFSET(CRONOPLE!$F$15,$M52-$A$15,AT$13)=0,10^12,OFFSET(CRONOPLE!$F$15,$M52-$A$15,AT$13)))</f>
        <v>1000000000000</v>
      </c>
      <c r="AU52" s="172">
        <f ca="1">IF(OR($D52&lt;&gt;"Serviço",AND(AUTOEVENTO="Manual",$M52=$A$15)),0,
         IF(OFFSET(CRONOPLE!$F$15,$M52-$A$15,AU$13)=0,10^12,OFFSET(CRONOPLE!$F$15,$M52-$A$15,AU$13)))</f>
        <v>1000000000000</v>
      </c>
      <c r="AV52" s="172">
        <f ca="1">IF(OR($D52&lt;&gt;"Serviço",AND(AUTOEVENTO="Manual",$M52=$A$15)),0,
         IF(OFFSET(CRONOPLE!$F$15,$M52-$A$15,AV$13)=0,10^12,OFFSET(CRONOPLE!$F$15,$M52-$A$15,AV$13)))</f>
        <v>1000000000000</v>
      </c>
      <c r="AX52" s="173">
        <f ca="1">IF(OR($D52&lt;&gt;"Serviço",AND(AUTOEVENTO="Manual",$M52=$A$15),$M52&gt;(ROW(PLE.lastrow)-ROW(PLE.firstrow))),0,
           IF(OFFSET(PLE!$G$15,$M52-$A$15,AX$13)="",10^12,OFFSET(PLE!$G$15,$M52-$A$15,AX$13)))</f>
        <v>1000000000000</v>
      </c>
      <c r="AY52" s="173">
        <f ca="1">IF(OR($D52&lt;&gt;"Serviço",AND(AUTOEVENTO="Manual",$M52=$A$15),$M52&gt;(ROW(PLE.lastrow)-ROW(PLE.firstrow))),0,
           IF(OFFSET(PLE!$G$15,$M52-$A$15,AY$13)="",10^12,OFFSET(PLE!$G$15,$M52-$A$15,AY$13)))</f>
        <v>1000000000000</v>
      </c>
      <c r="AZ52" s="173">
        <f ca="1">IF(OR($D52&lt;&gt;"Serviço",AND(AUTOEVENTO="Manual",$M52=$A$15),$M52&gt;(ROW(PLE.lastrow)-ROW(PLE.firstrow))),0,
           IF(OFFSET(PLE!$G$15,$M52-$A$15,AZ$13)="",10^12,OFFSET(PLE!$G$15,$M52-$A$15,AZ$13)))</f>
        <v>1000000000000</v>
      </c>
      <c r="BA52" s="173">
        <f ca="1">IF(OR($D52&lt;&gt;"Serviço",AND(AUTOEVENTO="Manual",$M52=$A$15),$M52&gt;(ROW(PLE.lastrow)-ROW(PLE.firstrow))),0,
           IF(OFFSET(PLE!$G$15,$M52-$A$15,BA$13)="",10^12,OFFSET(PLE!$G$15,$M52-$A$15,BA$13)))</f>
        <v>1000000000000</v>
      </c>
      <c r="BB52" s="173">
        <f ca="1">IF(OR($D52&lt;&gt;"Serviço",AND(AUTOEVENTO="Manual",$M52=$A$15),$M52&gt;(ROW(PLE.lastrow)-ROW(PLE.firstrow))),0,
           IF(OFFSET(PLE!$G$15,$M52-$A$15,BB$13)="",10^12,OFFSET(PLE!$G$15,$M52-$A$15,BB$13)))</f>
        <v>1000000000000</v>
      </c>
      <c r="BC52" s="173">
        <f ca="1">IF(OR($D52&lt;&gt;"Serviço",AND(AUTOEVENTO="Manual",$M52=$A$15),$M52&gt;(ROW(PLE.lastrow)-ROW(PLE.firstrow))),0,
           IF(OFFSET(PLE!$G$15,$M52-$A$15,BC$13)="",10^12,OFFSET(PLE!$G$15,$M52-$A$15,BC$13)))</f>
        <v>1000000000000</v>
      </c>
      <c r="BD52" s="173">
        <f ca="1">IF(OR($D52&lt;&gt;"Serviço",AND(AUTOEVENTO="Manual",$M52=$A$15),$M52&gt;(ROW(PLE.lastrow)-ROW(PLE.firstrow))),0,
           IF(OFFSET(PLE!$G$15,$M52-$A$15,BD$13)="",10^12,OFFSET(PLE!$G$15,$M52-$A$15,BD$13)))</f>
        <v>1000000000000</v>
      </c>
      <c r="BE52" s="173">
        <f ca="1">IF(OR($D52&lt;&gt;"Serviço",AND(AUTOEVENTO="Manual",$M52=$A$15),$M52&gt;(ROW(PLE.lastrow)-ROW(PLE.firstrow))),0,
           IF(OFFSET(PLE!$G$15,$M52-$A$15,BE$13)="",10^12,OFFSET(PLE!$G$15,$M52-$A$15,BE$13)))</f>
        <v>1000000000000</v>
      </c>
      <c r="BF52" s="173">
        <f ca="1">IF(OR($D52&lt;&gt;"Serviço",AND(AUTOEVENTO="Manual",$M52=$A$15),$M52&gt;(ROW(PLE.lastrow)-ROW(PLE.firstrow))),0,
           IF(OFFSET(PLE!$G$15,$M52-$A$15,BF$13)="",10^12,OFFSET(PLE!$G$15,$M52-$A$15,BF$13)))</f>
        <v>1000000000000</v>
      </c>
      <c r="BG52" s="173">
        <f ca="1">IF(OR($D52&lt;&gt;"Serviço",AND(AUTOEVENTO="Manual",$M52=$A$15),$M52&gt;(ROW(PLE.lastrow)-ROW(PLE.firstrow))),0,
           IF(OFFSET(PLE!$G$15,$M52-$A$15,BG$13)="",10^12,OFFSET(PLE!$G$15,$M52-$A$15,BG$13)))</f>
        <v>1000000000000</v>
      </c>
    </row>
    <row r="53" spans="1:59" ht="25.5" x14ac:dyDescent="0.2">
      <c r="A53" s="7" t="str">
        <f t="shared" ca="1" si="9"/>
        <v>35</v>
      </c>
      <c r="B53" s="7" t="str">
        <f ca="1">OFFSET(ORÇAMENTO!C$15,ROW(B53)-ROW(B$15),0)</f>
        <v>S</v>
      </c>
      <c r="C53" s="7" t="str">
        <f ca="1">OFFSET(ORÇAMENTO!L$15,ROW(C53)-ROW(C$15),0)</f>
        <v>F</v>
      </c>
      <c r="D53" s="117" t="str">
        <f ca="1">OFFSET(ORÇAMENTO!N$15,ROW(D53)-ROW(D$15),0)</f>
        <v>Serviço</v>
      </c>
      <c r="E53" s="118" t="str">
        <f ca="1">OFFSET(ORÇAMENTO!O$15,ROW(E53)-ROW(E$15),0)</f>
        <v>1.6.3.</v>
      </c>
      <c r="F53" s="164" t="str">
        <f ca="1">OFFSET(ORÇAMENTO!R$15,ROW(F53)-ROW(F$15),0)</f>
        <v>FABRICAÇÃO DE FÔRMA PARA PILARES E ESTRUTURAS SIMILARES, EM MADEIRA SERRADA, E=25 MM. AF_09/2020</v>
      </c>
      <c r="G53" s="165" t="str">
        <f ca="1">IF($D53&lt;&gt;"Serviço","",OFFSET(ORÇAMENTO!S$15,ROW(G53)-ROW(G$15),0))</f>
        <v>M2</v>
      </c>
      <c r="H53" s="123">
        <f ca="1">IF($D53&lt;&gt;"Serviço",0,IF(ACOMPANHAMENTO="BM",ROUND(OFFSET(ORÇAMENTO!AJ$15,ROW(H53)-ROW(H$15),0),15-13*ORÇAMENTO!$AF$7),SUMPRODUCT(($Q$1:$AA$1=1)*ROUND($Q53:$AA53,15-13*ORÇAMENTO!$AF$7))))</f>
        <v>12.6</v>
      </c>
      <c r="I53" s="469" t="s">
        <v>1033</v>
      </c>
      <c r="J53" s="663" t="str">
        <f ca="1">IF(OR(B53&lt;&gt;"S",CÁLCULO.FrentesPreenchidas=0),"",IF(AND(ACOMPANHAMENTO="PLE",AUTOEVENTO="Manual",OR(H53&gt;0,ORÇAMENTO!AC53="QUANT."),OR(K53="",M53=0,N53="")),"►",IF(AND(ACOMPANHAMENTO="PLE",ORÇAMENTO!AC53="QUANT."),"►►",IF(AND(COUNTIF($P$11:$AA$11,"▼")=0,H53&gt;0,I53=""),"◄",""))))</f>
        <v/>
      </c>
      <c r="K53" s="664"/>
      <c r="L53" s="166" t="s">
        <v>765</v>
      </c>
      <c r="M53" s="167">
        <f ca="1">IF($D53&lt;&gt;"Serviço","",
          IF(AUTOEVENTO="manual",$A53,
                IF(ISERROR(MATCH($A53,$A$15:OFFSET($A53,-1,0),0)),MAX($M$15:OFFSET(M53,-1,0))+1,
                      INDEX($M$15:OFFSET(M53,-1,0),MATCH($A53,$A$15:OFFSET($A53,-1,0),0)))))</f>
        <v>6</v>
      </c>
      <c r="N53" s="168" t="str">
        <f ca="1">IF($D53&lt;&gt;"Serviço","",
         IF(AUTOEVENTO="Manual",
                IF($A53=0,"&lt;-- defina o número do agrupador",
                       OFFSET(EVENTOS!$D$15,$A53-$A$15,0)),
                OFFSET($F$15,$A53,0)))</f>
        <v>READEQUAÇÃO DA FACHADA PRINCIPAL</v>
      </c>
      <c r="O53" s="169"/>
      <c r="Q53" s="169">
        <v>12.6</v>
      </c>
      <c r="R53" s="170"/>
      <c r="S53" s="170"/>
      <c r="T53" s="170"/>
      <c r="U53" s="170"/>
      <c r="V53" s="170"/>
      <c r="W53" s="170"/>
      <c r="X53" s="170"/>
      <c r="Y53" s="170"/>
      <c r="Z53" s="171"/>
      <c r="AB53" s="454">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1719.65</v>
      </c>
      <c r="AC53" s="454">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4">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4">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4">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4">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4">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4">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4">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4">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2">
        <f ca="1">IF(OR($D53&lt;&gt;"Serviço",AND(AUTOEVENTO="Manual",$M53=$A$15)),0,
         IF(OFFSET(CRONOPLE!$F$15,$M53-$A$15,AM$13)=0,10^12,OFFSET(CRONOPLE!$F$15,$M53-$A$15,AM$13)))</f>
        <v>1</v>
      </c>
      <c r="AN53" s="172">
        <f ca="1">IF(OR($D53&lt;&gt;"Serviço",AND(AUTOEVENTO="Manual",$M53=$A$15)),0,
         IF(OFFSET(CRONOPLE!$F$15,$M53-$A$15,AN$13)=0,10^12,OFFSET(CRONOPLE!$F$15,$M53-$A$15,AN$13)))</f>
        <v>1000000000000</v>
      </c>
      <c r="AO53" s="172">
        <f ca="1">IF(OR($D53&lt;&gt;"Serviço",AND(AUTOEVENTO="Manual",$M53=$A$15)),0,
         IF(OFFSET(CRONOPLE!$F$15,$M53-$A$15,AO$13)=0,10^12,OFFSET(CRONOPLE!$F$15,$M53-$A$15,AO$13)))</f>
        <v>1000000000000</v>
      </c>
      <c r="AP53" s="172">
        <f ca="1">IF(OR($D53&lt;&gt;"Serviço",AND(AUTOEVENTO="Manual",$M53=$A$15)),0,
         IF(OFFSET(CRONOPLE!$F$15,$M53-$A$15,AP$13)=0,10^12,OFFSET(CRONOPLE!$F$15,$M53-$A$15,AP$13)))</f>
        <v>1000000000000</v>
      </c>
      <c r="AQ53" s="172">
        <f ca="1">IF(OR($D53&lt;&gt;"Serviço",AND(AUTOEVENTO="Manual",$M53=$A$15)),0,
         IF(OFFSET(CRONOPLE!$F$15,$M53-$A$15,AQ$13)=0,10^12,OFFSET(CRONOPLE!$F$15,$M53-$A$15,AQ$13)))</f>
        <v>1000000000000</v>
      </c>
      <c r="AR53" s="172">
        <f ca="1">IF(OR($D53&lt;&gt;"Serviço",AND(AUTOEVENTO="Manual",$M53=$A$15)),0,
         IF(OFFSET(CRONOPLE!$F$15,$M53-$A$15,AR$13)=0,10^12,OFFSET(CRONOPLE!$F$15,$M53-$A$15,AR$13)))</f>
        <v>1000000000000</v>
      </c>
      <c r="AS53" s="172">
        <f ca="1">IF(OR($D53&lt;&gt;"Serviço",AND(AUTOEVENTO="Manual",$M53=$A$15)),0,
         IF(OFFSET(CRONOPLE!$F$15,$M53-$A$15,AS$13)=0,10^12,OFFSET(CRONOPLE!$F$15,$M53-$A$15,AS$13)))</f>
        <v>1000000000000</v>
      </c>
      <c r="AT53" s="172">
        <f ca="1">IF(OR($D53&lt;&gt;"Serviço",AND(AUTOEVENTO="Manual",$M53=$A$15)),0,
         IF(OFFSET(CRONOPLE!$F$15,$M53-$A$15,AT$13)=0,10^12,OFFSET(CRONOPLE!$F$15,$M53-$A$15,AT$13)))</f>
        <v>1000000000000</v>
      </c>
      <c r="AU53" s="172">
        <f ca="1">IF(OR($D53&lt;&gt;"Serviço",AND(AUTOEVENTO="Manual",$M53=$A$15)),0,
         IF(OFFSET(CRONOPLE!$F$15,$M53-$A$15,AU$13)=0,10^12,OFFSET(CRONOPLE!$F$15,$M53-$A$15,AU$13)))</f>
        <v>1000000000000</v>
      </c>
      <c r="AV53" s="172">
        <f ca="1">IF(OR($D53&lt;&gt;"Serviço",AND(AUTOEVENTO="Manual",$M53=$A$15)),0,
         IF(OFFSET(CRONOPLE!$F$15,$M53-$A$15,AV$13)=0,10^12,OFFSET(CRONOPLE!$F$15,$M53-$A$15,AV$13)))</f>
        <v>1000000000000</v>
      </c>
      <c r="AX53" s="173">
        <f ca="1">IF(OR($D53&lt;&gt;"Serviço",AND(AUTOEVENTO="Manual",$M53=$A$15),$M53&gt;(ROW(PLE.lastrow)-ROW(PLE.firstrow))),0,
           IF(OFFSET(PLE!$G$15,$M53-$A$15,AX$13)="",10^12,OFFSET(PLE!$G$15,$M53-$A$15,AX$13)))</f>
        <v>1000000000000</v>
      </c>
      <c r="AY53" s="173">
        <f ca="1">IF(OR($D53&lt;&gt;"Serviço",AND(AUTOEVENTO="Manual",$M53=$A$15),$M53&gt;(ROW(PLE.lastrow)-ROW(PLE.firstrow))),0,
           IF(OFFSET(PLE!$G$15,$M53-$A$15,AY$13)="",10^12,OFFSET(PLE!$G$15,$M53-$A$15,AY$13)))</f>
        <v>1000000000000</v>
      </c>
      <c r="AZ53" s="173">
        <f ca="1">IF(OR($D53&lt;&gt;"Serviço",AND(AUTOEVENTO="Manual",$M53=$A$15),$M53&gt;(ROW(PLE.lastrow)-ROW(PLE.firstrow))),0,
           IF(OFFSET(PLE!$G$15,$M53-$A$15,AZ$13)="",10^12,OFFSET(PLE!$G$15,$M53-$A$15,AZ$13)))</f>
        <v>1000000000000</v>
      </c>
      <c r="BA53" s="173">
        <f ca="1">IF(OR($D53&lt;&gt;"Serviço",AND(AUTOEVENTO="Manual",$M53=$A$15),$M53&gt;(ROW(PLE.lastrow)-ROW(PLE.firstrow))),0,
           IF(OFFSET(PLE!$G$15,$M53-$A$15,BA$13)="",10^12,OFFSET(PLE!$G$15,$M53-$A$15,BA$13)))</f>
        <v>1000000000000</v>
      </c>
      <c r="BB53" s="173">
        <f ca="1">IF(OR($D53&lt;&gt;"Serviço",AND(AUTOEVENTO="Manual",$M53=$A$15),$M53&gt;(ROW(PLE.lastrow)-ROW(PLE.firstrow))),0,
           IF(OFFSET(PLE!$G$15,$M53-$A$15,BB$13)="",10^12,OFFSET(PLE!$G$15,$M53-$A$15,BB$13)))</f>
        <v>1000000000000</v>
      </c>
      <c r="BC53" s="173">
        <f ca="1">IF(OR($D53&lt;&gt;"Serviço",AND(AUTOEVENTO="Manual",$M53=$A$15),$M53&gt;(ROW(PLE.lastrow)-ROW(PLE.firstrow))),0,
           IF(OFFSET(PLE!$G$15,$M53-$A$15,BC$13)="",10^12,OFFSET(PLE!$G$15,$M53-$A$15,BC$13)))</f>
        <v>1000000000000</v>
      </c>
      <c r="BD53" s="173">
        <f ca="1">IF(OR($D53&lt;&gt;"Serviço",AND(AUTOEVENTO="Manual",$M53=$A$15),$M53&gt;(ROW(PLE.lastrow)-ROW(PLE.firstrow))),0,
           IF(OFFSET(PLE!$G$15,$M53-$A$15,BD$13)="",10^12,OFFSET(PLE!$G$15,$M53-$A$15,BD$13)))</f>
        <v>1000000000000</v>
      </c>
      <c r="BE53" s="173">
        <f ca="1">IF(OR($D53&lt;&gt;"Serviço",AND(AUTOEVENTO="Manual",$M53=$A$15),$M53&gt;(ROW(PLE.lastrow)-ROW(PLE.firstrow))),0,
           IF(OFFSET(PLE!$G$15,$M53-$A$15,BE$13)="",10^12,OFFSET(PLE!$G$15,$M53-$A$15,BE$13)))</f>
        <v>1000000000000</v>
      </c>
      <c r="BF53" s="173">
        <f ca="1">IF(OR($D53&lt;&gt;"Serviço",AND(AUTOEVENTO="Manual",$M53=$A$15),$M53&gt;(ROW(PLE.lastrow)-ROW(PLE.firstrow))),0,
           IF(OFFSET(PLE!$G$15,$M53-$A$15,BF$13)="",10^12,OFFSET(PLE!$G$15,$M53-$A$15,BF$13)))</f>
        <v>1000000000000</v>
      </c>
      <c r="BG53" s="173">
        <f ca="1">IF(OR($D53&lt;&gt;"Serviço",AND(AUTOEVENTO="Manual",$M53=$A$15),$M53&gt;(ROW(PLE.lastrow)-ROW(PLE.firstrow))),0,
           IF(OFFSET(PLE!$G$15,$M53-$A$15,BG$13)="",10^12,OFFSET(PLE!$G$15,$M53-$A$15,BG$13)))</f>
        <v>1000000000000</v>
      </c>
    </row>
    <row r="54" spans="1:59" ht="25.5" x14ac:dyDescent="0.2">
      <c r="A54" s="7" t="str">
        <f t="shared" ca="1" si="9"/>
        <v>35</v>
      </c>
      <c r="B54" s="7" t="str">
        <f ca="1">OFFSET(ORÇAMENTO!C$15,ROW(B54)-ROW(B$15),0)</f>
        <v>S</v>
      </c>
      <c r="C54" s="7" t="str">
        <f ca="1">OFFSET(ORÇAMENTO!L$15,ROW(C54)-ROW(C$15),0)</f>
        <v>F</v>
      </c>
      <c r="D54" s="117" t="str">
        <f ca="1">OFFSET(ORÇAMENTO!N$15,ROW(D54)-ROW(D$15),0)</f>
        <v>Serviço</v>
      </c>
      <c r="E54" s="118" t="str">
        <f ca="1">OFFSET(ORÇAMENTO!O$15,ROW(E54)-ROW(E$15),0)</f>
        <v>1.6.4.</v>
      </c>
      <c r="F54" s="164" t="str">
        <f ca="1">OFFSET(ORÇAMENTO!R$15,ROW(F54)-ROW(F$15),0)</f>
        <v>FABRICAÇÃO DE FÔRMA PARA VIGAS, COM MADEIRA SERRADA, E = 25 MM. AF_09/2020</v>
      </c>
      <c r="G54" s="165" t="str">
        <f ca="1">IF($D54&lt;&gt;"Serviço","",OFFSET(ORÇAMENTO!S$15,ROW(G54)-ROW(G$15),0))</f>
        <v>M2</v>
      </c>
      <c r="H54" s="123">
        <f ca="1">IF($D54&lt;&gt;"Serviço",0,IF(ACOMPANHAMENTO="BM",ROUND(OFFSET(ORÇAMENTO!AJ$15,ROW(H54)-ROW(H$15),0),15-13*ORÇAMENTO!$AF$7),SUMPRODUCT(($Q$1:$AA$1=1)*ROUND($Q54:$AA54,15-13*ORÇAMENTO!$AF$7))))</f>
        <v>31.1</v>
      </c>
      <c r="I54" s="469" t="s">
        <v>1035</v>
      </c>
      <c r="J54" s="663" t="str">
        <f ca="1">IF(OR(B54&lt;&gt;"S",CÁLCULO.FrentesPreenchidas=0),"",IF(AND(ACOMPANHAMENTO="PLE",AUTOEVENTO="Manual",OR(H54&gt;0,ORÇAMENTO!AC54="QUANT."),OR(K54="",M54=0,N54="")),"►",IF(AND(ACOMPANHAMENTO="PLE",ORÇAMENTO!AC54="QUANT."),"►►",IF(AND(COUNTIF($P$11:$AA$11,"▼")=0,H54&gt;0,I54=""),"◄",""))))</f>
        <v/>
      </c>
      <c r="K54" s="664"/>
      <c r="L54" s="166" t="s">
        <v>765</v>
      </c>
      <c r="M54" s="167">
        <f ca="1">IF($D54&lt;&gt;"Serviço","",
          IF(AUTOEVENTO="manual",$A54,
                IF(ISERROR(MATCH($A54,$A$15:OFFSET($A54,-1,0),0)),MAX($M$15:OFFSET(M54,-1,0))+1,
                      INDEX($M$15:OFFSET(M54,-1,0),MATCH($A54,$A$15:OFFSET($A54,-1,0),0)))))</f>
        <v>6</v>
      </c>
      <c r="N54" s="168" t="str">
        <f ca="1">IF($D54&lt;&gt;"Serviço","",
         IF(AUTOEVENTO="Manual",
                IF($A54=0,"&lt;-- defina o número do agrupador",
                       OFFSET(EVENTOS!$D$15,$A54-$A$15,0)),
                OFFSET($F$15,$A54,0)))</f>
        <v>READEQUAÇÃO DA FACHADA PRINCIPAL</v>
      </c>
      <c r="O54" s="169"/>
      <c r="Q54" s="169">
        <v>31.1</v>
      </c>
      <c r="R54" s="170"/>
      <c r="S54" s="170"/>
      <c r="T54" s="170"/>
      <c r="U54" s="170"/>
      <c r="V54" s="170"/>
      <c r="W54" s="170"/>
      <c r="X54" s="170"/>
      <c r="Y54" s="170"/>
      <c r="Z54" s="171"/>
      <c r="AB54" s="454">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6211.29</v>
      </c>
      <c r="AC54" s="454">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4">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4">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4">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4">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4">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4">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4">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4">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2">
        <f ca="1">IF(OR($D54&lt;&gt;"Serviço",AND(AUTOEVENTO="Manual",$M54=$A$15)),0,
         IF(OFFSET(CRONOPLE!$F$15,$M54-$A$15,AM$13)=0,10^12,OFFSET(CRONOPLE!$F$15,$M54-$A$15,AM$13)))</f>
        <v>1</v>
      </c>
      <c r="AN54" s="172">
        <f ca="1">IF(OR($D54&lt;&gt;"Serviço",AND(AUTOEVENTO="Manual",$M54=$A$15)),0,
         IF(OFFSET(CRONOPLE!$F$15,$M54-$A$15,AN$13)=0,10^12,OFFSET(CRONOPLE!$F$15,$M54-$A$15,AN$13)))</f>
        <v>1000000000000</v>
      </c>
      <c r="AO54" s="172">
        <f ca="1">IF(OR($D54&lt;&gt;"Serviço",AND(AUTOEVENTO="Manual",$M54=$A$15)),0,
         IF(OFFSET(CRONOPLE!$F$15,$M54-$A$15,AO$13)=0,10^12,OFFSET(CRONOPLE!$F$15,$M54-$A$15,AO$13)))</f>
        <v>1000000000000</v>
      </c>
      <c r="AP54" s="172">
        <f ca="1">IF(OR($D54&lt;&gt;"Serviço",AND(AUTOEVENTO="Manual",$M54=$A$15)),0,
         IF(OFFSET(CRONOPLE!$F$15,$M54-$A$15,AP$13)=0,10^12,OFFSET(CRONOPLE!$F$15,$M54-$A$15,AP$13)))</f>
        <v>1000000000000</v>
      </c>
      <c r="AQ54" s="172">
        <f ca="1">IF(OR($D54&lt;&gt;"Serviço",AND(AUTOEVENTO="Manual",$M54=$A$15)),0,
         IF(OFFSET(CRONOPLE!$F$15,$M54-$A$15,AQ$13)=0,10^12,OFFSET(CRONOPLE!$F$15,$M54-$A$15,AQ$13)))</f>
        <v>1000000000000</v>
      </c>
      <c r="AR54" s="172">
        <f ca="1">IF(OR($D54&lt;&gt;"Serviço",AND(AUTOEVENTO="Manual",$M54=$A$15)),0,
         IF(OFFSET(CRONOPLE!$F$15,$M54-$A$15,AR$13)=0,10^12,OFFSET(CRONOPLE!$F$15,$M54-$A$15,AR$13)))</f>
        <v>1000000000000</v>
      </c>
      <c r="AS54" s="172">
        <f ca="1">IF(OR($D54&lt;&gt;"Serviço",AND(AUTOEVENTO="Manual",$M54=$A$15)),0,
         IF(OFFSET(CRONOPLE!$F$15,$M54-$A$15,AS$13)=0,10^12,OFFSET(CRONOPLE!$F$15,$M54-$A$15,AS$13)))</f>
        <v>1000000000000</v>
      </c>
      <c r="AT54" s="172">
        <f ca="1">IF(OR($D54&lt;&gt;"Serviço",AND(AUTOEVENTO="Manual",$M54=$A$15)),0,
         IF(OFFSET(CRONOPLE!$F$15,$M54-$A$15,AT$13)=0,10^12,OFFSET(CRONOPLE!$F$15,$M54-$A$15,AT$13)))</f>
        <v>1000000000000</v>
      </c>
      <c r="AU54" s="172">
        <f ca="1">IF(OR($D54&lt;&gt;"Serviço",AND(AUTOEVENTO="Manual",$M54=$A$15)),0,
         IF(OFFSET(CRONOPLE!$F$15,$M54-$A$15,AU$13)=0,10^12,OFFSET(CRONOPLE!$F$15,$M54-$A$15,AU$13)))</f>
        <v>1000000000000</v>
      </c>
      <c r="AV54" s="172">
        <f ca="1">IF(OR($D54&lt;&gt;"Serviço",AND(AUTOEVENTO="Manual",$M54=$A$15)),0,
         IF(OFFSET(CRONOPLE!$F$15,$M54-$A$15,AV$13)=0,10^12,OFFSET(CRONOPLE!$F$15,$M54-$A$15,AV$13)))</f>
        <v>1000000000000</v>
      </c>
      <c r="AX54" s="173">
        <f ca="1">IF(OR($D54&lt;&gt;"Serviço",AND(AUTOEVENTO="Manual",$M54=$A$15),$M54&gt;(ROW(PLE.lastrow)-ROW(PLE.firstrow))),0,
           IF(OFFSET(PLE!$G$15,$M54-$A$15,AX$13)="",10^12,OFFSET(PLE!$G$15,$M54-$A$15,AX$13)))</f>
        <v>1000000000000</v>
      </c>
      <c r="AY54" s="173">
        <f ca="1">IF(OR($D54&lt;&gt;"Serviço",AND(AUTOEVENTO="Manual",$M54=$A$15),$M54&gt;(ROW(PLE.lastrow)-ROW(PLE.firstrow))),0,
           IF(OFFSET(PLE!$G$15,$M54-$A$15,AY$13)="",10^12,OFFSET(PLE!$G$15,$M54-$A$15,AY$13)))</f>
        <v>1000000000000</v>
      </c>
      <c r="AZ54" s="173">
        <f ca="1">IF(OR($D54&lt;&gt;"Serviço",AND(AUTOEVENTO="Manual",$M54=$A$15),$M54&gt;(ROW(PLE.lastrow)-ROW(PLE.firstrow))),0,
           IF(OFFSET(PLE!$G$15,$M54-$A$15,AZ$13)="",10^12,OFFSET(PLE!$G$15,$M54-$A$15,AZ$13)))</f>
        <v>1000000000000</v>
      </c>
      <c r="BA54" s="173">
        <f ca="1">IF(OR($D54&lt;&gt;"Serviço",AND(AUTOEVENTO="Manual",$M54=$A$15),$M54&gt;(ROW(PLE.lastrow)-ROW(PLE.firstrow))),0,
           IF(OFFSET(PLE!$G$15,$M54-$A$15,BA$13)="",10^12,OFFSET(PLE!$G$15,$M54-$A$15,BA$13)))</f>
        <v>1000000000000</v>
      </c>
      <c r="BB54" s="173">
        <f ca="1">IF(OR($D54&lt;&gt;"Serviço",AND(AUTOEVENTO="Manual",$M54=$A$15),$M54&gt;(ROW(PLE.lastrow)-ROW(PLE.firstrow))),0,
           IF(OFFSET(PLE!$G$15,$M54-$A$15,BB$13)="",10^12,OFFSET(PLE!$G$15,$M54-$A$15,BB$13)))</f>
        <v>1000000000000</v>
      </c>
      <c r="BC54" s="173">
        <f ca="1">IF(OR($D54&lt;&gt;"Serviço",AND(AUTOEVENTO="Manual",$M54=$A$15),$M54&gt;(ROW(PLE.lastrow)-ROW(PLE.firstrow))),0,
           IF(OFFSET(PLE!$G$15,$M54-$A$15,BC$13)="",10^12,OFFSET(PLE!$G$15,$M54-$A$15,BC$13)))</f>
        <v>1000000000000</v>
      </c>
      <c r="BD54" s="173">
        <f ca="1">IF(OR($D54&lt;&gt;"Serviço",AND(AUTOEVENTO="Manual",$M54=$A$15),$M54&gt;(ROW(PLE.lastrow)-ROW(PLE.firstrow))),0,
           IF(OFFSET(PLE!$G$15,$M54-$A$15,BD$13)="",10^12,OFFSET(PLE!$G$15,$M54-$A$15,BD$13)))</f>
        <v>1000000000000</v>
      </c>
      <c r="BE54" s="173">
        <f ca="1">IF(OR($D54&lt;&gt;"Serviço",AND(AUTOEVENTO="Manual",$M54=$A$15),$M54&gt;(ROW(PLE.lastrow)-ROW(PLE.firstrow))),0,
           IF(OFFSET(PLE!$G$15,$M54-$A$15,BE$13)="",10^12,OFFSET(PLE!$G$15,$M54-$A$15,BE$13)))</f>
        <v>1000000000000</v>
      </c>
      <c r="BF54" s="173">
        <f ca="1">IF(OR($D54&lt;&gt;"Serviço",AND(AUTOEVENTO="Manual",$M54=$A$15),$M54&gt;(ROW(PLE.lastrow)-ROW(PLE.firstrow))),0,
           IF(OFFSET(PLE!$G$15,$M54-$A$15,BF$13)="",10^12,OFFSET(PLE!$G$15,$M54-$A$15,BF$13)))</f>
        <v>1000000000000</v>
      </c>
      <c r="BG54" s="173">
        <f ca="1">IF(OR($D54&lt;&gt;"Serviço",AND(AUTOEVENTO="Manual",$M54=$A$15),$M54&gt;(ROW(PLE.lastrow)-ROW(PLE.firstrow))),0,
           IF(OFFSET(PLE!$G$15,$M54-$A$15,BG$13)="",10^12,OFFSET(PLE!$G$15,$M54-$A$15,BG$13)))</f>
        <v>1000000000000</v>
      </c>
    </row>
    <row r="55" spans="1:59" ht="38.25" x14ac:dyDescent="0.2">
      <c r="A55" s="7" t="str">
        <f t="shared" ca="1" si="9"/>
        <v>35</v>
      </c>
      <c r="B55" s="7" t="str">
        <f ca="1">OFFSET(ORÇAMENTO!C$15,ROW(B55)-ROW(B$15),0)</f>
        <v>S</v>
      </c>
      <c r="C55" s="7" t="str">
        <f ca="1">OFFSET(ORÇAMENTO!L$15,ROW(C55)-ROW(C$15),0)</f>
        <v>F</v>
      </c>
      <c r="D55" s="117" t="str">
        <f ca="1">OFFSET(ORÇAMENTO!N$15,ROW(D55)-ROW(D$15),0)</f>
        <v>Serviço</v>
      </c>
      <c r="E55" s="118" t="str">
        <f ca="1">OFFSET(ORÇAMENTO!O$15,ROW(E55)-ROW(E$15),0)</f>
        <v>1.6.5.</v>
      </c>
      <c r="F55" s="164" t="str">
        <f ca="1">OFFSET(ORÇAMENTO!R$15,ROW(F55)-ROW(F$15),0)</f>
        <v>FABRICAÇÃO, MONTAGEM E DESMONTAGEM DE FÔRMA PARA SAPATA, EM MADEIRA SERRADA, E=25 MM, 1 UTILIZAÇÃO. AF_01/2024</v>
      </c>
      <c r="G55" s="165" t="str">
        <f ca="1">IF($D55&lt;&gt;"Serviço","",OFFSET(ORÇAMENTO!S$15,ROW(G55)-ROW(G$15),0))</f>
        <v>M2</v>
      </c>
      <c r="H55" s="123">
        <f ca="1">IF($D55&lt;&gt;"Serviço",0,IF(ACOMPANHAMENTO="BM",ROUND(OFFSET(ORÇAMENTO!AJ$15,ROW(H55)-ROW(H$15),0),15-13*ORÇAMENTO!$AF$7),SUMPRODUCT(($Q$1:$AA$1=1)*ROUND($Q55:$AA55,15-13*ORÇAMENTO!$AF$7))))</f>
        <v>3.85</v>
      </c>
      <c r="I55" s="469" t="s">
        <v>1034</v>
      </c>
      <c r="J55" s="663" t="str">
        <f ca="1">IF(OR(B55&lt;&gt;"S",CÁLCULO.FrentesPreenchidas=0),"",IF(AND(ACOMPANHAMENTO="PLE",AUTOEVENTO="Manual",OR(H55&gt;0,ORÇAMENTO!AC55="QUANT."),OR(K55="",M55=0,N55="")),"►",IF(AND(ACOMPANHAMENTO="PLE",ORÇAMENTO!AC55="QUANT."),"►►",IF(AND(COUNTIF($P$11:$AA$11,"▼")=0,H55&gt;0,I55=""),"◄",""))))</f>
        <v/>
      </c>
      <c r="K55" s="664"/>
      <c r="L55" s="166" t="s">
        <v>765</v>
      </c>
      <c r="M55" s="167">
        <f ca="1">IF($D55&lt;&gt;"Serviço","",
          IF(AUTOEVENTO="manual",$A55,
                IF(ISERROR(MATCH($A55,$A$15:OFFSET($A55,-1,0),0)),MAX($M$15:OFFSET(M55,-1,0))+1,
                      INDEX($M$15:OFFSET(M55,-1,0),MATCH($A55,$A$15:OFFSET($A55,-1,0),0)))))</f>
        <v>6</v>
      </c>
      <c r="N55" s="168" t="str">
        <f ca="1">IF($D55&lt;&gt;"Serviço","",
         IF(AUTOEVENTO="Manual",
                IF($A55=0,"&lt;-- defina o número do agrupador",
                       OFFSET(EVENTOS!$D$15,$A55-$A$15,0)),
                OFFSET($F$15,$A55,0)))</f>
        <v>READEQUAÇÃO DA FACHADA PRINCIPAL</v>
      </c>
      <c r="O55" s="169"/>
      <c r="Q55" s="169">
        <v>3.85</v>
      </c>
      <c r="R55" s="170"/>
      <c r="S55" s="170"/>
      <c r="T55" s="170"/>
      <c r="U55" s="170"/>
      <c r="V55" s="170"/>
      <c r="W55" s="170"/>
      <c r="X55" s="170"/>
      <c r="Y55" s="170"/>
      <c r="Z55" s="171"/>
      <c r="AB55" s="454">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1122.6199999999999</v>
      </c>
      <c r="AC55" s="454">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4">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4">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4">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4">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4">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4">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4">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4">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2">
        <f ca="1">IF(OR($D55&lt;&gt;"Serviço",AND(AUTOEVENTO="Manual",$M55=$A$15)),0,
         IF(OFFSET(CRONOPLE!$F$15,$M55-$A$15,AM$13)=0,10^12,OFFSET(CRONOPLE!$F$15,$M55-$A$15,AM$13)))</f>
        <v>1</v>
      </c>
      <c r="AN55" s="172">
        <f ca="1">IF(OR($D55&lt;&gt;"Serviço",AND(AUTOEVENTO="Manual",$M55=$A$15)),0,
         IF(OFFSET(CRONOPLE!$F$15,$M55-$A$15,AN$13)=0,10^12,OFFSET(CRONOPLE!$F$15,$M55-$A$15,AN$13)))</f>
        <v>1000000000000</v>
      </c>
      <c r="AO55" s="172">
        <f ca="1">IF(OR($D55&lt;&gt;"Serviço",AND(AUTOEVENTO="Manual",$M55=$A$15)),0,
         IF(OFFSET(CRONOPLE!$F$15,$M55-$A$15,AO$13)=0,10^12,OFFSET(CRONOPLE!$F$15,$M55-$A$15,AO$13)))</f>
        <v>1000000000000</v>
      </c>
      <c r="AP55" s="172">
        <f ca="1">IF(OR($D55&lt;&gt;"Serviço",AND(AUTOEVENTO="Manual",$M55=$A$15)),0,
         IF(OFFSET(CRONOPLE!$F$15,$M55-$A$15,AP$13)=0,10^12,OFFSET(CRONOPLE!$F$15,$M55-$A$15,AP$13)))</f>
        <v>1000000000000</v>
      </c>
      <c r="AQ55" s="172">
        <f ca="1">IF(OR($D55&lt;&gt;"Serviço",AND(AUTOEVENTO="Manual",$M55=$A$15)),0,
         IF(OFFSET(CRONOPLE!$F$15,$M55-$A$15,AQ$13)=0,10^12,OFFSET(CRONOPLE!$F$15,$M55-$A$15,AQ$13)))</f>
        <v>1000000000000</v>
      </c>
      <c r="AR55" s="172">
        <f ca="1">IF(OR($D55&lt;&gt;"Serviço",AND(AUTOEVENTO="Manual",$M55=$A$15)),0,
         IF(OFFSET(CRONOPLE!$F$15,$M55-$A$15,AR$13)=0,10^12,OFFSET(CRONOPLE!$F$15,$M55-$A$15,AR$13)))</f>
        <v>1000000000000</v>
      </c>
      <c r="AS55" s="172">
        <f ca="1">IF(OR($D55&lt;&gt;"Serviço",AND(AUTOEVENTO="Manual",$M55=$A$15)),0,
         IF(OFFSET(CRONOPLE!$F$15,$M55-$A$15,AS$13)=0,10^12,OFFSET(CRONOPLE!$F$15,$M55-$A$15,AS$13)))</f>
        <v>1000000000000</v>
      </c>
      <c r="AT55" s="172">
        <f ca="1">IF(OR($D55&lt;&gt;"Serviço",AND(AUTOEVENTO="Manual",$M55=$A$15)),0,
         IF(OFFSET(CRONOPLE!$F$15,$M55-$A$15,AT$13)=0,10^12,OFFSET(CRONOPLE!$F$15,$M55-$A$15,AT$13)))</f>
        <v>1000000000000</v>
      </c>
      <c r="AU55" s="172">
        <f ca="1">IF(OR($D55&lt;&gt;"Serviço",AND(AUTOEVENTO="Manual",$M55=$A$15)),0,
         IF(OFFSET(CRONOPLE!$F$15,$M55-$A$15,AU$13)=0,10^12,OFFSET(CRONOPLE!$F$15,$M55-$A$15,AU$13)))</f>
        <v>1000000000000</v>
      </c>
      <c r="AV55" s="172">
        <f ca="1">IF(OR($D55&lt;&gt;"Serviço",AND(AUTOEVENTO="Manual",$M55=$A$15)),0,
         IF(OFFSET(CRONOPLE!$F$15,$M55-$A$15,AV$13)=0,10^12,OFFSET(CRONOPLE!$F$15,$M55-$A$15,AV$13)))</f>
        <v>1000000000000</v>
      </c>
      <c r="AX55" s="173">
        <f ca="1">IF(OR($D55&lt;&gt;"Serviço",AND(AUTOEVENTO="Manual",$M55=$A$15),$M55&gt;(ROW(PLE.lastrow)-ROW(PLE.firstrow))),0,
           IF(OFFSET(PLE!$G$15,$M55-$A$15,AX$13)="",10^12,OFFSET(PLE!$G$15,$M55-$A$15,AX$13)))</f>
        <v>1000000000000</v>
      </c>
      <c r="AY55" s="173">
        <f ca="1">IF(OR($D55&lt;&gt;"Serviço",AND(AUTOEVENTO="Manual",$M55=$A$15),$M55&gt;(ROW(PLE.lastrow)-ROW(PLE.firstrow))),0,
           IF(OFFSET(PLE!$G$15,$M55-$A$15,AY$13)="",10^12,OFFSET(PLE!$G$15,$M55-$A$15,AY$13)))</f>
        <v>1000000000000</v>
      </c>
      <c r="AZ55" s="173">
        <f ca="1">IF(OR($D55&lt;&gt;"Serviço",AND(AUTOEVENTO="Manual",$M55=$A$15),$M55&gt;(ROW(PLE.lastrow)-ROW(PLE.firstrow))),0,
           IF(OFFSET(PLE!$G$15,$M55-$A$15,AZ$13)="",10^12,OFFSET(PLE!$G$15,$M55-$A$15,AZ$13)))</f>
        <v>1000000000000</v>
      </c>
      <c r="BA55" s="173">
        <f ca="1">IF(OR($D55&lt;&gt;"Serviço",AND(AUTOEVENTO="Manual",$M55=$A$15),$M55&gt;(ROW(PLE.lastrow)-ROW(PLE.firstrow))),0,
           IF(OFFSET(PLE!$G$15,$M55-$A$15,BA$13)="",10^12,OFFSET(PLE!$G$15,$M55-$A$15,BA$13)))</f>
        <v>1000000000000</v>
      </c>
      <c r="BB55" s="173">
        <f ca="1">IF(OR($D55&lt;&gt;"Serviço",AND(AUTOEVENTO="Manual",$M55=$A$15),$M55&gt;(ROW(PLE.lastrow)-ROW(PLE.firstrow))),0,
           IF(OFFSET(PLE!$G$15,$M55-$A$15,BB$13)="",10^12,OFFSET(PLE!$G$15,$M55-$A$15,BB$13)))</f>
        <v>1000000000000</v>
      </c>
      <c r="BC55" s="173">
        <f ca="1">IF(OR($D55&lt;&gt;"Serviço",AND(AUTOEVENTO="Manual",$M55=$A$15),$M55&gt;(ROW(PLE.lastrow)-ROW(PLE.firstrow))),0,
           IF(OFFSET(PLE!$G$15,$M55-$A$15,BC$13)="",10^12,OFFSET(PLE!$G$15,$M55-$A$15,BC$13)))</f>
        <v>1000000000000</v>
      </c>
      <c r="BD55" s="173">
        <f ca="1">IF(OR($D55&lt;&gt;"Serviço",AND(AUTOEVENTO="Manual",$M55=$A$15),$M55&gt;(ROW(PLE.lastrow)-ROW(PLE.firstrow))),0,
           IF(OFFSET(PLE!$G$15,$M55-$A$15,BD$13)="",10^12,OFFSET(PLE!$G$15,$M55-$A$15,BD$13)))</f>
        <v>1000000000000</v>
      </c>
      <c r="BE55" s="173">
        <f ca="1">IF(OR($D55&lt;&gt;"Serviço",AND(AUTOEVENTO="Manual",$M55=$A$15),$M55&gt;(ROW(PLE.lastrow)-ROW(PLE.firstrow))),0,
           IF(OFFSET(PLE!$G$15,$M55-$A$15,BE$13)="",10^12,OFFSET(PLE!$G$15,$M55-$A$15,BE$13)))</f>
        <v>1000000000000</v>
      </c>
      <c r="BF55" s="173">
        <f ca="1">IF(OR($D55&lt;&gt;"Serviço",AND(AUTOEVENTO="Manual",$M55=$A$15),$M55&gt;(ROW(PLE.lastrow)-ROW(PLE.firstrow))),0,
           IF(OFFSET(PLE!$G$15,$M55-$A$15,BF$13)="",10^12,OFFSET(PLE!$G$15,$M55-$A$15,BF$13)))</f>
        <v>1000000000000</v>
      </c>
      <c r="BG55" s="173">
        <f ca="1">IF(OR($D55&lt;&gt;"Serviço",AND(AUTOEVENTO="Manual",$M55=$A$15),$M55&gt;(ROW(PLE.lastrow)-ROW(PLE.firstrow))),0,
           IF(OFFSET(PLE!$G$15,$M55-$A$15,BG$13)="",10^12,OFFSET(PLE!$G$15,$M55-$A$15,BG$13)))</f>
        <v>1000000000000</v>
      </c>
    </row>
    <row r="56" spans="1:59" ht="76.5" x14ac:dyDescent="0.2">
      <c r="A56" s="7" t="str">
        <f t="shared" ca="1" si="9"/>
        <v>35</v>
      </c>
      <c r="B56" s="7" t="str">
        <f ca="1">OFFSET(ORÇAMENTO!C$15,ROW(B56)-ROW(B$15),0)</f>
        <v>S</v>
      </c>
      <c r="C56" s="7" t="str">
        <f ca="1">OFFSET(ORÇAMENTO!L$15,ROW(C56)-ROW(C$15),0)</f>
        <v>F</v>
      </c>
      <c r="D56" s="117" t="str">
        <f ca="1">OFFSET(ORÇAMENTO!N$15,ROW(D56)-ROW(D$15),0)</f>
        <v>Serviço</v>
      </c>
      <c r="E56" s="118" t="str">
        <f ca="1">OFFSET(ORÇAMENTO!O$15,ROW(E56)-ROW(E$15),0)</f>
        <v>1.6.6.</v>
      </c>
      <c r="F56" s="164" t="str">
        <f ca="1">OFFSET(ORÇAMENTO!R$15,ROW(F56)-ROW(F$15),0)</f>
        <v>CONCRETO FCK = 25MPA, TRAÇO 1:2,3:2,7 (EM MASSA SECA DE CIMENTO/ AREIA MÉDIA/ BRITA 1) - PREPARO MECÂNICO COM BETONEIRA 600 L. AF_05/2021</v>
      </c>
      <c r="G56" s="165" t="str">
        <f ca="1">IF($D56&lt;&gt;"Serviço","",OFFSET(ORÇAMENTO!S$15,ROW(G56)-ROW(G$15),0))</f>
        <v>M3</v>
      </c>
      <c r="H56" s="123">
        <f ca="1">IF($D56&lt;&gt;"Serviço",0,IF(ACOMPANHAMENTO="BM",ROUND(OFFSET(ORÇAMENTO!AJ$15,ROW(H56)-ROW(H$15),0),15-13*ORÇAMENTO!$AF$7),SUMPRODUCT(($Q$1:$AA$1=1)*ROUND($Q56:$AA56,15-13*ORÇAMENTO!$AF$7))))</f>
        <v>5.2</v>
      </c>
      <c r="I56" s="469" t="s">
        <v>1036</v>
      </c>
      <c r="J56" s="663" t="str">
        <f ca="1">IF(OR(B56&lt;&gt;"S",CÁLCULO.FrentesPreenchidas=0),"",IF(AND(ACOMPANHAMENTO="PLE",AUTOEVENTO="Manual",OR(H56&gt;0,ORÇAMENTO!AC56="QUANT."),OR(K56="",M56=0,N56="")),"►",IF(AND(ACOMPANHAMENTO="PLE",ORÇAMENTO!AC56="QUANT."),"►►",IF(AND(COUNTIF($P$11:$AA$11,"▼")=0,H56&gt;0,I56=""),"◄",""))))</f>
        <v/>
      </c>
      <c r="K56" s="664"/>
      <c r="L56" s="166" t="s">
        <v>765</v>
      </c>
      <c r="M56" s="167">
        <f ca="1">IF($D56&lt;&gt;"Serviço","",
          IF(AUTOEVENTO="manual",$A56,
                IF(ISERROR(MATCH($A56,$A$15:OFFSET($A56,-1,0),0)),MAX($M$15:OFFSET(M56,-1,0))+1,
                      INDEX($M$15:OFFSET(M56,-1,0),MATCH($A56,$A$15:OFFSET($A56,-1,0),0)))))</f>
        <v>6</v>
      </c>
      <c r="N56" s="168" t="str">
        <f ca="1">IF($D56&lt;&gt;"Serviço","",
         IF(AUTOEVENTO="Manual",
                IF($A56=0,"&lt;-- defina o número do agrupador",
                       OFFSET(EVENTOS!$D$15,$A56-$A$15,0)),
                OFFSET($F$15,$A56,0)))</f>
        <v>READEQUAÇÃO DA FACHADA PRINCIPAL</v>
      </c>
      <c r="O56" s="169"/>
      <c r="Q56" s="169">
        <v>5.2</v>
      </c>
      <c r="R56" s="170"/>
      <c r="S56" s="170"/>
      <c r="T56" s="170"/>
      <c r="U56" s="170"/>
      <c r="V56" s="170"/>
      <c r="W56" s="170"/>
      <c r="X56" s="170"/>
      <c r="Y56" s="170"/>
      <c r="Z56" s="171"/>
      <c r="AB56" s="454">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3392.53</v>
      </c>
      <c r="AC56" s="454">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4">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4">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4">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4">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4">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4">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4">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4">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2">
        <f ca="1">IF(OR($D56&lt;&gt;"Serviço",AND(AUTOEVENTO="Manual",$M56=$A$15)),0,
         IF(OFFSET(CRONOPLE!$F$15,$M56-$A$15,AM$13)=0,10^12,OFFSET(CRONOPLE!$F$15,$M56-$A$15,AM$13)))</f>
        <v>1</v>
      </c>
      <c r="AN56" s="172">
        <f ca="1">IF(OR($D56&lt;&gt;"Serviço",AND(AUTOEVENTO="Manual",$M56=$A$15)),0,
         IF(OFFSET(CRONOPLE!$F$15,$M56-$A$15,AN$13)=0,10^12,OFFSET(CRONOPLE!$F$15,$M56-$A$15,AN$13)))</f>
        <v>1000000000000</v>
      </c>
      <c r="AO56" s="172">
        <f ca="1">IF(OR($D56&lt;&gt;"Serviço",AND(AUTOEVENTO="Manual",$M56=$A$15)),0,
         IF(OFFSET(CRONOPLE!$F$15,$M56-$A$15,AO$13)=0,10^12,OFFSET(CRONOPLE!$F$15,$M56-$A$15,AO$13)))</f>
        <v>1000000000000</v>
      </c>
      <c r="AP56" s="172">
        <f ca="1">IF(OR($D56&lt;&gt;"Serviço",AND(AUTOEVENTO="Manual",$M56=$A$15)),0,
         IF(OFFSET(CRONOPLE!$F$15,$M56-$A$15,AP$13)=0,10^12,OFFSET(CRONOPLE!$F$15,$M56-$A$15,AP$13)))</f>
        <v>1000000000000</v>
      </c>
      <c r="AQ56" s="172">
        <f ca="1">IF(OR($D56&lt;&gt;"Serviço",AND(AUTOEVENTO="Manual",$M56=$A$15)),0,
         IF(OFFSET(CRONOPLE!$F$15,$M56-$A$15,AQ$13)=0,10^12,OFFSET(CRONOPLE!$F$15,$M56-$A$15,AQ$13)))</f>
        <v>1000000000000</v>
      </c>
      <c r="AR56" s="172">
        <f ca="1">IF(OR($D56&lt;&gt;"Serviço",AND(AUTOEVENTO="Manual",$M56=$A$15)),0,
         IF(OFFSET(CRONOPLE!$F$15,$M56-$A$15,AR$13)=0,10^12,OFFSET(CRONOPLE!$F$15,$M56-$A$15,AR$13)))</f>
        <v>1000000000000</v>
      </c>
      <c r="AS56" s="172">
        <f ca="1">IF(OR($D56&lt;&gt;"Serviço",AND(AUTOEVENTO="Manual",$M56=$A$15)),0,
         IF(OFFSET(CRONOPLE!$F$15,$M56-$A$15,AS$13)=0,10^12,OFFSET(CRONOPLE!$F$15,$M56-$A$15,AS$13)))</f>
        <v>1000000000000</v>
      </c>
      <c r="AT56" s="172">
        <f ca="1">IF(OR($D56&lt;&gt;"Serviço",AND(AUTOEVENTO="Manual",$M56=$A$15)),0,
         IF(OFFSET(CRONOPLE!$F$15,$M56-$A$15,AT$13)=0,10^12,OFFSET(CRONOPLE!$F$15,$M56-$A$15,AT$13)))</f>
        <v>1000000000000</v>
      </c>
      <c r="AU56" s="172">
        <f ca="1">IF(OR($D56&lt;&gt;"Serviço",AND(AUTOEVENTO="Manual",$M56=$A$15)),0,
         IF(OFFSET(CRONOPLE!$F$15,$M56-$A$15,AU$13)=0,10^12,OFFSET(CRONOPLE!$F$15,$M56-$A$15,AU$13)))</f>
        <v>1000000000000</v>
      </c>
      <c r="AV56" s="172">
        <f ca="1">IF(OR($D56&lt;&gt;"Serviço",AND(AUTOEVENTO="Manual",$M56=$A$15)),0,
         IF(OFFSET(CRONOPLE!$F$15,$M56-$A$15,AV$13)=0,10^12,OFFSET(CRONOPLE!$F$15,$M56-$A$15,AV$13)))</f>
        <v>1000000000000</v>
      </c>
      <c r="AX56" s="173">
        <f ca="1">IF(OR($D56&lt;&gt;"Serviço",AND(AUTOEVENTO="Manual",$M56=$A$15),$M56&gt;(ROW(PLE.lastrow)-ROW(PLE.firstrow))),0,
           IF(OFFSET(PLE!$G$15,$M56-$A$15,AX$13)="",10^12,OFFSET(PLE!$G$15,$M56-$A$15,AX$13)))</f>
        <v>1000000000000</v>
      </c>
      <c r="AY56" s="173">
        <f ca="1">IF(OR($D56&lt;&gt;"Serviço",AND(AUTOEVENTO="Manual",$M56=$A$15),$M56&gt;(ROW(PLE.lastrow)-ROW(PLE.firstrow))),0,
           IF(OFFSET(PLE!$G$15,$M56-$A$15,AY$13)="",10^12,OFFSET(PLE!$G$15,$M56-$A$15,AY$13)))</f>
        <v>1000000000000</v>
      </c>
      <c r="AZ56" s="173">
        <f ca="1">IF(OR($D56&lt;&gt;"Serviço",AND(AUTOEVENTO="Manual",$M56=$A$15),$M56&gt;(ROW(PLE.lastrow)-ROW(PLE.firstrow))),0,
           IF(OFFSET(PLE!$G$15,$M56-$A$15,AZ$13)="",10^12,OFFSET(PLE!$G$15,$M56-$A$15,AZ$13)))</f>
        <v>1000000000000</v>
      </c>
      <c r="BA56" s="173">
        <f ca="1">IF(OR($D56&lt;&gt;"Serviço",AND(AUTOEVENTO="Manual",$M56=$A$15),$M56&gt;(ROW(PLE.lastrow)-ROW(PLE.firstrow))),0,
           IF(OFFSET(PLE!$G$15,$M56-$A$15,BA$13)="",10^12,OFFSET(PLE!$G$15,$M56-$A$15,BA$13)))</f>
        <v>1000000000000</v>
      </c>
      <c r="BB56" s="173">
        <f ca="1">IF(OR($D56&lt;&gt;"Serviço",AND(AUTOEVENTO="Manual",$M56=$A$15),$M56&gt;(ROW(PLE.lastrow)-ROW(PLE.firstrow))),0,
           IF(OFFSET(PLE!$G$15,$M56-$A$15,BB$13)="",10^12,OFFSET(PLE!$G$15,$M56-$A$15,BB$13)))</f>
        <v>1000000000000</v>
      </c>
      <c r="BC56" s="173">
        <f ca="1">IF(OR($D56&lt;&gt;"Serviço",AND(AUTOEVENTO="Manual",$M56=$A$15),$M56&gt;(ROW(PLE.lastrow)-ROW(PLE.firstrow))),0,
           IF(OFFSET(PLE!$G$15,$M56-$A$15,BC$13)="",10^12,OFFSET(PLE!$G$15,$M56-$A$15,BC$13)))</f>
        <v>1000000000000</v>
      </c>
      <c r="BD56" s="173">
        <f ca="1">IF(OR($D56&lt;&gt;"Serviço",AND(AUTOEVENTO="Manual",$M56=$A$15),$M56&gt;(ROW(PLE.lastrow)-ROW(PLE.firstrow))),0,
           IF(OFFSET(PLE!$G$15,$M56-$A$15,BD$13)="",10^12,OFFSET(PLE!$G$15,$M56-$A$15,BD$13)))</f>
        <v>1000000000000</v>
      </c>
      <c r="BE56" s="173">
        <f ca="1">IF(OR($D56&lt;&gt;"Serviço",AND(AUTOEVENTO="Manual",$M56=$A$15),$M56&gt;(ROW(PLE.lastrow)-ROW(PLE.firstrow))),0,
           IF(OFFSET(PLE!$G$15,$M56-$A$15,BE$13)="",10^12,OFFSET(PLE!$G$15,$M56-$A$15,BE$13)))</f>
        <v>1000000000000</v>
      </c>
      <c r="BF56" s="173">
        <f ca="1">IF(OR($D56&lt;&gt;"Serviço",AND(AUTOEVENTO="Manual",$M56=$A$15),$M56&gt;(ROW(PLE.lastrow)-ROW(PLE.firstrow))),0,
           IF(OFFSET(PLE!$G$15,$M56-$A$15,BF$13)="",10^12,OFFSET(PLE!$G$15,$M56-$A$15,BF$13)))</f>
        <v>1000000000000</v>
      </c>
      <c r="BG56" s="173">
        <f ca="1">IF(OR($D56&lt;&gt;"Serviço",AND(AUTOEVENTO="Manual",$M56=$A$15),$M56&gt;(ROW(PLE.lastrow)-ROW(PLE.firstrow))),0,
           IF(OFFSET(PLE!$G$15,$M56-$A$15,BG$13)="",10^12,OFFSET(PLE!$G$15,$M56-$A$15,BG$13)))</f>
        <v>1000000000000</v>
      </c>
    </row>
    <row r="57" spans="1:59" ht="76.5" x14ac:dyDescent="0.2">
      <c r="A57" s="7" t="str">
        <f t="shared" ca="1" si="9"/>
        <v>35</v>
      </c>
      <c r="B57" s="7" t="str">
        <f ca="1">OFFSET(ORÇAMENTO!C$15,ROW(B57)-ROW(B$15),0)</f>
        <v>S</v>
      </c>
      <c r="C57" s="7" t="str">
        <f ca="1">OFFSET(ORÇAMENTO!L$15,ROW(C57)-ROW(C$15),0)</f>
        <v>F</v>
      </c>
      <c r="D57" s="117" t="str">
        <f ca="1">OFFSET(ORÇAMENTO!N$15,ROW(D57)-ROW(D$15),0)</f>
        <v>Serviço</v>
      </c>
      <c r="E57" s="118" t="str">
        <f ca="1">OFFSET(ORÇAMENTO!O$15,ROW(E57)-ROW(E$15),0)</f>
        <v>1.6.7.</v>
      </c>
      <c r="F57" s="164" t="str">
        <f ca="1">OFFSET(ORÇAMENTO!R$15,ROW(F57)-ROW(F$15),0)</f>
        <v>LANÇAMENTO COM USO DE BALDES, ADENSAMENTO E ACABAMENTO DE CONCRETO EM ESTRUTURAS. AF_02/2022</v>
      </c>
      <c r="G57" s="165" t="str">
        <f ca="1">IF($D57&lt;&gt;"Serviço","",OFFSET(ORÇAMENTO!S$15,ROW(G57)-ROW(G$15),0))</f>
        <v>M3</v>
      </c>
      <c r="H57" s="123">
        <f ca="1">IF($D57&lt;&gt;"Serviço",0,IF(ACOMPANHAMENTO="BM",ROUND(OFFSET(ORÇAMENTO!AJ$15,ROW(H57)-ROW(H$15),0),15-13*ORÇAMENTO!$AF$7),SUMPRODUCT(($Q$1:$AA$1=1)*ROUND($Q57:$AA57,15-13*ORÇAMENTO!$AF$7))))</f>
        <v>5.2</v>
      </c>
      <c r="I57" s="469" t="s">
        <v>1037</v>
      </c>
      <c r="J57" s="663" t="str">
        <f ca="1">IF(OR(B57&lt;&gt;"S",CÁLCULO.FrentesPreenchidas=0),"",IF(AND(ACOMPANHAMENTO="PLE",AUTOEVENTO="Manual",OR(H57&gt;0,ORÇAMENTO!AC57="QUANT."),OR(K57="",M57=0,N57="")),"►",IF(AND(ACOMPANHAMENTO="PLE",ORÇAMENTO!AC57="QUANT."),"►►",IF(AND(COUNTIF($P$11:$AA$11,"▼")=0,H57&gt;0,I57=""),"◄",""))))</f>
        <v/>
      </c>
      <c r="K57" s="664"/>
      <c r="L57" s="166" t="s">
        <v>765</v>
      </c>
      <c r="M57" s="167">
        <f ca="1">IF($D57&lt;&gt;"Serviço","",
          IF(AUTOEVENTO="manual",$A57,
                IF(ISERROR(MATCH($A57,$A$15:OFFSET($A57,-1,0),0)),MAX($M$15:OFFSET(M57,-1,0))+1,
                      INDEX($M$15:OFFSET(M57,-1,0),MATCH($A57,$A$15:OFFSET($A57,-1,0),0)))))</f>
        <v>6</v>
      </c>
      <c r="N57" s="168" t="str">
        <f ca="1">IF($D57&lt;&gt;"Serviço","",
         IF(AUTOEVENTO="Manual",
                IF($A57=0,"&lt;-- defina o número do agrupador",
                       OFFSET(EVENTOS!$D$15,$A57-$A$15,0)),
                OFFSET($F$15,$A57,0)))</f>
        <v>READEQUAÇÃO DA FACHADA PRINCIPAL</v>
      </c>
      <c r="O57" s="169"/>
      <c r="Q57" s="169">
        <v>5.2</v>
      </c>
      <c r="R57" s="170"/>
      <c r="S57" s="170"/>
      <c r="T57" s="170"/>
      <c r="U57" s="170"/>
      <c r="V57" s="170"/>
      <c r="W57" s="170"/>
      <c r="X57" s="170"/>
      <c r="Y57" s="170"/>
      <c r="Z57" s="171"/>
      <c r="AB57" s="454">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1932.16</v>
      </c>
      <c r="AC57" s="454">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4">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4">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4">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4">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4">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4">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4">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4">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2">
        <f ca="1">IF(OR($D57&lt;&gt;"Serviço",AND(AUTOEVENTO="Manual",$M57=$A$15)),0,
         IF(OFFSET(CRONOPLE!$F$15,$M57-$A$15,AM$13)=0,10^12,OFFSET(CRONOPLE!$F$15,$M57-$A$15,AM$13)))</f>
        <v>1</v>
      </c>
      <c r="AN57" s="172">
        <f ca="1">IF(OR($D57&lt;&gt;"Serviço",AND(AUTOEVENTO="Manual",$M57=$A$15)),0,
         IF(OFFSET(CRONOPLE!$F$15,$M57-$A$15,AN$13)=0,10^12,OFFSET(CRONOPLE!$F$15,$M57-$A$15,AN$13)))</f>
        <v>1000000000000</v>
      </c>
      <c r="AO57" s="172">
        <f ca="1">IF(OR($D57&lt;&gt;"Serviço",AND(AUTOEVENTO="Manual",$M57=$A$15)),0,
         IF(OFFSET(CRONOPLE!$F$15,$M57-$A$15,AO$13)=0,10^12,OFFSET(CRONOPLE!$F$15,$M57-$A$15,AO$13)))</f>
        <v>1000000000000</v>
      </c>
      <c r="AP57" s="172">
        <f ca="1">IF(OR($D57&lt;&gt;"Serviço",AND(AUTOEVENTO="Manual",$M57=$A$15)),0,
         IF(OFFSET(CRONOPLE!$F$15,$M57-$A$15,AP$13)=0,10^12,OFFSET(CRONOPLE!$F$15,$M57-$A$15,AP$13)))</f>
        <v>1000000000000</v>
      </c>
      <c r="AQ57" s="172">
        <f ca="1">IF(OR($D57&lt;&gt;"Serviço",AND(AUTOEVENTO="Manual",$M57=$A$15)),0,
         IF(OFFSET(CRONOPLE!$F$15,$M57-$A$15,AQ$13)=0,10^12,OFFSET(CRONOPLE!$F$15,$M57-$A$15,AQ$13)))</f>
        <v>1000000000000</v>
      </c>
      <c r="AR57" s="172">
        <f ca="1">IF(OR($D57&lt;&gt;"Serviço",AND(AUTOEVENTO="Manual",$M57=$A$15)),0,
         IF(OFFSET(CRONOPLE!$F$15,$M57-$A$15,AR$13)=0,10^12,OFFSET(CRONOPLE!$F$15,$M57-$A$15,AR$13)))</f>
        <v>1000000000000</v>
      </c>
      <c r="AS57" s="172">
        <f ca="1">IF(OR($D57&lt;&gt;"Serviço",AND(AUTOEVENTO="Manual",$M57=$A$15)),0,
         IF(OFFSET(CRONOPLE!$F$15,$M57-$A$15,AS$13)=0,10^12,OFFSET(CRONOPLE!$F$15,$M57-$A$15,AS$13)))</f>
        <v>1000000000000</v>
      </c>
      <c r="AT57" s="172">
        <f ca="1">IF(OR($D57&lt;&gt;"Serviço",AND(AUTOEVENTO="Manual",$M57=$A$15)),0,
         IF(OFFSET(CRONOPLE!$F$15,$M57-$A$15,AT$13)=0,10^12,OFFSET(CRONOPLE!$F$15,$M57-$A$15,AT$13)))</f>
        <v>1000000000000</v>
      </c>
      <c r="AU57" s="172">
        <f ca="1">IF(OR($D57&lt;&gt;"Serviço",AND(AUTOEVENTO="Manual",$M57=$A$15)),0,
         IF(OFFSET(CRONOPLE!$F$15,$M57-$A$15,AU$13)=0,10^12,OFFSET(CRONOPLE!$F$15,$M57-$A$15,AU$13)))</f>
        <v>1000000000000</v>
      </c>
      <c r="AV57" s="172">
        <f ca="1">IF(OR($D57&lt;&gt;"Serviço",AND(AUTOEVENTO="Manual",$M57=$A$15)),0,
         IF(OFFSET(CRONOPLE!$F$15,$M57-$A$15,AV$13)=0,10^12,OFFSET(CRONOPLE!$F$15,$M57-$A$15,AV$13)))</f>
        <v>1000000000000</v>
      </c>
      <c r="AX57" s="173">
        <f ca="1">IF(OR($D57&lt;&gt;"Serviço",AND(AUTOEVENTO="Manual",$M57=$A$15),$M57&gt;(ROW(PLE.lastrow)-ROW(PLE.firstrow))),0,
           IF(OFFSET(PLE!$G$15,$M57-$A$15,AX$13)="",10^12,OFFSET(PLE!$G$15,$M57-$A$15,AX$13)))</f>
        <v>1000000000000</v>
      </c>
      <c r="AY57" s="173">
        <f ca="1">IF(OR($D57&lt;&gt;"Serviço",AND(AUTOEVENTO="Manual",$M57=$A$15),$M57&gt;(ROW(PLE.lastrow)-ROW(PLE.firstrow))),0,
           IF(OFFSET(PLE!$G$15,$M57-$A$15,AY$13)="",10^12,OFFSET(PLE!$G$15,$M57-$A$15,AY$13)))</f>
        <v>1000000000000</v>
      </c>
      <c r="AZ57" s="173">
        <f ca="1">IF(OR($D57&lt;&gt;"Serviço",AND(AUTOEVENTO="Manual",$M57=$A$15),$M57&gt;(ROW(PLE.lastrow)-ROW(PLE.firstrow))),0,
           IF(OFFSET(PLE!$G$15,$M57-$A$15,AZ$13)="",10^12,OFFSET(PLE!$G$15,$M57-$A$15,AZ$13)))</f>
        <v>1000000000000</v>
      </c>
      <c r="BA57" s="173">
        <f ca="1">IF(OR($D57&lt;&gt;"Serviço",AND(AUTOEVENTO="Manual",$M57=$A$15),$M57&gt;(ROW(PLE.lastrow)-ROW(PLE.firstrow))),0,
           IF(OFFSET(PLE!$G$15,$M57-$A$15,BA$13)="",10^12,OFFSET(PLE!$G$15,$M57-$A$15,BA$13)))</f>
        <v>1000000000000</v>
      </c>
      <c r="BB57" s="173">
        <f ca="1">IF(OR($D57&lt;&gt;"Serviço",AND(AUTOEVENTO="Manual",$M57=$A$15),$M57&gt;(ROW(PLE.lastrow)-ROW(PLE.firstrow))),0,
           IF(OFFSET(PLE!$G$15,$M57-$A$15,BB$13)="",10^12,OFFSET(PLE!$G$15,$M57-$A$15,BB$13)))</f>
        <v>1000000000000</v>
      </c>
      <c r="BC57" s="173">
        <f ca="1">IF(OR($D57&lt;&gt;"Serviço",AND(AUTOEVENTO="Manual",$M57=$A$15),$M57&gt;(ROW(PLE.lastrow)-ROW(PLE.firstrow))),0,
           IF(OFFSET(PLE!$G$15,$M57-$A$15,BC$13)="",10^12,OFFSET(PLE!$G$15,$M57-$A$15,BC$13)))</f>
        <v>1000000000000</v>
      </c>
      <c r="BD57" s="173">
        <f ca="1">IF(OR($D57&lt;&gt;"Serviço",AND(AUTOEVENTO="Manual",$M57=$A$15),$M57&gt;(ROW(PLE.lastrow)-ROW(PLE.firstrow))),0,
           IF(OFFSET(PLE!$G$15,$M57-$A$15,BD$13)="",10^12,OFFSET(PLE!$G$15,$M57-$A$15,BD$13)))</f>
        <v>1000000000000</v>
      </c>
      <c r="BE57" s="173">
        <f ca="1">IF(OR($D57&lt;&gt;"Serviço",AND(AUTOEVENTO="Manual",$M57=$A$15),$M57&gt;(ROW(PLE.lastrow)-ROW(PLE.firstrow))),0,
           IF(OFFSET(PLE!$G$15,$M57-$A$15,BE$13)="",10^12,OFFSET(PLE!$G$15,$M57-$A$15,BE$13)))</f>
        <v>1000000000000</v>
      </c>
      <c r="BF57" s="173">
        <f ca="1">IF(OR($D57&lt;&gt;"Serviço",AND(AUTOEVENTO="Manual",$M57=$A$15),$M57&gt;(ROW(PLE.lastrow)-ROW(PLE.firstrow))),0,
           IF(OFFSET(PLE!$G$15,$M57-$A$15,BF$13)="",10^12,OFFSET(PLE!$G$15,$M57-$A$15,BF$13)))</f>
        <v>1000000000000</v>
      </c>
      <c r="BG57" s="173">
        <f ca="1">IF(OR($D57&lt;&gt;"Serviço",AND(AUTOEVENTO="Manual",$M57=$A$15),$M57&gt;(ROW(PLE.lastrow)-ROW(PLE.firstrow))),0,
           IF(OFFSET(PLE!$G$15,$M57-$A$15,BG$13)="",10^12,OFFSET(PLE!$G$15,$M57-$A$15,BG$13)))</f>
        <v>1000000000000</v>
      </c>
    </row>
    <row r="58" spans="1:59" ht="38.25" x14ac:dyDescent="0.2">
      <c r="A58" s="7" t="str">
        <f t="shared" ca="1" si="9"/>
        <v>35</v>
      </c>
      <c r="B58" s="7" t="str">
        <f ca="1">OFFSET(ORÇAMENTO!C$15,ROW(B58)-ROW(B$15),0)</f>
        <v>S</v>
      </c>
      <c r="C58" s="7" t="str">
        <f ca="1">OFFSET(ORÇAMENTO!L$15,ROW(C58)-ROW(C$15),0)</f>
        <v>F</v>
      </c>
      <c r="D58" s="117" t="str">
        <f ca="1">OFFSET(ORÇAMENTO!N$15,ROW(D58)-ROW(D$15),0)</f>
        <v>Serviço</v>
      </c>
      <c r="E58" s="118" t="str">
        <f ca="1">OFFSET(ORÇAMENTO!O$15,ROW(E58)-ROW(E$15),0)</f>
        <v>1.6.8.</v>
      </c>
      <c r="F58" s="164" t="str">
        <f ca="1">OFFSET(ORÇAMENTO!R$15,ROW(F58)-ROW(F$15),0)</f>
        <v>ARMAÇÃO DE PILAR OU VIGA DE ESTRUTURA CONVENCIONAL DE CONCRETO ARMADO UTILIZANDO AÇO CA-50 DE 10,0 MM - MONTAGEM. AF_06/2022</v>
      </c>
      <c r="G58" s="165" t="str">
        <f ca="1">IF($D58&lt;&gt;"Serviço","",OFFSET(ORÇAMENTO!S$15,ROW(G58)-ROW(G$15),0))</f>
        <v>KG</v>
      </c>
      <c r="H58" s="123">
        <f ca="1">IF($D58&lt;&gt;"Serviço",0,IF(ACOMPANHAMENTO="BM",ROUND(OFFSET(ORÇAMENTO!AJ$15,ROW(H58)-ROW(H$15),0),15-13*ORÇAMENTO!$AF$7),SUMPRODUCT(($Q$1:$AA$1=1)*ROUND($Q58:$AA58,15-13*ORÇAMENTO!$AF$7))))</f>
        <v>140.5</v>
      </c>
      <c r="I58" s="469" t="s">
        <v>1042</v>
      </c>
      <c r="J58" s="663" t="str">
        <f ca="1">IF(OR(B58&lt;&gt;"S",CÁLCULO.FrentesPreenchidas=0),"",IF(AND(ACOMPANHAMENTO="PLE",AUTOEVENTO="Manual",OR(H58&gt;0,ORÇAMENTO!AC58="QUANT."),OR(K58="",M58=0,N58="")),"►",IF(AND(ACOMPANHAMENTO="PLE",ORÇAMENTO!AC58="QUANT."),"►►",IF(AND(COUNTIF($P$11:$AA$11,"▼")=0,H58&gt;0,I58=""),"◄",""))))</f>
        <v/>
      </c>
      <c r="K58" s="664"/>
      <c r="L58" s="166" t="s">
        <v>765</v>
      </c>
      <c r="M58" s="167">
        <f ca="1">IF($D58&lt;&gt;"Serviço","",
          IF(AUTOEVENTO="manual",$A58,
                IF(ISERROR(MATCH($A58,$A$15:OFFSET($A58,-1,0),0)),MAX($M$15:OFFSET(M58,-1,0))+1,
                      INDEX($M$15:OFFSET(M58,-1,0),MATCH($A58,$A$15:OFFSET($A58,-1,0),0)))))</f>
        <v>6</v>
      </c>
      <c r="N58" s="168" t="str">
        <f ca="1">IF($D58&lt;&gt;"Serviço","",
         IF(AUTOEVENTO="Manual",
                IF($A58=0,"&lt;-- defina o número do agrupador",
                       OFFSET(EVENTOS!$D$15,$A58-$A$15,0)),
                OFFSET($F$15,$A58,0)))</f>
        <v>READEQUAÇÃO DA FACHADA PRINCIPAL</v>
      </c>
      <c r="O58" s="169"/>
      <c r="Q58" s="169">
        <v>140.5</v>
      </c>
      <c r="R58" s="170"/>
      <c r="S58" s="170"/>
      <c r="T58" s="170"/>
      <c r="U58" s="170"/>
      <c r="V58" s="170"/>
      <c r="W58" s="170"/>
      <c r="X58" s="170"/>
      <c r="Y58" s="170"/>
      <c r="Z58" s="171"/>
      <c r="AB58" s="454">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1618.56</v>
      </c>
      <c r="AC58" s="454">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4">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4">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4">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4">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4">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4">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4">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4">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2">
        <f ca="1">IF(OR($D58&lt;&gt;"Serviço",AND(AUTOEVENTO="Manual",$M58=$A$15)),0,
         IF(OFFSET(CRONOPLE!$F$15,$M58-$A$15,AM$13)=0,10^12,OFFSET(CRONOPLE!$F$15,$M58-$A$15,AM$13)))</f>
        <v>1</v>
      </c>
      <c r="AN58" s="172">
        <f ca="1">IF(OR($D58&lt;&gt;"Serviço",AND(AUTOEVENTO="Manual",$M58=$A$15)),0,
         IF(OFFSET(CRONOPLE!$F$15,$M58-$A$15,AN$13)=0,10^12,OFFSET(CRONOPLE!$F$15,$M58-$A$15,AN$13)))</f>
        <v>1000000000000</v>
      </c>
      <c r="AO58" s="172">
        <f ca="1">IF(OR($D58&lt;&gt;"Serviço",AND(AUTOEVENTO="Manual",$M58=$A$15)),0,
         IF(OFFSET(CRONOPLE!$F$15,$M58-$A$15,AO$13)=0,10^12,OFFSET(CRONOPLE!$F$15,$M58-$A$15,AO$13)))</f>
        <v>1000000000000</v>
      </c>
      <c r="AP58" s="172">
        <f ca="1">IF(OR($D58&lt;&gt;"Serviço",AND(AUTOEVENTO="Manual",$M58=$A$15)),0,
         IF(OFFSET(CRONOPLE!$F$15,$M58-$A$15,AP$13)=0,10^12,OFFSET(CRONOPLE!$F$15,$M58-$A$15,AP$13)))</f>
        <v>1000000000000</v>
      </c>
      <c r="AQ58" s="172">
        <f ca="1">IF(OR($D58&lt;&gt;"Serviço",AND(AUTOEVENTO="Manual",$M58=$A$15)),0,
         IF(OFFSET(CRONOPLE!$F$15,$M58-$A$15,AQ$13)=0,10^12,OFFSET(CRONOPLE!$F$15,$M58-$A$15,AQ$13)))</f>
        <v>1000000000000</v>
      </c>
      <c r="AR58" s="172">
        <f ca="1">IF(OR($D58&lt;&gt;"Serviço",AND(AUTOEVENTO="Manual",$M58=$A$15)),0,
         IF(OFFSET(CRONOPLE!$F$15,$M58-$A$15,AR$13)=0,10^12,OFFSET(CRONOPLE!$F$15,$M58-$A$15,AR$13)))</f>
        <v>1000000000000</v>
      </c>
      <c r="AS58" s="172">
        <f ca="1">IF(OR($D58&lt;&gt;"Serviço",AND(AUTOEVENTO="Manual",$M58=$A$15)),0,
         IF(OFFSET(CRONOPLE!$F$15,$M58-$A$15,AS$13)=0,10^12,OFFSET(CRONOPLE!$F$15,$M58-$A$15,AS$13)))</f>
        <v>1000000000000</v>
      </c>
      <c r="AT58" s="172">
        <f ca="1">IF(OR($D58&lt;&gt;"Serviço",AND(AUTOEVENTO="Manual",$M58=$A$15)),0,
         IF(OFFSET(CRONOPLE!$F$15,$M58-$A$15,AT$13)=0,10^12,OFFSET(CRONOPLE!$F$15,$M58-$A$15,AT$13)))</f>
        <v>1000000000000</v>
      </c>
      <c r="AU58" s="172">
        <f ca="1">IF(OR($D58&lt;&gt;"Serviço",AND(AUTOEVENTO="Manual",$M58=$A$15)),0,
         IF(OFFSET(CRONOPLE!$F$15,$M58-$A$15,AU$13)=0,10^12,OFFSET(CRONOPLE!$F$15,$M58-$A$15,AU$13)))</f>
        <v>1000000000000</v>
      </c>
      <c r="AV58" s="172">
        <f ca="1">IF(OR($D58&lt;&gt;"Serviço",AND(AUTOEVENTO="Manual",$M58=$A$15)),0,
         IF(OFFSET(CRONOPLE!$F$15,$M58-$A$15,AV$13)=0,10^12,OFFSET(CRONOPLE!$F$15,$M58-$A$15,AV$13)))</f>
        <v>1000000000000</v>
      </c>
      <c r="AX58" s="173">
        <f ca="1">IF(OR($D58&lt;&gt;"Serviço",AND(AUTOEVENTO="Manual",$M58=$A$15),$M58&gt;(ROW(PLE.lastrow)-ROW(PLE.firstrow))),0,
           IF(OFFSET(PLE!$G$15,$M58-$A$15,AX$13)="",10^12,OFFSET(PLE!$G$15,$M58-$A$15,AX$13)))</f>
        <v>1000000000000</v>
      </c>
      <c r="AY58" s="173">
        <f ca="1">IF(OR($D58&lt;&gt;"Serviço",AND(AUTOEVENTO="Manual",$M58=$A$15),$M58&gt;(ROW(PLE.lastrow)-ROW(PLE.firstrow))),0,
           IF(OFFSET(PLE!$G$15,$M58-$A$15,AY$13)="",10^12,OFFSET(PLE!$G$15,$M58-$A$15,AY$13)))</f>
        <v>1000000000000</v>
      </c>
      <c r="AZ58" s="173">
        <f ca="1">IF(OR($D58&lt;&gt;"Serviço",AND(AUTOEVENTO="Manual",$M58=$A$15),$M58&gt;(ROW(PLE.lastrow)-ROW(PLE.firstrow))),0,
           IF(OFFSET(PLE!$G$15,$M58-$A$15,AZ$13)="",10^12,OFFSET(PLE!$G$15,$M58-$A$15,AZ$13)))</f>
        <v>1000000000000</v>
      </c>
      <c r="BA58" s="173">
        <f ca="1">IF(OR($D58&lt;&gt;"Serviço",AND(AUTOEVENTO="Manual",$M58=$A$15),$M58&gt;(ROW(PLE.lastrow)-ROW(PLE.firstrow))),0,
           IF(OFFSET(PLE!$G$15,$M58-$A$15,BA$13)="",10^12,OFFSET(PLE!$G$15,$M58-$A$15,BA$13)))</f>
        <v>1000000000000</v>
      </c>
      <c r="BB58" s="173">
        <f ca="1">IF(OR($D58&lt;&gt;"Serviço",AND(AUTOEVENTO="Manual",$M58=$A$15),$M58&gt;(ROW(PLE.lastrow)-ROW(PLE.firstrow))),0,
           IF(OFFSET(PLE!$G$15,$M58-$A$15,BB$13)="",10^12,OFFSET(PLE!$G$15,$M58-$A$15,BB$13)))</f>
        <v>1000000000000</v>
      </c>
      <c r="BC58" s="173">
        <f ca="1">IF(OR($D58&lt;&gt;"Serviço",AND(AUTOEVENTO="Manual",$M58=$A$15),$M58&gt;(ROW(PLE.lastrow)-ROW(PLE.firstrow))),0,
           IF(OFFSET(PLE!$G$15,$M58-$A$15,BC$13)="",10^12,OFFSET(PLE!$G$15,$M58-$A$15,BC$13)))</f>
        <v>1000000000000</v>
      </c>
      <c r="BD58" s="173">
        <f ca="1">IF(OR($D58&lt;&gt;"Serviço",AND(AUTOEVENTO="Manual",$M58=$A$15),$M58&gt;(ROW(PLE.lastrow)-ROW(PLE.firstrow))),0,
           IF(OFFSET(PLE!$G$15,$M58-$A$15,BD$13)="",10^12,OFFSET(PLE!$G$15,$M58-$A$15,BD$13)))</f>
        <v>1000000000000</v>
      </c>
      <c r="BE58" s="173">
        <f ca="1">IF(OR($D58&lt;&gt;"Serviço",AND(AUTOEVENTO="Manual",$M58=$A$15),$M58&gt;(ROW(PLE.lastrow)-ROW(PLE.firstrow))),0,
           IF(OFFSET(PLE!$G$15,$M58-$A$15,BE$13)="",10^12,OFFSET(PLE!$G$15,$M58-$A$15,BE$13)))</f>
        <v>1000000000000</v>
      </c>
      <c r="BF58" s="173">
        <f ca="1">IF(OR($D58&lt;&gt;"Serviço",AND(AUTOEVENTO="Manual",$M58=$A$15),$M58&gt;(ROW(PLE.lastrow)-ROW(PLE.firstrow))),0,
           IF(OFFSET(PLE!$G$15,$M58-$A$15,BF$13)="",10^12,OFFSET(PLE!$G$15,$M58-$A$15,BF$13)))</f>
        <v>1000000000000</v>
      </c>
      <c r="BG58" s="173">
        <f ca="1">IF(OR($D58&lt;&gt;"Serviço",AND(AUTOEVENTO="Manual",$M58=$A$15),$M58&gt;(ROW(PLE.lastrow)-ROW(PLE.firstrow))),0,
           IF(OFFSET(PLE!$G$15,$M58-$A$15,BG$13)="",10^12,OFFSET(PLE!$G$15,$M58-$A$15,BG$13)))</f>
        <v>1000000000000</v>
      </c>
    </row>
    <row r="59" spans="1:59" ht="38.25" x14ac:dyDescent="0.2">
      <c r="A59" s="7" t="str">
        <f t="shared" ca="1" si="9"/>
        <v>35</v>
      </c>
      <c r="B59" s="7" t="str">
        <f ca="1">OFFSET(ORÇAMENTO!C$15,ROW(B59)-ROW(B$15),0)</f>
        <v>S</v>
      </c>
      <c r="C59" s="7" t="str">
        <f ca="1">OFFSET(ORÇAMENTO!L$15,ROW(C59)-ROW(C$15),0)</f>
        <v>F</v>
      </c>
      <c r="D59" s="117" t="str">
        <f ca="1">OFFSET(ORÇAMENTO!N$15,ROW(D59)-ROW(D$15),0)</f>
        <v>Serviço</v>
      </c>
      <c r="E59" s="118" t="str">
        <f ca="1">OFFSET(ORÇAMENTO!O$15,ROW(E59)-ROW(E$15),0)</f>
        <v>1.6.9.</v>
      </c>
      <c r="F59" s="164" t="str">
        <f ca="1">OFFSET(ORÇAMENTO!R$15,ROW(F59)-ROW(F$15),0)</f>
        <v>ARMAÇÃO DE PILAR OU VIGA DE ESTRUTURA CONVENCIONAL DE CONCRETO ARMADO UTILIZANDO AÇO CA-60 DE 5,0 MM - MONTAGEM. AF_06/2022</v>
      </c>
      <c r="G59" s="165" t="str">
        <f ca="1">IF($D59&lt;&gt;"Serviço","",OFFSET(ORÇAMENTO!S$15,ROW(G59)-ROW(G$15),0))</f>
        <v>KG</v>
      </c>
      <c r="H59" s="123">
        <f ca="1">IF($D59&lt;&gt;"Serviço",0,IF(ACOMPANHAMENTO="BM",ROUND(OFFSET(ORÇAMENTO!AJ$15,ROW(H59)-ROW(H$15),0),15-13*ORÇAMENTO!$AF$7),SUMPRODUCT(($Q$1:$AA$1=1)*ROUND($Q59:$AA59,15-13*ORÇAMENTO!$AF$7))))</f>
        <v>58.5</v>
      </c>
      <c r="I59" s="469" t="s">
        <v>1044</v>
      </c>
      <c r="J59" s="663" t="str">
        <f ca="1">IF(OR(B59&lt;&gt;"S",CÁLCULO.FrentesPreenchidas=0),"",IF(AND(ACOMPANHAMENTO="PLE",AUTOEVENTO="Manual",OR(H59&gt;0,ORÇAMENTO!AC59="QUANT."),OR(K59="",M59=0,N59="")),"►",IF(AND(ACOMPANHAMENTO="PLE",ORÇAMENTO!AC59="QUANT."),"►►",IF(AND(COUNTIF($P$11:$AA$11,"▼")=0,H59&gt;0,I59=""),"◄",""))))</f>
        <v/>
      </c>
      <c r="K59" s="664"/>
      <c r="L59" s="166" t="s">
        <v>765</v>
      </c>
      <c r="M59" s="167">
        <f ca="1">IF($D59&lt;&gt;"Serviço","",
          IF(AUTOEVENTO="manual",$A59,
                IF(ISERROR(MATCH($A59,$A$15:OFFSET($A59,-1,0),0)),MAX($M$15:OFFSET(M59,-1,0))+1,
                      INDEX($M$15:OFFSET(M59,-1,0),MATCH($A59,$A$15:OFFSET($A59,-1,0),0)))))</f>
        <v>6</v>
      </c>
      <c r="N59" s="168" t="str">
        <f ca="1">IF($D59&lt;&gt;"Serviço","",
         IF(AUTOEVENTO="Manual",
                IF($A59=0,"&lt;-- defina o número do agrupador",
                       OFFSET(EVENTOS!$D$15,$A59-$A$15,0)),
                OFFSET($F$15,$A59,0)))</f>
        <v>READEQUAÇÃO DA FACHADA PRINCIPAL</v>
      </c>
      <c r="O59" s="169"/>
      <c r="Q59" s="169">
        <v>58.5</v>
      </c>
      <c r="R59" s="170"/>
      <c r="S59" s="170"/>
      <c r="T59" s="170"/>
      <c r="U59" s="170"/>
      <c r="V59" s="170"/>
      <c r="W59" s="170"/>
      <c r="X59" s="170"/>
      <c r="Y59" s="170"/>
      <c r="Z59" s="171"/>
      <c r="AB59" s="454">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893.3</v>
      </c>
      <c r="AC59" s="454">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4">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4">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4">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4">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4">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4">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4">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4">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2">
        <f ca="1">IF(OR($D59&lt;&gt;"Serviço",AND(AUTOEVENTO="Manual",$M59=$A$15)),0,
         IF(OFFSET(CRONOPLE!$F$15,$M59-$A$15,AM$13)=0,10^12,OFFSET(CRONOPLE!$F$15,$M59-$A$15,AM$13)))</f>
        <v>1</v>
      </c>
      <c r="AN59" s="172">
        <f ca="1">IF(OR($D59&lt;&gt;"Serviço",AND(AUTOEVENTO="Manual",$M59=$A$15)),0,
         IF(OFFSET(CRONOPLE!$F$15,$M59-$A$15,AN$13)=0,10^12,OFFSET(CRONOPLE!$F$15,$M59-$A$15,AN$13)))</f>
        <v>1000000000000</v>
      </c>
      <c r="AO59" s="172">
        <f ca="1">IF(OR($D59&lt;&gt;"Serviço",AND(AUTOEVENTO="Manual",$M59=$A$15)),0,
         IF(OFFSET(CRONOPLE!$F$15,$M59-$A$15,AO$13)=0,10^12,OFFSET(CRONOPLE!$F$15,$M59-$A$15,AO$13)))</f>
        <v>1000000000000</v>
      </c>
      <c r="AP59" s="172">
        <f ca="1">IF(OR($D59&lt;&gt;"Serviço",AND(AUTOEVENTO="Manual",$M59=$A$15)),0,
         IF(OFFSET(CRONOPLE!$F$15,$M59-$A$15,AP$13)=0,10^12,OFFSET(CRONOPLE!$F$15,$M59-$A$15,AP$13)))</f>
        <v>1000000000000</v>
      </c>
      <c r="AQ59" s="172">
        <f ca="1">IF(OR($D59&lt;&gt;"Serviço",AND(AUTOEVENTO="Manual",$M59=$A$15)),0,
         IF(OFFSET(CRONOPLE!$F$15,$M59-$A$15,AQ$13)=0,10^12,OFFSET(CRONOPLE!$F$15,$M59-$A$15,AQ$13)))</f>
        <v>1000000000000</v>
      </c>
      <c r="AR59" s="172">
        <f ca="1">IF(OR($D59&lt;&gt;"Serviço",AND(AUTOEVENTO="Manual",$M59=$A$15)),0,
         IF(OFFSET(CRONOPLE!$F$15,$M59-$A$15,AR$13)=0,10^12,OFFSET(CRONOPLE!$F$15,$M59-$A$15,AR$13)))</f>
        <v>1000000000000</v>
      </c>
      <c r="AS59" s="172">
        <f ca="1">IF(OR($D59&lt;&gt;"Serviço",AND(AUTOEVENTO="Manual",$M59=$A$15)),0,
         IF(OFFSET(CRONOPLE!$F$15,$M59-$A$15,AS$13)=0,10^12,OFFSET(CRONOPLE!$F$15,$M59-$A$15,AS$13)))</f>
        <v>1000000000000</v>
      </c>
      <c r="AT59" s="172">
        <f ca="1">IF(OR($D59&lt;&gt;"Serviço",AND(AUTOEVENTO="Manual",$M59=$A$15)),0,
         IF(OFFSET(CRONOPLE!$F$15,$M59-$A$15,AT$13)=0,10^12,OFFSET(CRONOPLE!$F$15,$M59-$A$15,AT$13)))</f>
        <v>1000000000000</v>
      </c>
      <c r="AU59" s="172">
        <f ca="1">IF(OR($D59&lt;&gt;"Serviço",AND(AUTOEVENTO="Manual",$M59=$A$15)),0,
         IF(OFFSET(CRONOPLE!$F$15,$M59-$A$15,AU$13)=0,10^12,OFFSET(CRONOPLE!$F$15,$M59-$A$15,AU$13)))</f>
        <v>1000000000000</v>
      </c>
      <c r="AV59" s="172">
        <f ca="1">IF(OR($D59&lt;&gt;"Serviço",AND(AUTOEVENTO="Manual",$M59=$A$15)),0,
         IF(OFFSET(CRONOPLE!$F$15,$M59-$A$15,AV$13)=0,10^12,OFFSET(CRONOPLE!$F$15,$M59-$A$15,AV$13)))</f>
        <v>1000000000000</v>
      </c>
      <c r="AX59" s="173">
        <f ca="1">IF(OR($D59&lt;&gt;"Serviço",AND(AUTOEVENTO="Manual",$M59=$A$15),$M59&gt;(ROW(PLE.lastrow)-ROW(PLE.firstrow))),0,
           IF(OFFSET(PLE!$G$15,$M59-$A$15,AX$13)="",10^12,OFFSET(PLE!$G$15,$M59-$A$15,AX$13)))</f>
        <v>1000000000000</v>
      </c>
      <c r="AY59" s="173">
        <f ca="1">IF(OR($D59&lt;&gt;"Serviço",AND(AUTOEVENTO="Manual",$M59=$A$15),$M59&gt;(ROW(PLE.lastrow)-ROW(PLE.firstrow))),0,
           IF(OFFSET(PLE!$G$15,$M59-$A$15,AY$13)="",10^12,OFFSET(PLE!$G$15,$M59-$A$15,AY$13)))</f>
        <v>1000000000000</v>
      </c>
      <c r="AZ59" s="173">
        <f ca="1">IF(OR($D59&lt;&gt;"Serviço",AND(AUTOEVENTO="Manual",$M59=$A$15),$M59&gt;(ROW(PLE.lastrow)-ROW(PLE.firstrow))),0,
           IF(OFFSET(PLE!$G$15,$M59-$A$15,AZ$13)="",10^12,OFFSET(PLE!$G$15,$M59-$A$15,AZ$13)))</f>
        <v>1000000000000</v>
      </c>
      <c r="BA59" s="173">
        <f ca="1">IF(OR($D59&lt;&gt;"Serviço",AND(AUTOEVENTO="Manual",$M59=$A$15),$M59&gt;(ROW(PLE.lastrow)-ROW(PLE.firstrow))),0,
           IF(OFFSET(PLE!$G$15,$M59-$A$15,BA$13)="",10^12,OFFSET(PLE!$G$15,$M59-$A$15,BA$13)))</f>
        <v>1000000000000</v>
      </c>
      <c r="BB59" s="173">
        <f ca="1">IF(OR($D59&lt;&gt;"Serviço",AND(AUTOEVENTO="Manual",$M59=$A$15),$M59&gt;(ROW(PLE.lastrow)-ROW(PLE.firstrow))),0,
           IF(OFFSET(PLE!$G$15,$M59-$A$15,BB$13)="",10^12,OFFSET(PLE!$G$15,$M59-$A$15,BB$13)))</f>
        <v>1000000000000</v>
      </c>
      <c r="BC59" s="173">
        <f ca="1">IF(OR($D59&lt;&gt;"Serviço",AND(AUTOEVENTO="Manual",$M59=$A$15),$M59&gt;(ROW(PLE.lastrow)-ROW(PLE.firstrow))),0,
           IF(OFFSET(PLE!$G$15,$M59-$A$15,BC$13)="",10^12,OFFSET(PLE!$G$15,$M59-$A$15,BC$13)))</f>
        <v>1000000000000</v>
      </c>
      <c r="BD59" s="173">
        <f ca="1">IF(OR($D59&lt;&gt;"Serviço",AND(AUTOEVENTO="Manual",$M59=$A$15),$M59&gt;(ROW(PLE.lastrow)-ROW(PLE.firstrow))),0,
           IF(OFFSET(PLE!$G$15,$M59-$A$15,BD$13)="",10^12,OFFSET(PLE!$G$15,$M59-$A$15,BD$13)))</f>
        <v>1000000000000</v>
      </c>
      <c r="BE59" s="173">
        <f ca="1">IF(OR($D59&lt;&gt;"Serviço",AND(AUTOEVENTO="Manual",$M59=$A$15),$M59&gt;(ROW(PLE.lastrow)-ROW(PLE.firstrow))),0,
           IF(OFFSET(PLE!$G$15,$M59-$A$15,BE$13)="",10^12,OFFSET(PLE!$G$15,$M59-$A$15,BE$13)))</f>
        <v>1000000000000</v>
      </c>
      <c r="BF59" s="173">
        <f ca="1">IF(OR($D59&lt;&gt;"Serviço",AND(AUTOEVENTO="Manual",$M59=$A$15),$M59&gt;(ROW(PLE.lastrow)-ROW(PLE.firstrow))),0,
           IF(OFFSET(PLE!$G$15,$M59-$A$15,BF$13)="",10^12,OFFSET(PLE!$G$15,$M59-$A$15,BF$13)))</f>
        <v>1000000000000</v>
      </c>
      <c r="BG59" s="173">
        <f ca="1">IF(OR($D59&lt;&gt;"Serviço",AND(AUTOEVENTO="Manual",$M59=$A$15),$M59&gt;(ROW(PLE.lastrow)-ROW(PLE.firstrow))),0,
           IF(OFFSET(PLE!$G$15,$M59-$A$15,BG$13)="",10^12,OFFSET(PLE!$G$15,$M59-$A$15,BG$13)))</f>
        <v>1000000000000</v>
      </c>
    </row>
    <row r="60" spans="1:59" ht="25.5" x14ac:dyDescent="0.2">
      <c r="A60" s="7" t="str">
        <f t="shared" ca="1" si="9"/>
        <v>35</v>
      </c>
      <c r="B60" s="7" t="str">
        <f ca="1">OFFSET(ORÇAMENTO!C$15,ROW(B60)-ROW(B$15),0)</f>
        <v>S</v>
      </c>
      <c r="C60" s="7" t="str">
        <f ca="1">OFFSET(ORÇAMENTO!L$15,ROW(C60)-ROW(C$15),0)</f>
        <v>F</v>
      </c>
      <c r="D60" s="117" t="str">
        <f ca="1">OFFSET(ORÇAMENTO!N$15,ROW(D60)-ROW(D$15),0)</f>
        <v>Serviço</v>
      </c>
      <c r="E60" s="118" t="str">
        <f ca="1">OFFSET(ORÇAMENTO!O$15,ROW(E60)-ROW(E$15),0)</f>
        <v>1.6.10.</v>
      </c>
      <c r="F60" s="164" t="str">
        <f ca="1">OFFSET(ORÇAMENTO!R$15,ROW(F60)-ROW(F$15),0)</f>
        <v>ARMAÇÃO DE SAPATA ISOLADA, VIGA BALDRAME E SAPATA CORRIDA UTILIZANDO AÇO CA-50 DE 8 MM - MONTAGEM. AF_01/2024</v>
      </c>
      <c r="G60" s="165" t="str">
        <f ca="1">IF($D60&lt;&gt;"Serviço","",OFFSET(ORÇAMENTO!S$15,ROW(G60)-ROW(G$15),0))</f>
        <v>KG</v>
      </c>
      <c r="H60" s="123">
        <f ca="1">IF($D60&lt;&gt;"Serviço",0,IF(ACOMPANHAMENTO="BM",ROUND(OFFSET(ORÇAMENTO!AJ$15,ROW(H60)-ROW(H$15),0),15-13*ORÇAMENTO!$AF$7),SUMPRODUCT(($Q$1:$AA$1=1)*ROUND($Q60:$AA60,15-13*ORÇAMENTO!$AF$7))))</f>
        <v>17.100000000000001</v>
      </c>
      <c r="I60" s="469" t="s">
        <v>1043</v>
      </c>
      <c r="J60" s="663" t="str">
        <f ca="1">IF(OR(B60&lt;&gt;"S",CÁLCULO.FrentesPreenchidas=0),"",IF(AND(ACOMPANHAMENTO="PLE",AUTOEVENTO="Manual",OR(H60&gt;0,ORÇAMENTO!AC60="QUANT."),OR(K60="",M60=0,N60="")),"►",IF(AND(ACOMPANHAMENTO="PLE",ORÇAMENTO!AC60="QUANT."),"►►",IF(AND(COUNTIF($P$11:$AA$11,"▼")=0,H60&gt;0,I60=""),"◄",""))))</f>
        <v/>
      </c>
      <c r="K60" s="664"/>
      <c r="L60" s="166" t="s">
        <v>765</v>
      </c>
      <c r="M60" s="167">
        <f ca="1">IF($D60&lt;&gt;"Serviço","",
          IF(AUTOEVENTO="manual",$A60,
                IF(ISERROR(MATCH($A60,$A$15:OFFSET($A60,-1,0),0)),MAX($M$15:OFFSET(M60,-1,0))+1,
                      INDEX($M$15:OFFSET(M60,-1,0),MATCH($A60,$A$15:OFFSET($A60,-1,0),0)))))</f>
        <v>6</v>
      </c>
      <c r="N60" s="168" t="str">
        <f ca="1">IF($D60&lt;&gt;"Serviço","",
         IF(AUTOEVENTO="Manual",
                IF($A60=0,"&lt;-- defina o número do agrupador",
                       OFFSET(EVENTOS!$D$15,$A60-$A$15,0)),
                OFFSET($F$15,$A60,0)))</f>
        <v>READEQUAÇÃO DA FACHADA PRINCIPAL</v>
      </c>
      <c r="O60" s="169"/>
      <c r="Q60" s="169">
        <v>17.100000000000001</v>
      </c>
      <c r="R60" s="170"/>
      <c r="S60" s="170"/>
      <c r="T60" s="170"/>
      <c r="U60" s="170"/>
      <c r="V60" s="170"/>
      <c r="W60" s="170"/>
      <c r="X60" s="170"/>
      <c r="Y60" s="170"/>
      <c r="Z60" s="171"/>
      <c r="AB60" s="454">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263.33999999999997</v>
      </c>
      <c r="AC60" s="454">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4">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4">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4">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4">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4">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4">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4">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4">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2">
        <f ca="1">IF(OR($D60&lt;&gt;"Serviço",AND(AUTOEVENTO="Manual",$M60=$A$15)),0,
         IF(OFFSET(CRONOPLE!$F$15,$M60-$A$15,AM$13)=0,10^12,OFFSET(CRONOPLE!$F$15,$M60-$A$15,AM$13)))</f>
        <v>1</v>
      </c>
      <c r="AN60" s="172">
        <f ca="1">IF(OR($D60&lt;&gt;"Serviço",AND(AUTOEVENTO="Manual",$M60=$A$15)),0,
         IF(OFFSET(CRONOPLE!$F$15,$M60-$A$15,AN$13)=0,10^12,OFFSET(CRONOPLE!$F$15,$M60-$A$15,AN$13)))</f>
        <v>1000000000000</v>
      </c>
      <c r="AO60" s="172">
        <f ca="1">IF(OR($D60&lt;&gt;"Serviço",AND(AUTOEVENTO="Manual",$M60=$A$15)),0,
         IF(OFFSET(CRONOPLE!$F$15,$M60-$A$15,AO$13)=0,10^12,OFFSET(CRONOPLE!$F$15,$M60-$A$15,AO$13)))</f>
        <v>1000000000000</v>
      </c>
      <c r="AP60" s="172">
        <f ca="1">IF(OR($D60&lt;&gt;"Serviço",AND(AUTOEVENTO="Manual",$M60=$A$15)),0,
         IF(OFFSET(CRONOPLE!$F$15,$M60-$A$15,AP$13)=0,10^12,OFFSET(CRONOPLE!$F$15,$M60-$A$15,AP$13)))</f>
        <v>1000000000000</v>
      </c>
      <c r="AQ60" s="172">
        <f ca="1">IF(OR($D60&lt;&gt;"Serviço",AND(AUTOEVENTO="Manual",$M60=$A$15)),0,
         IF(OFFSET(CRONOPLE!$F$15,$M60-$A$15,AQ$13)=0,10^12,OFFSET(CRONOPLE!$F$15,$M60-$A$15,AQ$13)))</f>
        <v>1000000000000</v>
      </c>
      <c r="AR60" s="172">
        <f ca="1">IF(OR($D60&lt;&gt;"Serviço",AND(AUTOEVENTO="Manual",$M60=$A$15)),0,
         IF(OFFSET(CRONOPLE!$F$15,$M60-$A$15,AR$13)=0,10^12,OFFSET(CRONOPLE!$F$15,$M60-$A$15,AR$13)))</f>
        <v>1000000000000</v>
      </c>
      <c r="AS60" s="172">
        <f ca="1">IF(OR($D60&lt;&gt;"Serviço",AND(AUTOEVENTO="Manual",$M60=$A$15)),0,
         IF(OFFSET(CRONOPLE!$F$15,$M60-$A$15,AS$13)=0,10^12,OFFSET(CRONOPLE!$F$15,$M60-$A$15,AS$13)))</f>
        <v>1000000000000</v>
      </c>
      <c r="AT60" s="172">
        <f ca="1">IF(OR($D60&lt;&gt;"Serviço",AND(AUTOEVENTO="Manual",$M60=$A$15)),0,
         IF(OFFSET(CRONOPLE!$F$15,$M60-$A$15,AT$13)=0,10^12,OFFSET(CRONOPLE!$F$15,$M60-$A$15,AT$13)))</f>
        <v>1000000000000</v>
      </c>
      <c r="AU60" s="172">
        <f ca="1">IF(OR($D60&lt;&gt;"Serviço",AND(AUTOEVENTO="Manual",$M60=$A$15)),0,
         IF(OFFSET(CRONOPLE!$F$15,$M60-$A$15,AU$13)=0,10^12,OFFSET(CRONOPLE!$F$15,$M60-$A$15,AU$13)))</f>
        <v>1000000000000</v>
      </c>
      <c r="AV60" s="172">
        <f ca="1">IF(OR($D60&lt;&gt;"Serviço",AND(AUTOEVENTO="Manual",$M60=$A$15)),0,
         IF(OFFSET(CRONOPLE!$F$15,$M60-$A$15,AV$13)=0,10^12,OFFSET(CRONOPLE!$F$15,$M60-$A$15,AV$13)))</f>
        <v>1000000000000</v>
      </c>
      <c r="AX60" s="173">
        <f ca="1">IF(OR($D60&lt;&gt;"Serviço",AND(AUTOEVENTO="Manual",$M60=$A$15),$M60&gt;(ROW(PLE.lastrow)-ROW(PLE.firstrow))),0,
           IF(OFFSET(PLE!$G$15,$M60-$A$15,AX$13)="",10^12,OFFSET(PLE!$G$15,$M60-$A$15,AX$13)))</f>
        <v>1000000000000</v>
      </c>
      <c r="AY60" s="173">
        <f ca="1">IF(OR($D60&lt;&gt;"Serviço",AND(AUTOEVENTO="Manual",$M60=$A$15),$M60&gt;(ROW(PLE.lastrow)-ROW(PLE.firstrow))),0,
           IF(OFFSET(PLE!$G$15,$M60-$A$15,AY$13)="",10^12,OFFSET(PLE!$G$15,$M60-$A$15,AY$13)))</f>
        <v>1000000000000</v>
      </c>
      <c r="AZ60" s="173">
        <f ca="1">IF(OR($D60&lt;&gt;"Serviço",AND(AUTOEVENTO="Manual",$M60=$A$15),$M60&gt;(ROW(PLE.lastrow)-ROW(PLE.firstrow))),0,
           IF(OFFSET(PLE!$G$15,$M60-$A$15,AZ$13)="",10^12,OFFSET(PLE!$G$15,$M60-$A$15,AZ$13)))</f>
        <v>1000000000000</v>
      </c>
      <c r="BA60" s="173">
        <f ca="1">IF(OR($D60&lt;&gt;"Serviço",AND(AUTOEVENTO="Manual",$M60=$A$15),$M60&gt;(ROW(PLE.lastrow)-ROW(PLE.firstrow))),0,
           IF(OFFSET(PLE!$G$15,$M60-$A$15,BA$13)="",10^12,OFFSET(PLE!$G$15,$M60-$A$15,BA$13)))</f>
        <v>1000000000000</v>
      </c>
      <c r="BB60" s="173">
        <f ca="1">IF(OR($D60&lt;&gt;"Serviço",AND(AUTOEVENTO="Manual",$M60=$A$15),$M60&gt;(ROW(PLE.lastrow)-ROW(PLE.firstrow))),0,
           IF(OFFSET(PLE!$G$15,$M60-$A$15,BB$13)="",10^12,OFFSET(PLE!$G$15,$M60-$A$15,BB$13)))</f>
        <v>1000000000000</v>
      </c>
      <c r="BC60" s="173">
        <f ca="1">IF(OR($D60&lt;&gt;"Serviço",AND(AUTOEVENTO="Manual",$M60=$A$15),$M60&gt;(ROW(PLE.lastrow)-ROW(PLE.firstrow))),0,
           IF(OFFSET(PLE!$G$15,$M60-$A$15,BC$13)="",10^12,OFFSET(PLE!$G$15,$M60-$A$15,BC$13)))</f>
        <v>1000000000000</v>
      </c>
      <c r="BD60" s="173">
        <f ca="1">IF(OR($D60&lt;&gt;"Serviço",AND(AUTOEVENTO="Manual",$M60=$A$15),$M60&gt;(ROW(PLE.lastrow)-ROW(PLE.firstrow))),0,
           IF(OFFSET(PLE!$G$15,$M60-$A$15,BD$13)="",10^12,OFFSET(PLE!$G$15,$M60-$A$15,BD$13)))</f>
        <v>1000000000000</v>
      </c>
      <c r="BE60" s="173">
        <f ca="1">IF(OR($D60&lt;&gt;"Serviço",AND(AUTOEVENTO="Manual",$M60=$A$15),$M60&gt;(ROW(PLE.lastrow)-ROW(PLE.firstrow))),0,
           IF(OFFSET(PLE!$G$15,$M60-$A$15,BE$13)="",10^12,OFFSET(PLE!$G$15,$M60-$A$15,BE$13)))</f>
        <v>1000000000000</v>
      </c>
      <c r="BF60" s="173">
        <f ca="1">IF(OR($D60&lt;&gt;"Serviço",AND(AUTOEVENTO="Manual",$M60=$A$15),$M60&gt;(ROW(PLE.lastrow)-ROW(PLE.firstrow))),0,
           IF(OFFSET(PLE!$G$15,$M60-$A$15,BF$13)="",10^12,OFFSET(PLE!$G$15,$M60-$A$15,BF$13)))</f>
        <v>1000000000000</v>
      </c>
      <c r="BG60" s="173">
        <f ca="1">IF(OR($D60&lt;&gt;"Serviço",AND(AUTOEVENTO="Manual",$M60=$A$15),$M60&gt;(ROW(PLE.lastrow)-ROW(PLE.firstrow))),0,
           IF(OFFSET(PLE!$G$15,$M60-$A$15,BG$13)="",10^12,OFFSET(PLE!$G$15,$M60-$A$15,BG$13)))</f>
        <v>1000000000000</v>
      </c>
    </row>
    <row r="61" spans="1:59" ht="38.25" x14ac:dyDescent="0.2">
      <c r="A61" s="7" t="str">
        <f t="shared" ca="1" si="9"/>
        <v>35</v>
      </c>
      <c r="B61" s="7" t="str">
        <f ca="1">OFFSET(ORÇAMENTO!C$15,ROW(B61)-ROW(B$15),0)</f>
        <v>S</v>
      </c>
      <c r="C61" s="7" t="str">
        <f ca="1">OFFSET(ORÇAMENTO!L$15,ROW(C61)-ROW(C$15),0)</f>
        <v>F</v>
      </c>
      <c r="D61" s="117" t="str">
        <f ca="1">OFFSET(ORÇAMENTO!N$15,ROW(D61)-ROW(D$15),0)</f>
        <v>Serviço</v>
      </c>
      <c r="E61" s="118" t="str">
        <f ca="1">OFFSET(ORÇAMENTO!O$15,ROW(E61)-ROW(E$15),0)</f>
        <v>1.6.11.</v>
      </c>
      <c r="F61" s="164" t="str">
        <f ca="1">OFFSET(ORÇAMENTO!R$15,ROW(F61)-ROW(F$15),0)</f>
        <v>TELA DE ACO SOLDADA NERVURADA, CA-60, Q-92, (1,48 KG/M2), DIAMETRO DO FIO = 4,2 MM, LARGURA = 2,45 X 60 M DE COMPRIMENTO, ESPACAMENTO DA MALHA = 15 X 15 CM</v>
      </c>
      <c r="G61" s="165" t="str">
        <f ca="1">IF($D61&lt;&gt;"Serviço","",OFFSET(ORÇAMENTO!S$15,ROW(G61)-ROW(G$15),0))</f>
        <v>M2</v>
      </c>
      <c r="H61" s="123">
        <f ca="1">IF($D61&lt;&gt;"Serviço",0,IF(ACOMPANHAMENTO="BM",ROUND(OFFSET(ORÇAMENTO!AJ$15,ROW(H61)-ROW(H$15),0),15-13*ORÇAMENTO!$AF$7),SUMPRODUCT(($Q$1:$AA$1=1)*ROUND($Q61:$AA61,15-13*ORÇAMENTO!$AF$7))))</f>
        <v>22.25</v>
      </c>
      <c r="I61" s="469" t="s">
        <v>1041</v>
      </c>
      <c r="J61" s="663" t="str">
        <f ca="1">IF(OR(B61&lt;&gt;"S",CÁLCULO.FrentesPreenchidas=0),"",IF(AND(ACOMPANHAMENTO="PLE",AUTOEVENTO="Manual",OR(H61&gt;0,ORÇAMENTO!AC61="QUANT."),OR(K61="",M61=0,N61="")),"►",IF(AND(ACOMPANHAMENTO="PLE",ORÇAMENTO!AC61="QUANT."),"►►",IF(AND(COUNTIF($P$11:$AA$11,"▼")=0,H61&gt;0,I61=""),"◄",""))))</f>
        <v/>
      </c>
      <c r="K61" s="664"/>
      <c r="L61" s="166" t="s">
        <v>765</v>
      </c>
      <c r="M61" s="167">
        <f ca="1">IF($D61&lt;&gt;"Serviço","",
          IF(AUTOEVENTO="manual",$A61,
                IF(ISERROR(MATCH($A61,$A$15:OFFSET($A61,-1,0),0)),MAX($M$15:OFFSET(M61,-1,0))+1,
                      INDEX($M$15:OFFSET(M61,-1,0),MATCH($A61,$A$15:OFFSET($A61,-1,0),0)))))</f>
        <v>6</v>
      </c>
      <c r="N61" s="168" t="str">
        <f ca="1">IF($D61&lt;&gt;"Serviço","",
         IF(AUTOEVENTO="Manual",
                IF($A61=0,"&lt;-- defina o número do agrupador",
                       OFFSET(EVENTOS!$D$15,$A61-$A$15,0)),
                OFFSET($F$15,$A61,0)))</f>
        <v>READEQUAÇÃO DA FACHADA PRINCIPAL</v>
      </c>
      <c r="O61" s="169"/>
      <c r="Q61" s="169">
        <v>22.25</v>
      </c>
      <c r="R61" s="170"/>
      <c r="S61" s="170"/>
      <c r="T61" s="170"/>
      <c r="U61" s="170"/>
      <c r="V61" s="170"/>
      <c r="W61" s="170"/>
      <c r="X61" s="170"/>
      <c r="Y61" s="170"/>
      <c r="Z61" s="171"/>
      <c r="AB61" s="454">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332.64</v>
      </c>
      <c r="AC61" s="454">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4">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4">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4">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4">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4">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4">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4">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4">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2">
        <f ca="1">IF(OR($D61&lt;&gt;"Serviço",AND(AUTOEVENTO="Manual",$M61=$A$15)),0,
         IF(OFFSET(CRONOPLE!$F$15,$M61-$A$15,AM$13)=0,10^12,OFFSET(CRONOPLE!$F$15,$M61-$A$15,AM$13)))</f>
        <v>1</v>
      </c>
      <c r="AN61" s="172">
        <f ca="1">IF(OR($D61&lt;&gt;"Serviço",AND(AUTOEVENTO="Manual",$M61=$A$15)),0,
         IF(OFFSET(CRONOPLE!$F$15,$M61-$A$15,AN$13)=0,10^12,OFFSET(CRONOPLE!$F$15,$M61-$A$15,AN$13)))</f>
        <v>1000000000000</v>
      </c>
      <c r="AO61" s="172">
        <f ca="1">IF(OR($D61&lt;&gt;"Serviço",AND(AUTOEVENTO="Manual",$M61=$A$15)),0,
         IF(OFFSET(CRONOPLE!$F$15,$M61-$A$15,AO$13)=0,10^12,OFFSET(CRONOPLE!$F$15,$M61-$A$15,AO$13)))</f>
        <v>1000000000000</v>
      </c>
      <c r="AP61" s="172">
        <f ca="1">IF(OR($D61&lt;&gt;"Serviço",AND(AUTOEVENTO="Manual",$M61=$A$15)),0,
         IF(OFFSET(CRONOPLE!$F$15,$M61-$A$15,AP$13)=0,10^12,OFFSET(CRONOPLE!$F$15,$M61-$A$15,AP$13)))</f>
        <v>1000000000000</v>
      </c>
      <c r="AQ61" s="172">
        <f ca="1">IF(OR($D61&lt;&gt;"Serviço",AND(AUTOEVENTO="Manual",$M61=$A$15)),0,
         IF(OFFSET(CRONOPLE!$F$15,$M61-$A$15,AQ$13)=0,10^12,OFFSET(CRONOPLE!$F$15,$M61-$A$15,AQ$13)))</f>
        <v>1000000000000</v>
      </c>
      <c r="AR61" s="172">
        <f ca="1">IF(OR($D61&lt;&gt;"Serviço",AND(AUTOEVENTO="Manual",$M61=$A$15)),0,
         IF(OFFSET(CRONOPLE!$F$15,$M61-$A$15,AR$13)=0,10^12,OFFSET(CRONOPLE!$F$15,$M61-$A$15,AR$13)))</f>
        <v>1000000000000</v>
      </c>
      <c r="AS61" s="172">
        <f ca="1">IF(OR($D61&lt;&gt;"Serviço",AND(AUTOEVENTO="Manual",$M61=$A$15)),0,
         IF(OFFSET(CRONOPLE!$F$15,$M61-$A$15,AS$13)=0,10^12,OFFSET(CRONOPLE!$F$15,$M61-$A$15,AS$13)))</f>
        <v>1000000000000</v>
      </c>
      <c r="AT61" s="172">
        <f ca="1">IF(OR($D61&lt;&gt;"Serviço",AND(AUTOEVENTO="Manual",$M61=$A$15)),0,
         IF(OFFSET(CRONOPLE!$F$15,$M61-$A$15,AT$13)=0,10^12,OFFSET(CRONOPLE!$F$15,$M61-$A$15,AT$13)))</f>
        <v>1000000000000</v>
      </c>
      <c r="AU61" s="172">
        <f ca="1">IF(OR($D61&lt;&gt;"Serviço",AND(AUTOEVENTO="Manual",$M61=$A$15)),0,
         IF(OFFSET(CRONOPLE!$F$15,$M61-$A$15,AU$13)=0,10^12,OFFSET(CRONOPLE!$F$15,$M61-$A$15,AU$13)))</f>
        <v>1000000000000</v>
      </c>
      <c r="AV61" s="172">
        <f ca="1">IF(OR($D61&lt;&gt;"Serviço",AND(AUTOEVENTO="Manual",$M61=$A$15)),0,
         IF(OFFSET(CRONOPLE!$F$15,$M61-$A$15,AV$13)=0,10^12,OFFSET(CRONOPLE!$F$15,$M61-$A$15,AV$13)))</f>
        <v>1000000000000</v>
      </c>
      <c r="AX61" s="173">
        <f ca="1">IF(OR($D61&lt;&gt;"Serviço",AND(AUTOEVENTO="Manual",$M61=$A$15),$M61&gt;(ROW(PLE.lastrow)-ROW(PLE.firstrow))),0,
           IF(OFFSET(PLE!$G$15,$M61-$A$15,AX$13)="",10^12,OFFSET(PLE!$G$15,$M61-$A$15,AX$13)))</f>
        <v>1000000000000</v>
      </c>
      <c r="AY61" s="173">
        <f ca="1">IF(OR($D61&lt;&gt;"Serviço",AND(AUTOEVENTO="Manual",$M61=$A$15),$M61&gt;(ROW(PLE.lastrow)-ROW(PLE.firstrow))),0,
           IF(OFFSET(PLE!$G$15,$M61-$A$15,AY$13)="",10^12,OFFSET(PLE!$G$15,$M61-$A$15,AY$13)))</f>
        <v>1000000000000</v>
      </c>
      <c r="AZ61" s="173">
        <f ca="1">IF(OR($D61&lt;&gt;"Serviço",AND(AUTOEVENTO="Manual",$M61=$A$15),$M61&gt;(ROW(PLE.lastrow)-ROW(PLE.firstrow))),0,
           IF(OFFSET(PLE!$G$15,$M61-$A$15,AZ$13)="",10^12,OFFSET(PLE!$G$15,$M61-$A$15,AZ$13)))</f>
        <v>1000000000000</v>
      </c>
      <c r="BA61" s="173">
        <f ca="1">IF(OR($D61&lt;&gt;"Serviço",AND(AUTOEVENTO="Manual",$M61=$A$15),$M61&gt;(ROW(PLE.lastrow)-ROW(PLE.firstrow))),0,
           IF(OFFSET(PLE!$G$15,$M61-$A$15,BA$13)="",10^12,OFFSET(PLE!$G$15,$M61-$A$15,BA$13)))</f>
        <v>1000000000000</v>
      </c>
      <c r="BB61" s="173">
        <f ca="1">IF(OR($D61&lt;&gt;"Serviço",AND(AUTOEVENTO="Manual",$M61=$A$15),$M61&gt;(ROW(PLE.lastrow)-ROW(PLE.firstrow))),0,
           IF(OFFSET(PLE!$G$15,$M61-$A$15,BB$13)="",10^12,OFFSET(PLE!$G$15,$M61-$A$15,BB$13)))</f>
        <v>1000000000000</v>
      </c>
      <c r="BC61" s="173">
        <f ca="1">IF(OR($D61&lt;&gt;"Serviço",AND(AUTOEVENTO="Manual",$M61=$A$15),$M61&gt;(ROW(PLE.lastrow)-ROW(PLE.firstrow))),0,
           IF(OFFSET(PLE!$G$15,$M61-$A$15,BC$13)="",10^12,OFFSET(PLE!$G$15,$M61-$A$15,BC$13)))</f>
        <v>1000000000000</v>
      </c>
      <c r="BD61" s="173">
        <f ca="1">IF(OR($D61&lt;&gt;"Serviço",AND(AUTOEVENTO="Manual",$M61=$A$15),$M61&gt;(ROW(PLE.lastrow)-ROW(PLE.firstrow))),0,
           IF(OFFSET(PLE!$G$15,$M61-$A$15,BD$13)="",10^12,OFFSET(PLE!$G$15,$M61-$A$15,BD$13)))</f>
        <v>1000000000000</v>
      </c>
      <c r="BE61" s="173">
        <f ca="1">IF(OR($D61&lt;&gt;"Serviço",AND(AUTOEVENTO="Manual",$M61=$A$15),$M61&gt;(ROW(PLE.lastrow)-ROW(PLE.firstrow))),0,
           IF(OFFSET(PLE!$G$15,$M61-$A$15,BE$13)="",10^12,OFFSET(PLE!$G$15,$M61-$A$15,BE$13)))</f>
        <v>1000000000000</v>
      </c>
      <c r="BF61" s="173">
        <f ca="1">IF(OR($D61&lt;&gt;"Serviço",AND(AUTOEVENTO="Manual",$M61=$A$15),$M61&gt;(ROW(PLE.lastrow)-ROW(PLE.firstrow))),0,
           IF(OFFSET(PLE!$G$15,$M61-$A$15,BF$13)="",10^12,OFFSET(PLE!$G$15,$M61-$A$15,BF$13)))</f>
        <v>1000000000000</v>
      </c>
      <c r="BG61" s="173">
        <f ca="1">IF(OR($D61&lt;&gt;"Serviço",AND(AUTOEVENTO="Manual",$M61=$A$15),$M61&gt;(ROW(PLE.lastrow)-ROW(PLE.firstrow))),0,
           IF(OFFSET(PLE!$G$15,$M61-$A$15,BG$13)="",10^12,OFFSET(PLE!$G$15,$M61-$A$15,BG$13)))</f>
        <v>1000000000000</v>
      </c>
    </row>
    <row r="62" spans="1:59" ht="25.5" x14ac:dyDescent="0.2">
      <c r="A62" s="7" t="str">
        <f t="shared" ca="1" si="9"/>
        <v>35</v>
      </c>
      <c r="B62" s="7" t="str">
        <f ca="1">OFFSET(ORÇAMENTO!C$15,ROW(B62)-ROW(B$15),0)</f>
        <v>S</v>
      </c>
      <c r="C62" s="7" t="str">
        <f ca="1">OFFSET(ORÇAMENTO!L$15,ROW(C62)-ROW(C$15),0)</f>
        <v>F</v>
      </c>
      <c r="D62" s="117" t="str">
        <f ca="1">OFFSET(ORÇAMENTO!N$15,ROW(D62)-ROW(D$15),0)</f>
        <v>Serviço</v>
      </c>
      <c r="E62" s="118" t="str">
        <f ca="1">OFFSET(ORÇAMENTO!O$15,ROW(E62)-ROW(E$15),0)</f>
        <v>1.6.12.</v>
      </c>
      <c r="F62" s="164" t="str">
        <f ca="1">OFFSET(ORÇAMENTO!R$15,ROW(F62)-ROW(F$15),0)</f>
        <v>ARAME RECOZIDO 16 BWG, D = 1,65 MM (0,016 KG/M) OU 18 BWG, D = 1,25 MM (0,01 KG/M)</v>
      </c>
      <c r="G62" s="165" t="str">
        <f ca="1">IF($D62&lt;&gt;"Serviço","",OFFSET(ORÇAMENTO!S$15,ROW(G62)-ROW(G$15),0))</f>
        <v>KG</v>
      </c>
      <c r="H62" s="123">
        <f ca="1">IF($D62&lt;&gt;"Serviço",0,IF(ACOMPANHAMENTO="BM",ROUND(OFFSET(ORÇAMENTO!AJ$15,ROW(H62)-ROW(H$15),0),15-13*ORÇAMENTO!$AF$7),SUMPRODUCT(($Q$1:$AA$1=1)*ROUND($Q62:$AA62,15-13*ORÇAMENTO!$AF$7))))</f>
        <v>9</v>
      </c>
      <c r="I62" s="469" t="s">
        <v>1040</v>
      </c>
      <c r="J62" s="663" t="str">
        <f ca="1">IF(OR(B62&lt;&gt;"S",CÁLCULO.FrentesPreenchidas=0),"",IF(AND(ACOMPANHAMENTO="PLE",AUTOEVENTO="Manual",OR(H62&gt;0,ORÇAMENTO!AC62="QUANT."),OR(K62="",M62=0,N62="")),"►",IF(AND(ACOMPANHAMENTO="PLE",ORÇAMENTO!AC62="QUANT."),"►►",IF(AND(COUNTIF($P$11:$AA$11,"▼")=0,H62&gt;0,I62=""),"◄",""))))</f>
        <v/>
      </c>
      <c r="K62" s="664"/>
      <c r="L62" s="166" t="s">
        <v>765</v>
      </c>
      <c r="M62" s="167">
        <f ca="1">IF($D62&lt;&gt;"Serviço","",
          IF(AUTOEVENTO="manual",$A62,
                IF(ISERROR(MATCH($A62,$A$15:OFFSET($A62,-1,0),0)),MAX($M$15:OFFSET(M62,-1,0))+1,
                      INDEX($M$15:OFFSET(M62,-1,0),MATCH($A62,$A$15:OFFSET($A62,-1,0),0)))))</f>
        <v>6</v>
      </c>
      <c r="N62" s="168" t="str">
        <f ca="1">IF($D62&lt;&gt;"Serviço","",
         IF(AUTOEVENTO="Manual",
                IF($A62=0,"&lt;-- defina o número do agrupador",
                       OFFSET(EVENTOS!$D$15,$A62-$A$15,0)),
                OFFSET($F$15,$A62,0)))</f>
        <v>READEQUAÇÃO DA FACHADA PRINCIPAL</v>
      </c>
      <c r="O62" s="169"/>
      <c r="Q62" s="169">
        <v>9</v>
      </c>
      <c r="R62" s="170"/>
      <c r="S62" s="170"/>
      <c r="T62" s="170"/>
      <c r="U62" s="170"/>
      <c r="V62" s="170"/>
      <c r="W62" s="170"/>
      <c r="X62" s="170"/>
      <c r="Y62" s="170"/>
      <c r="Z62" s="171"/>
      <c r="AB62" s="454">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215.91</v>
      </c>
      <c r="AC62" s="454">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4">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4">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4">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4">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4">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4">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4">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4">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2">
        <f ca="1">IF(OR($D62&lt;&gt;"Serviço",AND(AUTOEVENTO="Manual",$M62=$A$15)),0,
         IF(OFFSET(CRONOPLE!$F$15,$M62-$A$15,AM$13)=0,10^12,OFFSET(CRONOPLE!$F$15,$M62-$A$15,AM$13)))</f>
        <v>1</v>
      </c>
      <c r="AN62" s="172">
        <f ca="1">IF(OR($D62&lt;&gt;"Serviço",AND(AUTOEVENTO="Manual",$M62=$A$15)),0,
         IF(OFFSET(CRONOPLE!$F$15,$M62-$A$15,AN$13)=0,10^12,OFFSET(CRONOPLE!$F$15,$M62-$A$15,AN$13)))</f>
        <v>1000000000000</v>
      </c>
      <c r="AO62" s="172">
        <f ca="1">IF(OR($D62&lt;&gt;"Serviço",AND(AUTOEVENTO="Manual",$M62=$A$15)),0,
         IF(OFFSET(CRONOPLE!$F$15,$M62-$A$15,AO$13)=0,10^12,OFFSET(CRONOPLE!$F$15,$M62-$A$15,AO$13)))</f>
        <v>1000000000000</v>
      </c>
      <c r="AP62" s="172">
        <f ca="1">IF(OR($D62&lt;&gt;"Serviço",AND(AUTOEVENTO="Manual",$M62=$A$15)),0,
         IF(OFFSET(CRONOPLE!$F$15,$M62-$A$15,AP$13)=0,10^12,OFFSET(CRONOPLE!$F$15,$M62-$A$15,AP$13)))</f>
        <v>1000000000000</v>
      </c>
      <c r="AQ62" s="172">
        <f ca="1">IF(OR($D62&lt;&gt;"Serviço",AND(AUTOEVENTO="Manual",$M62=$A$15)),0,
         IF(OFFSET(CRONOPLE!$F$15,$M62-$A$15,AQ$13)=0,10^12,OFFSET(CRONOPLE!$F$15,$M62-$A$15,AQ$13)))</f>
        <v>1000000000000</v>
      </c>
      <c r="AR62" s="172">
        <f ca="1">IF(OR($D62&lt;&gt;"Serviço",AND(AUTOEVENTO="Manual",$M62=$A$15)),0,
         IF(OFFSET(CRONOPLE!$F$15,$M62-$A$15,AR$13)=0,10^12,OFFSET(CRONOPLE!$F$15,$M62-$A$15,AR$13)))</f>
        <v>1000000000000</v>
      </c>
      <c r="AS62" s="172">
        <f ca="1">IF(OR($D62&lt;&gt;"Serviço",AND(AUTOEVENTO="Manual",$M62=$A$15)),0,
         IF(OFFSET(CRONOPLE!$F$15,$M62-$A$15,AS$13)=0,10^12,OFFSET(CRONOPLE!$F$15,$M62-$A$15,AS$13)))</f>
        <v>1000000000000</v>
      </c>
      <c r="AT62" s="172">
        <f ca="1">IF(OR($D62&lt;&gt;"Serviço",AND(AUTOEVENTO="Manual",$M62=$A$15)),0,
         IF(OFFSET(CRONOPLE!$F$15,$M62-$A$15,AT$13)=0,10^12,OFFSET(CRONOPLE!$F$15,$M62-$A$15,AT$13)))</f>
        <v>1000000000000</v>
      </c>
      <c r="AU62" s="172">
        <f ca="1">IF(OR($D62&lt;&gt;"Serviço",AND(AUTOEVENTO="Manual",$M62=$A$15)),0,
         IF(OFFSET(CRONOPLE!$F$15,$M62-$A$15,AU$13)=0,10^12,OFFSET(CRONOPLE!$F$15,$M62-$A$15,AU$13)))</f>
        <v>1000000000000</v>
      </c>
      <c r="AV62" s="172">
        <f ca="1">IF(OR($D62&lt;&gt;"Serviço",AND(AUTOEVENTO="Manual",$M62=$A$15)),0,
         IF(OFFSET(CRONOPLE!$F$15,$M62-$A$15,AV$13)=0,10^12,OFFSET(CRONOPLE!$F$15,$M62-$A$15,AV$13)))</f>
        <v>1000000000000</v>
      </c>
      <c r="AX62" s="173">
        <f ca="1">IF(OR($D62&lt;&gt;"Serviço",AND(AUTOEVENTO="Manual",$M62=$A$15),$M62&gt;(ROW(PLE.lastrow)-ROW(PLE.firstrow))),0,
           IF(OFFSET(PLE!$G$15,$M62-$A$15,AX$13)="",10^12,OFFSET(PLE!$G$15,$M62-$A$15,AX$13)))</f>
        <v>1000000000000</v>
      </c>
      <c r="AY62" s="173">
        <f ca="1">IF(OR($D62&lt;&gt;"Serviço",AND(AUTOEVENTO="Manual",$M62=$A$15),$M62&gt;(ROW(PLE.lastrow)-ROW(PLE.firstrow))),0,
           IF(OFFSET(PLE!$G$15,$M62-$A$15,AY$13)="",10^12,OFFSET(PLE!$G$15,$M62-$A$15,AY$13)))</f>
        <v>1000000000000</v>
      </c>
      <c r="AZ62" s="173">
        <f ca="1">IF(OR($D62&lt;&gt;"Serviço",AND(AUTOEVENTO="Manual",$M62=$A$15),$M62&gt;(ROW(PLE.lastrow)-ROW(PLE.firstrow))),0,
           IF(OFFSET(PLE!$G$15,$M62-$A$15,AZ$13)="",10^12,OFFSET(PLE!$G$15,$M62-$A$15,AZ$13)))</f>
        <v>1000000000000</v>
      </c>
      <c r="BA62" s="173">
        <f ca="1">IF(OR($D62&lt;&gt;"Serviço",AND(AUTOEVENTO="Manual",$M62=$A$15),$M62&gt;(ROW(PLE.lastrow)-ROW(PLE.firstrow))),0,
           IF(OFFSET(PLE!$G$15,$M62-$A$15,BA$13)="",10^12,OFFSET(PLE!$G$15,$M62-$A$15,BA$13)))</f>
        <v>1000000000000</v>
      </c>
      <c r="BB62" s="173">
        <f ca="1">IF(OR($D62&lt;&gt;"Serviço",AND(AUTOEVENTO="Manual",$M62=$A$15),$M62&gt;(ROW(PLE.lastrow)-ROW(PLE.firstrow))),0,
           IF(OFFSET(PLE!$G$15,$M62-$A$15,BB$13)="",10^12,OFFSET(PLE!$G$15,$M62-$A$15,BB$13)))</f>
        <v>1000000000000</v>
      </c>
      <c r="BC62" s="173">
        <f ca="1">IF(OR($D62&lt;&gt;"Serviço",AND(AUTOEVENTO="Manual",$M62=$A$15),$M62&gt;(ROW(PLE.lastrow)-ROW(PLE.firstrow))),0,
           IF(OFFSET(PLE!$G$15,$M62-$A$15,BC$13)="",10^12,OFFSET(PLE!$G$15,$M62-$A$15,BC$13)))</f>
        <v>1000000000000</v>
      </c>
      <c r="BD62" s="173">
        <f ca="1">IF(OR($D62&lt;&gt;"Serviço",AND(AUTOEVENTO="Manual",$M62=$A$15),$M62&gt;(ROW(PLE.lastrow)-ROW(PLE.firstrow))),0,
           IF(OFFSET(PLE!$G$15,$M62-$A$15,BD$13)="",10^12,OFFSET(PLE!$G$15,$M62-$A$15,BD$13)))</f>
        <v>1000000000000</v>
      </c>
      <c r="BE62" s="173">
        <f ca="1">IF(OR($D62&lt;&gt;"Serviço",AND(AUTOEVENTO="Manual",$M62=$A$15),$M62&gt;(ROW(PLE.lastrow)-ROW(PLE.firstrow))),0,
           IF(OFFSET(PLE!$G$15,$M62-$A$15,BE$13)="",10^12,OFFSET(PLE!$G$15,$M62-$A$15,BE$13)))</f>
        <v>1000000000000</v>
      </c>
      <c r="BF62" s="173">
        <f ca="1">IF(OR($D62&lt;&gt;"Serviço",AND(AUTOEVENTO="Manual",$M62=$A$15),$M62&gt;(ROW(PLE.lastrow)-ROW(PLE.firstrow))),0,
           IF(OFFSET(PLE!$G$15,$M62-$A$15,BF$13)="",10^12,OFFSET(PLE!$G$15,$M62-$A$15,BF$13)))</f>
        <v>1000000000000</v>
      </c>
      <c r="BG62" s="173">
        <f ca="1">IF(OR($D62&lt;&gt;"Serviço",AND(AUTOEVENTO="Manual",$M62=$A$15),$M62&gt;(ROW(PLE.lastrow)-ROW(PLE.firstrow))),0,
           IF(OFFSET(PLE!$G$15,$M62-$A$15,BG$13)="",10^12,OFFSET(PLE!$G$15,$M62-$A$15,BG$13)))</f>
        <v>1000000000000</v>
      </c>
    </row>
    <row r="63" spans="1:59" ht="25.5" x14ac:dyDescent="0.2">
      <c r="A63" s="7" t="str">
        <f t="shared" ca="1" si="9"/>
        <v>35</v>
      </c>
      <c r="B63" s="7" t="str">
        <f ca="1">OFFSET(ORÇAMENTO!C$15,ROW(B63)-ROW(B$15),0)</f>
        <v>S</v>
      </c>
      <c r="C63" s="7" t="str">
        <f ca="1">OFFSET(ORÇAMENTO!L$15,ROW(C63)-ROW(C$15),0)</f>
        <v>F</v>
      </c>
      <c r="D63" s="117" t="str">
        <f ca="1">OFFSET(ORÇAMENTO!N$15,ROW(D63)-ROW(D$15),0)</f>
        <v>Serviço</v>
      </c>
      <c r="E63" s="118" t="str">
        <f ca="1">OFFSET(ORÇAMENTO!O$15,ROW(E63)-ROW(E$15),0)</f>
        <v>1.6.13.</v>
      </c>
      <c r="F63" s="164" t="str">
        <f ca="1">OFFSET(ORÇAMENTO!R$15,ROW(F63)-ROW(F$15),0)</f>
        <v>PREGO DE ACO POLIDO COM CABECA 18 X 30 (2 3/4 X 10)</v>
      </c>
      <c r="G63" s="165" t="str">
        <f ca="1">IF($D63&lt;&gt;"Serviço","",OFFSET(ORÇAMENTO!S$15,ROW(G63)-ROW(G$15),0))</f>
        <v>KG</v>
      </c>
      <c r="H63" s="123">
        <f ca="1">IF($D63&lt;&gt;"Serviço",0,IF(ACOMPANHAMENTO="BM",ROUND(OFFSET(ORÇAMENTO!AJ$15,ROW(H63)-ROW(H$15),0),15-13*ORÇAMENTO!$AF$7),SUMPRODUCT(($Q$1:$AA$1=1)*ROUND($Q63:$AA63,15-13*ORÇAMENTO!$AF$7))))</f>
        <v>7</v>
      </c>
      <c r="I63" s="469" t="s">
        <v>1040</v>
      </c>
      <c r="J63" s="663" t="str">
        <f ca="1">IF(OR(B63&lt;&gt;"S",CÁLCULO.FrentesPreenchidas=0),"",IF(AND(ACOMPANHAMENTO="PLE",AUTOEVENTO="Manual",OR(H63&gt;0,ORÇAMENTO!AC63="QUANT."),OR(K63="",M63=0,N63="")),"►",IF(AND(ACOMPANHAMENTO="PLE",ORÇAMENTO!AC63="QUANT."),"►►",IF(AND(COUNTIF($P$11:$AA$11,"▼")=0,H63&gt;0,I63=""),"◄",""))))</f>
        <v/>
      </c>
      <c r="K63" s="664"/>
      <c r="L63" s="166" t="s">
        <v>765</v>
      </c>
      <c r="M63" s="167">
        <f ca="1">IF($D63&lt;&gt;"Serviço","",
          IF(AUTOEVENTO="manual",$A63,
                IF(ISERROR(MATCH($A63,$A$15:OFFSET($A63,-1,0),0)),MAX($M$15:OFFSET(M63,-1,0))+1,
                      INDEX($M$15:OFFSET(M63,-1,0),MATCH($A63,$A$15:OFFSET($A63,-1,0),0)))))</f>
        <v>6</v>
      </c>
      <c r="N63" s="168" t="str">
        <f ca="1">IF($D63&lt;&gt;"Serviço","",
         IF(AUTOEVENTO="Manual",
                IF($A63=0,"&lt;-- defina o número do agrupador",
                       OFFSET(EVENTOS!$D$15,$A63-$A$15,0)),
                OFFSET($F$15,$A63,0)))</f>
        <v>READEQUAÇÃO DA FACHADA PRINCIPAL</v>
      </c>
      <c r="O63" s="169"/>
      <c r="Q63" s="169">
        <v>7</v>
      </c>
      <c r="R63" s="170"/>
      <c r="S63" s="170"/>
      <c r="T63" s="170"/>
      <c r="U63" s="170"/>
      <c r="V63" s="170"/>
      <c r="W63" s="170"/>
      <c r="X63" s="170"/>
      <c r="Y63" s="170"/>
      <c r="Z63" s="171"/>
      <c r="AB63" s="454">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117.6</v>
      </c>
      <c r="AC63" s="454">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4">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4">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4">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4">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4">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4">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4">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4">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2">
        <f ca="1">IF(OR($D63&lt;&gt;"Serviço",AND(AUTOEVENTO="Manual",$M63=$A$15)),0,
         IF(OFFSET(CRONOPLE!$F$15,$M63-$A$15,AM$13)=0,10^12,OFFSET(CRONOPLE!$F$15,$M63-$A$15,AM$13)))</f>
        <v>1</v>
      </c>
      <c r="AN63" s="172">
        <f ca="1">IF(OR($D63&lt;&gt;"Serviço",AND(AUTOEVENTO="Manual",$M63=$A$15)),0,
         IF(OFFSET(CRONOPLE!$F$15,$M63-$A$15,AN$13)=0,10^12,OFFSET(CRONOPLE!$F$15,$M63-$A$15,AN$13)))</f>
        <v>1000000000000</v>
      </c>
      <c r="AO63" s="172">
        <f ca="1">IF(OR($D63&lt;&gt;"Serviço",AND(AUTOEVENTO="Manual",$M63=$A$15)),0,
         IF(OFFSET(CRONOPLE!$F$15,$M63-$A$15,AO$13)=0,10^12,OFFSET(CRONOPLE!$F$15,$M63-$A$15,AO$13)))</f>
        <v>1000000000000</v>
      </c>
      <c r="AP63" s="172">
        <f ca="1">IF(OR($D63&lt;&gt;"Serviço",AND(AUTOEVENTO="Manual",$M63=$A$15)),0,
         IF(OFFSET(CRONOPLE!$F$15,$M63-$A$15,AP$13)=0,10^12,OFFSET(CRONOPLE!$F$15,$M63-$A$15,AP$13)))</f>
        <v>1000000000000</v>
      </c>
      <c r="AQ63" s="172">
        <f ca="1">IF(OR($D63&lt;&gt;"Serviço",AND(AUTOEVENTO="Manual",$M63=$A$15)),0,
         IF(OFFSET(CRONOPLE!$F$15,$M63-$A$15,AQ$13)=0,10^12,OFFSET(CRONOPLE!$F$15,$M63-$A$15,AQ$13)))</f>
        <v>1000000000000</v>
      </c>
      <c r="AR63" s="172">
        <f ca="1">IF(OR($D63&lt;&gt;"Serviço",AND(AUTOEVENTO="Manual",$M63=$A$15)),0,
         IF(OFFSET(CRONOPLE!$F$15,$M63-$A$15,AR$13)=0,10^12,OFFSET(CRONOPLE!$F$15,$M63-$A$15,AR$13)))</f>
        <v>1000000000000</v>
      </c>
      <c r="AS63" s="172">
        <f ca="1">IF(OR($D63&lt;&gt;"Serviço",AND(AUTOEVENTO="Manual",$M63=$A$15)),0,
         IF(OFFSET(CRONOPLE!$F$15,$M63-$A$15,AS$13)=0,10^12,OFFSET(CRONOPLE!$F$15,$M63-$A$15,AS$13)))</f>
        <v>1000000000000</v>
      </c>
      <c r="AT63" s="172">
        <f ca="1">IF(OR($D63&lt;&gt;"Serviço",AND(AUTOEVENTO="Manual",$M63=$A$15)),0,
         IF(OFFSET(CRONOPLE!$F$15,$M63-$A$15,AT$13)=0,10^12,OFFSET(CRONOPLE!$F$15,$M63-$A$15,AT$13)))</f>
        <v>1000000000000</v>
      </c>
      <c r="AU63" s="172">
        <f ca="1">IF(OR($D63&lt;&gt;"Serviço",AND(AUTOEVENTO="Manual",$M63=$A$15)),0,
         IF(OFFSET(CRONOPLE!$F$15,$M63-$A$15,AU$13)=0,10^12,OFFSET(CRONOPLE!$F$15,$M63-$A$15,AU$13)))</f>
        <v>1000000000000</v>
      </c>
      <c r="AV63" s="172">
        <f ca="1">IF(OR($D63&lt;&gt;"Serviço",AND(AUTOEVENTO="Manual",$M63=$A$15)),0,
         IF(OFFSET(CRONOPLE!$F$15,$M63-$A$15,AV$13)=0,10^12,OFFSET(CRONOPLE!$F$15,$M63-$A$15,AV$13)))</f>
        <v>1000000000000</v>
      </c>
      <c r="AX63" s="173">
        <f ca="1">IF(OR($D63&lt;&gt;"Serviço",AND(AUTOEVENTO="Manual",$M63=$A$15),$M63&gt;(ROW(PLE.lastrow)-ROW(PLE.firstrow))),0,
           IF(OFFSET(PLE!$G$15,$M63-$A$15,AX$13)="",10^12,OFFSET(PLE!$G$15,$M63-$A$15,AX$13)))</f>
        <v>1000000000000</v>
      </c>
      <c r="AY63" s="173">
        <f ca="1">IF(OR($D63&lt;&gt;"Serviço",AND(AUTOEVENTO="Manual",$M63=$A$15),$M63&gt;(ROW(PLE.lastrow)-ROW(PLE.firstrow))),0,
           IF(OFFSET(PLE!$G$15,$M63-$A$15,AY$13)="",10^12,OFFSET(PLE!$G$15,$M63-$A$15,AY$13)))</f>
        <v>1000000000000</v>
      </c>
      <c r="AZ63" s="173">
        <f ca="1">IF(OR($D63&lt;&gt;"Serviço",AND(AUTOEVENTO="Manual",$M63=$A$15),$M63&gt;(ROW(PLE.lastrow)-ROW(PLE.firstrow))),0,
           IF(OFFSET(PLE!$G$15,$M63-$A$15,AZ$13)="",10^12,OFFSET(PLE!$G$15,$M63-$A$15,AZ$13)))</f>
        <v>1000000000000</v>
      </c>
      <c r="BA63" s="173">
        <f ca="1">IF(OR($D63&lt;&gt;"Serviço",AND(AUTOEVENTO="Manual",$M63=$A$15),$M63&gt;(ROW(PLE.lastrow)-ROW(PLE.firstrow))),0,
           IF(OFFSET(PLE!$G$15,$M63-$A$15,BA$13)="",10^12,OFFSET(PLE!$G$15,$M63-$A$15,BA$13)))</f>
        <v>1000000000000</v>
      </c>
      <c r="BB63" s="173">
        <f ca="1">IF(OR($D63&lt;&gt;"Serviço",AND(AUTOEVENTO="Manual",$M63=$A$15),$M63&gt;(ROW(PLE.lastrow)-ROW(PLE.firstrow))),0,
           IF(OFFSET(PLE!$G$15,$M63-$A$15,BB$13)="",10^12,OFFSET(PLE!$G$15,$M63-$A$15,BB$13)))</f>
        <v>1000000000000</v>
      </c>
      <c r="BC63" s="173">
        <f ca="1">IF(OR($D63&lt;&gt;"Serviço",AND(AUTOEVENTO="Manual",$M63=$A$15),$M63&gt;(ROW(PLE.lastrow)-ROW(PLE.firstrow))),0,
           IF(OFFSET(PLE!$G$15,$M63-$A$15,BC$13)="",10^12,OFFSET(PLE!$G$15,$M63-$A$15,BC$13)))</f>
        <v>1000000000000</v>
      </c>
      <c r="BD63" s="173">
        <f ca="1">IF(OR($D63&lt;&gt;"Serviço",AND(AUTOEVENTO="Manual",$M63=$A$15),$M63&gt;(ROW(PLE.lastrow)-ROW(PLE.firstrow))),0,
           IF(OFFSET(PLE!$G$15,$M63-$A$15,BD$13)="",10^12,OFFSET(PLE!$G$15,$M63-$A$15,BD$13)))</f>
        <v>1000000000000</v>
      </c>
      <c r="BE63" s="173">
        <f ca="1">IF(OR($D63&lt;&gt;"Serviço",AND(AUTOEVENTO="Manual",$M63=$A$15),$M63&gt;(ROW(PLE.lastrow)-ROW(PLE.firstrow))),0,
           IF(OFFSET(PLE!$G$15,$M63-$A$15,BE$13)="",10^12,OFFSET(PLE!$G$15,$M63-$A$15,BE$13)))</f>
        <v>1000000000000</v>
      </c>
      <c r="BF63" s="173">
        <f ca="1">IF(OR($D63&lt;&gt;"Serviço",AND(AUTOEVENTO="Manual",$M63=$A$15),$M63&gt;(ROW(PLE.lastrow)-ROW(PLE.firstrow))),0,
           IF(OFFSET(PLE!$G$15,$M63-$A$15,BF$13)="",10^12,OFFSET(PLE!$G$15,$M63-$A$15,BF$13)))</f>
        <v>1000000000000</v>
      </c>
      <c r="BG63" s="173">
        <f ca="1">IF(OR($D63&lt;&gt;"Serviço",AND(AUTOEVENTO="Manual",$M63=$A$15),$M63&gt;(ROW(PLE.lastrow)-ROW(PLE.firstrow))),0,
           IF(OFFSET(PLE!$G$15,$M63-$A$15,BG$13)="",10^12,OFFSET(PLE!$G$15,$M63-$A$15,BG$13)))</f>
        <v>1000000000000</v>
      </c>
    </row>
    <row r="64" spans="1:59" ht="51" x14ac:dyDescent="0.2">
      <c r="A64" s="7" t="str">
        <f t="shared" ca="1" si="9"/>
        <v>35</v>
      </c>
      <c r="B64" s="7" t="str">
        <f ca="1">OFFSET(ORÇAMENTO!C$15,ROW(B64)-ROW(B$15),0)</f>
        <v>S</v>
      </c>
      <c r="C64" s="7" t="str">
        <f ca="1">OFFSET(ORÇAMENTO!L$15,ROW(C64)-ROW(C$15),0)</f>
        <v>F</v>
      </c>
      <c r="D64" s="117" t="str">
        <f ca="1">OFFSET(ORÇAMENTO!N$15,ROW(D64)-ROW(D$15),0)</f>
        <v>Serviço</v>
      </c>
      <c r="E64" s="118" t="str">
        <f ca="1">OFFSET(ORÇAMENTO!O$15,ROW(E64)-ROW(E$15),0)</f>
        <v>1.6.14.</v>
      </c>
      <c r="F64" s="164" t="str">
        <f ca="1">OFFSET(ORÇAMENTO!R$15,ROW(F64)-ROW(F$15),0)</f>
        <v>ALVENARIA DE VEDAÇÃO DE BLOCOS CERÂMICOS FURADOS NA HORIZONTAL DE 11,5X19X39 CM (ESPESSURA 11,5 CM) E ARGAMASSA DE ASSENTAMENTO COM PREPARO EM BETONEIRA. AF_12/2021</v>
      </c>
      <c r="G64" s="165" t="str">
        <f ca="1">IF($D64&lt;&gt;"Serviço","",OFFSET(ORÇAMENTO!S$15,ROW(G64)-ROW(G$15),0))</f>
        <v>M2</v>
      </c>
      <c r="H64" s="123">
        <f ca="1">IF($D64&lt;&gt;"Serviço",0,IF(ACOMPANHAMENTO="BM",ROUND(OFFSET(ORÇAMENTO!AJ$15,ROW(H64)-ROW(H$15),0),15-13*ORÇAMENTO!$AF$7),SUMPRODUCT(($Q$1:$AA$1=1)*ROUND($Q64:$AA64,15-13*ORÇAMENTO!$AF$7))))</f>
        <v>20.25</v>
      </c>
      <c r="I64" s="469" t="s">
        <v>1038</v>
      </c>
      <c r="J64" s="663" t="str">
        <f ca="1">IF(OR(B64&lt;&gt;"S",CÁLCULO.FrentesPreenchidas=0),"",IF(AND(ACOMPANHAMENTO="PLE",AUTOEVENTO="Manual",OR(H64&gt;0,ORÇAMENTO!AC64="QUANT."),OR(K64="",M64=0,N64="")),"►",IF(AND(ACOMPANHAMENTO="PLE",ORÇAMENTO!AC64="QUANT."),"►►",IF(AND(COUNTIF($P$11:$AA$11,"▼")=0,H64&gt;0,I64=""),"◄",""))))</f>
        <v/>
      </c>
      <c r="K64" s="664"/>
      <c r="L64" s="166" t="s">
        <v>765</v>
      </c>
      <c r="M64" s="167">
        <f ca="1">IF($D64&lt;&gt;"Serviço","",
          IF(AUTOEVENTO="manual",$A64,
                IF(ISERROR(MATCH($A64,$A$15:OFFSET($A64,-1,0),0)),MAX($M$15:OFFSET(M64,-1,0))+1,
                      INDEX($M$15:OFFSET(M64,-1,0),MATCH($A64,$A$15:OFFSET($A64,-1,0),0)))))</f>
        <v>6</v>
      </c>
      <c r="N64" s="168" t="str">
        <f ca="1">IF($D64&lt;&gt;"Serviço","",
         IF(AUTOEVENTO="Manual",
                IF($A64=0,"&lt;-- defina o número do agrupador",
                       OFFSET(EVENTOS!$D$15,$A64-$A$15,0)),
                OFFSET($F$15,$A64,0)))</f>
        <v>READEQUAÇÃO DA FACHADA PRINCIPAL</v>
      </c>
      <c r="O64" s="169"/>
      <c r="Q64" s="169">
        <v>20.25</v>
      </c>
      <c r="R64" s="170"/>
      <c r="S64" s="170"/>
      <c r="T64" s="170"/>
      <c r="U64" s="170"/>
      <c r="V64" s="170"/>
      <c r="W64" s="170"/>
      <c r="X64" s="170"/>
      <c r="Y64" s="170"/>
      <c r="Z64" s="171"/>
      <c r="AB64" s="454">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1513.89</v>
      </c>
      <c r="AC64" s="454">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4">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0</v>
      </c>
      <c r="AE64" s="454">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4">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4">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54">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4">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4">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4">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2">
        <f ca="1">IF(OR($D64&lt;&gt;"Serviço",AND(AUTOEVENTO="Manual",$M64=$A$15)),0,
         IF(OFFSET(CRONOPLE!$F$15,$M64-$A$15,AM$13)=0,10^12,OFFSET(CRONOPLE!$F$15,$M64-$A$15,AM$13)))</f>
        <v>1</v>
      </c>
      <c r="AN64" s="172">
        <f ca="1">IF(OR($D64&lt;&gt;"Serviço",AND(AUTOEVENTO="Manual",$M64=$A$15)),0,
         IF(OFFSET(CRONOPLE!$F$15,$M64-$A$15,AN$13)=0,10^12,OFFSET(CRONOPLE!$F$15,$M64-$A$15,AN$13)))</f>
        <v>1000000000000</v>
      </c>
      <c r="AO64" s="172">
        <f ca="1">IF(OR($D64&lt;&gt;"Serviço",AND(AUTOEVENTO="Manual",$M64=$A$15)),0,
         IF(OFFSET(CRONOPLE!$F$15,$M64-$A$15,AO$13)=0,10^12,OFFSET(CRONOPLE!$F$15,$M64-$A$15,AO$13)))</f>
        <v>1000000000000</v>
      </c>
      <c r="AP64" s="172">
        <f ca="1">IF(OR($D64&lt;&gt;"Serviço",AND(AUTOEVENTO="Manual",$M64=$A$15)),0,
         IF(OFFSET(CRONOPLE!$F$15,$M64-$A$15,AP$13)=0,10^12,OFFSET(CRONOPLE!$F$15,$M64-$A$15,AP$13)))</f>
        <v>1000000000000</v>
      </c>
      <c r="AQ64" s="172">
        <f ca="1">IF(OR($D64&lt;&gt;"Serviço",AND(AUTOEVENTO="Manual",$M64=$A$15)),0,
         IF(OFFSET(CRONOPLE!$F$15,$M64-$A$15,AQ$13)=0,10^12,OFFSET(CRONOPLE!$F$15,$M64-$A$15,AQ$13)))</f>
        <v>1000000000000</v>
      </c>
      <c r="AR64" s="172">
        <f ca="1">IF(OR($D64&lt;&gt;"Serviço",AND(AUTOEVENTO="Manual",$M64=$A$15)),0,
         IF(OFFSET(CRONOPLE!$F$15,$M64-$A$15,AR$13)=0,10^12,OFFSET(CRONOPLE!$F$15,$M64-$A$15,AR$13)))</f>
        <v>1000000000000</v>
      </c>
      <c r="AS64" s="172">
        <f ca="1">IF(OR($D64&lt;&gt;"Serviço",AND(AUTOEVENTO="Manual",$M64=$A$15)),0,
         IF(OFFSET(CRONOPLE!$F$15,$M64-$A$15,AS$13)=0,10^12,OFFSET(CRONOPLE!$F$15,$M64-$A$15,AS$13)))</f>
        <v>1000000000000</v>
      </c>
      <c r="AT64" s="172">
        <f ca="1">IF(OR($D64&lt;&gt;"Serviço",AND(AUTOEVENTO="Manual",$M64=$A$15)),0,
         IF(OFFSET(CRONOPLE!$F$15,$M64-$A$15,AT$13)=0,10^12,OFFSET(CRONOPLE!$F$15,$M64-$A$15,AT$13)))</f>
        <v>1000000000000</v>
      </c>
      <c r="AU64" s="172">
        <f ca="1">IF(OR($D64&lt;&gt;"Serviço",AND(AUTOEVENTO="Manual",$M64=$A$15)),0,
         IF(OFFSET(CRONOPLE!$F$15,$M64-$A$15,AU$13)=0,10^12,OFFSET(CRONOPLE!$F$15,$M64-$A$15,AU$13)))</f>
        <v>1000000000000</v>
      </c>
      <c r="AV64" s="172">
        <f ca="1">IF(OR($D64&lt;&gt;"Serviço",AND(AUTOEVENTO="Manual",$M64=$A$15)),0,
         IF(OFFSET(CRONOPLE!$F$15,$M64-$A$15,AV$13)=0,10^12,OFFSET(CRONOPLE!$F$15,$M64-$A$15,AV$13)))</f>
        <v>1000000000000</v>
      </c>
      <c r="AX64" s="173">
        <f ca="1">IF(OR($D64&lt;&gt;"Serviço",AND(AUTOEVENTO="Manual",$M64=$A$15),$M64&gt;(ROW(PLE.lastrow)-ROW(PLE.firstrow))),0,
           IF(OFFSET(PLE!$G$15,$M64-$A$15,AX$13)="",10^12,OFFSET(PLE!$G$15,$M64-$A$15,AX$13)))</f>
        <v>1000000000000</v>
      </c>
      <c r="AY64" s="173">
        <f ca="1">IF(OR($D64&lt;&gt;"Serviço",AND(AUTOEVENTO="Manual",$M64=$A$15),$M64&gt;(ROW(PLE.lastrow)-ROW(PLE.firstrow))),0,
           IF(OFFSET(PLE!$G$15,$M64-$A$15,AY$13)="",10^12,OFFSET(PLE!$G$15,$M64-$A$15,AY$13)))</f>
        <v>1000000000000</v>
      </c>
      <c r="AZ64" s="173">
        <f ca="1">IF(OR($D64&lt;&gt;"Serviço",AND(AUTOEVENTO="Manual",$M64=$A$15),$M64&gt;(ROW(PLE.lastrow)-ROW(PLE.firstrow))),0,
           IF(OFFSET(PLE!$G$15,$M64-$A$15,AZ$13)="",10^12,OFFSET(PLE!$G$15,$M64-$A$15,AZ$13)))</f>
        <v>1000000000000</v>
      </c>
      <c r="BA64" s="173">
        <f ca="1">IF(OR($D64&lt;&gt;"Serviço",AND(AUTOEVENTO="Manual",$M64=$A$15),$M64&gt;(ROW(PLE.lastrow)-ROW(PLE.firstrow))),0,
           IF(OFFSET(PLE!$G$15,$M64-$A$15,BA$13)="",10^12,OFFSET(PLE!$G$15,$M64-$A$15,BA$13)))</f>
        <v>1000000000000</v>
      </c>
      <c r="BB64" s="173">
        <f ca="1">IF(OR($D64&lt;&gt;"Serviço",AND(AUTOEVENTO="Manual",$M64=$A$15),$M64&gt;(ROW(PLE.lastrow)-ROW(PLE.firstrow))),0,
           IF(OFFSET(PLE!$G$15,$M64-$A$15,BB$13)="",10^12,OFFSET(PLE!$G$15,$M64-$A$15,BB$13)))</f>
        <v>1000000000000</v>
      </c>
      <c r="BC64" s="173">
        <f ca="1">IF(OR($D64&lt;&gt;"Serviço",AND(AUTOEVENTO="Manual",$M64=$A$15),$M64&gt;(ROW(PLE.lastrow)-ROW(PLE.firstrow))),0,
           IF(OFFSET(PLE!$G$15,$M64-$A$15,BC$13)="",10^12,OFFSET(PLE!$G$15,$M64-$A$15,BC$13)))</f>
        <v>1000000000000</v>
      </c>
      <c r="BD64" s="173">
        <f ca="1">IF(OR($D64&lt;&gt;"Serviço",AND(AUTOEVENTO="Manual",$M64=$A$15),$M64&gt;(ROW(PLE.lastrow)-ROW(PLE.firstrow))),0,
           IF(OFFSET(PLE!$G$15,$M64-$A$15,BD$13)="",10^12,OFFSET(PLE!$G$15,$M64-$A$15,BD$13)))</f>
        <v>1000000000000</v>
      </c>
      <c r="BE64" s="173">
        <f ca="1">IF(OR($D64&lt;&gt;"Serviço",AND(AUTOEVENTO="Manual",$M64=$A$15),$M64&gt;(ROW(PLE.lastrow)-ROW(PLE.firstrow))),0,
           IF(OFFSET(PLE!$G$15,$M64-$A$15,BE$13)="",10^12,OFFSET(PLE!$G$15,$M64-$A$15,BE$13)))</f>
        <v>1000000000000</v>
      </c>
      <c r="BF64" s="173">
        <f ca="1">IF(OR($D64&lt;&gt;"Serviço",AND(AUTOEVENTO="Manual",$M64=$A$15),$M64&gt;(ROW(PLE.lastrow)-ROW(PLE.firstrow))),0,
           IF(OFFSET(PLE!$G$15,$M64-$A$15,BF$13)="",10^12,OFFSET(PLE!$G$15,$M64-$A$15,BF$13)))</f>
        <v>1000000000000</v>
      </c>
      <c r="BG64" s="173">
        <f ca="1">IF(OR($D64&lt;&gt;"Serviço",AND(AUTOEVENTO="Manual",$M64=$A$15),$M64&gt;(ROW(PLE.lastrow)-ROW(PLE.firstrow))),0,
           IF(OFFSET(PLE!$G$15,$M64-$A$15,BG$13)="",10^12,OFFSET(PLE!$G$15,$M64-$A$15,BG$13)))</f>
        <v>1000000000000</v>
      </c>
    </row>
    <row r="65" spans="1:59" ht="51" x14ac:dyDescent="0.2">
      <c r="A65" s="7" t="str">
        <f t="shared" ca="1" si="9"/>
        <v>35</v>
      </c>
      <c r="B65" s="7" t="str">
        <f ca="1">OFFSET(ORÇAMENTO!C$15,ROW(B65)-ROW(B$15),0)</f>
        <v>S</v>
      </c>
      <c r="C65" s="7" t="str">
        <f ca="1">OFFSET(ORÇAMENTO!L$15,ROW(C65)-ROW(C$15),0)</f>
        <v>F</v>
      </c>
      <c r="D65" s="117" t="str">
        <f ca="1">OFFSET(ORÇAMENTO!N$15,ROW(D65)-ROW(D$15),0)</f>
        <v>Serviço</v>
      </c>
      <c r="E65" s="118" t="str">
        <f ca="1">OFFSET(ORÇAMENTO!O$15,ROW(E65)-ROW(E$15),0)</f>
        <v>1.6.15.</v>
      </c>
      <c r="F65" s="164" t="str">
        <f ca="1">OFFSET(ORÇAMENTO!R$15,ROW(F65)-ROW(F$15),0)</f>
        <v>ARGAMASSA TRAÇO 1:1,5:7,5 (EM VOLUME DE CIMENTO, CAL E AREIA MÉDIA ÚMIDA) PARA EMBOÇO/MASSA ÚNICA/ASSENTAMENTO DE ALVENARIA DE VEDAÇÃO, PREPARO MECÂNICO COM BETONEIRA ATÉ 600 L. AF_07/2026</v>
      </c>
      <c r="G65" s="165" t="str">
        <f ca="1">IF($D65&lt;&gt;"Serviço","",OFFSET(ORÇAMENTO!S$15,ROW(G65)-ROW(G$15),0))</f>
        <v>M3</v>
      </c>
      <c r="H65" s="123">
        <f ca="1">IF($D65&lt;&gt;"Serviço",0,IF(ACOMPANHAMENTO="BM",ROUND(OFFSET(ORÇAMENTO!AJ$15,ROW(H65)-ROW(H$15),0),15-13*ORÇAMENTO!$AF$7),SUMPRODUCT(($Q$1:$AA$1=1)*ROUND($Q65:$AA65,15-13*ORÇAMENTO!$AF$7))))</f>
        <v>0.6</v>
      </c>
      <c r="I65" s="469" t="s">
        <v>1061</v>
      </c>
      <c r="J65" s="663" t="str">
        <f ca="1">IF(OR(B65&lt;&gt;"S",CÁLCULO.FrentesPreenchidas=0),"",IF(AND(ACOMPANHAMENTO="PLE",AUTOEVENTO="Manual",OR(H65&gt;0,ORÇAMENTO!AC65="QUANT."),OR(K65="",M65=0,N65="")),"►",IF(AND(ACOMPANHAMENTO="PLE",ORÇAMENTO!AC65="QUANT."),"►►",IF(AND(COUNTIF($P$11:$AA$11,"▼")=0,H65&gt;0,I65=""),"◄",""))))</f>
        <v/>
      </c>
      <c r="K65" s="664"/>
      <c r="L65" s="166" t="s">
        <v>765</v>
      </c>
      <c r="M65" s="167">
        <f ca="1">IF($D65&lt;&gt;"Serviço","",
          IF(AUTOEVENTO="manual",$A65,
                IF(ISERROR(MATCH($A65,$A$15:OFFSET($A65,-1,0),0)),MAX($M$15:OFFSET(M65,-1,0))+1,
                      INDEX($M$15:OFFSET(M65,-1,0),MATCH($A65,$A$15:OFFSET($A65,-1,0),0)))))</f>
        <v>6</v>
      </c>
      <c r="N65" s="168" t="str">
        <f ca="1">IF($D65&lt;&gt;"Serviço","",
         IF(AUTOEVENTO="Manual",
                IF($A65=0,"&lt;-- defina o número do agrupador",
                       OFFSET(EVENTOS!$D$15,$A65-$A$15,0)),
                OFFSET($F$15,$A65,0)))</f>
        <v>READEQUAÇÃO DA FACHADA PRINCIPAL</v>
      </c>
      <c r="O65" s="169"/>
      <c r="Q65" s="169">
        <v>0.6</v>
      </c>
      <c r="R65" s="170"/>
      <c r="S65" s="170"/>
      <c r="T65" s="170"/>
      <c r="U65" s="170"/>
      <c r="V65" s="170"/>
      <c r="W65" s="170"/>
      <c r="X65" s="170"/>
      <c r="Y65" s="170"/>
      <c r="Z65" s="171"/>
      <c r="AB65" s="454">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429.32</v>
      </c>
      <c r="AC65" s="454">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4">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4">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4">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4">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4">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4">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4">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4">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2">
        <f ca="1">IF(OR($D65&lt;&gt;"Serviço",AND(AUTOEVENTO="Manual",$M65=$A$15)),0,
         IF(OFFSET(CRONOPLE!$F$15,$M65-$A$15,AM$13)=0,10^12,OFFSET(CRONOPLE!$F$15,$M65-$A$15,AM$13)))</f>
        <v>1</v>
      </c>
      <c r="AN65" s="172">
        <f ca="1">IF(OR($D65&lt;&gt;"Serviço",AND(AUTOEVENTO="Manual",$M65=$A$15)),0,
         IF(OFFSET(CRONOPLE!$F$15,$M65-$A$15,AN$13)=0,10^12,OFFSET(CRONOPLE!$F$15,$M65-$A$15,AN$13)))</f>
        <v>1000000000000</v>
      </c>
      <c r="AO65" s="172">
        <f ca="1">IF(OR($D65&lt;&gt;"Serviço",AND(AUTOEVENTO="Manual",$M65=$A$15)),0,
         IF(OFFSET(CRONOPLE!$F$15,$M65-$A$15,AO$13)=0,10^12,OFFSET(CRONOPLE!$F$15,$M65-$A$15,AO$13)))</f>
        <v>1000000000000</v>
      </c>
      <c r="AP65" s="172">
        <f ca="1">IF(OR($D65&lt;&gt;"Serviço",AND(AUTOEVENTO="Manual",$M65=$A$15)),0,
         IF(OFFSET(CRONOPLE!$F$15,$M65-$A$15,AP$13)=0,10^12,OFFSET(CRONOPLE!$F$15,$M65-$A$15,AP$13)))</f>
        <v>1000000000000</v>
      </c>
      <c r="AQ65" s="172">
        <f ca="1">IF(OR($D65&lt;&gt;"Serviço",AND(AUTOEVENTO="Manual",$M65=$A$15)),0,
         IF(OFFSET(CRONOPLE!$F$15,$M65-$A$15,AQ$13)=0,10^12,OFFSET(CRONOPLE!$F$15,$M65-$A$15,AQ$13)))</f>
        <v>1000000000000</v>
      </c>
      <c r="AR65" s="172">
        <f ca="1">IF(OR($D65&lt;&gt;"Serviço",AND(AUTOEVENTO="Manual",$M65=$A$15)),0,
         IF(OFFSET(CRONOPLE!$F$15,$M65-$A$15,AR$13)=0,10^12,OFFSET(CRONOPLE!$F$15,$M65-$A$15,AR$13)))</f>
        <v>1000000000000</v>
      </c>
      <c r="AS65" s="172">
        <f ca="1">IF(OR($D65&lt;&gt;"Serviço",AND(AUTOEVENTO="Manual",$M65=$A$15)),0,
         IF(OFFSET(CRONOPLE!$F$15,$M65-$A$15,AS$13)=0,10^12,OFFSET(CRONOPLE!$F$15,$M65-$A$15,AS$13)))</f>
        <v>1000000000000</v>
      </c>
      <c r="AT65" s="172">
        <f ca="1">IF(OR($D65&lt;&gt;"Serviço",AND(AUTOEVENTO="Manual",$M65=$A$15)),0,
         IF(OFFSET(CRONOPLE!$F$15,$M65-$A$15,AT$13)=0,10^12,OFFSET(CRONOPLE!$F$15,$M65-$A$15,AT$13)))</f>
        <v>1000000000000</v>
      </c>
      <c r="AU65" s="172">
        <f ca="1">IF(OR($D65&lt;&gt;"Serviço",AND(AUTOEVENTO="Manual",$M65=$A$15)),0,
         IF(OFFSET(CRONOPLE!$F$15,$M65-$A$15,AU$13)=0,10^12,OFFSET(CRONOPLE!$F$15,$M65-$A$15,AU$13)))</f>
        <v>1000000000000</v>
      </c>
      <c r="AV65" s="172">
        <f ca="1">IF(OR($D65&lt;&gt;"Serviço",AND(AUTOEVENTO="Manual",$M65=$A$15)),0,
         IF(OFFSET(CRONOPLE!$F$15,$M65-$A$15,AV$13)=0,10^12,OFFSET(CRONOPLE!$F$15,$M65-$A$15,AV$13)))</f>
        <v>1000000000000</v>
      </c>
      <c r="AX65" s="173">
        <f ca="1">IF(OR($D65&lt;&gt;"Serviço",AND(AUTOEVENTO="Manual",$M65=$A$15),$M65&gt;(ROW(PLE.lastrow)-ROW(PLE.firstrow))),0,
           IF(OFFSET(PLE!$G$15,$M65-$A$15,AX$13)="",10^12,OFFSET(PLE!$G$15,$M65-$A$15,AX$13)))</f>
        <v>1000000000000</v>
      </c>
      <c r="AY65" s="173">
        <f ca="1">IF(OR($D65&lt;&gt;"Serviço",AND(AUTOEVENTO="Manual",$M65=$A$15),$M65&gt;(ROW(PLE.lastrow)-ROW(PLE.firstrow))),0,
           IF(OFFSET(PLE!$G$15,$M65-$A$15,AY$13)="",10^12,OFFSET(PLE!$G$15,$M65-$A$15,AY$13)))</f>
        <v>1000000000000</v>
      </c>
      <c r="AZ65" s="173">
        <f ca="1">IF(OR($D65&lt;&gt;"Serviço",AND(AUTOEVENTO="Manual",$M65=$A$15),$M65&gt;(ROW(PLE.lastrow)-ROW(PLE.firstrow))),0,
           IF(OFFSET(PLE!$G$15,$M65-$A$15,AZ$13)="",10^12,OFFSET(PLE!$G$15,$M65-$A$15,AZ$13)))</f>
        <v>1000000000000</v>
      </c>
      <c r="BA65" s="173">
        <f ca="1">IF(OR($D65&lt;&gt;"Serviço",AND(AUTOEVENTO="Manual",$M65=$A$15),$M65&gt;(ROW(PLE.lastrow)-ROW(PLE.firstrow))),0,
           IF(OFFSET(PLE!$G$15,$M65-$A$15,BA$13)="",10^12,OFFSET(PLE!$G$15,$M65-$A$15,BA$13)))</f>
        <v>1000000000000</v>
      </c>
      <c r="BB65" s="173">
        <f ca="1">IF(OR($D65&lt;&gt;"Serviço",AND(AUTOEVENTO="Manual",$M65=$A$15),$M65&gt;(ROW(PLE.lastrow)-ROW(PLE.firstrow))),0,
           IF(OFFSET(PLE!$G$15,$M65-$A$15,BB$13)="",10^12,OFFSET(PLE!$G$15,$M65-$A$15,BB$13)))</f>
        <v>1000000000000</v>
      </c>
      <c r="BC65" s="173">
        <f ca="1">IF(OR($D65&lt;&gt;"Serviço",AND(AUTOEVENTO="Manual",$M65=$A$15),$M65&gt;(ROW(PLE.lastrow)-ROW(PLE.firstrow))),0,
           IF(OFFSET(PLE!$G$15,$M65-$A$15,BC$13)="",10^12,OFFSET(PLE!$G$15,$M65-$A$15,BC$13)))</f>
        <v>1000000000000</v>
      </c>
      <c r="BD65" s="173">
        <f ca="1">IF(OR($D65&lt;&gt;"Serviço",AND(AUTOEVENTO="Manual",$M65=$A$15),$M65&gt;(ROW(PLE.lastrow)-ROW(PLE.firstrow))),0,
           IF(OFFSET(PLE!$G$15,$M65-$A$15,BD$13)="",10^12,OFFSET(PLE!$G$15,$M65-$A$15,BD$13)))</f>
        <v>1000000000000</v>
      </c>
      <c r="BE65" s="173">
        <f ca="1">IF(OR($D65&lt;&gt;"Serviço",AND(AUTOEVENTO="Manual",$M65=$A$15),$M65&gt;(ROW(PLE.lastrow)-ROW(PLE.firstrow))),0,
           IF(OFFSET(PLE!$G$15,$M65-$A$15,BE$13)="",10^12,OFFSET(PLE!$G$15,$M65-$A$15,BE$13)))</f>
        <v>1000000000000</v>
      </c>
      <c r="BF65" s="173">
        <f ca="1">IF(OR($D65&lt;&gt;"Serviço",AND(AUTOEVENTO="Manual",$M65=$A$15),$M65&gt;(ROW(PLE.lastrow)-ROW(PLE.firstrow))),0,
           IF(OFFSET(PLE!$G$15,$M65-$A$15,BF$13)="",10^12,OFFSET(PLE!$G$15,$M65-$A$15,BF$13)))</f>
        <v>1000000000000</v>
      </c>
      <c r="BG65" s="173">
        <f ca="1">IF(OR($D65&lt;&gt;"Serviço",AND(AUTOEVENTO="Manual",$M65=$A$15),$M65&gt;(ROW(PLE.lastrow)-ROW(PLE.firstrow))),0,
           IF(OFFSET(PLE!$G$15,$M65-$A$15,BG$13)="",10^12,OFFSET(PLE!$G$15,$M65-$A$15,BG$13)))</f>
        <v>1000000000000</v>
      </c>
    </row>
    <row r="66" spans="1:59" ht="38.25" x14ac:dyDescent="0.2">
      <c r="A66" s="7" t="str">
        <f t="shared" ca="1" si="9"/>
        <v>35</v>
      </c>
      <c r="B66" s="7" t="str">
        <f ca="1">OFFSET(ORÇAMENTO!C$15,ROW(B66)-ROW(B$15),0)</f>
        <v>S</v>
      </c>
      <c r="C66" s="7" t="str">
        <f ca="1">OFFSET(ORÇAMENTO!L$15,ROW(C66)-ROW(C$15),0)</f>
        <v>F</v>
      </c>
      <c r="D66" s="117" t="str">
        <f ca="1">OFFSET(ORÇAMENTO!N$15,ROW(D66)-ROW(D$15),0)</f>
        <v>Serviço</v>
      </c>
      <c r="E66" s="118" t="str">
        <f ca="1">OFFSET(ORÇAMENTO!O$15,ROW(E66)-ROW(E$15),0)</f>
        <v>1.6.16.</v>
      </c>
      <c r="F66" s="164" t="str">
        <f ca="1">OFFSET(ORÇAMENTO!R$15,ROW(F66)-ROW(F$15),0)</f>
        <v>ARGAMASSA TRAÇO 1:3 (EM VOLUME DE CIMENTO E AREIA GROSSA ÚMIDA) PARA CHAPISCO CONVENCIONAL, PREPARO MECÂNICO COM BETONEIRA ATÉ 600 L. AF_07/2026</v>
      </c>
      <c r="G66" s="165" t="str">
        <f ca="1">IF($D66&lt;&gt;"Serviço","",OFFSET(ORÇAMENTO!S$15,ROW(G66)-ROW(G$15),0))</f>
        <v>M3</v>
      </c>
      <c r="H66" s="123">
        <f ca="1">IF($D66&lt;&gt;"Serviço",0,IF(ACOMPANHAMENTO="BM",ROUND(OFFSET(ORÇAMENTO!AJ$15,ROW(H66)-ROW(H$15),0),15-13*ORÇAMENTO!$AF$7),SUMPRODUCT(($Q$1:$AA$1=1)*ROUND($Q66:$AA66,15-13*ORÇAMENTO!$AF$7))))</f>
        <v>1.6</v>
      </c>
      <c r="I66" s="469" t="s">
        <v>1060</v>
      </c>
      <c r="J66" s="663" t="str">
        <f ca="1">IF(OR(B66&lt;&gt;"S",CÁLCULO.FrentesPreenchidas=0),"",IF(AND(ACOMPANHAMENTO="PLE",AUTOEVENTO="Manual",OR(H66&gt;0,ORÇAMENTO!AC66="QUANT."),OR(K66="",M66=0,N66="")),"►",IF(AND(ACOMPANHAMENTO="PLE",ORÇAMENTO!AC66="QUANT."),"►►",IF(AND(COUNTIF($P$11:$AA$11,"▼")=0,H66&gt;0,I66=""),"◄",""))))</f>
        <v/>
      </c>
      <c r="K66" s="664"/>
      <c r="L66" s="166" t="s">
        <v>765</v>
      </c>
      <c r="M66" s="167">
        <f ca="1">IF($D66&lt;&gt;"Serviço","",
          IF(AUTOEVENTO="manual",$A66,
                IF(ISERROR(MATCH($A66,$A$15:OFFSET($A66,-1,0),0)),MAX($M$15:OFFSET(M66,-1,0))+1,
                      INDEX($M$15:OFFSET(M66,-1,0),MATCH($A66,$A$15:OFFSET($A66,-1,0),0)))))</f>
        <v>6</v>
      </c>
      <c r="N66" s="168" t="str">
        <f ca="1">IF($D66&lt;&gt;"Serviço","",
         IF(AUTOEVENTO="Manual",
                IF($A66=0,"&lt;-- defina o número do agrupador",
                       OFFSET(EVENTOS!$D$15,$A66-$A$15,0)),
                OFFSET($F$15,$A66,0)))</f>
        <v>READEQUAÇÃO DA FACHADA PRINCIPAL</v>
      </c>
      <c r="O66" s="169"/>
      <c r="Q66" s="169">
        <v>1.6</v>
      </c>
      <c r="R66" s="170"/>
      <c r="S66" s="170"/>
      <c r="T66" s="170"/>
      <c r="U66" s="170"/>
      <c r="V66" s="170"/>
      <c r="W66" s="170"/>
      <c r="X66" s="170"/>
      <c r="Y66" s="170"/>
      <c r="Z66" s="171"/>
      <c r="AB66" s="454">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1170.4000000000001</v>
      </c>
      <c r="AC66" s="454">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4">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54">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4">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4">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4">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4">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4">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4">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2">
        <f ca="1">IF(OR($D66&lt;&gt;"Serviço",AND(AUTOEVENTO="Manual",$M66=$A$15)),0,
         IF(OFFSET(CRONOPLE!$F$15,$M66-$A$15,AM$13)=0,10^12,OFFSET(CRONOPLE!$F$15,$M66-$A$15,AM$13)))</f>
        <v>1</v>
      </c>
      <c r="AN66" s="172">
        <f ca="1">IF(OR($D66&lt;&gt;"Serviço",AND(AUTOEVENTO="Manual",$M66=$A$15)),0,
         IF(OFFSET(CRONOPLE!$F$15,$M66-$A$15,AN$13)=0,10^12,OFFSET(CRONOPLE!$F$15,$M66-$A$15,AN$13)))</f>
        <v>1000000000000</v>
      </c>
      <c r="AO66" s="172">
        <f ca="1">IF(OR($D66&lt;&gt;"Serviço",AND(AUTOEVENTO="Manual",$M66=$A$15)),0,
         IF(OFFSET(CRONOPLE!$F$15,$M66-$A$15,AO$13)=0,10^12,OFFSET(CRONOPLE!$F$15,$M66-$A$15,AO$13)))</f>
        <v>1000000000000</v>
      </c>
      <c r="AP66" s="172">
        <f ca="1">IF(OR($D66&lt;&gt;"Serviço",AND(AUTOEVENTO="Manual",$M66=$A$15)),0,
         IF(OFFSET(CRONOPLE!$F$15,$M66-$A$15,AP$13)=0,10^12,OFFSET(CRONOPLE!$F$15,$M66-$A$15,AP$13)))</f>
        <v>1000000000000</v>
      </c>
      <c r="AQ66" s="172">
        <f ca="1">IF(OR($D66&lt;&gt;"Serviço",AND(AUTOEVENTO="Manual",$M66=$A$15)),0,
         IF(OFFSET(CRONOPLE!$F$15,$M66-$A$15,AQ$13)=0,10^12,OFFSET(CRONOPLE!$F$15,$M66-$A$15,AQ$13)))</f>
        <v>1000000000000</v>
      </c>
      <c r="AR66" s="172">
        <f ca="1">IF(OR($D66&lt;&gt;"Serviço",AND(AUTOEVENTO="Manual",$M66=$A$15)),0,
         IF(OFFSET(CRONOPLE!$F$15,$M66-$A$15,AR$13)=0,10^12,OFFSET(CRONOPLE!$F$15,$M66-$A$15,AR$13)))</f>
        <v>1000000000000</v>
      </c>
      <c r="AS66" s="172">
        <f ca="1">IF(OR($D66&lt;&gt;"Serviço",AND(AUTOEVENTO="Manual",$M66=$A$15)),0,
         IF(OFFSET(CRONOPLE!$F$15,$M66-$A$15,AS$13)=0,10^12,OFFSET(CRONOPLE!$F$15,$M66-$A$15,AS$13)))</f>
        <v>1000000000000</v>
      </c>
      <c r="AT66" s="172">
        <f ca="1">IF(OR($D66&lt;&gt;"Serviço",AND(AUTOEVENTO="Manual",$M66=$A$15)),0,
         IF(OFFSET(CRONOPLE!$F$15,$M66-$A$15,AT$13)=0,10^12,OFFSET(CRONOPLE!$F$15,$M66-$A$15,AT$13)))</f>
        <v>1000000000000</v>
      </c>
      <c r="AU66" s="172">
        <f ca="1">IF(OR($D66&lt;&gt;"Serviço",AND(AUTOEVENTO="Manual",$M66=$A$15)),0,
         IF(OFFSET(CRONOPLE!$F$15,$M66-$A$15,AU$13)=0,10^12,OFFSET(CRONOPLE!$F$15,$M66-$A$15,AU$13)))</f>
        <v>1000000000000</v>
      </c>
      <c r="AV66" s="172">
        <f ca="1">IF(OR($D66&lt;&gt;"Serviço",AND(AUTOEVENTO="Manual",$M66=$A$15)),0,
         IF(OFFSET(CRONOPLE!$F$15,$M66-$A$15,AV$13)=0,10^12,OFFSET(CRONOPLE!$F$15,$M66-$A$15,AV$13)))</f>
        <v>1000000000000</v>
      </c>
      <c r="AX66" s="173">
        <f ca="1">IF(OR($D66&lt;&gt;"Serviço",AND(AUTOEVENTO="Manual",$M66=$A$15),$M66&gt;(ROW(PLE.lastrow)-ROW(PLE.firstrow))),0,
           IF(OFFSET(PLE!$G$15,$M66-$A$15,AX$13)="",10^12,OFFSET(PLE!$G$15,$M66-$A$15,AX$13)))</f>
        <v>1000000000000</v>
      </c>
      <c r="AY66" s="173">
        <f ca="1">IF(OR($D66&lt;&gt;"Serviço",AND(AUTOEVENTO="Manual",$M66=$A$15),$M66&gt;(ROW(PLE.lastrow)-ROW(PLE.firstrow))),0,
           IF(OFFSET(PLE!$G$15,$M66-$A$15,AY$13)="",10^12,OFFSET(PLE!$G$15,$M66-$A$15,AY$13)))</f>
        <v>1000000000000</v>
      </c>
      <c r="AZ66" s="173">
        <f ca="1">IF(OR($D66&lt;&gt;"Serviço",AND(AUTOEVENTO="Manual",$M66=$A$15),$M66&gt;(ROW(PLE.lastrow)-ROW(PLE.firstrow))),0,
           IF(OFFSET(PLE!$G$15,$M66-$A$15,AZ$13)="",10^12,OFFSET(PLE!$G$15,$M66-$A$15,AZ$13)))</f>
        <v>1000000000000</v>
      </c>
      <c r="BA66" s="173">
        <f ca="1">IF(OR($D66&lt;&gt;"Serviço",AND(AUTOEVENTO="Manual",$M66=$A$15),$M66&gt;(ROW(PLE.lastrow)-ROW(PLE.firstrow))),0,
           IF(OFFSET(PLE!$G$15,$M66-$A$15,BA$13)="",10^12,OFFSET(PLE!$G$15,$M66-$A$15,BA$13)))</f>
        <v>1000000000000</v>
      </c>
      <c r="BB66" s="173">
        <f ca="1">IF(OR($D66&lt;&gt;"Serviço",AND(AUTOEVENTO="Manual",$M66=$A$15),$M66&gt;(ROW(PLE.lastrow)-ROW(PLE.firstrow))),0,
           IF(OFFSET(PLE!$G$15,$M66-$A$15,BB$13)="",10^12,OFFSET(PLE!$G$15,$M66-$A$15,BB$13)))</f>
        <v>1000000000000</v>
      </c>
      <c r="BC66" s="173">
        <f ca="1">IF(OR($D66&lt;&gt;"Serviço",AND(AUTOEVENTO="Manual",$M66=$A$15),$M66&gt;(ROW(PLE.lastrow)-ROW(PLE.firstrow))),0,
           IF(OFFSET(PLE!$G$15,$M66-$A$15,BC$13)="",10^12,OFFSET(PLE!$G$15,$M66-$A$15,BC$13)))</f>
        <v>1000000000000</v>
      </c>
      <c r="BD66" s="173">
        <f ca="1">IF(OR($D66&lt;&gt;"Serviço",AND(AUTOEVENTO="Manual",$M66=$A$15),$M66&gt;(ROW(PLE.lastrow)-ROW(PLE.firstrow))),0,
           IF(OFFSET(PLE!$G$15,$M66-$A$15,BD$13)="",10^12,OFFSET(PLE!$G$15,$M66-$A$15,BD$13)))</f>
        <v>1000000000000</v>
      </c>
      <c r="BE66" s="173">
        <f ca="1">IF(OR($D66&lt;&gt;"Serviço",AND(AUTOEVENTO="Manual",$M66=$A$15),$M66&gt;(ROW(PLE.lastrow)-ROW(PLE.firstrow))),0,
           IF(OFFSET(PLE!$G$15,$M66-$A$15,BE$13)="",10^12,OFFSET(PLE!$G$15,$M66-$A$15,BE$13)))</f>
        <v>1000000000000</v>
      </c>
      <c r="BF66" s="173">
        <f ca="1">IF(OR($D66&lt;&gt;"Serviço",AND(AUTOEVENTO="Manual",$M66=$A$15),$M66&gt;(ROW(PLE.lastrow)-ROW(PLE.firstrow))),0,
           IF(OFFSET(PLE!$G$15,$M66-$A$15,BF$13)="",10^12,OFFSET(PLE!$G$15,$M66-$A$15,BF$13)))</f>
        <v>1000000000000</v>
      </c>
      <c r="BG66" s="173">
        <f ca="1">IF(OR($D66&lt;&gt;"Serviço",AND(AUTOEVENTO="Manual",$M66=$A$15),$M66&gt;(ROW(PLE.lastrow)-ROW(PLE.firstrow))),0,
           IF(OFFSET(PLE!$G$15,$M66-$A$15,BG$13)="",10^12,OFFSET(PLE!$G$15,$M66-$A$15,BG$13)))</f>
        <v>1000000000000</v>
      </c>
    </row>
    <row r="67" spans="1:59" ht="38.25" x14ac:dyDescent="0.2">
      <c r="A67" s="7" t="str">
        <f t="shared" ca="1" si="9"/>
        <v>35</v>
      </c>
      <c r="B67" s="7" t="str">
        <f ca="1">OFFSET(ORÇAMENTO!C$15,ROW(B67)-ROW(B$15),0)</f>
        <v>S</v>
      </c>
      <c r="C67" s="7" t="str">
        <f ca="1">OFFSET(ORÇAMENTO!L$15,ROW(C67)-ROW(C$15),0)</f>
        <v>F</v>
      </c>
      <c r="D67" s="117" t="str">
        <f ca="1">OFFSET(ORÇAMENTO!N$15,ROW(D67)-ROW(D$15),0)</f>
        <v>Serviço</v>
      </c>
      <c r="E67" s="118" t="str">
        <f ca="1">OFFSET(ORÇAMENTO!O$15,ROW(E67)-ROW(E$15),0)</f>
        <v>1.6.17.</v>
      </c>
      <c r="F67" s="164" t="str">
        <f ca="1">OFFSET(ORÇAMENTO!R$15,ROW(F67)-ROW(F$15),0)</f>
        <v>DEMOLIÇÃO DE PISO DE CONCRETO SIMPLES, DE FORMA MECANIZADA COM MARTELETE, SEM REAPROVEITAMENTO. AF_09/2023</v>
      </c>
      <c r="G67" s="165" t="str">
        <f ca="1">IF($D67&lt;&gt;"Serviço","",OFFSET(ORÇAMENTO!S$15,ROW(G67)-ROW(G$15),0))</f>
        <v>M3</v>
      </c>
      <c r="H67" s="123">
        <f ca="1">IF($D67&lt;&gt;"Serviço",0,IF(ACOMPANHAMENTO="BM",ROUND(OFFSET(ORÇAMENTO!AJ$15,ROW(H67)-ROW(H$15),0),15-13*ORÇAMENTO!$AF$7),SUMPRODUCT(($Q$1:$AA$1=1)*ROUND($Q67:$AA67,15-13*ORÇAMENTO!$AF$7))))</f>
        <v>0.35</v>
      </c>
      <c r="I67" s="469" t="s">
        <v>1039</v>
      </c>
      <c r="J67" s="663" t="str">
        <f ca="1">IF(OR(B67&lt;&gt;"S",CÁLCULO.FrentesPreenchidas=0),"",IF(AND(ACOMPANHAMENTO="PLE",AUTOEVENTO="Manual",OR(H67&gt;0,ORÇAMENTO!AC67="QUANT."),OR(K67="",M67=0,N67="")),"►",IF(AND(ACOMPANHAMENTO="PLE",ORÇAMENTO!AC67="QUANT."),"►►",IF(AND(COUNTIF($P$11:$AA$11,"▼")=0,H67&gt;0,I67=""),"◄",""))))</f>
        <v/>
      </c>
      <c r="K67" s="664"/>
      <c r="L67" s="166" t="s">
        <v>765</v>
      </c>
      <c r="M67" s="167">
        <f ca="1">IF($D67&lt;&gt;"Serviço","",
          IF(AUTOEVENTO="manual",$A67,
                IF(ISERROR(MATCH($A67,$A$15:OFFSET($A67,-1,0),0)),MAX($M$15:OFFSET(M67,-1,0))+1,
                      INDEX($M$15:OFFSET(M67,-1,0),MATCH($A67,$A$15:OFFSET($A67,-1,0),0)))))</f>
        <v>6</v>
      </c>
      <c r="N67" s="168" t="str">
        <f ca="1">IF($D67&lt;&gt;"Serviço","",
         IF(AUTOEVENTO="Manual",
                IF($A67=0,"&lt;-- defina o número do agrupador",
                       OFFSET(EVENTOS!$D$15,$A67-$A$15,0)),
                OFFSET($F$15,$A67,0)))</f>
        <v>READEQUAÇÃO DA FACHADA PRINCIPAL</v>
      </c>
      <c r="O67" s="169"/>
      <c r="Q67" s="169">
        <v>0.35</v>
      </c>
      <c r="R67" s="170"/>
      <c r="S67" s="170"/>
      <c r="T67" s="170"/>
      <c r="U67" s="170"/>
      <c r="V67" s="170"/>
      <c r="W67" s="170"/>
      <c r="X67" s="170"/>
      <c r="Y67" s="170"/>
      <c r="Z67" s="171"/>
      <c r="AB67" s="454">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47.32</v>
      </c>
      <c r="AC67" s="454">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4">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0</v>
      </c>
      <c r="AE67" s="454">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4">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4">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54">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4">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4">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4">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2">
        <f ca="1">IF(OR($D67&lt;&gt;"Serviço",AND(AUTOEVENTO="Manual",$M67=$A$15)),0,
         IF(OFFSET(CRONOPLE!$F$15,$M67-$A$15,AM$13)=0,10^12,OFFSET(CRONOPLE!$F$15,$M67-$A$15,AM$13)))</f>
        <v>1</v>
      </c>
      <c r="AN67" s="172">
        <f ca="1">IF(OR($D67&lt;&gt;"Serviço",AND(AUTOEVENTO="Manual",$M67=$A$15)),0,
         IF(OFFSET(CRONOPLE!$F$15,$M67-$A$15,AN$13)=0,10^12,OFFSET(CRONOPLE!$F$15,$M67-$A$15,AN$13)))</f>
        <v>1000000000000</v>
      </c>
      <c r="AO67" s="172">
        <f ca="1">IF(OR($D67&lt;&gt;"Serviço",AND(AUTOEVENTO="Manual",$M67=$A$15)),0,
         IF(OFFSET(CRONOPLE!$F$15,$M67-$A$15,AO$13)=0,10^12,OFFSET(CRONOPLE!$F$15,$M67-$A$15,AO$13)))</f>
        <v>1000000000000</v>
      </c>
      <c r="AP67" s="172">
        <f ca="1">IF(OR($D67&lt;&gt;"Serviço",AND(AUTOEVENTO="Manual",$M67=$A$15)),0,
         IF(OFFSET(CRONOPLE!$F$15,$M67-$A$15,AP$13)=0,10^12,OFFSET(CRONOPLE!$F$15,$M67-$A$15,AP$13)))</f>
        <v>1000000000000</v>
      </c>
      <c r="AQ67" s="172">
        <f ca="1">IF(OR($D67&lt;&gt;"Serviço",AND(AUTOEVENTO="Manual",$M67=$A$15)),0,
         IF(OFFSET(CRONOPLE!$F$15,$M67-$A$15,AQ$13)=0,10^12,OFFSET(CRONOPLE!$F$15,$M67-$A$15,AQ$13)))</f>
        <v>1000000000000</v>
      </c>
      <c r="AR67" s="172">
        <f ca="1">IF(OR($D67&lt;&gt;"Serviço",AND(AUTOEVENTO="Manual",$M67=$A$15)),0,
         IF(OFFSET(CRONOPLE!$F$15,$M67-$A$15,AR$13)=0,10^12,OFFSET(CRONOPLE!$F$15,$M67-$A$15,AR$13)))</f>
        <v>1000000000000</v>
      </c>
      <c r="AS67" s="172">
        <f ca="1">IF(OR($D67&lt;&gt;"Serviço",AND(AUTOEVENTO="Manual",$M67=$A$15)),0,
         IF(OFFSET(CRONOPLE!$F$15,$M67-$A$15,AS$13)=0,10^12,OFFSET(CRONOPLE!$F$15,$M67-$A$15,AS$13)))</f>
        <v>1000000000000</v>
      </c>
      <c r="AT67" s="172">
        <f ca="1">IF(OR($D67&lt;&gt;"Serviço",AND(AUTOEVENTO="Manual",$M67=$A$15)),0,
         IF(OFFSET(CRONOPLE!$F$15,$M67-$A$15,AT$13)=0,10^12,OFFSET(CRONOPLE!$F$15,$M67-$A$15,AT$13)))</f>
        <v>1000000000000</v>
      </c>
      <c r="AU67" s="172">
        <f ca="1">IF(OR($D67&lt;&gt;"Serviço",AND(AUTOEVENTO="Manual",$M67=$A$15)),0,
         IF(OFFSET(CRONOPLE!$F$15,$M67-$A$15,AU$13)=0,10^12,OFFSET(CRONOPLE!$F$15,$M67-$A$15,AU$13)))</f>
        <v>1000000000000</v>
      </c>
      <c r="AV67" s="172">
        <f ca="1">IF(OR($D67&lt;&gt;"Serviço",AND(AUTOEVENTO="Manual",$M67=$A$15)),0,
         IF(OFFSET(CRONOPLE!$F$15,$M67-$A$15,AV$13)=0,10^12,OFFSET(CRONOPLE!$F$15,$M67-$A$15,AV$13)))</f>
        <v>1000000000000</v>
      </c>
      <c r="AX67" s="173">
        <f ca="1">IF(OR($D67&lt;&gt;"Serviço",AND(AUTOEVENTO="Manual",$M67=$A$15),$M67&gt;(ROW(PLE.lastrow)-ROW(PLE.firstrow))),0,
           IF(OFFSET(PLE!$G$15,$M67-$A$15,AX$13)="",10^12,OFFSET(PLE!$G$15,$M67-$A$15,AX$13)))</f>
        <v>1000000000000</v>
      </c>
      <c r="AY67" s="173">
        <f ca="1">IF(OR($D67&lt;&gt;"Serviço",AND(AUTOEVENTO="Manual",$M67=$A$15),$M67&gt;(ROW(PLE.lastrow)-ROW(PLE.firstrow))),0,
           IF(OFFSET(PLE!$G$15,$M67-$A$15,AY$13)="",10^12,OFFSET(PLE!$G$15,$M67-$A$15,AY$13)))</f>
        <v>1000000000000</v>
      </c>
      <c r="AZ67" s="173">
        <f ca="1">IF(OR($D67&lt;&gt;"Serviço",AND(AUTOEVENTO="Manual",$M67=$A$15),$M67&gt;(ROW(PLE.lastrow)-ROW(PLE.firstrow))),0,
           IF(OFFSET(PLE!$G$15,$M67-$A$15,AZ$13)="",10^12,OFFSET(PLE!$G$15,$M67-$A$15,AZ$13)))</f>
        <v>1000000000000</v>
      </c>
      <c r="BA67" s="173">
        <f ca="1">IF(OR($D67&lt;&gt;"Serviço",AND(AUTOEVENTO="Manual",$M67=$A$15),$M67&gt;(ROW(PLE.lastrow)-ROW(PLE.firstrow))),0,
           IF(OFFSET(PLE!$G$15,$M67-$A$15,BA$13)="",10^12,OFFSET(PLE!$G$15,$M67-$A$15,BA$13)))</f>
        <v>1000000000000</v>
      </c>
      <c r="BB67" s="173">
        <f ca="1">IF(OR($D67&lt;&gt;"Serviço",AND(AUTOEVENTO="Manual",$M67=$A$15),$M67&gt;(ROW(PLE.lastrow)-ROW(PLE.firstrow))),0,
           IF(OFFSET(PLE!$G$15,$M67-$A$15,BB$13)="",10^12,OFFSET(PLE!$G$15,$M67-$A$15,BB$13)))</f>
        <v>1000000000000</v>
      </c>
      <c r="BC67" s="173">
        <f ca="1">IF(OR($D67&lt;&gt;"Serviço",AND(AUTOEVENTO="Manual",$M67=$A$15),$M67&gt;(ROW(PLE.lastrow)-ROW(PLE.firstrow))),0,
           IF(OFFSET(PLE!$G$15,$M67-$A$15,BC$13)="",10^12,OFFSET(PLE!$G$15,$M67-$A$15,BC$13)))</f>
        <v>1000000000000</v>
      </c>
      <c r="BD67" s="173">
        <f ca="1">IF(OR($D67&lt;&gt;"Serviço",AND(AUTOEVENTO="Manual",$M67=$A$15),$M67&gt;(ROW(PLE.lastrow)-ROW(PLE.firstrow))),0,
           IF(OFFSET(PLE!$G$15,$M67-$A$15,BD$13)="",10^12,OFFSET(PLE!$G$15,$M67-$A$15,BD$13)))</f>
        <v>1000000000000</v>
      </c>
      <c r="BE67" s="173">
        <f ca="1">IF(OR($D67&lt;&gt;"Serviço",AND(AUTOEVENTO="Manual",$M67=$A$15),$M67&gt;(ROW(PLE.lastrow)-ROW(PLE.firstrow))),0,
           IF(OFFSET(PLE!$G$15,$M67-$A$15,BE$13)="",10^12,OFFSET(PLE!$G$15,$M67-$A$15,BE$13)))</f>
        <v>1000000000000</v>
      </c>
      <c r="BF67" s="173">
        <f ca="1">IF(OR($D67&lt;&gt;"Serviço",AND(AUTOEVENTO="Manual",$M67=$A$15),$M67&gt;(ROW(PLE.lastrow)-ROW(PLE.firstrow))),0,
           IF(OFFSET(PLE!$G$15,$M67-$A$15,BF$13)="",10^12,OFFSET(PLE!$G$15,$M67-$A$15,BF$13)))</f>
        <v>1000000000000</v>
      </c>
      <c r="BG67" s="173">
        <f ca="1">IF(OR($D67&lt;&gt;"Serviço",AND(AUTOEVENTO="Manual",$M67=$A$15),$M67&gt;(ROW(PLE.lastrow)-ROW(PLE.firstrow))),0,
           IF(OFFSET(PLE!$G$15,$M67-$A$15,BG$13)="",10^12,OFFSET(PLE!$G$15,$M67-$A$15,BG$13)))</f>
        <v>1000000000000</v>
      </c>
    </row>
    <row r="68" spans="1:59" ht="25.5" x14ac:dyDescent="0.2">
      <c r="A68" s="7" t="str">
        <f t="shared" ca="1" si="9"/>
        <v>35</v>
      </c>
      <c r="B68" s="7" t="str">
        <f ca="1">OFFSET(ORÇAMENTO!C$15,ROW(B68)-ROW(B$15),0)</f>
        <v>S</v>
      </c>
      <c r="C68" s="7" t="str">
        <f ca="1">OFFSET(ORÇAMENTO!L$15,ROW(C68)-ROW(C$15),0)</f>
        <v>F</v>
      </c>
      <c r="D68" s="117" t="str">
        <f ca="1">OFFSET(ORÇAMENTO!N$15,ROW(D68)-ROW(D$15),0)</f>
        <v>Serviço</v>
      </c>
      <c r="E68" s="118" t="str">
        <f ca="1">OFFSET(ORÇAMENTO!O$15,ROW(E68)-ROW(E$15),0)</f>
        <v>1.6.18.</v>
      </c>
      <c r="F68" s="164" t="str">
        <f ca="1">OFFSET(ORÇAMENTO!R$15,ROW(F68)-ROW(F$15),0)</f>
        <v>AJUDANTE DE PEDREIRO COM ENCARGOS COMPLEMENTARES</v>
      </c>
      <c r="G68" s="165" t="str">
        <f ca="1">IF($D68&lt;&gt;"Serviço","",OFFSET(ORÇAMENTO!S$15,ROW(G68)-ROW(G$15),0))</f>
        <v>H</v>
      </c>
      <c r="H68" s="123">
        <f ca="1">IF($D68&lt;&gt;"Serviço",0,IF(ACOMPANHAMENTO="BM",ROUND(OFFSET(ORÇAMENTO!AJ$15,ROW(H68)-ROW(H$15),0),15-13*ORÇAMENTO!$AF$7),SUMPRODUCT(($Q$1:$AA$1=1)*ROUND($Q68:$AA68,15-13*ORÇAMENTO!$AF$7))))</f>
        <v>230</v>
      </c>
      <c r="I68" s="469" t="s">
        <v>1040</v>
      </c>
      <c r="J68" s="663" t="str">
        <f ca="1">IF(OR(B68&lt;&gt;"S",CÁLCULO.FrentesPreenchidas=0),"",IF(AND(ACOMPANHAMENTO="PLE",AUTOEVENTO="Manual",OR(H68&gt;0,ORÇAMENTO!AC68="QUANT."),OR(K68="",M68=0,N68="")),"►",IF(AND(ACOMPANHAMENTO="PLE",ORÇAMENTO!AC68="QUANT."),"►►",IF(AND(COUNTIF($P$11:$AA$11,"▼")=0,H68&gt;0,I68=""),"◄",""))))</f>
        <v/>
      </c>
      <c r="K68" s="664"/>
      <c r="L68" s="166" t="s">
        <v>765</v>
      </c>
      <c r="M68" s="167">
        <f ca="1">IF($D68&lt;&gt;"Serviço","",
          IF(AUTOEVENTO="manual",$A68,
                IF(ISERROR(MATCH($A68,$A$15:OFFSET($A68,-1,0),0)),MAX($M$15:OFFSET(M68,-1,0))+1,
                      INDEX($M$15:OFFSET(M68,-1,0),MATCH($A68,$A$15:OFFSET($A68,-1,0),0)))))</f>
        <v>6</v>
      </c>
      <c r="N68" s="168" t="str">
        <f ca="1">IF($D68&lt;&gt;"Serviço","",
         IF(AUTOEVENTO="Manual",
                IF($A68=0,"&lt;-- defina o número do agrupador",
                       OFFSET(EVENTOS!$D$15,$A68-$A$15,0)),
                OFFSET($F$15,$A68,0)))</f>
        <v>READEQUAÇÃO DA FACHADA PRINCIPAL</v>
      </c>
      <c r="O68" s="169"/>
      <c r="Q68" s="169">
        <v>230</v>
      </c>
      <c r="R68" s="170"/>
      <c r="S68" s="170"/>
      <c r="T68" s="170"/>
      <c r="U68" s="170"/>
      <c r="V68" s="170"/>
      <c r="W68" s="170"/>
      <c r="X68" s="170"/>
      <c r="Y68" s="170"/>
      <c r="Z68" s="171"/>
      <c r="AB68" s="454">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6745.9</v>
      </c>
      <c r="AC68" s="454">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4">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4">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4">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4">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4">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4">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4">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4">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2">
        <f ca="1">IF(OR($D68&lt;&gt;"Serviço",AND(AUTOEVENTO="Manual",$M68=$A$15)),0,
         IF(OFFSET(CRONOPLE!$F$15,$M68-$A$15,AM$13)=0,10^12,OFFSET(CRONOPLE!$F$15,$M68-$A$15,AM$13)))</f>
        <v>1</v>
      </c>
      <c r="AN68" s="172">
        <f ca="1">IF(OR($D68&lt;&gt;"Serviço",AND(AUTOEVENTO="Manual",$M68=$A$15)),0,
         IF(OFFSET(CRONOPLE!$F$15,$M68-$A$15,AN$13)=0,10^12,OFFSET(CRONOPLE!$F$15,$M68-$A$15,AN$13)))</f>
        <v>1000000000000</v>
      </c>
      <c r="AO68" s="172">
        <f ca="1">IF(OR($D68&lt;&gt;"Serviço",AND(AUTOEVENTO="Manual",$M68=$A$15)),0,
         IF(OFFSET(CRONOPLE!$F$15,$M68-$A$15,AO$13)=0,10^12,OFFSET(CRONOPLE!$F$15,$M68-$A$15,AO$13)))</f>
        <v>1000000000000</v>
      </c>
      <c r="AP68" s="172">
        <f ca="1">IF(OR($D68&lt;&gt;"Serviço",AND(AUTOEVENTO="Manual",$M68=$A$15)),0,
         IF(OFFSET(CRONOPLE!$F$15,$M68-$A$15,AP$13)=0,10^12,OFFSET(CRONOPLE!$F$15,$M68-$A$15,AP$13)))</f>
        <v>1000000000000</v>
      </c>
      <c r="AQ68" s="172">
        <f ca="1">IF(OR($D68&lt;&gt;"Serviço",AND(AUTOEVENTO="Manual",$M68=$A$15)),0,
         IF(OFFSET(CRONOPLE!$F$15,$M68-$A$15,AQ$13)=0,10^12,OFFSET(CRONOPLE!$F$15,$M68-$A$15,AQ$13)))</f>
        <v>1000000000000</v>
      </c>
      <c r="AR68" s="172">
        <f ca="1">IF(OR($D68&lt;&gt;"Serviço",AND(AUTOEVENTO="Manual",$M68=$A$15)),0,
         IF(OFFSET(CRONOPLE!$F$15,$M68-$A$15,AR$13)=0,10^12,OFFSET(CRONOPLE!$F$15,$M68-$A$15,AR$13)))</f>
        <v>1000000000000</v>
      </c>
      <c r="AS68" s="172">
        <f ca="1">IF(OR($D68&lt;&gt;"Serviço",AND(AUTOEVENTO="Manual",$M68=$A$15)),0,
         IF(OFFSET(CRONOPLE!$F$15,$M68-$A$15,AS$13)=0,10^12,OFFSET(CRONOPLE!$F$15,$M68-$A$15,AS$13)))</f>
        <v>1000000000000</v>
      </c>
      <c r="AT68" s="172">
        <f ca="1">IF(OR($D68&lt;&gt;"Serviço",AND(AUTOEVENTO="Manual",$M68=$A$15)),0,
         IF(OFFSET(CRONOPLE!$F$15,$M68-$A$15,AT$13)=0,10^12,OFFSET(CRONOPLE!$F$15,$M68-$A$15,AT$13)))</f>
        <v>1000000000000</v>
      </c>
      <c r="AU68" s="172">
        <f ca="1">IF(OR($D68&lt;&gt;"Serviço",AND(AUTOEVENTO="Manual",$M68=$A$15)),0,
         IF(OFFSET(CRONOPLE!$F$15,$M68-$A$15,AU$13)=0,10^12,OFFSET(CRONOPLE!$F$15,$M68-$A$15,AU$13)))</f>
        <v>1000000000000</v>
      </c>
      <c r="AV68" s="172">
        <f ca="1">IF(OR($D68&lt;&gt;"Serviço",AND(AUTOEVENTO="Manual",$M68=$A$15)),0,
         IF(OFFSET(CRONOPLE!$F$15,$M68-$A$15,AV$13)=0,10^12,OFFSET(CRONOPLE!$F$15,$M68-$A$15,AV$13)))</f>
        <v>1000000000000</v>
      </c>
      <c r="AX68" s="173">
        <f ca="1">IF(OR($D68&lt;&gt;"Serviço",AND(AUTOEVENTO="Manual",$M68=$A$15),$M68&gt;(ROW(PLE.lastrow)-ROW(PLE.firstrow))),0,
           IF(OFFSET(PLE!$G$15,$M68-$A$15,AX$13)="",10^12,OFFSET(PLE!$G$15,$M68-$A$15,AX$13)))</f>
        <v>1000000000000</v>
      </c>
      <c r="AY68" s="173">
        <f ca="1">IF(OR($D68&lt;&gt;"Serviço",AND(AUTOEVENTO="Manual",$M68=$A$15),$M68&gt;(ROW(PLE.lastrow)-ROW(PLE.firstrow))),0,
           IF(OFFSET(PLE!$G$15,$M68-$A$15,AY$13)="",10^12,OFFSET(PLE!$G$15,$M68-$A$15,AY$13)))</f>
        <v>1000000000000</v>
      </c>
      <c r="AZ68" s="173">
        <f ca="1">IF(OR($D68&lt;&gt;"Serviço",AND(AUTOEVENTO="Manual",$M68=$A$15),$M68&gt;(ROW(PLE.lastrow)-ROW(PLE.firstrow))),0,
           IF(OFFSET(PLE!$G$15,$M68-$A$15,AZ$13)="",10^12,OFFSET(PLE!$G$15,$M68-$A$15,AZ$13)))</f>
        <v>1000000000000</v>
      </c>
      <c r="BA68" s="173">
        <f ca="1">IF(OR($D68&lt;&gt;"Serviço",AND(AUTOEVENTO="Manual",$M68=$A$15),$M68&gt;(ROW(PLE.lastrow)-ROW(PLE.firstrow))),0,
           IF(OFFSET(PLE!$G$15,$M68-$A$15,BA$13)="",10^12,OFFSET(PLE!$G$15,$M68-$A$15,BA$13)))</f>
        <v>1000000000000</v>
      </c>
      <c r="BB68" s="173">
        <f ca="1">IF(OR($D68&lt;&gt;"Serviço",AND(AUTOEVENTO="Manual",$M68=$A$15),$M68&gt;(ROW(PLE.lastrow)-ROW(PLE.firstrow))),0,
           IF(OFFSET(PLE!$G$15,$M68-$A$15,BB$13)="",10^12,OFFSET(PLE!$G$15,$M68-$A$15,BB$13)))</f>
        <v>1000000000000</v>
      </c>
      <c r="BC68" s="173">
        <f ca="1">IF(OR($D68&lt;&gt;"Serviço",AND(AUTOEVENTO="Manual",$M68=$A$15),$M68&gt;(ROW(PLE.lastrow)-ROW(PLE.firstrow))),0,
           IF(OFFSET(PLE!$G$15,$M68-$A$15,BC$13)="",10^12,OFFSET(PLE!$G$15,$M68-$A$15,BC$13)))</f>
        <v>1000000000000</v>
      </c>
      <c r="BD68" s="173">
        <f ca="1">IF(OR($D68&lt;&gt;"Serviço",AND(AUTOEVENTO="Manual",$M68=$A$15),$M68&gt;(ROW(PLE.lastrow)-ROW(PLE.firstrow))),0,
           IF(OFFSET(PLE!$G$15,$M68-$A$15,BD$13)="",10^12,OFFSET(PLE!$G$15,$M68-$A$15,BD$13)))</f>
        <v>1000000000000</v>
      </c>
      <c r="BE68" s="173">
        <f ca="1">IF(OR($D68&lt;&gt;"Serviço",AND(AUTOEVENTO="Manual",$M68=$A$15),$M68&gt;(ROW(PLE.lastrow)-ROW(PLE.firstrow))),0,
           IF(OFFSET(PLE!$G$15,$M68-$A$15,BE$13)="",10^12,OFFSET(PLE!$G$15,$M68-$A$15,BE$13)))</f>
        <v>1000000000000</v>
      </c>
      <c r="BF68" s="173">
        <f ca="1">IF(OR($D68&lt;&gt;"Serviço",AND(AUTOEVENTO="Manual",$M68=$A$15),$M68&gt;(ROW(PLE.lastrow)-ROW(PLE.firstrow))),0,
           IF(OFFSET(PLE!$G$15,$M68-$A$15,BF$13)="",10^12,OFFSET(PLE!$G$15,$M68-$A$15,BF$13)))</f>
        <v>1000000000000</v>
      </c>
      <c r="BG68" s="173">
        <f ca="1">IF(OR($D68&lt;&gt;"Serviço",AND(AUTOEVENTO="Manual",$M68=$A$15),$M68&gt;(ROW(PLE.lastrow)-ROW(PLE.firstrow))),0,
           IF(OFFSET(PLE!$G$15,$M68-$A$15,BG$13)="",10^12,OFFSET(PLE!$G$15,$M68-$A$15,BG$13)))</f>
        <v>1000000000000</v>
      </c>
    </row>
    <row r="69" spans="1:59" ht="25.5" x14ac:dyDescent="0.2">
      <c r="A69" s="7" t="str">
        <f t="shared" ca="1" si="9"/>
        <v>35</v>
      </c>
      <c r="B69" s="7" t="str">
        <f ca="1">OFFSET(ORÇAMENTO!C$15,ROW(B69)-ROW(B$15),0)</f>
        <v>S</v>
      </c>
      <c r="C69" s="7" t="str">
        <f ca="1">OFFSET(ORÇAMENTO!L$15,ROW(C69)-ROW(C$15),0)</f>
        <v>F</v>
      </c>
      <c r="D69" s="117" t="str">
        <f ca="1">OFFSET(ORÇAMENTO!N$15,ROW(D69)-ROW(D$15),0)</f>
        <v>Serviço</v>
      </c>
      <c r="E69" s="118" t="str">
        <f ca="1">OFFSET(ORÇAMENTO!O$15,ROW(E69)-ROW(E$15),0)</f>
        <v>1.6.19.</v>
      </c>
      <c r="F69" s="164" t="str">
        <f ca="1">OFFSET(ORÇAMENTO!R$15,ROW(F69)-ROW(F$15),0)</f>
        <v>PEDREIRO COM ENCARGOS COMPLEMENTARES</v>
      </c>
      <c r="G69" s="165" t="str">
        <f ca="1">IF($D69&lt;&gt;"Serviço","",OFFSET(ORÇAMENTO!S$15,ROW(G69)-ROW(G$15),0))</f>
        <v>H</v>
      </c>
      <c r="H69" s="123">
        <f ca="1">IF($D69&lt;&gt;"Serviço",0,IF(ACOMPANHAMENTO="BM",ROUND(OFFSET(ORÇAMENTO!AJ$15,ROW(H69)-ROW(H$15),0),15-13*ORÇAMENTO!$AF$7),SUMPRODUCT(($Q$1:$AA$1=1)*ROUND($Q69:$AA69,15-13*ORÇAMENTO!$AF$7))))</f>
        <v>230</v>
      </c>
      <c r="I69" s="469" t="s">
        <v>1040</v>
      </c>
      <c r="J69" s="663" t="str">
        <f ca="1">IF(OR(B69&lt;&gt;"S",CÁLCULO.FrentesPreenchidas=0),"",IF(AND(ACOMPANHAMENTO="PLE",AUTOEVENTO="Manual",OR(H69&gt;0,ORÇAMENTO!AC69="QUANT."),OR(K69="",M69=0,N69="")),"►",IF(AND(ACOMPANHAMENTO="PLE",ORÇAMENTO!AC69="QUANT."),"►►",IF(AND(COUNTIF($P$11:$AA$11,"▼")=0,H69&gt;0,I69=""),"◄",""))))</f>
        <v/>
      </c>
      <c r="K69" s="664"/>
      <c r="L69" s="166" t="s">
        <v>765</v>
      </c>
      <c r="M69" s="167">
        <f ca="1">IF($D69&lt;&gt;"Serviço","",
          IF(AUTOEVENTO="manual",$A69,
                IF(ISERROR(MATCH($A69,$A$15:OFFSET($A69,-1,0),0)),MAX($M$15:OFFSET(M69,-1,0))+1,
                      INDEX($M$15:OFFSET(M69,-1,0),MATCH($A69,$A$15:OFFSET($A69,-1,0),0)))))</f>
        <v>6</v>
      </c>
      <c r="N69" s="168" t="str">
        <f ca="1">IF($D69&lt;&gt;"Serviço","",
         IF(AUTOEVENTO="Manual",
                IF($A69=0,"&lt;-- defina o número do agrupador",
                       OFFSET(EVENTOS!$D$15,$A69-$A$15,0)),
                OFFSET($F$15,$A69,0)))</f>
        <v>READEQUAÇÃO DA FACHADA PRINCIPAL</v>
      </c>
      <c r="O69" s="169"/>
      <c r="Q69" s="169">
        <v>230</v>
      </c>
      <c r="R69" s="170"/>
      <c r="S69" s="170"/>
      <c r="T69" s="170"/>
      <c r="U69" s="170"/>
      <c r="V69" s="170"/>
      <c r="W69" s="170"/>
      <c r="X69" s="170"/>
      <c r="Y69" s="170"/>
      <c r="Z69" s="171"/>
      <c r="AB69" s="454">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7711.9</v>
      </c>
      <c r="AC69" s="454">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4">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54">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4">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4">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54">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4">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4">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4">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2">
        <f ca="1">IF(OR($D69&lt;&gt;"Serviço",AND(AUTOEVENTO="Manual",$M69=$A$15)),0,
         IF(OFFSET(CRONOPLE!$F$15,$M69-$A$15,AM$13)=0,10^12,OFFSET(CRONOPLE!$F$15,$M69-$A$15,AM$13)))</f>
        <v>1</v>
      </c>
      <c r="AN69" s="172">
        <f ca="1">IF(OR($D69&lt;&gt;"Serviço",AND(AUTOEVENTO="Manual",$M69=$A$15)),0,
         IF(OFFSET(CRONOPLE!$F$15,$M69-$A$15,AN$13)=0,10^12,OFFSET(CRONOPLE!$F$15,$M69-$A$15,AN$13)))</f>
        <v>1000000000000</v>
      </c>
      <c r="AO69" s="172">
        <f ca="1">IF(OR($D69&lt;&gt;"Serviço",AND(AUTOEVENTO="Manual",$M69=$A$15)),0,
         IF(OFFSET(CRONOPLE!$F$15,$M69-$A$15,AO$13)=0,10^12,OFFSET(CRONOPLE!$F$15,$M69-$A$15,AO$13)))</f>
        <v>1000000000000</v>
      </c>
      <c r="AP69" s="172">
        <f ca="1">IF(OR($D69&lt;&gt;"Serviço",AND(AUTOEVENTO="Manual",$M69=$A$15)),0,
         IF(OFFSET(CRONOPLE!$F$15,$M69-$A$15,AP$13)=0,10^12,OFFSET(CRONOPLE!$F$15,$M69-$A$15,AP$13)))</f>
        <v>1000000000000</v>
      </c>
      <c r="AQ69" s="172">
        <f ca="1">IF(OR($D69&lt;&gt;"Serviço",AND(AUTOEVENTO="Manual",$M69=$A$15)),0,
         IF(OFFSET(CRONOPLE!$F$15,$M69-$A$15,AQ$13)=0,10^12,OFFSET(CRONOPLE!$F$15,$M69-$A$15,AQ$13)))</f>
        <v>1000000000000</v>
      </c>
      <c r="AR69" s="172">
        <f ca="1">IF(OR($D69&lt;&gt;"Serviço",AND(AUTOEVENTO="Manual",$M69=$A$15)),0,
         IF(OFFSET(CRONOPLE!$F$15,$M69-$A$15,AR$13)=0,10^12,OFFSET(CRONOPLE!$F$15,$M69-$A$15,AR$13)))</f>
        <v>1000000000000</v>
      </c>
      <c r="AS69" s="172">
        <f ca="1">IF(OR($D69&lt;&gt;"Serviço",AND(AUTOEVENTO="Manual",$M69=$A$15)),0,
         IF(OFFSET(CRONOPLE!$F$15,$M69-$A$15,AS$13)=0,10^12,OFFSET(CRONOPLE!$F$15,$M69-$A$15,AS$13)))</f>
        <v>1000000000000</v>
      </c>
      <c r="AT69" s="172">
        <f ca="1">IF(OR($D69&lt;&gt;"Serviço",AND(AUTOEVENTO="Manual",$M69=$A$15)),0,
         IF(OFFSET(CRONOPLE!$F$15,$M69-$A$15,AT$13)=0,10^12,OFFSET(CRONOPLE!$F$15,$M69-$A$15,AT$13)))</f>
        <v>1000000000000</v>
      </c>
      <c r="AU69" s="172">
        <f ca="1">IF(OR($D69&lt;&gt;"Serviço",AND(AUTOEVENTO="Manual",$M69=$A$15)),0,
         IF(OFFSET(CRONOPLE!$F$15,$M69-$A$15,AU$13)=0,10^12,OFFSET(CRONOPLE!$F$15,$M69-$A$15,AU$13)))</f>
        <v>1000000000000</v>
      </c>
      <c r="AV69" s="172">
        <f ca="1">IF(OR($D69&lt;&gt;"Serviço",AND(AUTOEVENTO="Manual",$M69=$A$15)),0,
         IF(OFFSET(CRONOPLE!$F$15,$M69-$A$15,AV$13)=0,10^12,OFFSET(CRONOPLE!$F$15,$M69-$A$15,AV$13)))</f>
        <v>1000000000000</v>
      </c>
      <c r="AX69" s="173">
        <f ca="1">IF(OR($D69&lt;&gt;"Serviço",AND(AUTOEVENTO="Manual",$M69=$A$15),$M69&gt;(ROW(PLE.lastrow)-ROW(PLE.firstrow))),0,
           IF(OFFSET(PLE!$G$15,$M69-$A$15,AX$13)="",10^12,OFFSET(PLE!$G$15,$M69-$A$15,AX$13)))</f>
        <v>1000000000000</v>
      </c>
      <c r="AY69" s="173">
        <f ca="1">IF(OR($D69&lt;&gt;"Serviço",AND(AUTOEVENTO="Manual",$M69=$A$15),$M69&gt;(ROW(PLE.lastrow)-ROW(PLE.firstrow))),0,
           IF(OFFSET(PLE!$G$15,$M69-$A$15,AY$13)="",10^12,OFFSET(PLE!$G$15,$M69-$A$15,AY$13)))</f>
        <v>1000000000000</v>
      </c>
      <c r="AZ69" s="173">
        <f ca="1">IF(OR($D69&lt;&gt;"Serviço",AND(AUTOEVENTO="Manual",$M69=$A$15),$M69&gt;(ROW(PLE.lastrow)-ROW(PLE.firstrow))),0,
           IF(OFFSET(PLE!$G$15,$M69-$A$15,AZ$13)="",10^12,OFFSET(PLE!$G$15,$M69-$A$15,AZ$13)))</f>
        <v>1000000000000</v>
      </c>
      <c r="BA69" s="173">
        <f ca="1">IF(OR($D69&lt;&gt;"Serviço",AND(AUTOEVENTO="Manual",$M69=$A$15),$M69&gt;(ROW(PLE.lastrow)-ROW(PLE.firstrow))),0,
           IF(OFFSET(PLE!$G$15,$M69-$A$15,BA$13)="",10^12,OFFSET(PLE!$G$15,$M69-$A$15,BA$13)))</f>
        <v>1000000000000</v>
      </c>
      <c r="BB69" s="173">
        <f ca="1">IF(OR($D69&lt;&gt;"Serviço",AND(AUTOEVENTO="Manual",$M69=$A$15),$M69&gt;(ROW(PLE.lastrow)-ROW(PLE.firstrow))),0,
           IF(OFFSET(PLE!$G$15,$M69-$A$15,BB$13)="",10^12,OFFSET(PLE!$G$15,$M69-$A$15,BB$13)))</f>
        <v>1000000000000</v>
      </c>
      <c r="BC69" s="173">
        <f ca="1">IF(OR($D69&lt;&gt;"Serviço",AND(AUTOEVENTO="Manual",$M69=$A$15),$M69&gt;(ROW(PLE.lastrow)-ROW(PLE.firstrow))),0,
           IF(OFFSET(PLE!$G$15,$M69-$A$15,BC$13)="",10^12,OFFSET(PLE!$G$15,$M69-$A$15,BC$13)))</f>
        <v>1000000000000</v>
      </c>
      <c r="BD69" s="173">
        <f ca="1">IF(OR($D69&lt;&gt;"Serviço",AND(AUTOEVENTO="Manual",$M69=$A$15),$M69&gt;(ROW(PLE.lastrow)-ROW(PLE.firstrow))),0,
           IF(OFFSET(PLE!$G$15,$M69-$A$15,BD$13)="",10^12,OFFSET(PLE!$G$15,$M69-$A$15,BD$13)))</f>
        <v>1000000000000</v>
      </c>
      <c r="BE69" s="173">
        <f ca="1">IF(OR($D69&lt;&gt;"Serviço",AND(AUTOEVENTO="Manual",$M69=$A$15),$M69&gt;(ROW(PLE.lastrow)-ROW(PLE.firstrow))),0,
           IF(OFFSET(PLE!$G$15,$M69-$A$15,BE$13)="",10^12,OFFSET(PLE!$G$15,$M69-$A$15,BE$13)))</f>
        <v>1000000000000</v>
      </c>
      <c r="BF69" s="173">
        <f ca="1">IF(OR($D69&lt;&gt;"Serviço",AND(AUTOEVENTO="Manual",$M69=$A$15),$M69&gt;(ROW(PLE.lastrow)-ROW(PLE.firstrow))),0,
           IF(OFFSET(PLE!$G$15,$M69-$A$15,BF$13)="",10^12,OFFSET(PLE!$G$15,$M69-$A$15,BF$13)))</f>
        <v>1000000000000</v>
      </c>
      <c r="BG69" s="173">
        <f ca="1">IF(OR($D69&lt;&gt;"Serviço",AND(AUTOEVENTO="Manual",$M69=$A$15),$M69&gt;(ROW(PLE.lastrow)-ROW(PLE.firstrow))),0,
           IF(OFFSET(PLE!$G$15,$M69-$A$15,BG$13)="",10^12,OFFSET(PLE!$G$15,$M69-$A$15,BG$13)))</f>
        <v>1000000000000</v>
      </c>
    </row>
    <row r="70" spans="1:59" ht="38.25" x14ac:dyDescent="0.2">
      <c r="A70" s="7" t="str">
        <f t="shared" ca="1" si="9"/>
        <v>35</v>
      </c>
      <c r="B70" s="7" t="str">
        <f ca="1">OFFSET(ORÇAMENTO!C$15,ROW(B70)-ROW(B$15),0)</f>
        <v>S</v>
      </c>
      <c r="C70" s="7" t="str">
        <f ca="1">OFFSET(ORÇAMENTO!L$15,ROW(C70)-ROW(C$15),0)</f>
        <v>F</v>
      </c>
      <c r="D70" s="117" t="str">
        <f ca="1">OFFSET(ORÇAMENTO!N$15,ROW(D70)-ROW(D$15),0)</f>
        <v>Serviço</v>
      </c>
      <c r="E70" s="118" t="str">
        <f ca="1">OFFSET(ORÇAMENTO!O$15,ROW(E70)-ROW(E$15),0)</f>
        <v>1.6.20.</v>
      </c>
      <c r="F70" s="164" t="str">
        <f ca="1">OFFSET(ORÇAMENTO!R$15,ROW(F70)-ROW(F$15),0)</f>
        <v>TRAMA DE MADEIRA COMPOSTA POR RIPAS, CAIBROS E TERÇAS PARA TELHADOS DE MAIS QUE 2 ÁGUAS PARA TELHA CERÂMICA OU DE CONCRETO, INCLUSO TRANSPORTE VERTICAL. AF_10/2025</v>
      </c>
      <c r="G70" s="165" t="str">
        <f ca="1">IF($D70&lt;&gt;"Serviço","",OFFSET(ORÇAMENTO!S$15,ROW(G70)-ROW(G$15),0))</f>
        <v>M2</v>
      </c>
      <c r="H70" s="123">
        <f ca="1">IF($D70&lt;&gt;"Serviço",0,IF(ACOMPANHAMENTO="BM",ROUND(OFFSET(ORÇAMENTO!AJ$15,ROW(H70)-ROW(H$15),0),15-13*ORÇAMENTO!$AF$7),SUMPRODUCT(($Q$1:$AA$1=1)*ROUND($Q70:$AA70,15-13*ORÇAMENTO!$AF$7))))</f>
        <v>22.25</v>
      </c>
      <c r="I70" s="469" t="s">
        <v>1048</v>
      </c>
      <c r="J70" s="663" t="str">
        <f ca="1">IF(OR(B70&lt;&gt;"S",CÁLCULO.FrentesPreenchidas=0),"",IF(AND(ACOMPANHAMENTO="PLE",AUTOEVENTO="Manual",OR(H70&gt;0,ORÇAMENTO!AC70="QUANT."),OR(K70="",M70=0,N70="")),"►",IF(AND(ACOMPANHAMENTO="PLE",ORÇAMENTO!AC70="QUANT."),"►►",IF(AND(COUNTIF($P$11:$AA$11,"▼")=0,H70&gt;0,I70=""),"◄",""))))</f>
        <v/>
      </c>
      <c r="K70" s="664"/>
      <c r="L70" s="166" t="s">
        <v>765</v>
      </c>
      <c r="M70" s="167">
        <f ca="1">IF($D70&lt;&gt;"Serviço","",
          IF(AUTOEVENTO="manual",$A70,
                IF(ISERROR(MATCH($A70,$A$15:OFFSET($A70,-1,0),0)),MAX($M$15:OFFSET(M70,-1,0))+1,
                      INDEX($M$15:OFFSET(M70,-1,0),MATCH($A70,$A$15:OFFSET($A70,-1,0),0)))))</f>
        <v>6</v>
      </c>
      <c r="N70" s="168" t="str">
        <f ca="1">IF($D70&lt;&gt;"Serviço","",
         IF(AUTOEVENTO="Manual",
                IF($A70=0,"&lt;-- defina o número do agrupador",
                       OFFSET(EVENTOS!$D$15,$A70-$A$15,0)),
                OFFSET($F$15,$A70,0)))</f>
        <v>READEQUAÇÃO DA FACHADA PRINCIPAL</v>
      </c>
      <c r="O70" s="169"/>
      <c r="Q70" s="169">
        <v>22.25</v>
      </c>
      <c r="R70" s="170"/>
      <c r="S70" s="170"/>
      <c r="T70" s="170"/>
      <c r="U70" s="170"/>
      <c r="V70" s="170"/>
      <c r="W70" s="170"/>
      <c r="X70" s="170"/>
      <c r="Y70" s="170"/>
      <c r="Z70" s="171"/>
      <c r="AB70" s="454">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2549.63</v>
      </c>
      <c r="AC70" s="454">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4">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4">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4">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4">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4">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4">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4">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4">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2">
        <f ca="1">IF(OR($D70&lt;&gt;"Serviço",AND(AUTOEVENTO="Manual",$M70=$A$15)),0,
         IF(OFFSET(CRONOPLE!$F$15,$M70-$A$15,AM$13)=0,10^12,OFFSET(CRONOPLE!$F$15,$M70-$A$15,AM$13)))</f>
        <v>1</v>
      </c>
      <c r="AN70" s="172">
        <f ca="1">IF(OR($D70&lt;&gt;"Serviço",AND(AUTOEVENTO="Manual",$M70=$A$15)),0,
         IF(OFFSET(CRONOPLE!$F$15,$M70-$A$15,AN$13)=0,10^12,OFFSET(CRONOPLE!$F$15,$M70-$A$15,AN$13)))</f>
        <v>1000000000000</v>
      </c>
      <c r="AO70" s="172">
        <f ca="1">IF(OR($D70&lt;&gt;"Serviço",AND(AUTOEVENTO="Manual",$M70=$A$15)),0,
         IF(OFFSET(CRONOPLE!$F$15,$M70-$A$15,AO$13)=0,10^12,OFFSET(CRONOPLE!$F$15,$M70-$A$15,AO$13)))</f>
        <v>1000000000000</v>
      </c>
      <c r="AP70" s="172">
        <f ca="1">IF(OR($D70&lt;&gt;"Serviço",AND(AUTOEVENTO="Manual",$M70=$A$15)),0,
         IF(OFFSET(CRONOPLE!$F$15,$M70-$A$15,AP$13)=0,10^12,OFFSET(CRONOPLE!$F$15,$M70-$A$15,AP$13)))</f>
        <v>1000000000000</v>
      </c>
      <c r="AQ70" s="172">
        <f ca="1">IF(OR($D70&lt;&gt;"Serviço",AND(AUTOEVENTO="Manual",$M70=$A$15)),0,
         IF(OFFSET(CRONOPLE!$F$15,$M70-$A$15,AQ$13)=0,10^12,OFFSET(CRONOPLE!$F$15,$M70-$A$15,AQ$13)))</f>
        <v>1000000000000</v>
      </c>
      <c r="AR70" s="172">
        <f ca="1">IF(OR($D70&lt;&gt;"Serviço",AND(AUTOEVENTO="Manual",$M70=$A$15)),0,
         IF(OFFSET(CRONOPLE!$F$15,$M70-$A$15,AR$13)=0,10^12,OFFSET(CRONOPLE!$F$15,$M70-$A$15,AR$13)))</f>
        <v>1000000000000</v>
      </c>
      <c r="AS70" s="172">
        <f ca="1">IF(OR($D70&lt;&gt;"Serviço",AND(AUTOEVENTO="Manual",$M70=$A$15)),0,
         IF(OFFSET(CRONOPLE!$F$15,$M70-$A$15,AS$13)=0,10^12,OFFSET(CRONOPLE!$F$15,$M70-$A$15,AS$13)))</f>
        <v>1000000000000</v>
      </c>
      <c r="AT70" s="172">
        <f ca="1">IF(OR($D70&lt;&gt;"Serviço",AND(AUTOEVENTO="Manual",$M70=$A$15)),0,
         IF(OFFSET(CRONOPLE!$F$15,$M70-$A$15,AT$13)=0,10^12,OFFSET(CRONOPLE!$F$15,$M70-$A$15,AT$13)))</f>
        <v>1000000000000</v>
      </c>
      <c r="AU70" s="172">
        <f ca="1">IF(OR($D70&lt;&gt;"Serviço",AND(AUTOEVENTO="Manual",$M70=$A$15)),0,
         IF(OFFSET(CRONOPLE!$F$15,$M70-$A$15,AU$13)=0,10^12,OFFSET(CRONOPLE!$F$15,$M70-$A$15,AU$13)))</f>
        <v>1000000000000</v>
      </c>
      <c r="AV70" s="172">
        <f ca="1">IF(OR($D70&lt;&gt;"Serviço",AND(AUTOEVENTO="Manual",$M70=$A$15)),0,
         IF(OFFSET(CRONOPLE!$F$15,$M70-$A$15,AV$13)=0,10^12,OFFSET(CRONOPLE!$F$15,$M70-$A$15,AV$13)))</f>
        <v>1000000000000</v>
      </c>
      <c r="AX70" s="173">
        <f ca="1">IF(OR($D70&lt;&gt;"Serviço",AND(AUTOEVENTO="Manual",$M70=$A$15),$M70&gt;(ROW(PLE.lastrow)-ROW(PLE.firstrow))),0,
           IF(OFFSET(PLE!$G$15,$M70-$A$15,AX$13)="",10^12,OFFSET(PLE!$G$15,$M70-$A$15,AX$13)))</f>
        <v>1000000000000</v>
      </c>
      <c r="AY70" s="173">
        <f ca="1">IF(OR($D70&lt;&gt;"Serviço",AND(AUTOEVENTO="Manual",$M70=$A$15),$M70&gt;(ROW(PLE.lastrow)-ROW(PLE.firstrow))),0,
           IF(OFFSET(PLE!$G$15,$M70-$A$15,AY$13)="",10^12,OFFSET(PLE!$G$15,$M70-$A$15,AY$13)))</f>
        <v>1000000000000</v>
      </c>
      <c r="AZ70" s="173">
        <f ca="1">IF(OR($D70&lt;&gt;"Serviço",AND(AUTOEVENTO="Manual",$M70=$A$15),$M70&gt;(ROW(PLE.lastrow)-ROW(PLE.firstrow))),0,
           IF(OFFSET(PLE!$G$15,$M70-$A$15,AZ$13)="",10^12,OFFSET(PLE!$G$15,$M70-$A$15,AZ$13)))</f>
        <v>1000000000000</v>
      </c>
      <c r="BA70" s="173">
        <f ca="1">IF(OR($D70&lt;&gt;"Serviço",AND(AUTOEVENTO="Manual",$M70=$A$15),$M70&gt;(ROW(PLE.lastrow)-ROW(PLE.firstrow))),0,
           IF(OFFSET(PLE!$G$15,$M70-$A$15,BA$13)="",10^12,OFFSET(PLE!$G$15,$M70-$A$15,BA$13)))</f>
        <v>1000000000000</v>
      </c>
      <c r="BB70" s="173">
        <f ca="1">IF(OR($D70&lt;&gt;"Serviço",AND(AUTOEVENTO="Manual",$M70=$A$15),$M70&gt;(ROW(PLE.lastrow)-ROW(PLE.firstrow))),0,
           IF(OFFSET(PLE!$G$15,$M70-$A$15,BB$13)="",10^12,OFFSET(PLE!$G$15,$M70-$A$15,BB$13)))</f>
        <v>1000000000000</v>
      </c>
      <c r="BC70" s="173">
        <f ca="1">IF(OR($D70&lt;&gt;"Serviço",AND(AUTOEVENTO="Manual",$M70=$A$15),$M70&gt;(ROW(PLE.lastrow)-ROW(PLE.firstrow))),0,
           IF(OFFSET(PLE!$G$15,$M70-$A$15,BC$13)="",10^12,OFFSET(PLE!$G$15,$M70-$A$15,BC$13)))</f>
        <v>1000000000000</v>
      </c>
      <c r="BD70" s="173">
        <f ca="1">IF(OR($D70&lt;&gt;"Serviço",AND(AUTOEVENTO="Manual",$M70=$A$15),$M70&gt;(ROW(PLE.lastrow)-ROW(PLE.firstrow))),0,
           IF(OFFSET(PLE!$G$15,$M70-$A$15,BD$13)="",10^12,OFFSET(PLE!$G$15,$M70-$A$15,BD$13)))</f>
        <v>1000000000000</v>
      </c>
      <c r="BE70" s="173">
        <f ca="1">IF(OR($D70&lt;&gt;"Serviço",AND(AUTOEVENTO="Manual",$M70=$A$15),$M70&gt;(ROW(PLE.lastrow)-ROW(PLE.firstrow))),0,
           IF(OFFSET(PLE!$G$15,$M70-$A$15,BE$13)="",10^12,OFFSET(PLE!$G$15,$M70-$A$15,BE$13)))</f>
        <v>1000000000000</v>
      </c>
      <c r="BF70" s="173">
        <f ca="1">IF(OR($D70&lt;&gt;"Serviço",AND(AUTOEVENTO="Manual",$M70=$A$15),$M70&gt;(ROW(PLE.lastrow)-ROW(PLE.firstrow))),0,
           IF(OFFSET(PLE!$G$15,$M70-$A$15,BF$13)="",10^12,OFFSET(PLE!$G$15,$M70-$A$15,BF$13)))</f>
        <v>1000000000000</v>
      </c>
      <c r="BG70" s="173">
        <f ca="1">IF(OR($D70&lt;&gt;"Serviço",AND(AUTOEVENTO="Manual",$M70=$A$15),$M70&gt;(ROW(PLE.lastrow)-ROW(PLE.firstrow))),0,
           IF(OFFSET(PLE!$G$15,$M70-$A$15,BG$13)="",10^12,OFFSET(PLE!$G$15,$M70-$A$15,BG$13)))</f>
        <v>1000000000000</v>
      </c>
    </row>
    <row r="71" spans="1:59" ht="38.25" x14ac:dyDescent="0.2">
      <c r="A71" s="7" t="str">
        <f t="shared" ca="1" si="9"/>
        <v>35</v>
      </c>
      <c r="B71" s="7" t="str">
        <f ca="1">OFFSET(ORÇAMENTO!C$15,ROW(B71)-ROW(B$15),0)</f>
        <v>S</v>
      </c>
      <c r="C71" s="7" t="str">
        <f ca="1">OFFSET(ORÇAMENTO!L$15,ROW(C71)-ROW(C$15),0)</f>
        <v>F</v>
      </c>
      <c r="D71" s="117" t="str">
        <f ca="1">OFFSET(ORÇAMENTO!N$15,ROW(D71)-ROW(D$15),0)</f>
        <v>Serviço</v>
      </c>
      <c r="E71" s="118" t="str">
        <f ca="1">OFFSET(ORÇAMENTO!O$15,ROW(E71)-ROW(E$15),0)</f>
        <v>1.6.21.</v>
      </c>
      <c r="F71" s="164" t="str">
        <f ca="1">OFFSET(ORÇAMENTO!R$15,ROW(F71)-ROW(F$15),0)</f>
        <v>CALHA EM CHAPA DE AÇO GALVANIZADO NÚMERO 24, DESENVOLVIMENTO DE 33 CM, INCLUSO TRANSPORTE VERTICAL. AF_06/2026</v>
      </c>
      <c r="G71" s="165" t="str">
        <f ca="1">IF($D71&lt;&gt;"Serviço","",OFFSET(ORÇAMENTO!S$15,ROW(G71)-ROW(G$15),0))</f>
        <v>M</v>
      </c>
      <c r="H71" s="123">
        <f ca="1">IF($D71&lt;&gt;"Serviço",0,IF(ACOMPANHAMENTO="BM",ROUND(OFFSET(ORÇAMENTO!AJ$15,ROW(H71)-ROW(H$15),0),15-13*ORÇAMENTO!$AF$7),SUMPRODUCT(($Q$1:$AA$1=1)*ROUND($Q71:$AA71,15-13*ORÇAMENTO!$AF$7))))</f>
        <v>6</v>
      </c>
      <c r="I71" s="469" t="s">
        <v>1048</v>
      </c>
      <c r="J71" s="663" t="str">
        <f ca="1">IF(OR(B71&lt;&gt;"S",CÁLCULO.FrentesPreenchidas=0),"",IF(AND(ACOMPANHAMENTO="PLE",AUTOEVENTO="Manual",OR(H71&gt;0,ORÇAMENTO!AC71="QUANT."),OR(K71="",M71=0,N71="")),"►",IF(AND(ACOMPANHAMENTO="PLE",ORÇAMENTO!AC71="QUANT."),"►►",IF(AND(COUNTIF($P$11:$AA$11,"▼")=0,H71&gt;0,I71=""),"◄",""))))</f>
        <v/>
      </c>
      <c r="K71" s="664"/>
      <c r="L71" s="166" t="s">
        <v>765</v>
      </c>
      <c r="M71" s="167">
        <f ca="1">IF($D71&lt;&gt;"Serviço","",
          IF(AUTOEVENTO="manual",$A71,
                IF(ISERROR(MATCH($A71,$A$15:OFFSET($A71,-1,0),0)),MAX($M$15:OFFSET(M71,-1,0))+1,
                      INDEX($M$15:OFFSET(M71,-1,0),MATCH($A71,$A$15:OFFSET($A71,-1,0),0)))))</f>
        <v>6</v>
      </c>
      <c r="N71" s="168" t="str">
        <f ca="1">IF($D71&lt;&gt;"Serviço","",
         IF(AUTOEVENTO="Manual",
                IF($A71=0,"&lt;-- defina o número do agrupador",
                       OFFSET(EVENTOS!$D$15,$A71-$A$15,0)),
                OFFSET($F$15,$A71,0)))</f>
        <v>READEQUAÇÃO DA FACHADA PRINCIPAL</v>
      </c>
      <c r="O71" s="169"/>
      <c r="Q71" s="169">
        <v>6</v>
      </c>
      <c r="R71" s="170"/>
      <c r="S71" s="170"/>
      <c r="T71" s="170"/>
      <c r="U71" s="170"/>
      <c r="V71" s="170"/>
      <c r="W71" s="170"/>
      <c r="X71" s="170"/>
      <c r="Y71" s="170"/>
      <c r="Z71" s="171"/>
      <c r="AB71" s="454">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508.5</v>
      </c>
      <c r="AC71" s="454">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4">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4">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54">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54">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4">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4">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4">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4">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2">
        <f ca="1">IF(OR($D71&lt;&gt;"Serviço",AND(AUTOEVENTO="Manual",$M71=$A$15)),0,
         IF(OFFSET(CRONOPLE!$F$15,$M71-$A$15,AM$13)=0,10^12,OFFSET(CRONOPLE!$F$15,$M71-$A$15,AM$13)))</f>
        <v>1</v>
      </c>
      <c r="AN71" s="172">
        <f ca="1">IF(OR($D71&lt;&gt;"Serviço",AND(AUTOEVENTO="Manual",$M71=$A$15)),0,
         IF(OFFSET(CRONOPLE!$F$15,$M71-$A$15,AN$13)=0,10^12,OFFSET(CRONOPLE!$F$15,$M71-$A$15,AN$13)))</f>
        <v>1000000000000</v>
      </c>
      <c r="AO71" s="172">
        <f ca="1">IF(OR($D71&lt;&gt;"Serviço",AND(AUTOEVENTO="Manual",$M71=$A$15)),0,
         IF(OFFSET(CRONOPLE!$F$15,$M71-$A$15,AO$13)=0,10^12,OFFSET(CRONOPLE!$F$15,$M71-$A$15,AO$13)))</f>
        <v>1000000000000</v>
      </c>
      <c r="AP71" s="172">
        <f ca="1">IF(OR($D71&lt;&gt;"Serviço",AND(AUTOEVENTO="Manual",$M71=$A$15)),0,
         IF(OFFSET(CRONOPLE!$F$15,$M71-$A$15,AP$13)=0,10^12,OFFSET(CRONOPLE!$F$15,$M71-$A$15,AP$13)))</f>
        <v>1000000000000</v>
      </c>
      <c r="AQ71" s="172">
        <f ca="1">IF(OR($D71&lt;&gt;"Serviço",AND(AUTOEVENTO="Manual",$M71=$A$15)),0,
         IF(OFFSET(CRONOPLE!$F$15,$M71-$A$15,AQ$13)=0,10^12,OFFSET(CRONOPLE!$F$15,$M71-$A$15,AQ$13)))</f>
        <v>1000000000000</v>
      </c>
      <c r="AR71" s="172">
        <f ca="1">IF(OR($D71&lt;&gt;"Serviço",AND(AUTOEVENTO="Manual",$M71=$A$15)),0,
         IF(OFFSET(CRONOPLE!$F$15,$M71-$A$15,AR$13)=0,10^12,OFFSET(CRONOPLE!$F$15,$M71-$A$15,AR$13)))</f>
        <v>1000000000000</v>
      </c>
      <c r="AS71" s="172">
        <f ca="1">IF(OR($D71&lt;&gt;"Serviço",AND(AUTOEVENTO="Manual",$M71=$A$15)),0,
         IF(OFFSET(CRONOPLE!$F$15,$M71-$A$15,AS$13)=0,10^12,OFFSET(CRONOPLE!$F$15,$M71-$A$15,AS$13)))</f>
        <v>1000000000000</v>
      </c>
      <c r="AT71" s="172">
        <f ca="1">IF(OR($D71&lt;&gt;"Serviço",AND(AUTOEVENTO="Manual",$M71=$A$15)),0,
         IF(OFFSET(CRONOPLE!$F$15,$M71-$A$15,AT$13)=0,10^12,OFFSET(CRONOPLE!$F$15,$M71-$A$15,AT$13)))</f>
        <v>1000000000000</v>
      </c>
      <c r="AU71" s="172">
        <f ca="1">IF(OR($D71&lt;&gt;"Serviço",AND(AUTOEVENTO="Manual",$M71=$A$15)),0,
         IF(OFFSET(CRONOPLE!$F$15,$M71-$A$15,AU$13)=0,10^12,OFFSET(CRONOPLE!$F$15,$M71-$A$15,AU$13)))</f>
        <v>1000000000000</v>
      </c>
      <c r="AV71" s="172">
        <f ca="1">IF(OR($D71&lt;&gt;"Serviço",AND(AUTOEVENTO="Manual",$M71=$A$15)),0,
         IF(OFFSET(CRONOPLE!$F$15,$M71-$A$15,AV$13)=0,10^12,OFFSET(CRONOPLE!$F$15,$M71-$A$15,AV$13)))</f>
        <v>1000000000000</v>
      </c>
      <c r="AX71" s="173">
        <f ca="1">IF(OR($D71&lt;&gt;"Serviço",AND(AUTOEVENTO="Manual",$M71=$A$15),$M71&gt;(ROW(PLE.lastrow)-ROW(PLE.firstrow))),0,
           IF(OFFSET(PLE!$G$15,$M71-$A$15,AX$13)="",10^12,OFFSET(PLE!$G$15,$M71-$A$15,AX$13)))</f>
        <v>1000000000000</v>
      </c>
      <c r="AY71" s="173">
        <f ca="1">IF(OR($D71&lt;&gt;"Serviço",AND(AUTOEVENTO="Manual",$M71=$A$15),$M71&gt;(ROW(PLE.lastrow)-ROW(PLE.firstrow))),0,
           IF(OFFSET(PLE!$G$15,$M71-$A$15,AY$13)="",10^12,OFFSET(PLE!$G$15,$M71-$A$15,AY$13)))</f>
        <v>1000000000000</v>
      </c>
      <c r="AZ71" s="173">
        <f ca="1">IF(OR($D71&lt;&gt;"Serviço",AND(AUTOEVENTO="Manual",$M71=$A$15),$M71&gt;(ROW(PLE.lastrow)-ROW(PLE.firstrow))),0,
           IF(OFFSET(PLE!$G$15,$M71-$A$15,AZ$13)="",10^12,OFFSET(PLE!$G$15,$M71-$A$15,AZ$13)))</f>
        <v>1000000000000</v>
      </c>
      <c r="BA71" s="173">
        <f ca="1">IF(OR($D71&lt;&gt;"Serviço",AND(AUTOEVENTO="Manual",$M71=$A$15),$M71&gt;(ROW(PLE.lastrow)-ROW(PLE.firstrow))),0,
           IF(OFFSET(PLE!$G$15,$M71-$A$15,BA$13)="",10^12,OFFSET(PLE!$G$15,$M71-$A$15,BA$13)))</f>
        <v>1000000000000</v>
      </c>
      <c r="BB71" s="173">
        <f ca="1">IF(OR($D71&lt;&gt;"Serviço",AND(AUTOEVENTO="Manual",$M71=$A$15),$M71&gt;(ROW(PLE.lastrow)-ROW(PLE.firstrow))),0,
           IF(OFFSET(PLE!$G$15,$M71-$A$15,BB$13)="",10^12,OFFSET(PLE!$G$15,$M71-$A$15,BB$13)))</f>
        <v>1000000000000</v>
      </c>
      <c r="BC71" s="173">
        <f ca="1">IF(OR($D71&lt;&gt;"Serviço",AND(AUTOEVENTO="Manual",$M71=$A$15),$M71&gt;(ROW(PLE.lastrow)-ROW(PLE.firstrow))),0,
           IF(OFFSET(PLE!$G$15,$M71-$A$15,BC$13)="",10^12,OFFSET(PLE!$G$15,$M71-$A$15,BC$13)))</f>
        <v>1000000000000</v>
      </c>
      <c r="BD71" s="173">
        <f ca="1">IF(OR($D71&lt;&gt;"Serviço",AND(AUTOEVENTO="Manual",$M71=$A$15),$M71&gt;(ROW(PLE.lastrow)-ROW(PLE.firstrow))),0,
           IF(OFFSET(PLE!$G$15,$M71-$A$15,BD$13)="",10^12,OFFSET(PLE!$G$15,$M71-$A$15,BD$13)))</f>
        <v>1000000000000</v>
      </c>
      <c r="BE71" s="173">
        <f ca="1">IF(OR($D71&lt;&gt;"Serviço",AND(AUTOEVENTO="Manual",$M71=$A$15),$M71&gt;(ROW(PLE.lastrow)-ROW(PLE.firstrow))),0,
           IF(OFFSET(PLE!$G$15,$M71-$A$15,BE$13)="",10^12,OFFSET(PLE!$G$15,$M71-$A$15,BE$13)))</f>
        <v>1000000000000</v>
      </c>
      <c r="BF71" s="173">
        <f ca="1">IF(OR($D71&lt;&gt;"Serviço",AND(AUTOEVENTO="Manual",$M71=$A$15),$M71&gt;(ROW(PLE.lastrow)-ROW(PLE.firstrow))),0,
           IF(OFFSET(PLE!$G$15,$M71-$A$15,BF$13)="",10^12,OFFSET(PLE!$G$15,$M71-$A$15,BF$13)))</f>
        <v>1000000000000</v>
      </c>
      <c r="BG71" s="173">
        <f ca="1">IF(OR($D71&lt;&gt;"Serviço",AND(AUTOEVENTO="Manual",$M71=$A$15),$M71&gt;(ROW(PLE.lastrow)-ROW(PLE.firstrow))),0,
           IF(OFFSET(PLE!$G$15,$M71-$A$15,BG$13)="",10^12,OFFSET(PLE!$G$15,$M71-$A$15,BG$13)))</f>
        <v>1000000000000</v>
      </c>
    </row>
    <row r="72" spans="1:59" ht="38.25" x14ac:dyDescent="0.2">
      <c r="A72" s="7" t="str">
        <f t="shared" ca="1" si="9"/>
        <v>35</v>
      </c>
      <c r="B72" s="7" t="str">
        <f ca="1">OFFSET(ORÇAMENTO!C$15,ROW(B72)-ROW(B$15),0)</f>
        <v>S</v>
      </c>
      <c r="C72" s="7" t="str">
        <f ca="1">OFFSET(ORÇAMENTO!L$15,ROW(C72)-ROW(C$15),0)</f>
        <v>F</v>
      </c>
      <c r="D72" s="117" t="str">
        <f ca="1">OFFSET(ORÇAMENTO!N$15,ROW(D72)-ROW(D$15),0)</f>
        <v>Serviço</v>
      </c>
      <c r="E72" s="118" t="str">
        <f ca="1">OFFSET(ORÇAMENTO!O$15,ROW(E72)-ROW(E$15),0)</f>
        <v>1.6.22.</v>
      </c>
      <c r="F72" s="164" t="str">
        <f ca="1">OFFSET(ORÇAMENTO!R$15,ROW(F72)-ROW(F$15),0)</f>
        <v>TELHA ONDULADA EM ACO ZINCADO, ALTURA DE 17 MM, ESPESSURA DE 0,50 MM, LARGURA UTIL DE APROXIMADAMENTE 985 MM, SEM PINTURA</v>
      </c>
      <c r="G72" s="165" t="str">
        <f ca="1">IF($D72&lt;&gt;"Serviço","",OFFSET(ORÇAMENTO!S$15,ROW(G72)-ROW(G$15),0))</f>
        <v>M2</v>
      </c>
      <c r="H72" s="123">
        <f ca="1">IF($D72&lt;&gt;"Serviço",0,IF(ACOMPANHAMENTO="BM",ROUND(OFFSET(ORÇAMENTO!AJ$15,ROW(H72)-ROW(H$15),0),15-13*ORÇAMENTO!$AF$7),SUMPRODUCT(($Q$1:$AA$1=1)*ROUND($Q72:$AA72,15-13*ORÇAMENTO!$AF$7))))</f>
        <v>22.25</v>
      </c>
      <c r="I72" s="469" t="s">
        <v>1048</v>
      </c>
      <c r="J72" s="663" t="str">
        <f ca="1">IF(OR(B72&lt;&gt;"S",CÁLCULO.FrentesPreenchidas=0),"",IF(AND(ACOMPANHAMENTO="PLE",AUTOEVENTO="Manual",OR(H72&gt;0,ORÇAMENTO!AC72="QUANT."),OR(K72="",M72=0,N72="")),"►",IF(AND(ACOMPANHAMENTO="PLE",ORÇAMENTO!AC72="QUANT."),"►►",IF(AND(COUNTIF($P$11:$AA$11,"▼")=0,H72&gt;0,I72=""),"◄",""))))</f>
        <v/>
      </c>
      <c r="K72" s="664"/>
      <c r="L72" s="166" t="s">
        <v>765</v>
      </c>
      <c r="M72" s="167">
        <f ca="1">IF($D72&lt;&gt;"Serviço","",
          IF(AUTOEVENTO="manual",$A72,
                IF(ISERROR(MATCH($A72,$A$15:OFFSET($A72,-1,0),0)),MAX($M$15:OFFSET(M72,-1,0))+1,
                      INDEX($M$15:OFFSET(M72,-1,0),MATCH($A72,$A$15:OFFSET($A72,-1,0),0)))))</f>
        <v>6</v>
      </c>
      <c r="N72" s="168" t="str">
        <f ca="1">IF($D72&lt;&gt;"Serviço","",
         IF(AUTOEVENTO="Manual",
                IF($A72=0,"&lt;-- defina o número do agrupador",
                       OFFSET(EVENTOS!$D$15,$A72-$A$15,0)),
                OFFSET($F$15,$A72,0)))</f>
        <v>READEQUAÇÃO DA FACHADA PRINCIPAL</v>
      </c>
      <c r="O72" s="169"/>
      <c r="Q72" s="169">
        <v>22.25</v>
      </c>
      <c r="R72" s="170"/>
      <c r="S72" s="170"/>
      <c r="T72" s="170"/>
      <c r="U72" s="170"/>
      <c r="V72" s="170"/>
      <c r="W72" s="170"/>
      <c r="X72" s="170"/>
      <c r="Y72" s="170"/>
      <c r="Z72" s="171"/>
      <c r="AB72" s="454">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1155.22</v>
      </c>
      <c r="AC72" s="454">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4">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0</v>
      </c>
      <c r="AE72" s="454">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54">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54">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54">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54">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54">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4">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2">
        <f ca="1">IF(OR($D72&lt;&gt;"Serviço",AND(AUTOEVENTO="Manual",$M72=$A$15)),0,
         IF(OFFSET(CRONOPLE!$F$15,$M72-$A$15,AM$13)=0,10^12,OFFSET(CRONOPLE!$F$15,$M72-$A$15,AM$13)))</f>
        <v>1</v>
      </c>
      <c r="AN72" s="172">
        <f ca="1">IF(OR($D72&lt;&gt;"Serviço",AND(AUTOEVENTO="Manual",$M72=$A$15)),0,
         IF(OFFSET(CRONOPLE!$F$15,$M72-$A$15,AN$13)=0,10^12,OFFSET(CRONOPLE!$F$15,$M72-$A$15,AN$13)))</f>
        <v>1000000000000</v>
      </c>
      <c r="AO72" s="172">
        <f ca="1">IF(OR($D72&lt;&gt;"Serviço",AND(AUTOEVENTO="Manual",$M72=$A$15)),0,
         IF(OFFSET(CRONOPLE!$F$15,$M72-$A$15,AO$13)=0,10^12,OFFSET(CRONOPLE!$F$15,$M72-$A$15,AO$13)))</f>
        <v>1000000000000</v>
      </c>
      <c r="AP72" s="172">
        <f ca="1">IF(OR($D72&lt;&gt;"Serviço",AND(AUTOEVENTO="Manual",$M72=$A$15)),0,
         IF(OFFSET(CRONOPLE!$F$15,$M72-$A$15,AP$13)=0,10^12,OFFSET(CRONOPLE!$F$15,$M72-$A$15,AP$13)))</f>
        <v>1000000000000</v>
      </c>
      <c r="AQ72" s="172">
        <f ca="1">IF(OR($D72&lt;&gt;"Serviço",AND(AUTOEVENTO="Manual",$M72=$A$15)),0,
         IF(OFFSET(CRONOPLE!$F$15,$M72-$A$15,AQ$13)=0,10^12,OFFSET(CRONOPLE!$F$15,$M72-$A$15,AQ$13)))</f>
        <v>1000000000000</v>
      </c>
      <c r="AR72" s="172">
        <f ca="1">IF(OR($D72&lt;&gt;"Serviço",AND(AUTOEVENTO="Manual",$M72=$A$15)),0,
         IF(OFFSET(CRONOPLE!$F$15,$M72-$A$15,AR$13)=0,10^12,OFFSET(CRONOPLE!$F$15,$M72-$A$15,AR$13)))</f>
        <v>1000000000000</v>
      </c>
      <c r="AS72" s="172">
        <f ca="1">IF(OR($D72&lt;&gt;"Serviço",AND(AUTOEVENTO="Manual",$M72=$A$15)),0,
         IF(OFFSET(CRONOPLE!$F$15,$M72-$A$15,AS$13)=0,10^12,OFFSET(CRONOPLE!$F$15,$M72-$A$15,AS$13)))</f>
        <v>1000000000000</v>
      </c>
      <c r="AT72" s="172">
        <f ca="1">IF(OR($D72&lt;&gt;"Serviço",AND(AUTOEVENTO="Manual",$M72=$A$15)),0,
         IF(OFFSET(CRONOPLE!$F$15,$M72-$A$15,AT$13)=0,10^12,OFFSET(CRONOPLE!$F$15,$M72-$A$15,AT$13)))</f>
        <v>1000000000000</v>
      </c>
      <c r="AU72" s="172">
        <f ca="1">IF(OR($D72&lt;&gt;"Serviço",AND(AUTOEVENTO="Manual",$M72=$A$15)),0,
         IF(OFFSET(CRONOPLE!$F$15,$M72-$A$15,AU$13)=0,10^12,OFFSET(CRONOPLE!$F$15,$M72-$A$15,AU$13)))</f>
        <v>1000000000000</v>
      </c>
      <c r="AV72" s="172">
        <f ca="1">IF(OR($D72&lt;&gt;"Serviço",AND(AUTOEVENTO="Manual",$M72=$A$15)),0,
         IF(OFFSET(CRONOPLE!$F$15,$M72-$A$15,AV$13)=0,10^12,OFFSET(CRONOPLE!$F$15,$M72-$A$15,AV$13)))</f>
        <v>1000000000000</v>
      </c>
      <c r="AX72" s="173">
        <f ca="1">IF(OR($D72&lt;&gt;"Serviço",AND(AUTOEVENTO="Manual",$M72=$A$15),$M72&gt;(ROW(PLE.lastrow)-ROW(PLE.firstrow))),0,
           IF(OFFSET(PLE!$G$15,$M72-$A$15,AX$13)="",10^12,OFFSET(PLE!$G$15,$M72-$A$15,AX$13)))</f>
        <v>1000000000000</v>
      </c>
      <c r="AY72" s="173">
        <f ca="1">IF(OR($D72&lt;&gt;"Serviço",AND(AUTOEVENTO="Manual",$M72=$A$15),$M72&gt;(ROW(PLE.lastrow)-ROW(PLE.firstrow))),0,
           IF(OFFSET(PLE!$G$15,$M72-$A$15,AY$13)="",10^12,OFFSET(PLE!$G$15,$M72-$A$15,AY$13)))</f>
        <v>1000000000000</v>
      </c>
      <c r="AZ72" s="173">
        <f ca="1">IF(OR($D72&lt;&gt;"Serviço",AND(AUTOEVENTO="Manual",$M72=$A$15),$M72&gt;(ROW(PLE.lastrow)-ROW(PLE.firstrow))),0,
           IF(OFFSET(PLE!$G$15,$M72-$A$15,AZ$13)="",10^12,OFFSET(PLE!$G$15,$M72-$A$15,AZ$13)))</f>
        <v>1000000000000</v>
      </c>
      <c r="BA72" s="173">
        <f ca="1">IF(OR($D72&lt;&gt;"Serviço",AND(AUTOEVENTO="Manual",$M72=$A$15),$M72&gt;(ROW(PLE.lastrow)-ROW(PLE.firstrow))),0,
           IF(OFFSET(PLE!$G$15,$M72-$A$15,BA$13)="",10^12,OFFSET(PLE!$G$15,$M72-$A$15,BA$13)))</f>
        <v>1000000000000</v>
      </c>
      <c r="BB72" s="173">
        <f ca="1">IF(OR($D72&lt;&gt;"Serviço",AND(AUTOEVENTO="Manual",$M72=$A$15),$M72&gt;(ROW(PLE.lastrow)-ROW(PLE.firstrow))),0,
           IF(OFFSET(PLE!$G$15,$M72-$A$15,BB$13)="",10^12,OFFSET(PLE!$G$15,$M72-$A$15,BB$13)))</f>
        <v>1000000000000</v>
      </c>
      <c r="BC72" s="173">
        <f ca="1">IF(OR($D72&lt;&gt;"Serviço",AND(AUTOEVENTO="Manual",$M72=$A$15),$M72&gt;(ROW(PLE.lastrow)-ROW(PLE.firstrow))),0,
           IF(OFFSET(PLE!$G$15,$M72-$A$15,BC$13)="",10^12,OFFSET(PLE!$G$15,$M72-$A$15,BC$13)))</f>
        <v>1000000000000</v>
      </c>
      <c r="BD72" s="173">
        <f ca="1">IF(OR($D72&lt;&gt;"Serviço",AND(AUTOEVENTO="Manual",$M72=$A$15),$M72&gt;(ROW(PLE.lastrow)-ROW(PLE.firstrow))),0,
           IF(OFFSET(PLE!$G$15,$M72-$A$15,BD$13)="",10^12,OFFSET(PLE!$G$15,$M72-$A$15,BD$13)))</f>
        <v>1000000000000</v>
      </c>
      <c r="BE72" s="173">
        <f ca="1">IF(OR($D72&lt;&gt;"Serviço",AND(AUTOEVENTO="Manual",$M72=$A$15),$M72&gt;(ROW(PLE.lastrow)-ROW(PLE.firstrow))),0,
           IF(OFFSET(PLE!$G$15,$M72-$A$15,BE$13)="",10^12,OFFSET(PLE!$G$15,$M72-$A$15,BE$13)))</f>
        <v>1000000000000</v>
      </c>
      <c r="BF72" s="173">
        <f ca="1">IF(OR($D72&lt;&gt;"Serviço",AND(AUTOEVENTO="Manual",$M72=$A$15),$M72&gt;(ROW(PLE.lastrow)-ROW(PLE.firstrow))),0,
           IF(OFFSET(PLE!$G$15,$M72-$A$15,BF$13)="",10^12,OFFSET(PLE!$G$15,$M72-$A$15,BF$13)))</f>
        <v>1000000000000</v>
      </c>
      <c r="BG72" s="173">
        <f ca="1">IF(OR($D72&lt;&gt;"Serviço",AND(AUTOEVENTO="Manual",$M72=$A$15),$M72&gt;(ROW(PLE.lastrow)-ROW(PLE.firstrow))),0,
           IF(OFFSET(PLE!$G$15,$M72-$A$15,BG$13)="",10^12,OFFSET(PLE!$G$15,$M72-$A$15,BG$13)))</f>
        <v>1000000000000</v>
      </c>
    </row>
    <row r="73" spans="1:59" ht="38.25" x14ac:dyDescent="0.2">
      <c r="A73" s="7" t="str">
        <f t="shared" ca="1" si="9"/>
        <v>35</v>
      </c>
      <c r="B73" s="7" t="str">
        <f ca="1">OFFSET(ORÇAMENTO!C$15,ROW(B73)-ROW(B$15),0)</f>
        <v>S</v>
      </c>
      <c r="C73" s="7" t="str">
        <f ca="1">OFFSET(ORÇAMENTO!L$15,ROW(C73)-ROW(C$15),0)</f>
        <v>F</v>
      </c>
      <c r="D73" s="117" t="str">
        <f ca="1">OFFSET(ORÇAMENTO!N$15,ROW(D73)-ROW(D$15),0)</f>
        <v>Serviço</v>
      </c>
      <c r="E73" s="118" t="str">
        <f ca="1">OFFSET(ORÇAMENTO!O$15,ROW(E73)-ROW(E$15),0)</f>
        <v>1.6.23.</v>
      </c>
      <c r="F73" s="164" t="str">
        <f ca="1">OFFSET(ORÇAMENTO!R$15,ROW(F73)-ROW(F$15),0)</f>
        <v>TUBO PVC, SÉRIE R, ÁGUA PLUVIAL, DN 100 MM, FORNECIDO E INSTALADO EM CONDUTORES VERTICAIS DE ÁGUAS PLUVIAIS. AF_06/2022</v>
      </c>
      <c r="G73" s="165" t="str">
        <f ca="1">IF($D73&lt;&gt;"Serviço","",OFFSET(ORÇAMENTO!S$15,ROW(G73)-ROW(G$15),0))</f>
        <v>M</v>
      </c>
      <c r="H73" s="123">
        <f ca="1">IF($D73&lt;&gt;"Serviço",0,IF(ACOMPANHAMENTO="BM",ROUND(OFFSET(ORÇAMENTO!AJ$15,ROW(H73)-ROW(H$15),0),15-13*ORÇAMENTO!$AF$7),SUMPRODUCT(($Q$1:$AA$1=1)*ROUND($Q73:$AA73,15-13*ORÇAMENTO!$AF$7))))</f>
        <v>5</v>
      </c>
      <c r="I73" s="469" t="s">
        <v>1048</v>
      </c>
      <c r="J73" s="663" t="str">
        <f ca="1">IF(OR(B73&lt;&gt;"S",CÁLCULO.FrentesPreenchidas=0),"",IF(AND(ACOMPANHAMENTO="PLE",AUTOEVENTO="Manual",OR(H73&gt;0,ORÇAMENTO!AC73="QUANT."),OR(K73="",M73=0,N73="")),"►",IF(AND(ACOMPANHAMENTO="PLE",ORÇAMENTO!AC73="QUANT."),"►►",IF(AND(COUNTIF($P$11:$AA$11,"▼")=0,H73&gt;0,I73=""),"◄",""))))</f>
        <v/>
      </c>
      <c r="K73" s="664"/>
      <c r="L73" s="166" t="s">
        <v>765</v>
      </c>
      <c r="M73" s="167">
        <f ca="1">IF($D73&lt;&gt;"Serviço","",
          IF(AUTOEVENTO="manual",$A73,
                IF(ISERROR(MATCH($A73,$A$15:OFFSET($A73,-1,0),0)),MAX($M$15:OFFSET(M73,-1,0))+1,
                      INDEX($M$15:OFFSET(M73,-1,0),MATCH($A73,$A$15:OFFSET($A73,-1,0),0)))))</f>
        <v>6</v>
      </c>
      <c r="N73" s="168" t="str">
        <f ca="1">IF($D73&lt;&gt;"Serviço","",
         IF(AUTOEVENTO="Manual",
                IF($A73=0,"&lt;-- defina o número do agrupador",
                       OFFSET(EVENTOS!$D$15,$A73-$A$15,0)),
                OFFSET($F$15,$A73,0)))</f>
        <v>READEQUAÇÃO DA FACHADA PRINCIPAL</v>
      </c>
      <c r="O73" s="169"/>
      <c r="Q73" s="169">
        <v>5</v>
      </c>
      <c r="R73" s="170"/>
      <c r="S73" s="170"/>
      <c r="T73" s="170"/>
      <c r="U73" s="170"/>
      <c r="V73" s="170"/>
      <c r="W73" s="170"/>
      <c r="X73" s="170"/>
      <c r="Y73" s="170"/>
      <c r="Z73" s="171"/>
      <c r="AB73" s="454">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243.05</v>
      </c>
      <c r="AC73" s="454">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0</v>
      </c>
      <c r="AD73" s="454">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0</v>
      </c>
      <c r="AE73" s="454">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54">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54">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0</v>
      </c>
      <c r="AH73" s="454">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0</v>
      </c>
      <c r="AI73" s="454">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54">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4">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72">
        <f ca="1">IF(OR($D73&lt;&gt;"Serviço",AND(AUTOEVENTO="Manual",$M73=$A$15)),0,
         IF(OFFSET(CRONOPLE!$F$15,$M73-$A$15,AM$13)=0,10^12,OFFSET(CRONOPLE!$F$15,$M73-$A$15,AM$13)))</f>
        <v>1</v>
      </c>
      <c r="AN73" s="172">
        <f ca="1">IF(OR($D73&lt;&gt;"Serviço",AND(AUTOEVENTO="Manual",$M73=$A$15)),0,
         IF(OFFSET(CRONOPLE!$F$15,$M73-$A$15,AN$13)=0,10^12,OFFSET(CRONOPLE!$F$15,$M73-$A$15,AN$13)))</f>
        <v>1000000000000</v>
      </c>
      <c r="AO73" s="172">
        <f ca="1">IF(OR($D73&lt;&gt;"Serviço",AND(AUTOEVENTO="Manual",$M73=$A$15)),0,
         IF(OFFSET(CRONOPLE!$F$15,$M73-$A$15,AO$13)=0,10^12,OFFSET(CRONOPLE!$F$15,$M73-$A$15,AO$13)))</f>
        <v>1000000000000</v>
      </c>
      <c r="AP73" s="172">
        <f ca="1">IF(OR($D73&lt;&gt;"Serviço",AND(AUTOEVENTO="Manual",$M73=$A$15)),0,
         IF(OFFSET(CRONOPLE!$F$15,$M73-$A$15,AP$13)=0,10^12,OFFSET(CRONOPLE!$F$15,$M73-$A$15,AP$13)))</f>
        <v>1000000000000</v>
      </c>
      <c r="AQ73" s="172">
        <f ca="1">IF(OR($D73&lt;&gt;"Serviço",AND(AUTOEVENTO="Manual",$M73=$A$15)),0,
         IF(OFFSET(CRONOPLE!$F$15,$M73-$A$15,AQ$13)=0,10^12,OFFSET(CRONOPLE!$F$15,$M73-$A$15,AQ$13)))</f>
        <v>1000000000000</v>
      </c>
      <c r="AR73" s="172">
        <f ca="1">IF(OR($D73&lt;&gt;"Serviço",AND(AUTOEVENTO="Manual",$M73=$A$15)),0,
         IF(OFFSET(CRONOPLE!$F$15,$M73-$A$15,AR$13)=0,10^12,OFFSET(CRONOPLE!$F$15,$M73-$A$15,AR$13)))</f>
        <v>1000000000000</v>
      </c>
      <c r="AS73" s="172">
        <f ca="1">IF(OR($D73&lt;&gt;"Serviço",AND(AUTOEVENTO="Manual",$M73=$A$15)),0,
         IF(OFFSET(CRONOPLE!$F$15,$M73-$A$15,AS$13)=0,10^12,OFFSET(CRONOPLE!$F$15,$M73-$A$15,AS$13)))</f>
        <v>1000000000000</v>
      </c>
      <c r="AT73" s="172">
        <f ca="1">IF(OR($D73&lt;&gt;"Serviço",AND(AUTOEVENTO="Manual",$M73=$A$15)),0,
         IF(OFFSET(CRONOPLE!$F$15,$M73-$A$15,AT$13)=0,10^12,OFFSET(CRONOPLE!$F$15,$M73-$A$15,AT$13)))</f>
        <v>1000000000000</v>
      </c>
      <c r="AU73" s="172">
        <f ca="1">IF(OR($D73&lt;&gt;"Serviço",AND(AUTOEVENTO="Manual",$M73=$A$15)),0,
         IF(OFFSET(CRONOPLE!$F$15,$M73-$A$15,AU$13)=0,10^12,OFFSET(CRONOPLE!$F$15,$M73-$A$15,AU$13)))</f>
        <v>1000000000000</v>
      </c>
      <c r="AV73" s="172">
        <f ca="1">IF(OR($D73&lt;&gt;"Serviço",AND(AUTOEVENTO="Manual",$M73=$A$15)),0,
         IF(OFFSET(CRONOPLE!$F$15,$M73-$A$15,AV$13)=0,10^12,OFFSET(CRONOPLE!$F$15,$M73-$A$15,AV$13)))</f>
        <v>1000000000000</v>
      </c>
      <c r="AX73" s="173">
        <f ca="1">IF(OR($D73&lt;&gt;"Serviço",AND(AUTOEVENTO="Manual",$M73=$A$15),$M73&gt;(ROW(PLE.lastrow)-ROW(PLE.firstrow))),0,
           IF(OFFSET(PLE!$G$15,$M73-$A$15,AX$13)="",10^12,OFFSET(PLE!$G$15,$M73-$A$15,AX$13)))</f>
        <v>1000000000000</v>
      </c>
      <c r="AY73" s="173">
        <f ca="1">IF(OR($D73&lt;&gt;"Serviço",AND(AUTOEVENTO="Manual",$M73=$A$15),$M73&gt;(ROW(PLE.lastrow)-ROW(PLE.firstrow))),0,
           IF(OFFSET(PLE!$G$15,$M73-$A$15,AY$13)="",10^12,OFFSET(PLE!$G$15,$M73-$A$15,AY$13)))</f>
        <v>1000000000000</v>
      </c>
      <c r="AZ73" s="173">
        <f ca="1">IF(OR($D73&lt;&gt;"Serviço",AND(AUTOEVENTO="Manual",$M73=$A$15),$M73&gt;(ROW(PLE.lastrow)-ROW(PLE.firstrow))),0,
           IF(OFFSET(PLE!$G$15,$M73-$A$15,AZ$13)="",10^12,OFFSET(PLE!$G$15,$M73-$A$15,AZ$13)))</f>
        <v>1000000000000</v>
      </c>
      <c r="BA73" s="173">
        <f ca="1">IF(OR($D73&lt;&gt;"Serviço",AND(AUTOEVENTO="Manual",$M73=$A$15),$M73&gt;(ROW(PLE.lastrow)-ROW(PLE.firstrow))),0,
           IF(OFFSET(PLE!$G$15,$M73-$A$15,BA$13)="",10^12,OFFSET(PLE!$G$15,$M73-$A$15,BA$13)))</f>
        <v>1000000000000</v>
      </c>
      <c r="BB73" s="173">
        <f ca="1">IF(OR($D73&lt;&gt;"Serviço",AND(AUTOEVENTO="Manual",$M73=$A$15),$M73&gt;(ROW(PLE.lastrow)-ROW(PLE.firstrow))),0,
           IF(OFFSET(PLE!$G$15,$M73-$A$15,BB$13)="",10^12,OFFSET(PLE!$G$15,$M73-$A$15,BB$13)))</f>
        <v>1000000000000</v>
      </c>
      <c r="BC73" s="173">
        <f ca="1">IF(OR($D73&lt;&gt;"Serviço",AND(AUTOEVENTO="Manual",$M73=$A$15),$M73&gt;(ROW(PLE.lastrow)-ROW(PLE.firstrow))),0,
           IF(OFFSET(PLE!$G$15,$M73-$A$15,BC$13)="",10^12,OFFSET(PLE!$G$15,$M73-$A$15,BC$13)))</f>
        <v>1000000000000</v>
      </c>
      <c r="BD73" s="173">
        <f ca="1">IF(OR($D73&lt;&gt;"Serviço",AND(AUTOEVENTO="Manual",$M73=$A$15),$M73&gt;(ROW(PLE.lastrow)-ROW(PLE.firstrow))),0,
           IF(OFFSET(PLE!$G$15,$M73-$A$15,BD$13)="",10^12,OFFSET(PLE!$G$15,$M73-$A$15,BD$13)))</f>
        <v>1000000000000</v>
      </c>
      <c r="BE73" s="173">
        <f ca="1">IF(OR($D73&lt;&gt;"Serviço",AND(AUTOEVENTO="Manual",$M73=$A$15),$M73&gt;(ROW(PLE.lastrow)-ROW(PLE.firstrow))),0,
           IF(OFFSET(PLE!$G$15,$M73-$A$15,BE$13)="",10^12,OFFSET(PLE!$G$15,$M73-$A$15,BE$13)))</f>
        <v>1000000000000</v>
      </c>
      <c r="BF73" s="173">
        <f ca="1">IF(OR($D73&lt;&gt;"Serviço",AND(AUTOEVENTO="Manual",$M73=$A$15),$M73&gt;(ROW(PLE.lastrow)-ROW(PLE.firstrow))),0,
           IF(OFFSET(PLE!$G$15,$M73-$A$15,BF$13)="",10^12,OFFSET(PLE!$G$15,$M73-$A$15,BF$13)))</f>
        <v>1000000000000</v>
      </c>
      <c r="BG73" s="173">
        <f ca="1">IF(OR($D73&lt;&gt;"Serviço",AND(AUTOEVENTO="Manual",$M73=$A$15),$M73&gt;(ROW(PLE.lastrow)-ROW(PLE.firstrow))),0,
           IF(OFFSET(PLE!$G$15,$M73-$A$15,BG$13)="",10^12,OFFSET(PLE!$G$15,$M73-$A$15,BG$13)))</f>
        <v>1000000000000</v>
      </c>
    </row>
    <row r="74" spans="1:59" ht="25.5" x14ac:dyDescent="0.2">
      <c r="A74" s="7" t="str">
        <f t="shared" ca="1" si="9"/>
        <v>35</v>
      </c>
      <c r="B74" s="7" t="str">
        <f ca="1">OFFSET(ORÇAMENTO!C$15,ROW(B74)-ROW(B$15),0)</f>
        <v>S</v>
      </c>
      <c r="C74" s="7" t="str">
        <f ca="1">OFFSET(ORÇAMENTO!L$15,ROW(C74)-ROW(C$15),0)</f>
        <v>F</v>
      </c>
      <c r="D74" s="117" t="str">
        <f ca="1">OFFSET(ORÇAMENTO!N$15,ROW(D74)-ROW(D$15),0)</f>
        <v>Serviço</v>
      </c>
      <c r="E74" s="118" t="str">
        <f ca="1">OFFSET(ORÇAMENTO!O$15,ROW(E74)-ROW(E$15),0)</f>
        <v>1.6.24.</v>
      </c>
      <c r="F74" s="164" t="str">
        <f ca="1">OFFSET(ORÇAMENTO!R$15,ROW(F74)-ROW(F$15),0)</f>
        <v>APLICAÇÃO MANUAL DE FUNDO SELADOR ACRÍLICO EM PAREDES EXTERNAS DE CASAS. AF_03/2024</v>
      </c>
      <c r="G74" s="165" t="str">
        <f ca="1">IF($D74&lt;&gt;"Serviço","",OFFSET(ORÇAMENTO!S$15,ROW(G74)-ROW(G$15),0))</f>
        <v>M2</v>
      </c>
      <c r="H74" s="123">
        <f ca="1">IF($D74&lt;&gt;"Serviço",0,IF(ACOMPANHAMENTO="BM",ROUND(OFFSET(ORÇAMENTO!AJ$15,ROW(H74)-ROW(H$15),0),15-13*ORÇAMENTO!$AF$7),SUMPRODUCT(($Q$1:$AA$1=1)*ROUND($Q74:$AA74,15-13*ORÇAMENTO!$AF$7))))</f>
        <v>84.2</v>
      </c>
      <c r="I74" s="469" t="s">
        <v>1048</v>
      </c>
      <c r="J74" s="663" t="str">
        <f ca="1">IF(OR(B74&lt;&gt;"S",CÁLCULO.FrentesPreenchidas=0),"",IF(AND(ACOMPANHAMENTO="PLE",AUTOEVENTO="Manual",OR(H74&gt;0,ORÇAMENTO!AC74="QUANT."),OR(K74="",M74=0,N74="")),"►",IF(AND(ACOMPANHAMENTO="PLE",ORÇAMENTO!AC74="QUANT."),"►►",IF(AND(COUNTIF($P$11:$AA$11,"▼")=0,H74&gt;0,I74=""),"◄",""))))</f>
        <v/>
      </c>
      <c r="K74" s="664"/>
      <c r="L74" s="166" t="s">
        <v>765</v>
      </c>
      <c r="M74" s="167">
        <f ca="1">IF($D74&lt;&gt;"Serviço","",
          IF(AUTOEVENTO="manual",$A74,
                IF(ISERROR(MATCH($A74,$A$15:OFFSET($A74,-1,0),0)),MAX($M$15:OFFSET(M74,-1,0))+1,
                      INDEX($M$15:OFFSET(M74,-1,0),MATCH($A74,$A$15:OFFSET($A74,-1,0),0)))))</f>
        <v>6</v>
      </c>
      <c r="N74" s="168" t="str">
        <f ca="1">IF($D74&lt;&gt;"Serviço","",
         IF(AUTOEVENTO="Manual",
                IF($A74=0,"&lt;-- defina o número do agrupador",
                       OFFSET(EVENTOS!$D$15,$A74-$A$15,0)),
                OFFSET($F$15,$A74,0)))</f>
        <v>READEQUAÇÃO DA FACHADA PRINCIPAL</v>
      </c>
      <c r="O74" s="169"/>
      <c r="Q74" s="169">
        <v>84.2</v>
      </c>
      <c r="R74" s="170"/>
      <c r="S74" s="170"/>
      <c r="T74" s="170"/>
      <c r="U74" s="170"/>
      <c r="V74" s="170"/>
      <c r="W74" s="170"/>
      <c r="X74" s="170"/>
      <c r="Y74" s="170"/>
      <c r="Z74" s="171"/>
      <c r="AB74" s="454">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439.52</v>
      </c>
      <c r="AC74" s="454">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0</v>
      </c>
      <c r="AD74" s="454">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0</v>
      </c>
      <c r="AE74" s="454">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54">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54">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54">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54">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0</v>
      </c>
      <c r="AJ74" s="454">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4">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72">
        <f ca="1">IF(OR($D74&lt;&gt;"Serviço",AND(AUTOEVENTO="Manual",$M74=$A$15)),0,
         IF(OFFSET(CRONOPLE!$F$15,$M74-$A$15,AM$13)=0,10^12,OFFSET(CRONOPLE!$F$15,$M74-$A$15,AM$13)))</f>
        <v>1</v>
      </c>
      <c r="AN74" s="172">
        <f ca="1">IF(OR($D74&lt;&gt;"Serviço",AND(AUTOEVENTO="Manual",$M74=$A$15)),0,
         IF(OFFSET(CRONOPLE!$F$15,$M74-$A$15,AN$13)=0,10^12,OFFSET(CRONOPLE!$F$15,$M74-$A$15,AN$13)))</f>
        <v>1000000000000</v>
      </c>
      <c r="AO74" s="172">
        <f ca="1">IF(OR($D74&lt;&gt;"Serviço",AND(AUTOEVENTO="Manual",$M74=$A$15)),0,
         IF(OFFSET(CRONOPLE!$F$15,$M74-$A$15,AO$13)=0,10^12,OFFSET(CRONOPLE!$F$15,$M74-$A$15,AO$13)))</f>
        <v>1000000000000</v>
      </c>
      <c r="AP74" s="172">
        <f ca="1">IF(OR($D74&lt;&gt;"Serviço",AND(AUTOEVENTO="Manual",$M74=$A$15)),0,
         IF(OFFSET(CRONOPLE!$F$15,$M74-$A$15,AP$13)=0,10^12,OFFSET(CRONOPLE!$F$15,$M74-$A$15,AP$13)))</f>
        <v>1000000000000</v>
      </c>
      <c r="AQ74" s="172">
        <f ca="1">IF(OR($D74&lt;&gt;"Serviço",AND(AUTOEVENTO="Manual",$M74=$A$15)),0,
         IF(OFFSET(CRONOPLE!$F$15,$M74-$A$15,AQ$13)=0,10^12,OFFSET(CRONOPLE!$F$15,$M74-$A$15,AQ$13)))</f>
        <v>1000000000000</v>
      </c>
      <c r="AR74" s="172">
        <f ca="1">IF(OR($D74&lt;&gt;"Serviço",AND(AUTOEVENTO="Manual",$M74=$A$15)),0,
         IF(OFFSET(CRONOPLE!$F$15,$M74-$A$15,AR$13)=0,10^12,OFFSET(CRONOPLE!$F$15,$M74-$A$15,AR$13)))</f>
        <v>1000000000000</v>
      </c>
      <c r="AS74" s="172">
        <f ca="1">IF(OR($D74&lt;&gt;"Serviço",AND(AUTOEVENTO="Manual",$M74=$A$15)),0,
         IF(OFFSET(CRONOPLE!$F$15,$M74-$A$15,AS$13)=0,10^12,OFFSET(CRONOPLE!$F$15,$M74-$A$15,AS$13)))</f>
        <v>1000000000000</v>
      </c>
      <c r="AT74" s="172">
        <f ca="1">IF(OR($D74&lt;&gt;"Serviço",AND(AUTOEVENTO="Manual",$M74=$A$15)),0,
         IF(OFFSET(CRONOPLE!$F$15,$M74-$A$15,AT$13)=0,10^12,OFFSET(CRONOPLE!$F$15,$M74-$A$15,AT$13)))</f>
        <v>1000000000000</v>
      </c>
      <c r="AU74" s="172">
        <f ca="1">IF(OR($D74&lt;&gt;"Serviço",AND(AUTOEVENTO="Manual",$M74=$A$15)),0,
         IF(OFFSET(CRONOPLE!$F$15,$M74-$A$15,AU$13)=0,10^12,OFFSET(CRONOPLE!$F$15,$M74-$A$15,AU$13)))</f>
        <v>1000000000000</v>
      </c>
      <c r="AV74" s="172">
        <f ca="1">IF(OR($D74&lt;&gt;"Serviço",AND(AUTOEVENTO="Manual",$M74=$A$15)),0,
         IF(OFFSET(CRONOPLE!$F$15,$M74-$A$15,AV$13)=0,10^12,OFFSET(CRONOPLE!$F$15,$M74-$A$15,AV$13)))</f>
        <v>1000000000000</v>
      </c>
      <c r="AX74" s="173">
        <f ca="1">IF(OR($D74&lt;&gt;"Serviço",AND(AUTOEVENTO="Manual",$M74=$A$15),$M74&gt;(ROW(PLE.lastrow)-ROW(PLE.firstrow))),0,
           IF(OFFSET(PLE!$G$15,$M74-$A$15,AX$13)="",10^12,OFFSET(PLE!$G$15,$M74-$A$15,AX$13)))</f>
        <v>1000000000000</v>
      </c>
      <c r="AY74" s="173">
        <f ca="1">IF(OR($D74&lt;&gt;"Serviço",AND(AUTOEVENTO="Manual",$M74=$A$15),$M74&gt;(ROW(PLE.lastrow)-ROW(PLE.firstrow))),0,
           IF(OFFSET(PLE!$G$15,$M74-$A$15,AY$13)="",10^12,OFFSET(PLE!$G$15,$M74-$A$15,AY$13)))</f>
        <v>1000000000000</v>
      </c>
      <c r="AZ74" s="173">
        <f ca="1">IF(OR($D74&lt;&gt;"Serviço",AND(AUTOEVENTO="Manual",$M74=$A$15),$M74&gt;(ROW(PLE.lastrow)-ROW(PLE.firstrow))),0,
           IF(OFFSET(PLE!$G$15,$M74-$A$15,AZ$13)="",10^12,OFFSET(PLE!$G$15,$M74-$A$15,AZ$13)))</f>
        <v>1000000000000</v>
      </c>
      <c r="BA74" s="173">
        <f ca="1">IF(OR($D74&lt;&gt;"Serviço",AND(AUTOEVENTO="Manual",$M74=$A$15),$M74&gt;(ROW(PLE.lastrow)-ROW(PLE.firstrow))),0,
           IF(OFFSET(PLE!$G$15,$M74-$A$15,BA$13)="",10^12,OFFSET(PLE!$G$15,$M74-$A$15,BA$13)))</f>
        <v>1000000000000</v>
      </c>
      <c r="BB74" s="173">
        <f ca="1">IF(OR($D74&lt;&gt;"Serviço",AND(AUTOEVENTO="Manual",$M74=$A$15),$M74&gt;(ROW(PLE.lastrow)-ROW(PLE.firstrow))),0,
           IF(OFFSET(PLE!$G$15,$M74-$A$15,BB$13)="",10^12,OFFSET(PLE!$G$15,$M74-$A$15,BB$13)))</f>
        <v>1000000000000</v>
      </c>
      <c r="BC74" s="173">
        <f ca="1">IF(OR($D74&lt;&gt;"Serviço",AND(AUTOEVENTO="Manual",$M74=$A$15),$M74&gt;(ROW(PLE.lastrow)-ROW(PLE.firstrow))),0,
           IF(OFFSET(PLE!$G$15,$M74-$A$15,BC$13)="",10^12,OFFSET(PLE!$G$15,$M74-$A$15,BC$13)))</f>
        <v>1000000000000</v>
      </c>
      <c r="BD74" s="173">
        <f ca="1">IF(OR($D74&lt;&gt;"Serviço",AND(AUTOEVENTO="Manual",$M74=$A$15),$M74&gt;(ROW(PLE.lastrow)-ROW(PLE.firstrow))),0,
           IF(OFFSET(PLE!$G$15,$M74-$A$15,BD$13)="",10^12,OFFSET(PLE!$G$15,$M74-$A$15,BD$13)))</f>
        <v>1000000000000</v>
      </c>
      <c r="BE74" s="173">
        <f ca="1">IF(OR($D74&lt;&gt;"Serviço",AND(AUTOEVENTO="Manual",$M74=$A$15),$M74&gt;(ROW(PLE.lastrow)-ROW(PLE.firstrow))),0,
           IF(OFFSET(PLE!$G$15,$M74-$A$15,BE$13)="",10^12,OFFSET(PLE!$G$15,$M74-$A$15,BE$13)))</f>
        <v>1000000000000</v>
      </c>
      <c r="BF74" s="173">
        <f ca="1">IF(OR($D74&lt;&gt;"Serviço",AND(AUTOEVENTO="Manual",$M74=$A$15),$M74&gt;(ROW(PLE.lastrow)-ROW(PLE.firstrow))),0,
           IF(OFFSET(PLE!$G$15,$M74-$A$15,BF$13)="",10^12,OFFSET(PLE!$G$15,$M74-$A$15,BF$13)))</f>
        <v>1000000000000</v>
      </c>
      <c r="BG74" s="173">
        <f ca="1">IF(OR($D74&lt;&gt;"Serviço",AND(AUTOEVENTO="Manual",$M74=$A$15),$M74&gt;(ROW(PLE.lastrow)-ROW(PLE.firstrow))),0,
           IF(OFFSET(PLE!$G$15,$M74-$A$15,BG$13)="",10^12,OFFSET(PLE!$G$15,$M74-$A$15,BG$13)))</f>
        <v>1000000000000</v>
      </c>
    </row>
    <row r="75" spans="1:59" ht="25.5" x14ac:dyDescent="0.2">
      <c r="A75" s="7" t="str">
        <f t="shared" ca="1" si="9"/>
        <v>35</v>
      </c>
      <c r="B75" s="7" t="str">
        <f ca="1">OFFSET(ORÇAMENTO!C$15,ROW(B75)-ROW(B$15),0)</f>
        <v>S</v>
      </c>
      <c r="C75" s="7" t="str">
        <f ca="1">OFFSET(ORÇAMENTO!L$15,ROW(C75)-ROW(C$15),0)</f>
        <v>F</v>
      </c>
      <c r="D75" s="117" t="str">
        <f ca="1">OFFSET(ORÇAMENTO!N$15,ROW(D75)-ROW(D$15),0)</f>
        <v>Serviço</v>
      </c>
      <c r="E75" s="118" t="str">
        <f ca="1">OFFSET(ORÇAMENTO!O$15,ROW(E75)-ROW(E$15),0)</f>
        <v>1.6.25.</v>
      </c>
      <c r="F75" s="164" t="str">
        <f ca="1">OFFSET(ORÇAMENTO!R$15,ROW(F75)-ROW(F$15),0)</f>
        <v>PINTURA LÁTEX ACRÍLICA PREMIUM, APLICAÇÃO MANUAL EM PAREDES, DUAS DEMÃOS. AF_04/2023</v>
      </c>
      <c r="G75" s="165" t="str">
        <f ca="1">IF($D75&lt;&gt;"Serviço","",OFFSET(ORÇAMENTO!S$15,ROW(G75)-ROW(G$15),0))</f>
        <v>M2</v>
      </c>
      <c r="H75" s="123">
        <f ca="1">IF($D75&lt;&gt;"Serviço",0,IF(ACOMPANHAMENTO="BM",ROUND(OFFSET(ORÇAMENTO!AJ$15,ROW(H75)-ROW(H$15),0),15-13*ORÇAMENTO!$AF$7),SUMPRODUCT(($Q$1:$AA$1=1)*ROUND($Q75:$AA75,15-13*ORÇAMENTO!$AF$7))))</f>
        <v>84.2</v>
      </c>
      <c r="I75" s="469" t="s">
        <v>1048</v>
      </c>
      <c r="J75" s="663" t="str">
        <f ca="1">IF(OR(B75&lt;&gt;"S",CÁLCULO.FrentesPreenchidas=0),"",IF(AND(ACOMPANHAMENTO="PLE",AUTOEVENTO="Manual",OR(H75&gt;0,ORÇAMENTO!AC75="QUANT."),OR(K75="",M75=0,N75="")),"►",IF(AND(ACOMPANHAMENTO="PLE",ORÇAMENTO!AC75="QUANT."),"►►",IF(AND(COUNTIF($P$11:$AA$11,"▼")=0,H75&gt;0,I75=""),"◄",""))))</f>
        <v/>
      </c>
      <c r="K75" s="664"/>
      <c r="L75" s="166" t="s">
        <v>765</v>
      </c>
      <c r="M75" s="167">
        <f ca="1">IF($D75&lt;&gt;"Serviço","",
          IF(AUTOEVENTO="manual",$A75,
                IF(ISERROR(MATCH($A75,$A$15:OFFSET($A75,-1,0),0)),MAX($M$15:OFFSET(M75,-1,0))+1,
                      INDEX($M$15:OFFSET(M75,-1,0),MATCH($A75,$A$15:OFFSET($A75,-1,0),0)))))</f>
        <v>6</v>
      </c>
      <c r="N75" s="168" t="str">
        <f ca="1">IF($D75&lt;&gt;"Serviço","",
         IF(AUTOEVENTO="Manual",
                IF($A75=0,"&lt;-- defina o número do agrupador",
                       OFFSET(EVENTOS!$D$15,$A75-$A$15,0)),
                OFFSET($F$15,$A75,0)))</f>
        <v>READEQUAÇÃO DA FACHADA PRINCIPAL</v>
      </c>
      <c r="O75" s="169"/>
      <c r="Q75" s="169">
        <v>84.2</v>
      </c>
      <c r="R75" s="170"/>
      <c r="S75" s="170"/>
      <c r="T75" s="170"/>
      <c r="U75" s="170"/>
      <c r="V75" s="170"/>
      <c r="W75" s="170"/>
      <c r="X75" s="170"/>
      <c r="Y75" s="170"/>
      <c r="Z75" s="171"/>
      <c r="AB75" s="454">
        <f ca="1">IF(AND($D75="Serviço",AB$12&lt;&gt;0,$H75&gt;0,OR(AUTOEVENTO&lt;&gt;"manual",$M75&lt;&gt;$A$15)),
        IF(Import.TipoArredondamento&lt;&gt;"TransfereGOV",
              ROUND(OFFSET($P75,0,AB$13),15-13*ORÇAMENTO!$AF$7)/$H75*OFFSET(ORÇAMENTO!$X$15,ROW(AB75)-ROW(AB$15),0),
              ROUND(ROUND(OFFSET($P75,0,AB$13),15-13*ORÇAMENTO!$AF$7)*OFFSET(ORÇAMENTO!$W$15,ROW(AB75)-ROW(AB$15),0),15-13*ORÇAMENTO!$AF$11)),
         0)</f>
        <v>1344.67</v>
      </c>
      <c r="AC75" s="454">
        <f ca="1">IF(AND($D75="Serviço",AC$12&lt;&gt;0,$H75&gt;0,OR(AUTOEVENTO&lt;&gt;"manual",$M75&lt;&gt;$A$15)),
        IF(Import.TipoArredondamento&lt;&gt;"TransfereGOV",
              ROUND(OFFSET($P75,0,AC$13),15-13*ORÇAMENTO!$AF$7)/$H75*OFFSET(ORÇAMENTO!$X$15,ROW(AC75)-ROW(AC$15),0),
              ROUND(ROUND(OFFSET($P75,0,AC$13),15-13*ORÇAMENTO!$AF$7)*OFFSET(ORÇAMENTO!$W$15,ROW(AC75)-ROW(AC$15),0),15-13*ORÇAMENTO!$AF$11)),
         0)</f>
        <v>0</v>
      </c>
      <c r="AD75" s="454">
        <f ca="1">IF(AND($D75="Serviço",AD$12&lt;&gt;0,$H75&gt;0,OR(AUTOEVENTO&lt;&gt;"manual",$M75&lt;&gt;$A$15)),
        IF(Import.TipoArredondamento&lt;&gt;"TransfereGOV",
              ROUND(OFFSET($P75,0,AD$13),15-13*ORÇAMENTO!$AF$7)/$H75*OFFSET(ORÇAMENTO!$X$15,ROW(AD75)-ROW(AD$15),0),
              ROUND(ROUND(OFFSET($P75,0,AD$13),15-13*ORÇAMENTO!$AF$7)*OFFSET(ORÇAMENTO!$W$15,ROW(AD75)-ROW(AD$15),0),15-13*ORÇAMENTO!$AF$11)),
         0)</f>
        <v>0</v>
      </c>
      <c r="AE75" s="454">
        <f ca="1">IF(AND($D75="Serviço",AE$12&lt;&gt;0,$H75&gt;0,OR(AUTOEVENTO&lt;&gt;"manual",$M75&lt;&gt;$A$15)),
        IF(Import.TipoArredondamento&lt;&gt;"TransfereGOV",
              ROUND(OFFSET($P75,0,AE$13),15-13*ORÇAMENTO!$AF$7)/$H75*OFFSET(ORÇAMENTO!$X$15,ROW(AE75)-ROW(AE$15),0),
              ROUND(ROUND(OFFSET($P75,0,AE$13),15-13*ORÇAMENTO!$AF$7)*OFFSET(ORÇAMENTO!$W$15,ROW(AE75)-ROW(AE$15),0),15-13*ORÇAMENTO!$AF$11)),
         0)</f>
        <v>0</v>
      </c>
      <c r="AF75" s="454">
        <f ca="1">IF(AND($D75="Serviço",AF$12&lt;&gt;0,$H75&gt;0,OR(AUTOEVENTO&lt;&gt;"manual",$M75&lt;&gt;$A$15)),
        IF(Import.TipoArredondamento&lt;&gt;"TransfereGOV",
              ROUND(OFFSET($P75,0,AF$13),15-13*ORÇAMENTO!$AF$7)/$H75*OFFSET(ORÇAMENTO!$X$15,ROW(AF75)-ROW(AF$15),0),
              ROUND(ROUND(OFFSET($P75,0,AF$13),15-13*ORÇAMENTO!$AF$7)*OFFSET(ORÇAMENTO!$W$15,ROW(AF75)-ROW(AF$15),0),15-13*ORÇAMENTO!$AF$11)),
         0)</f>
        <v>0</v>
      </c>
      <c r="AG75" s="454">
        <f ca="1">IF(AND($D75="Serviço",AG$12&lt;&gt;0,$H75&gt;0,OR(AUTOEVENTO&lt;&gt;"manual",$M75&lt;&gt;$A$15)),
        IF(Import.TipoArredondamento&lt;&gt;"TransfereGOV",
              ROUND(OFFSET($P75,0,AG$13),15-13*ORÇAMENTO!$AF$7)/$H75*OFFSET(ORÇAMENTO!$X$15,ROW(AG75)-ROW(AG$15),0),
              ROUND(ROUND(OFFSET($P75,0,AG$13),15-13*ORÇAMENTO!$AF$7)*OFFSET(ORÇAMENTO!$W$15,ROW(AG75)-ROW(AG$15),0),15-13*ORÇAMENTO!$AF$11)),
         0)</f>
        <v>0</v>
      </c>
      <c r="AH75" s="454">
        <f ca="1">IF(AND($D75="Serviço",AH$12&lt;&gt;0,$H75&gt;0,OR(AUTOEVENTO&lt;&gt;"manual",$M75&lt;&gt;$A$15)),
        IF(Import.TipoArredondamento&lt;&gt;"TransfereGOV",
              ROUND(OFFSET($P75,0,AH$13),15-13*ORÇAMENTO!$AF$7)/$H75*OFFSET(ORÇAMENTO!$X$15,ROW(AH75)-ROW(AH$15),0),
              ROUND(ROUND(OFFSET($P75,0,AH$13),15-13*ORÇAMENTO!$AF$7)*OFFSET(ORÇAMENTO!$W$15,ROW(AH75)-ROW(AH$15),0),15-13*ORÇAMENTO!$AF$11)),
         0)</f>
        <v>0</v>
      </c>
      <c r="AI75" s="454">
        <f ca="1">IF(AND($D75="Serviço",AI$12&lt;&gt;0,$H75&gt;0,OR(AUTOEVENTO&lt;&gt;"manual",$M75&lt;&gt;$A$15)),
        IF(Import.TipoArredondamento&lt;&gt;"TransfereGOV",
              ROUND(OFFSET($P75,0,AI$13),15-13*ORÇAMENTO!$AF$7)/$H75*OFFSET(ORÇAMENTO!$X$15,ROW(AI75)-ROW(AI$15),0),
              ROUND(ROUND(OFFSET($P75,0,AI$13),15-13*ORÇAMENTO!$AF$7)*OFFSET(ORÇAMENTO!$W$15,ROW(AI75)-ROW(AI$15),0),15-13*ORÇAMENTO!$AF$11)),
         0)</f>
        <v>0</v>
      </c>
      <c r="AJ75" s="454">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4">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M75" s="172">
        <f ca="1">IF(OR($D75&lt;&gt;"Serviço",AND(AUTOEVENTO="Manual",$M75=$A$15)),0,
         IF(OFFSET(CRONOPLE!$F$15,$M75-$A$15,AM$13)=0,10^12,OFFSET(CRONOPLE!$F$15,$M75-$A$15,AM$13)))</f>
        <v>1</v>
      </c>
      <c r="AN75" s="172">
        <f ca="1">IF(OR($D75&lt;&gt;"Serviço",AND(AUTOEVENTO="Manual",$M75=$A$15)),0,
         IF(OFFSET(CRONOPLE!$F$15,$M75-$A$15,AN$13)=0,10^12,OFFSET(CRONOPLE!$F$15,$M75-$A$15,AN$13)))</f>
        <v>1000000000000</v>
      </c>
      <c r="AO75" s="172">
        <f ca="1">IF(OR($D75&lt;&gt;"Serviço",AND(AUTOEVENTO="Manual",$M75=$A$15)),0,
         IF(OFFSET(CRONOPLE!$F$15,$M75-$A$15,AO$13)=0,10^12,OFFSET(CRONOPLE!$F$15,$M75-$A$15,AO$13)))</f>
        <v>1000000000000</v>
      </c>
      <c r="AP75" s="172">
        <f ca="1">IF(OR($D75&lt;&gt;"Serviço",AND(AUTOEVENTO="Manual",$M75=$A$15)),0,
         IF(OFFSET(CRONOPLE!$F$15,$M75-$A$15,AP$13)=0,10^12,OFFSET(CRONOPLE!$F$15,$M75-$A$15,AP$13)))</f>
        <v>1000000000000</v>
      </c>
      <c r="AQ75" s="172">
        <f ca="1">IF(OR($D75&lt;&gt;"Serviço",AND(AUTOEVENTO="Manual",$M75=$A$15)),0,
         IF(OFFSET(CRONOPLE!$F$15,$M75-$A$15,AQ$13)=0,10^12,OFFSET(CRONOPLE!$F$15,$M75-$A$15,AQ$13)))</f>
        <v>1000000000000</v>
      </c>
      <c r="AR75" s="172">
        <f ca="1">IF(OR($D75&lt;&gt;"Serviço",AND(AUTOEVENTO="Manual",$M75=$A$15)),0,
         IF(OFFSET(CRONOPLE!$F$15,$M75-$A$15,AR$13)=0,10^12,OFFSET(CRONOPLE!$F$15,$M75-$A$15,AR$13)))</f>
        <v>1000000000000</v>
      </c>
      <c r="AS75" s="172">
        <f ca="1">IF(OR($D75&lt;&gt;"Serviço",AND(AUTOEVENTO="Manual",$M75=$A$15)),0,
         IF(OFFSET(CRONOPLE!$F$15,$M75-$A$15,AS$13)=0,10^12,OFFSET(CRONOPLE!$F$15,$M75-$A$15,AS$13)))</f>
        <v>1000000000000</v>
      </c>
      <c r="AT75" s="172">
        <f ca="1">IF(OR($D75&lt;&gt;"Serviço",AND(AUTOEVENTO="Manual",$M75=$A$15)),0,
         IF(OFFSET(CRONOPLE!$F$15,$M75-$A$15,AT$13)=0,10^12,OFFSET(CRONOPLE!$F$15,$M75-$A$15,AT$13)))</f>
        <v>1000000000000</v>
      </c>
      <c r="AU75" s="172">
        <f ca="1">IF(OR($D75&lt;&gt;"Serviço",AND(AUTOEVENTO="Manual",$M75=$A$15)),0,
         IF(OFFSET(CRONOPLE!$F$15,$M75-$A$15,AU$13)=0,10^12,OFFSET(CRONOPLE!$F$15,$M75-$A$15,AU$13)))</f>
        <v>1000000000000</v>
      </c>
      <c r="AV75" s="172">
        <f ca="1">IF(OR($D75&lt;&gt;"Serviço",AND(AUTOEVENTO="Manual",$M75=$A$15)),0,
         IF(OFFSET(CRONOPLE!$F$15,$M75-$A$15,AV$13)=0,10^12,OFFSET(CRONOPLE!$F$15,$M75-$A$15,AV$13)))</f>
        <v>1000000000000</v>
      </c>
      <c r="AX75" s="173">
        <f ca="1">IF(OR($D75&lt;&gt;"Serviço",AND(AUTOEVENTO="Manual",$M75=$A$15),$M75&gt;(ROW(PLE.lastrow)-ROW(PLE.firstrow))),0,
           IF(OFFSET(PLE!$G$15,$M75-$A$15,AX$13)="",10^12,OFFSET(PLE!$G$15,$M75-$A$15,AX$13)))</f>
        <v>1000000000000</v>
      </c>
      <c r="AY75" s="173">
        <f ca="1">IF(OR($D75&lt;&gt;"Serviço",AND(AUTOEVENTO="Manual",$M75=$A$15),$M75&gt;(ROW(PLE.lastrow)-ROW(PLE.firstrow))),0,
           IF(OFFSET(PLE!$G$15,$M75-$A$15,AY$13)="",10^12,OFFSET(PLE!$G$15,$M75-$A$15,AY$13)))</f>
        <v>1000000000000</v>
      </c>
      <c r="AZ75" s="173">
        <f ca="1">IF(OR($D75&lt;&gt;"Serviço",AND(AUTOEVENTO="Manual",$M75=$A$15),$M75&gt;(ROW(PLE.lastrow)-ROW(PLE.firstrow))),0,
           IF(OFFSET(PLE!$G$15,$M75-$A$15,AZ$13)="",10^12,OFFSET(PLE!$G$15,$M75-$A$15,AZ$13)))</f>
        <v>1000000000000</v>
      </c>
      <c r="BA75" s="173">
        <f ca="1">IF(OR($D75&lt;&gt;"Serviço",AND(AUTOEVENTO="Manual",$M75=$A$15),$M75&gt;(ROW(PLE.lastrow)-ROW(PLE.firstrow))),0,
           IF(OFFSET(PLE!$G$15,$M75-$A$15,BA$13)="",10^12,OFFSET(PLE!$G$15,$M75-$A$15,BA$13)))</f>
        <v>1000000000000</v>
      </c>
      <c r="BB75" s="173">
        <f ca="1">IF(OR($D75&lt;&gt;"Serviço",AND(AUTOEVENTO="Manual",$M75=$A$15),$M75&gt;(ROW(PLE.lastrow)-ROW(PLE.firstrow))),0,
           IF(OFFSET(PLE!$G$15,$M75-$A$15,BB$13)="",10^12,OFFSET(PLE!$G$15,$M75-$A$15,BB$13)))</f>
        <v>1000000000000</v>
      </c>
      <c r="BC75" s="173">
        <f ca="1">IF(OR($D75&lt;&gt;"Serviço",AND(AUTOEVENTO="Manual",$M75=$A$15),$M75&gt;(ROW(PLE.lastrow)-ROW(PLE.firstrow))),0,
           IF(OFFSET(PLE!$G$15,$M75-$A$15,BC$13)="",10^12,OFFSET(PLE!$G$15,$M75-$A$15,BC$13)))</f>
        <v>1000000000000</v>
      </c>
      <c r="BD75" s="173">
        <f ca="1">IF(OR($D75&lt;&gt;"Serviço",AND(AUTOEVENTO="Manual",$M75=$A$15),$M75&gt;(ROW(PLE.lastrow)-ROW(PLE.firstrow))),0,
           IF(OFFSET(PLE!$G$15,$M75-$A$15,BD$13)="",10^12,OFFSET(PLE!$G$15,$M75-$A$15,BD$13)))</f>
        <v>1000000000000</v>
      </c>
      <c r="BE75" s="173">
        <f ca="1">IF(OR($D75&lt;&gt;"Serviço",AND(AUTOEVENTO="Manual",$M75=$A$15),$M75&gt;(ROW(PLE.lastrow)-ROW(PLE.firstrow))),0,
           IF(OFFSET(PLE!$G$15,$M75-$A$15,BE$13)="",10^12,OFFSET(PLE!$G$15,$M75-$A$15,BE$13)))</f>
        <v>1000000000000</v>
      </c>
      <c r="BF75" s="173">
        <f ca="1">IF(OR($D75&lt;&gt;"Serviço",AND(AUTOEVENTO="Manual",$M75=$A$15),$M75&gt;(ROW(PLE.lastrow)-ROW(PLE.firstrow))),0,
           IF(OFFSET(PLE!$G$15,$M75-$A$15,BF$13)="",10^12,OFFSET(PLE!$G$15,$M75-$A$15,BF$13)))</f>
        <v>1000000000000</v>
      </c>
      <c r="BG75" s="173">
        <f ca="1">IF(OR($D75&lt;&gt;"Serviço",AND(AUTOEVENTO="Manual",$M75=$A$15),$M75&gt;(ROW(PLE.lastrow)-ROW(PLE.firstrow))),0,
           IF(OFFSET(PLE!$G$15,$M75-$A$15,BG$13)="",10^12,OFFSET(PLE!$G$15,$M75-$A$15,BG$13)))</f>
        <v>1000000000000</v>
      </c>
    </row>
    <row r="76" spans="1:59" ht="25.5" x14ac:dyDescent="0.2">
      <c r="A76" s="7" t="str">
        <f t="shared" ca="1" si="9"/>
        <v>35</v>
      </c>
      <c r="B76" s="7" t="str">
        <f ca="1">OFFSET(ORÇAMENTO!C$15,ROW(B76)-ROW(B$15),0)</f>
        <v>S</v>
      </c>
      <c r="C76" s="7" t="str">
        <f ca="1">OFFSET(ORÇAMENTO!L$15,ROW(C76)-ROW(C$15),0)</f>
        <v>F</v>
      </c>
      <c r="D76" s="117" t="str">
        <f ca="1">OFFSET(ORÇAMENTO!N$15,ROW(D76)-ROW(D$15),0)</f>
        <v>Serviço</v>
      </c>
      <c r="E76" s="118" t="str">
        <f ca="1">OFFSET(ORÇAMENTO!O$15,ROW(E76)-ROW(E$15),0)</f>
        <v>1.6.26.</v>
      </c>
      <c r="F76" s="164" t="str">
        <f ca="1">OFFSET(ORÇAMENTO!R$15,ROW(F76)-ROW(F$15),0)</f>
        <v>PINTOR COM ENCARGOS COMPLEMENTARES</v>
      </c>
      <c r="G76" s="165" t="str">
        <f ca="1">IF($D76&lt;&gt;"Serviço","",OFFSET(ORÇAMENTO!S$15,ROW(G76)-ROW(G$15),0))</f>
        <v>H</v>
      </c>
      <c r="H76" s="123">
        <f ca="1">IF($D76&lt;&gt;"Serviço",0,IF(ACOMPANHAMENTO="BM",ROUND(OFFSET(ORÇAMENTO!AJ$15,ROW(H76)-ROW(H$15),0),15-13*ORÇAMENTO!$AF$7),SUMPRODUCT(($Q$1:$AA$1=1)*ROUND($Q76:$AA76,15-13*ORÇAMENTO!$AF$7))))</f>
        <v>56</v>
      </c>
      <c r="I76" s="469" t="s">
        <v>1048</v>
      </c>
      <c r="J76" s="663" t="str">
        <f ca="1">IF(OR(B76&lt;&gt;"S",CÁLCULO.FrentesPreenchidas=0),"",IF(AND(ACOMPANHAMENTO="PLE",AUTOEVENTO="Manual",OR(H76&gt;0,ORÇAMENTO!AC76="QUANT."),OR(K76="",M76=0,N76="")),"►",IF(AND(ACOMPANHAMENTO="PLE",ORÇAMENTO!AC76="QUANT."),"►►",IF(AND(COUNTIF($P$11:$AA$11,"▼")=0,H76&gt;0,I76=""),"◄",""))))</f>
        <v/>
      </c>
      <c r="K76" s="664"/>
      <c r="L76" s="166" t="s">
        <v>765</v>
      </c>
      <c r="M76" s="167">
        <f ca="1">IF($D76&lt;&gt;"Serviço","",
          IF(AUTOEVENTO="manual",$A76,
                IF(ISERROR(MATCH($A76,$A$15:OFFSET($A76,-1,0),0)),MAX($M$15:OFFSET(M76,-1,0))+1,
                      INDEX($M$15:OFFSET(M76,-1,0),MATCH($A76,$A$15:OFFSET($A76,-1,0),0)))))</f>
        <v>6</v>
      </c>
      <c r="N76" s="168" t="str">
        <f ca="1">IF($D76&lt;&gt;"Serviço","",
         IF(AUTOEVENTO="Manual",
                IF($A76=0,"&lt;-- defina o número do agrupador",
                       OFFSET(EVENTOS!$D$15,$A76-$A$15,0)),
                OFFSET($F$15,$A76,0)))</f>
        <v>READEQUAÇÃO DA FACHADA PRINCIPAL</v>
      </c>
      <c r="O76" s="169"/>
      <c r="Q76" s="169">
        <v>56</v>
      </c>
      <c r="R76" s="170"/>
      <c r="S76" s="170"/>
      <c r="T76" s="170"/>
      <c r="U76" s="170"/>
      <c r="V76" s="170"/>
      <c r="W76" s="170"/>
      <c r="X76" s="170"/>
      <c r="Y76" s="170"/>
      <c r="Z76" s="171"/>
      <c r="AB76" s="454">
        <f ca="1">IF(AND($D76="Serviço",AB$12&lt;&gt;0,$H76&gt;0,OR(AUTOEVENTO&lt;&gt;"manual",$M76&lt;&gt;$A$15)),
        IF(Import.TipoArredondamento&lt;&gt;"TransfereGOV",
              ROUND(OFFSET($P76,0,AB$13),15-13*ORÇAMENTO!$AF$7)/$H76*OFFSET(ORÇAMENTO!$X$15,ROW(AB76)-ROW(AB$15),0),
              ROUND(ROUND(OFFSET($P76,0,AB$13),15-13*ORÇAMENTO!$AF$7)*OFFSET(ORÇAMENTO!$W$15,ROW(AB76)-ROW(AB$15),0),15-13*ORÇAMENTO!$AF$11)),
         0)</f>
        <v>1988</v>
      </c>
      <c r="AC76" s="454">
        <f ca="1">IF(AND($D76="Serviço",AC$12&lt;&gt;0,$H76&gt;0,OR(AUTOEVENTO&lt;&gt;"manual",$M76&lt;&gt;$A$15)),
        IF(Import.TipoArredondamento&lt;&gt;"TransfereGOV",
              ROUND(OFFSET($P76,0,AC$13),15-13*ORÇAMENTO!$AF$7)/$H76*OFFSET(ORÇAMENTO!$X$15,ROW(AC76)-ROW(AC$15),0),
              ROUND(ROUND(OFFSET($P76,0,AC$13),15-13*ORÇAMENTO!$AF$7)*OFFSET(ORÇAMENTO!$W$15,ROW(AC76)-ROW(AC$15),0),15-13*ORÇAMENTO!$AF$11)),
         0)</f>
        <v>0</v>
      </c>
      <c r="AD76" s="454">
        <f ca="1">IF(AND($D76="Serviço",AD$12&lt;&gt;0,$H76&gt;0,OR(AUTOEVENTO&lt;&gt;"manual",$M76&lt;&gt;$A$15)),
        IF(Import.TipoArredondamento&lt;&gt;"TransfereGOV",
              ROUND(OFFSET($P76,0,AD$13),15-13*ORÇAMENTO!$AF$7)/$H76*OFFSET(ORÇAMENTO!$X$15,ROW(AD76)-ROW(AD$15),0),
              ROUND(ROUND(OFFSET($P76,0,AD$13),15-13*ORÇAMENTO!$AF$7)*OFFSET(ORÇAMENTO!$W$15,ROW(AD76)-ROW(AD$15),0),15-13*ORÇAMENTO!$AF$11)),
         0)</f>
        <v>0</v>
      </c>
      <c r="AE76" s="454">
        <f ca="1">IF(AND($D76="Serviço",AE$12&lt;&gt;0,$H76&gt;0,OR(AUTOEVENTO&lt;&gt;"manual",$M76&lt;&gt;$A$15)),
        IF(Import.TipoArredondamento&lt;&gt;"TransfereGOV",
              ROUND(OFFSET($P76,0,AE$13),15-13*ORÇAMENTO!$AF$7)/$H76*OFFSET(ORÇAMENTO!$X$15,ROW(AE76)-ROW(AE$15),0),
              ROUND(ROUND(OFFSET($P76,0,AE$13),15-13*ORÇAMENTO!$AF$7)*OFFSET(ORÇAMENTO!$W$15,ROW(AE76)-ROW(AE$15),0),15-13*ORÇAMENTO!$AF$11)),
         0)</f>
        <v>0</v>
      </c>
      <c r="AF76" s="454">
        <f ca="1">IF(AND($D76="Serviço",AF$12&lt;&gt;0,$H76&gt;0,OR(AUTOEVENTO&lt;&gt;"manual",$M76&lt;&gt;$A$15)),
        IF(Import.TipoArredondamento&lt;&gt;"TransfereGOV",
              ROUND(OFFSET($P76,0,AF$13),15-13*ORÇAMENTO!$AF$7)/$H76*OFFSET(ORÇAMENTO!$X$15,ROW(AF76)-ROW(AF$15),0),
              ROUND(ROUND(OFFSET($P76,0,AF$13),15-13*ORÇAMENTO!$AF$7)*OFFSET(ORÇAMENTO!$W$15,ROW(AF76)-ROW(AF$15),0),15-13*ORÇAMENTO!$AF$11)),
         0)</f>
        <v>0</v>
      </c>
      <c r="AG76" s="454">
        <f ca="1">IF(AND($D76="Serviço",AG$12&lt;&gt;0,$H76&gt;0,OR(AUTOEVENTO&lt;&gt;"manual",$M76&lt;&gt;$A$15)),
        IF(Import.TipoArredondamento&lt;&gt;"TransfereGOV",
              ROUND(OFFSET($P76,0,AG$13),15-13*ORÇAMENTO!$AF$7)/$H76*OFFSET(ORÇAMENTO!$X$15,ROW(AG76)-ROW(AG$15),0),
              ROUND(ROUND(OFFSET($P76,0,AG$13),15-13*ORÇAMENTO!$AF$7)*OFFSET(ORÇAMENTO!$W$15,ROW(AG76)-ROW(AG$15),0),15-13*ORÇAMENTO!$AF$11)),
         0)</f>
        <v>0</v>
      </c>
      <c r="AH76" s="454">
        <f ca="1">IF(AND($D76="Serviço",AH$12&lt;&gt;0,$H76&gt;0,OR(AUTOEVENTO&lt;&gt;"manual",$M76&lt;&gt;$A$15)),
        IF(Import.TipoArredondamento&lt;&gt;"TransfereGOV",
              ROUND(OFFSET($P76,0,AH$13),15-13*ORÇAMENTO!$AF$7)/$H76*OFFSET(ORÇAMENTO!$X$15,ROW(AH76)-ROW(AH$15),0),
              ROUND(ROUND(OFFSET($P76,0,AH$13),15-13*ORÇAMENTO!$AF$7)*OFFSET(ORÇAMENTO!$W$15,ROW(AH76)-ROW(AH$15),0),15-13*ORÇAMENTO!$AF$11)),
         0)</f>
        <v>0</v>
      </c>
      <c r="AI76" s="454">
        <f ca="1">IF(AND($D76="Serviço",AI$12&lt;&gt;0,$H76&gt;0,OR(AUTOEVENTO&lt;&gt;"manual",$M76&lt;&gt;$A$15)),
        IF(Import.TipoArredondamento&lt;&gt;"TransfereGOV",
              ROUND(OFFSET($P76,0,AI$13),15-13*ORÇAMENTO!$AF$7)/$H76*OFFSET(ORÇAMENTO!$X$15,ROW(AI76)-ROW(AI$15),0),
              ROUND(ROUND(OFFSET($P76,0,AI$13),15-13*ORÇAMENTO!$AF$7)*OFFSET(ORÇAMENTO!$W$15,ROW(AI76)-ROW(AI$15),0),15-13*ORÇAMENTO!$AF$11)),
         0)</f>
        <v>0</v>
      </c>
      <c r="AJ76" s="454">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4">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M76" s="172">
        <f ca="1">IF(OR($D76&lt;&gt;"Serviço",AND(AUTOEVENTO="Manual",$M76=$A$15)),0,
         IF(OFFSET(CRONOPLE!$F$15,$M76-$A$15,AM$13)=0,10^12,OFFSET(CRONOPLE!$F$15,$M76-$A$15,AM$13)))</f>
        <v>1</v>
      </c>
      <c r="AN76" s="172">
        <f ca="1">IF(OR($D76&lt;&gt;"Serviço",AND(AUTOEVENTO="Manual",$M76=$A$15)),0,
         IF(OFFSET(CRONOPLE!$F$15,$M76-$A$15,AN$13)=0,10^12,OFFSET(CRONOPLE!$F$15,$M76-$A$15,AN$13)))</f>
        <v>1000000000000</v>
      </c>
      <c r="AO76" s="172">
        <f ca="1">IF(OR($D76&lt;&gt;"Serviço",AND(AUTOEVENTO="Manual",$M76=$A$15)),0,
         IF(OFFSET(CRONOPLE!$F$15,$M76-$A$15,AO$13)=0,10^12,OFFSET(CRONOPLE!$F$15,$M76-$A$15,AO$13)))</f>
        <v>1000000000000</v>
      </c>
      <c r="AP76" s="172">
        <f ca="1">IF(OR($D76&lt;&gt;"Serviço",AND(AUTOEVENTO="Manual",$M76=$A$15)),0,
         IF(OFFSET(CRONOPLE!$F$15,$M76-$A$15,AP$13)=0,10^12,OFFSET(CRONOPLE!$F$15,$M76-$A$15,AP$13)))</f>
        <v>1000000000000</v>
      </c>
      <c r="AQ76" s="172">
        <f ca="1">IF(OR($D76&lt;&gt;"Serviço",AND(AUTOEVENTO="Manual",$M76=$A$15)),0,
         IF(OFFSET(CRONOPLE!$F$15,$M76-$A$15,AQ$13)=0,10^12,OFFSET(CRONOPLE!$F$15,$M76-$A$15,AQ$13)))</f>
        <v>1000000000000</v>
      </c>
      <c r="AR76" s="172">
        <f ca="1">IF(OR($D76&lt;&gt;"Serviço",AND(AUTOEVENTO="Manual",$M76=$A$15)),0,
         IF(OFFSET(CRONOPLE!$F$15,$M76-$A$15,AR$13)=0,10^12,OFFSET(CRONOPLE!$F$15,$M76-$A$15,AR$13)))</f>
        <v>1000000000000</v>
      </c>
      <c r="AS76" s="172">
        <f ca="1">IF(OR($D76&lt;&gt;"Serviço",AND(AUTOEVENTO="Manual",$M76=$A$15)),0,
         IF(OFFSET(CRONOPLE!$F$15,$M76-$A$15,AS$13)=0,10^12,OFFSET(CRONOPLE!$F$15,$M76-$A$15,AS$13)))</f>
        <v>1000000000000</v>
      </c>
      <c r="AT76" s="172">
        <f ca="1">IF(OR($D76&lt;&gt;"Serviço",AND(AUTOEVENTO="Manual",$M76=$A$15)),0,
         IF(OFFSET(CRONOPLE!$F$15,$M76-$A$15,AT$13)=0,10^12,OFFSET(CRONOPLE!$F$15,$M76-$A$15,AT$13)))</f>
        <v>1000000000000</v>
      </c>
      <c r="AU76" s="172">
        <f ca="1">IF(OR($D76&lt;&gt;"Serviço",AND(AUTOEVENTO="Manual",$M76=$A$15)),0,
         IF(OFFSET(CRONOPLE!$F$15,$M76-$A$15,AU$13)=0,10^12,OFFSET(CRONOPLE!$F$15,$M76-$A$15,AU$13)))</f>
        <v>1000000000000</v>
      </c>
      <c r="AV76" s="172">
        <f ca="1">IF(OR($D76&lt;&gt;"Serviço",AND(AUTOEVENTO="Manual",$M76=$A$15)),0,
         IF(OFFSET(CRONOPLE!$F$15,$M76-$A$15,AV$13)=0,10^12,OFFSET(CRONOPLE!$F$15,$M76-$A$15,AV$13)))</f>
        <v>1000000000000</v>
      </c>
      <c r="AX76" s="173">
        <f ca="1">IF(OR($D76&lt;&gt;"Serviço",AND(AUTOEVENTO="Manual",$M76=$A$15),$M76&gt;(ROW(PLE.lastrow)-ROW(PLE.firstrow))),0,
           IF(OFFSET(PLE!$G$15,$M76-$A$15,AX$13)="",10^12,OFFSET(PLE!$G$15,$M76-$A$15,AX$13)))</f>
        <v>1000000000000</v>
      </c>
      <c r="AY76" s="173">
        <f ca="1">IF(OR($D76&lt;&gt;"Serviço",AND(AUTOEVENTO="Manual",$M76=$A$15),$M76&gt;(ROW(PLE.lastrow)-ROW(PLE.firstrow))),0,
           IF(OFFSET(PLE!$G$15,$M76-$A$15,AY$13)="",10^12,OFFSET(PLE!$G$15,$M76-$A$15,AY$13)))</f>
        <v>1000000000000</v>
      </c>
      <c r="AZ76" s="173">
        <f ca="1">IF(OR($D76&lt;&gt;"Serviço",AND(AUTOEVENTO="Manual",$M76=$A$15),$M76&gt;(ROW(PLE.lastrow)-ROW(PLE.firstrow))),0,
           IF(OFFSET(PLE!$G$15,$M76-$A$15,AZ$13)="",10^12,OFFSET(PLE!$G$15,$M76-$A$15,AZ$13)))</f>
        <v>1000000000000</v>
      </c>
      <c r="BA76" s="173">
        <f ca="1">IF(OR($D76&lt;&gt;"Serviço",AND(AUTOEVENTO="Manual",$M76=$A$15),$M76&gt;(ROW(PLE.lastrow)-ROW(PLE.firstrow))),0,
           IF(OFFSET(PLE!$G$15,$M76-$A$15,BA$13)="",10^12,OFFSET(PLE!$G$15,$M76-$A$15,BA$13)))</f>
        <v>1000000000000</v>
      </c>
      <c r="BB76" s="173">
        <f ca="1">IF(OR($D76&lt;&gt;"Serviço",AND(AUTOEVENTO="Manual",$M76=$A$15),$M76&gt;(ROW(PLE.lastrow)-ROW(PLE.firstrow))),0,
           IF(OFFSET(PLE!$G$15,$M76-$A$15,BB$13)="",10^12,OFFSET(PLE!$G$15,$M76-$A$15,BB$13)))</f>
        <v>1000000000000</v>
      </c>
      <c r="BC76" s="173">
        <f ca="1">IF(OR($D76&lt;&gt;"Serviço",AND(AUTOEVENTO="Manual",$M76=$A$15),$M76&gt;(ROW(PLE.lastrow)-ROW(PLE.firstrow))),0,
           IF(OFFSET(PLE!$G$15,$M76-$A$15,BC$13)="",10^12,OFFSET(PLE!$G$15,$M76-$A$15,BC$13)))</f>
        <v>1000000000000</v>
      </c>
      <c r="BD76" s="173">
        <f ca="1">IF(OR($D76&lt;&gt;"Serviço",AND(AUTOEVENTO="Manual",$M76=$A$15),$M76&gt;(ROW(PLE.lastrow)-ROW(PLE.firstrow))),0,
           IF(OFFSET(PLE!$G$15,$M76-$A$15,BD$13)="",10^12,OFFSET(PLE!$G$15,$M76-$A$15,BD$13)))</f>
        <v>1000000000000</v>
      </c>
      <c r="BE76" s="173">
        <f ca="1">IF(OR($D76&lt;&gt;"Serviço",AND(AUTOEVENTO="Manual",$M76=$A$15),$M76&gt;(ROW(PLE.lastrow)-ROW(PLE.firstrow))),0,
           IF(OFFSET(PLE!$G$15,$M76-$A$15,BE$13)="",10^12,OFFSET(PLE!$G$15,$M76-$A$15,BE$13)))</f>
        <v>1000000000000</v>
      </c>
      <c r="BF76" s="173">
        <f ca="1">IF(OR($D76&lt;&gt;"Serviço",AND(AUTOEVENTO="Manual",$M76=$A$15),$M76&gt;(ROW(PLE.lastrow)-ROW(PLE.firstrow))),0,
           IF(OFFSET(PLE!$G$15,$M76-$A$15,BF$13)="",10^12,OFFSET(PLE!$G$15,$M76-$A$15,BF$13)))</f>
        <v>1000000000000</v>
      </c>
      <c r="BG76" s="173">
        <f ca="1">IF(OR($D76&lt;&gt;"Serviço",AND(AUTOEVENTO="Manual",$M76=$A$15),$M76&gt;(ROW(PLE.lastrow)-ROW(PLE.firstrow))),0,
           IF(OFFSET(PLE!$G$15,$M76-$A$15,BG$13)="",10^12,OFFSET(PLE!$G$15,$M76-$A$15,BG$13)))</f>
        <v>1000000000000</v>
      </c>
    </row>
    <row r="77" spans="1:59" ht="25.5" x14ac:dyDescent="0.2">
      <c r="A77" s="7" t="str">
        <f t="shared" ca="1" si="9"/>
        <v>35</v>
      </c>
      <c r="B77" s="7" t="str">
        <f ca="1">OFFSET(ORÇAMENTO!C$15,ROW(B77)-ROW(B$15),0)</f>
        <v>S</v>
      </c>
      <c r="C77" s="7" t="str">
        <f ca="1">OFFSET(ORÇAMENTO!L$15,ROW(C77)-ROW(C$15),0)</f>
        <v>F</v>
      </c>
      <c r="D77" s="117" t="str">
        <f ca="1">OFFSET(ORÇAMENTO!N$15,ROW(D77)-ROW(D$15),0)</f>
        <v>Serviço</v>
      </c>
      <c r="E77" s="118" t="str">
        <f ca="1">OFFSET(ORÇAMENTO!O$15,ROW(E77)-ROW(E$15),0)</f>
        <v>1.6.27.</v>
      </c>
      <c r="F77" s="164" t="str">
        <f ca="1">OFFSET(ORÇAMENTO!R$15,ROW(F77)-ROW(F$15),0)</f>
        <v>AJUDANTE DE PINTOR COM ENCARGOS COMPLEMENTARES</v>
      </c>
      <c r="G77" s="165" t="str">
        <f ca="1">IF($D77&lt;&gt;"Serviço","",OFFSET(ORÇAMENTO!S$15,ROW(G77)-ROW(G$15),0))</f>
        <v>H</v>
      </c>
      <c r="H77" s="123">
        <f ca="1">IF($D77&lt;&gt;"Serviço",0,IF(ACOMPANHAMENTO="BM",ROUND(OFFSET(ORÇAMENTO!AJ$15,ROW(H77)-ROW(H$15),0),15-13*ORÇAMENTO!$AF$7),SUMPRODUCT(($Q$1:$AA$1=1)*ROUND($Q77:$AA77,15-13*ORÇAMENTO!$AF$7))))</f>
        <v>56</v>
      </c>
      <c r="I77" s="469" t="s">
        <v>1048</v>
      </c>
      <c r="J77" s="663" t="str">
        <f ca="1">IF(OR(B77&lt;&gt;"S",CÁLCULO.FrentesPreenchidas=0),"",IF(AND(ACOMPANHAMENTO="PLE",AUTOEVENTO="Manual",OR(H77&gt;0,ORÇAMENTO!AC77="QUANT."),OR(K77="",M77=0,N77="")),"►",IF(AND(ACOMPANHAMENTO="PLE",ORÇAMENTO!AC77="QUANT."),"►►",IF(AND(COUNTIF($P$11:$AA$11,"▼")=0,H77&gt;0,I77=""),"◄",""))))</f>
        <v/>
      </c>
      <c r="K77" s="664"/>
      <c r="L77" s="166" t="s">
        <v>765</v>
      </c>
      <c r="M77" s="167">
        <f ca="1">IF($D77&lt;&gt;"Serviço","",
          IF(AUTOEVENTO="manual",$A77,
                IF(ISERROR(MATCH($A77,$A$15:OFFSET($A77,-1,0),0)),MAX($M$15:OFFSET(M77,-1,0))+1,
                      INDEX($M$15:OFFSET(M77,-1,0),MATCH($A77,$A$15:OFFSET($A77,-1,0),0)))))</f>
        <v>6</v>
      </c>
      <c r="N77" s="168" t="str">
        <f ca="1">IF($D77&lt;&gt;"Serviço","",
         IF(AUTOEVENTO="Manual",
                IF($A77=0,"&lt;-- defina o número do agrupador",
                       OFFSET(EVENTOS!$D$15,$A77-$A$15,0)),
                OFFSET($F$15,$A77,0)))</f>
        <v>READEQUAÇÃO DA FACHADA PRINCIPAL</v>
      </c>
      <c r="O77" s="169"/>
      <c r="Q77" s="169">
        <v>56</v>
      </c>
      <c r="R77" s="170"/>
      <c r="S77" s="170"/>
      <c r="T77" s="170"/>
      <c r="U77" s="170"/>
      <c r="V77" s="170"/>
      <c r="W77" s="170"/>
      <c r="X77" s="170"/>
      <c r="Y77" s="170"/>
      <c r="Z77" s="171"/>
      <c r="AB77" s="454">
        <f ca="1">IF(AND($D77="Serviço",AB$12&lt;&gt;0,$H77&gt;0,OR(AUTOEVENTO&lt;&gt;"manual",$M77&lt;&gt;$A$15)),
        IF(Import.TipoArredondamento&lt;&gt;"TransfereGOV",
              ROUND(OFFSET($P77,0,AB$13),15-13*ORÇAMENTO!$AF$7)/$H77*OFFSET(ORÇAMENTO!$X$15,ROW(AB77)-ROW(AB$15),0),
              ROUND(ROUND(OFFSET($P77,0,AB$13),15-13*ORÇAMENTO!$AF$7)*OFFSET(ORÇAMENTO!$W$15,ROW(AB77)-ROW(AB$15),0),15-13*ORÇAMENTO!$AF$11)),
         0)</f>
        <v>1763.44</v>
      </c>
      <c r="AC77" s="454">
        <f ca="1">IF(AND($D77="Serviço",AC$12&lt;&gt;0,$H77&gt;0,OR(AUTOEVENTO&lt;&gt;"manual",$M77&lt;&gt;$A$15)),
        IF(Import.TipoArredondamento&lt;&gt;"TransfereGOV",
              ROUND(OFFSET($P77,0,AC$13),15-13*ORÇAMENTO!$AF$7)/$H77*OFFSET(ORÇAMENTO!$X$15,ROW(AC77)-ROW(AC$15),0),
              ROUND(ROUND(OFFSET($P77,0,AC$13),15-13*ORÇAMENTO!$AF$7)*OFFSET(ORÇAMENTO!$W$15,ROW(AC77)-ROW(AC$15),0),15-13*ORÇAMENTO!$AF$11)),
         0)</f>
        <v>0</v>
      </c>
      <c r="AD77" s="454">
        <f ca="1">IF(AND($D77="Serviço",AD$12&lt;&gt;0,$H77&gt;0,OR(AUTOEVENTO&lt;&gt;"manual",$M77&lt;&gt;$A$15)),
        IF(Import.TipoArredondamento&lt;&gt;"TransfereGOV",
              ROUND(OFFSET($P77,0,AD$13),15-13*ORÇAMENTO!$AF$7)/$H77*OFFSET(ORÇAMENTO!$X$15,ROW(AD77)-ROW(AD$15),0),
              ROUND(ROUND(OFFSET($P77,0,AD$13),15-13*ORÇAMENTO!$AF$7)*OFFSET(ORÇAMENTO!$W$15,ROW(AD77)-ROW(AD$15),0),15-13*ORÇAMENTO!$AF$11)),
         0)</f>
        <v>0</v>
      </c>
      <c r="AE77" s="454">
        <f ca="1">IF(AND($D77="Serviço",AE$12&lt;&gt;0,$H77&gt;0,OR(AUTOEVENTO&lt;&gt;"manual",$M77&lt;&gt;$A$15)),
        IF(Import.TipoArredondamento&lt;&gt;"TransfereGOV",
              ROUND(OFFSET($P77,0,AE$13),15-13*ORÇAMENTO!$AF$7)/$H77*OFFSET(ORÇAMENTO!$X$15,ROW(AE77)-ROW(AE$15),0),
              ROUND(ROUND(OFFSET($P77,0,AE$13),15-13*ORÇAMENTO!$AF$7)*OFFSET(ORÇAMENTO!$W$15,ROW(AE77)-ROW(AE$15),0),15-13*ORÇAMENTO!$AF$11)),
         0)</f>
        <v>0</v>
      </c>
      <c r="AF77" s="454">
        <f ca="1">IF(AND($D77="Serviço",AF$12&lt;&gt;0,$H77&gt;0,OR(AUTOEVENTO&lt;&gt;"manual",$M77&lt;&gt;$A$15)),
        IF(Import.TipoArredondamento&lt;&gt;"TransfereGOV",
              ROUND(OFFSET($P77,0,AF$13),15-13*ORÇAMENTO!$AF$7)/$H77*OFFSET(ORÇAMENTO!$X$15,ROW(AF77)-ROW(AF$15),0),
              ROUND(ROUND(OFFSET($P77,0,AF$13),15-13*ORÇAMENTO!$AF$7)*OFFSET(ORÇAMENTO!$W$15,ROW(AF77)-ROW(AF$15),0),15-13*ORÇAMENTO!$AF$11)),
         0)</f>
        <v>0</v>
      </c>
      <c r="AG77" s="454">
        <f ca="1">IF(AND($D77="Serviço",AG$12&lt;&gt;0,$H77&gt;0,OR(AUTOEVENTO&lt;&gt;"manual",$M77&lt;&gt;$A$15)),
        IF(Import.TipoArredondamento&lt;&gt;"TransfereGOV",
              ROUND(OFFSET($P77,0,AG$13),15-13*ORÇAMENTO!$AF$7)/$H77*OFFSET(ORÇAMENTO!$X$15,ROW(AG77)-ROW(AG$15),0),
              ROUND(ROUND(OFFSET($P77,0,AG$13),15-13*ORÇAMENTO!$AF$7)*OFFSET(ORÇAMENTO!$W$15,ROW(AG77)-ROW(AG$15),0),15-13*ORÇAMENTO!$AF$11)),
         0)</f>
        <v>0</v>
      </c>
      <c r="AH77" s="454">
        <f ca="1">IF(AND($D77="Serviço",AH$12&lt;&gt;0,$H77&gt;0,OR(AUTOEVENTO&lt;&gt;"manual",$M77&lt;&gt;$A$15)),
        IF(Import.TipoArredondamento&lt;&gt;"TransfereGOV",
              ROUND(OFFSET($P77,0,AH$13),15-13*ORÇAMENTO!$AF$7)/$H77*OFFSET(ORÇAMENTO!$X$15,ROW(AH77)-ROW(AH$15),0),
              ROUND(ROUND(OFFSET($P77,0,AH$13),15-13*ORÇAMENTO!$AF$7)*OFFSET(ORÇAMENTO!$W$15,ROW(AH77)-ROW(AH$15),0),15-13*ORÇAMENTO!$AF$11)),
         0)</f>
        <v>0</v>
      </c>
      <c r="AI77" s="454">
        <f ca="1">IF(AND($D77="Serviço",AI$12&lt;&gt;0,$H77&gt;0,OR(AUTOEVENTO&lt;&gt;"manual",$M77&lt;&gt;$A$15)),
        IF(Import.TipoArredondamento&lt;&gt;"TransfereGOV",
              ROUND(OFFSET($P77,0,AI$13),15-13*ORÇAMENTO!$AF$7)/$H77*OFFSET(ORÇAMENTO!$X$15,ROW(AI77)-ROW(AI$15),0),
              ROUND(ROUND(OFFSET($P77,0,AI$13),15-13*ORÇAMENTO!$AF$7)*OFFSET(ORÇAMENTO!$W$15,ROW(AI77)-ROW(AI$15),0),15-13*ORÇAMENTO!$AF$11)),
         0)</f>
        <v>0</v>
      </c>
      <c r="AJ77" s="454">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54">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M77" s="172">
        <f ca="1">IF(OR($D77&lt;&gt;"Serviço",AND(AUTOEVENTO="Manual",$M77=$A$15)),0,
         IF(OFFSET(CRONOPLE!$F$15,$M77-$A$15,AM$13)=0,10^12,OFFSET(CRONOPLE!$F$15,$M77-$A$15,AM$13)))</f>
        <v>1</v>
      </c>
      <c r="AN77" s="172">
        <f ca="1">IF(OR($D77&lt;&gt;"Serviço",AND(AUTOEVENTO="Manual",$M77=$A$15)),0,
         IF(OFFSET(CRONOPLE!$F$15,$M77-$A$15,AN$13)=0,10^12,OFFSET(CRONOPLE!$F$15,$M77-$A$15,AN$13)))</f>
        <v>1000000000000</v>
      </c>
      <c r="AO77" s="172">
        <f ca="1">IF(OR($D77&lt;&gt;"Serviço",AND(AUTOEVENTO="Manual",$M77=$A$15)),0,
         IF(OFFSET(CRONOPLE!$F$15,$M77-$A$15,AO$13)=0,10^12,OFFSET(CRONOPLE!$F$15,$M77-$A$15,AO$13)))</f>
        <v>1000000000000</v>
      </c>
      <c r="AP77" s="172">
        <f ca="1">IF(OR($D77&lt;&gt;"Serviço",AND(AUTOEVENTO="Manual",$M77=$A$15)),0,
         IF(OFFSET(CRONOPLE!$F$15,$M77-$A$15,AP$13)=0,10^12,OFFSET(CRONOPLE!$F$15,$M77-$A$15,AP$13)))</f>
        <v>1000000000000</v>
      </c>
      <c r="AQ77" s="172">
        <f ca="1">IF(OR($D77&lt;&gt;"Serviço",AND(AUTOEVENTO="Manual",$M77=$A$15)),0,
         IF(OFFSET(CRONOPLE!$F$15,$M77-$A$15,AQ$13)=0,10^12,OFFSET(CRONOPLE!$F$15,$M77-$A$15,AQ$13)))</f>
        <v>1000000000000</v>
      </c>
      <c r="AR77" s="172">
        <f ca="1">IF(OR($D77&lt;&gt;"Serviço",AND(AUTOEVENTO="Manual",$M77=$A$15)),0,
         IF(OFFSET(CRONOPLE!$F$15,$M77-$A$15,AR$13)=0,10^12,OFFSET(CRONOPLE!$F$15,$M77-$A$15,AR$13)))</f>
        <v>1000000000000</v>
      </c>
      <c r="AS77" s="172">
        <f ca="1">IF(OR($D77&lt;&gt;"Serviço",AND(AUTOEVENTO="Manual",$M77=$A$15)),0,
         IF(OFFSET(CRONOPLE!$F$15,$M77-$A$15,AS$13)=0,10^12,OFFSET(CRONOPLE!$F$15,$M77-$A$15,AS$13)))</f>
        <v>1000000000000</v>
      </c>
      <c r="AT77" s="172">
        <f ca="1">IF(OR($D77&lt;&gt;"Serviço",AND(AUTOEVENTO="Manual",$M77=$A$15)),0,
         IF(OFFSET(CRONOPLE!$F$15,$M77-$A$15,AT$13)=0,10^12,OFFSET(CRONOPLE!$F$15,$M77-$A$15,AT$13)))</f>
        <v>1000000000000</v>
      </c>
      <c r="AU77" s="172">
        <f ca="1">IF(OR($D77&lt;&gt;"Serviço",AND(AUTOEVENTO="Manual",$M77=$A$15)),0,
         IF(OFFSET(CRONOPLE!$F$15,$M77-$A$15,AU$13)=0,10^12,OFFSET(CRONOPLE!$F$15,$M77-$A$15,AU$13)))</f>
        <v>1000000000000</v>
      </c>
      <c r="AV77" s="172">
        <f ca="1">IF(OR($D77&lt;&gt;"Serviço",AND(AUTOEVENTO="Manual",$M77=$A$15)),0,
         IF(OFFSET(CRONOPLE!$F$15,$M77-$A$15,AV$13)=0,10^12,OFFSET(CRONOPLE!$F$15,$M77-$A$15,AV$13)))</f>
        <v>1000000000000</v>
      </c>
      <c r="AX77" s="173">
        <f ca="1">IF(OR($D77&lt;&gt;"Serviço",AND(AUTOEVENTO="Manual",$M77=$A$15),$M77&gt;(ROW(PLE.lastrow)-ROW(PLE.firstrow))),0,
           IF(OFFSET(PLE!$G$15,$M77-$A$15,AX$13)="",10^12,OFFSET(PLE!$G$15,$M77-$A$15,AX$13)))</f>
        <v>1000000000000</v>
      </c>
      <c r="AY77" s="173">
        <f ca="1">IF(OR($D77&lt;&gt;"Serviço",AND(AUTOEVENTO="Manual",$M77=$A$15),$M77&gt;(ROW(PLE.lastrow)-ROW(PLE.firstrow))),0,
           IF(OFFSET(PLE!$G$15,$M77-$A$15,AY$13)="",10^12,OFFSET(PLE!$G$15,$M77-$A$15,AY$13)))</f>
        <v>1000000000000</v>
      </c>
      <c r="AZ77" s="173">
        <f ca="1">IF(OR($D77&lt;&gt;"Serviço",AND(AUTOEVENTO="Manual",$M77=$A$15),$M77&gt;(ROW(PLE.lastrow)-ROW(PLE.firstrow))),0,
           IF(OFFSET(PLE!$G$15,$M77-$A$15,AZ$13)="",10^12,OFFSET(PLE!$G$15,$M77-$A$15,AZ$13)))</f>
        <v>1000000000000</v>
      </c>
      <c r="BA77" s="173">
        <f ca="1">IF(OR($D77&lt;&gt;"Serviço",AND(AUTOEVENTO="Manual",$M77=$A$15),$M77&gt;(ROW(PLE.lastrow)-ROW(PLE.firstrow))),0,
           IF(OFFSET(PLE!$G$15,$M77-$A$15,BA$13)="",10^12,OFFSET(PLE!$G$15,$M77-$A$15,BA$13)))</f>
        <v>1000000000000</v>
      </c>
      <c r="BB77" s="173">
        <f ca="1">IF(OR($D77&lt;&gt;"Serviço",AND(AUTOEVENTO="Manual",$M77=$A$15),$M77&gt;(ROW(PLE.lastrow)-ROW(PLE.firstrow))),0,
           IF(OFFSET(PLE!$G$15,$M77-$A$15,BB$13)="",10^12,OFFSET(PLE!$G$15,$M77-$A$15,BB$13)))</f>
        <v>1000000000000</v>
      </c>
      <c r="BC77" s="173">
        <f ca="1">IF(OR($D77&lt;&gt;"Serviço",AND(AUTOEVENTO="Manual",$M77=$A$15),$M77&gt;(ROW(PLE.lastrow)-ROW(PLE.firstrow))),0,
           IF(OFFSET(PLE!$G$15,$M77-$A$15,BC$13)="",10^12,OFFSET(PLE!$G$15,$M77-$A$15,BC$13)))</f>
        <v>1000000000000</v>
      </c>
      <c r="BD77" s="173">
        <f ca="1">IF(OR($D77&lt;&gt;"Serviço",AND(AUTOEVENTO="Manual",$M77=$A$15),$M77&gt;(ROW(PLE.lastrow)-ROW(PLE.firstrow))),0,
           IF(OFFSET(PLE!$G$15,$M77-$A$15,BD$13)="",10^12,OFFSET(PLE!$G$15,$M77-$A$15,BD$13)))</f>
        <v>1000000000000</v>
      </c>
      <c r="BE77" s="173">
        <f ca="1">IF(OR($D77&lt;&gt;"Serviço",AND(AUTOEVENTO="Manual",$M77=$A$15),$M77&gt;(ROW(PLE.lastrow)-ROW(PLE.firstrow))),0,
           IF(OFFSET(PLE!$G$15,$M77-$A$15,BE$13)="",10^12,OFFSET(PLE!$G$15,$M77-$A$15,BE$13)))</f>
        <v>1000000000000</v>
      </c>
      <c r="BF77" s="173">
        <f ca="1">IF(OR($D77&lt;&gt;"Serviço",AND(AUTOEVENTO="Manual",$M77=$A$15),$M77&gt;(ROW(PLE.lastrow)-ROW(PLE.firstrow))),0,
           IF(OFFSET(PLE!$G$15,$M77-$A$15,BF$13)="",10^12,OFFSET(PLE!$G$15,$M77-$A$15,BF$13)))</f>
        <v>1000000000000</v>
      </c>
      <c r="BG77" s="173">
        <f ca="1">IF(OR($D77&lt;&gt;"Serviço",AND(AUTOEVENTO="Manual",$M77=$A$15),$M77&gt;(ROW(PLE.lastrow)-ROW(PLE.firstrow))),0,
           IF(OFFSET(PLE!$G$15,$M77-$A$15,BG$13)="",10^12,OFFSET(PLE!$G$15,$M77-$A$15,BG$13)))</f>
        <v>1000000000000</v>
      </c>
    </row>
    <row r="78" spans="1:59" ht="38.25" x14ac:dyDescent="0.2">
      <c r="A78" s="7" t="str">
        <f t="shared" ca="1" si="9"/>
        <v>35</v>
      </c>
      <c r="B78" s="7" t="str">
        <f ca="1">OFFSET(ORÇAMENTO!C$15,ROW(B78)-ROW(B$15),0)</f>
        <v>S</v>
      </c>
      <c r="C78" s="7" t="str">
        <f ca="1">OFFSET(ORÇAMENTO!L$15,ROW(C78)-ROW(C$15),0)</f>
        <v>F</v>
      </c>
      <c r="D78" s="117" t="str">
        <f ca="1">OFFSET(ORÇAMENTO!N$15,ROW(D78)-ROW(D$15),0)</f>
        <v>Serviço</v>
      </c>
      <c r="E78" s="118" t="str">
        <f ca="1">OFFSET(ORÇAMENTO!O$15,ROW(E78)-ROW(E$15),0)</f>
        <v>1.6.28.</v>
      </c>
      <c r="F78" s="164" t="str">
        <f ca="1">OFFSET(ORÇAMENTO!R$15,ROW(F78)-ROW(F$15),0)</f>
        <v>EXECUÇÃO DE PISO DE CONCRETO, COM ACABAMENTO SUPERFICIAL, ESPESSURA DE 15 CM, FCK = 30 MPA, COM USO DE FORMAS EM MADEIRA SERRADA. AF_07/2026</v>
      </c>
      <c r="G78" s="165" t="str">
        <f ca="1">IF($D78&lt;&gt;"Serviço","",OFFSET(ORÇAMENTO!S$15,ROW(G78)-ROW(G$15),0))</f>
        <v>M2</v>
      </c>
      <c r="H78" s="123">
        <f ca="1">IF($D78&lt;&gt;"Serviço",0,IF(ACOMPANHAMENTO="BM",ROUND(OFFSET(ORÇAMENTO!AJ$15,ROW(H78)-ROW(H$15),0),15-13*ORÇAMENTO!$AF$7),SUMPRODUCT(($Q$1:$AA$1=1)*ROUND($Q78:$AA78,15-13*ORÇAMENTO!$AF$7))))</f>
        <v>22.25</v>
      </c>
      <c r="I78" s="469" t="s">
        <v>1048</v>
      </c>
      <c r="J78" s="663" t="str">
        <f ca="1">IF(OR(B78&lt;&gt;"S",CÁLCULO.FrentesPreenchidas=0),"",IF(AND(ACOMPANHAMENTO="PLE",AUTOEVENTO="Manual",OR(H78&gt;0,ORÇAMENTO!AC78="QUANT."),OR(K78="",M78=0,N78="")),"►",IF(AND(ACOMPANHAMENTO="PLE",ORÇAMENTO!AC78="QUANT."),"►►",IF(AND(COUNTIF($P$11:$AA$11,"▼")=0,H78&gt;0,I78=""),"◄",""))))</f>
        <v/>
      </c>
      <c r="K78" s="664"/>
      <c r="L78" s="166" t="s">
        <v>765</v>
      </c>
      <c r="M78" s="167">
        <f ca="1">IF($D78&lt;&gt;"Serviço","",
          IF(AUTOEVENTO="manual",$A78,
                IF(ISERROR(MATCH($A78,$A$15:OFFSET($A78,-1,0),0)),MAX($M$15:OFFSET(M78,-1,0))+1,
                      INDEX($M$15:OFFSET(M78,-1,0),MATCH($A78,$A$15:OFFSET($A78,-1,0),0)))))</f>
        <v>6</v>
      </c>
      <c r="N78" s="168" t="str">
        <f ca="1">IF($D78&lt;&gt;"Serviço","",
         IF(AUTOEVENTO="Manual",
                IF($A78=0,"&lt;-- defina o número do agrupador",
                       OFFSET(EVENTOS!$D$15,$A78-$A$15,0)),
                OFFSET($F$15,$A78,0)))</f>
        <v>READEQUAÇÃO DA FACHADA PRINCIPAL</v>
      </c>
      <c r="O78" s="169"/>
      <c r="Q78" s="169">
        <v>22.25</v>
      </c>
      <c r="R78" s="170"/>
      <c r="S78" s="170"/>
      <c r="T78" s="170"/>
      <c r="U78" s="170"/>
      <c r="V78" s="170"/>
      <c r="W78" s="170"/>
      <c r="X78" s="170"/>
      <c r="Y78" s="170"/>
      <c r="Z78" s="171"/>
      <c r="AB78" s="454">
        <f ca="1">IF(AND($D78="Serviço",AB$12&lt;&gt;0,$H78&gt;0,OR(AUTOEVENTO&lt;&gt;"manual",$M78&lt;&gt;$A$15)),
        IF(Import.TipoArredondamento&lt;&gt;"TransfereGOV",
              ROUND(OFFSET($P78,0,AB$13),15-13*ORÇAMENTO!$AF$7)/$H78*OFFSET(ORÇAMENTO!$X$15,ROW(AB78)-ROW(AB$15),0),
              ROUND(ROUND(OFFSET($P78,0,AB$13),15-13*ORÇAMENTO!$AF$7)*OFFSET(ORÇAMENTO!$W$15,ROW(AB78)-ROW(AB$15),0),15-13*ORÇAMENTO!$AF$11)),
         0)</f>
        <v>6350.6</v>
      </c>
      <c r="AC78" s="454">
        <f ca="1">IF(AND($D78="Serviço",AC$12&lt;&gt;0,$H78&gt;0,OR(AUTOEVENTO&lt;&gt;"manual",$M78&lt;&gt;$A$15)),
        IF(Import.TipoArredondamento&lt;&gt;"TransfereGOV",
              ROUND(OFFSET($P78,0,AC$13),15-13*ORÇAMENTO!$AF$7)/$H78*OFFSET(ORÇAMENTO!$X$15,ROW(AC78)-ROW(AC$15),0),
              ROUND(ROUND(OFFSET($P78,0,AC$13),15-13*ORÇAMENTO!$AF$7)*OFFSET(ORÇAMENTO!$W$15,ROW(AC78)-ROW(AC$15),0),15-13*ORÇAMENTO!$AF$11)),
         0)</f>
        <v>0</v>
      </c>
      <c r="AD78" s="454">
        <f ca="1">IF(AND($D78="Serviço",AD$12&lt;&gt;0,$H78&gt;0,OR(AUTOEVENTO&lt;&gt;"manual",$M78&lt;&gt;$A$15)),
        IF(Import.TipoArredondamento&lt;&gt;"TransfereGOV",
              ROUND(OFFSET($P78,0,AD$13),15-13*ORÇAMENTO!$AF$7)/$H78*OFFSET(ORÇAMENTO!$X$15,ROW(AD78)-ROW(AD$15),0),
              ROUND(ROUND(OFFSET($P78,0,AD$13),15-13*ORÇAMENTO!$AF$7)*OFFSET(ORÇAMENTO!$W$15,ROW(AD78)-ROW(AD$15),0),15-13*ORÇAMENTO!$AF$11)),
         0)</f>
        <v>0</v>
      </c>
      <c r="AE78" s="454">
        <f ca="1">IF(AND($D78="Serviço",AE$12&lt;&gt;0,$H78&gt;0,OR(AUTOEVENTO&lt;&gt;"manual",$M78&lt;&gt;$A$15)),
        IF(Import.TipoArredondamento&lt;&gt;"TransfereGOV",
              ROUND(OFFSET($P78,0,AE$13),15-13*ORÇAMENTO!$AF$7)/$H78*OFFSET(ORÇAMENTO!$X$15,ROW(AE78)-ROW(AE$15),0),
              ROUND(ROUND(OFFSET($P78,0,AE$13),15-13*ORÇAMENTO!$AF$7)*OFFSET(ORÇAMENTO!$W$15,ROW(AE78)-ROW(AE$15),0),15-13*ORÇAMENTO!$AF$11)),
         0)</f>
        <v>0</v>
      </c>
      <c r="AF78" s="454">
        <f ca="1">IF(AND($D78="Serviço",AF$12&lt;&gt;0,$H78&gt;0,OR(AUTOEVENTO&lt;&gt;"manual",$M78&lt;&gt;$A$15)),
        IF(Import.TipoArredondamento&lt;&gt;"TransfereGOV",
              ROUND(OFFSET($P78,0,AF$13),15-13*ORÇAMENTO!$AF$7)/$H78*OFFSET(ORÇAMENTO!$X$15,ROW(AF78)-ROW(AF$15),0),
              ROUND(ROUND(OFFSET($P78,0,AF$13),15-13*ORÇAMENTO!$AF$7)*OFFSET(ORÇAMENTO!$W$15,ROW(AF78)-ROW(AF$15),0),15-13*ORÇAMENTO!$AF$11)),
         0)</f>
        <v>0</v>
      </c>
      <c r="AG78" s="454">
        <f ca="1">IF(AND($D78="Serviço",AG$12&lt;&gt;0,$H78&gt;0,OR(AUTOEVENTO&lt;&gt;"manual",$M78&lt;&gt;$A$15)),
        IF(Import.TipoArredondamento&lt;&gt;"TransfereGOV",
              ROUND(OFFSET($P78,0,AG$13),15-13*ORÇAMENTO!$AF$7)/$H78*OFFSET(ORÇAMENTO!$X$15,ROW(AG78)-ROW(AG$15),0),
              ROUND(ROUND(OFFSET($P78,0,AG$13),15-13*ORÇAMENTO!$AF$7)*OFFSET(ORÇAMENTO!$W$15,ROW(AG78)-ROW(AG$15),0),15-13*ORÇAMENTO!$AF$11)),
         0)</f>
        <v>0</v>
      </c>
      <c r="AH78" s="454">
        <f ca="1">IF(AND($D78="Serviço",AH$12&lt;&gt;0,$H78&gt;0,OR(AUTOEVENTO&lt;&gt;"manual",$M78&lt;&gt;$A$15)),
        IF(Import.TipoArredondamento&lt;&gt;"TransfereGOV",
              ROUND(OFFSET($P78,0,AH$13),15-13*ORÇAMENTO!$AF$7)/$H78*OFFSET(ORÇAMENTO!$X$15,ROW(AH78)-ROW(AH$15),0),
              ROUND(ROUND(OFFSET($P78,0,AH$13),15-13*ORÇAMENTO!$AF$7)*OFFSET(ORÇAMENTO!$W$15,ROW(AH78)-ROW(AH$15),0),15-13*ORÇAMENTO!$AF$11)),
         0)</f>
        <v>0</v>
      </c>
      <c r="AI78" s="454">
        <f ca="1">IF(AND($D78="Serviço",AI$12&lt;&gt;0,$H78&gt;0,OR(AUTOEVENTO&lt;&gt;"manual",$M78&lt;&gt;$A$15)),
        IF(Import.TipoArredondamento&lt;&gt;"TransfereGOV",
              ROUND(OFFSET($P78,0,AI$13),15-13*ORÇAMENTO!$AF$7)/$H78*OFFSET(ORÇAMENTO!$X$15,ROW(AI78)-ROW(AI$15),0),
              ROUND(ROUND(OFFSET($P78,0,AI$13),15-13*ORÇAMENTO!$AF$7)*OFFSET(ORÇAMENTO!$W$15,ROW(AI78)-ROW(AI$15),0),15-13*ORÇAMENTO!$AF$11)),
         0)</f>
        <v>0</v>
      </c>
      <c r="AJ78" s="454">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54">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M78" s="172">
        <f ca="1">IF(OR($D78&lt;&gt;"Serviço",AND(AUTOEVENTO="Manual",$M78=$A$15)),0,
         IF(OFFSET(CRONOPLE!$F$15,$M78-$A$15,AM$13)=0,10^12,OFFSET(CRONOPLE!$F$15,$M78-$A$15,AM$13)))</f>
        <v>1</v>
      </c>
      <c r="AN78" s="172">
        <f ca="1">IF(OR($D78&lt;&gt;"Serviço",AND(AUTOEVENTO="Manual",$M78=$A$15)),0,
         IF(OFFSET(CRONOPLE!$F$15,$M78-$A$15,AN$13)=0,10^12,OFFSET(CRONOPLE!$F$15,$M78-$A$15,AN$13)))</f>
        <v>1000000000000</v>
      </c>
      <c r="AO78" s="172">
        <f ca="1">IF(OR($D78&lt;&gt;"Serviço",AND(AUTOEVENTO="Manual",$M78=$A$15)),0,
         IF(OFFSET(CRONOPLE!$F$15,$M78-$A$15,AO$13)=0,10^12,OFFSET(CRONOPLE!$F$15,$M78-$A$15,AO$13)))</f>
        <v>1000000000000</v>
      </c>
      <c r="AP78" s="172">
        <f ca="1">IF(OR($D78&lt;&gt;"Serviço",AND(AUTOEVENTO="Manual",$M78=$A$15)),0,
         IF(OFFSET(CRONOPLE!$F$15,$M78-$A$15,AP$13)=0,10^12,OFFSET(CRONOPLE!$F$15,$M78-$A$15,AP$13)))</f>
        <v>1000000000000</v>
      </c>
      <c r="AQ78" s="172">
        <f ca="1">IF(OR($D78&lt;&gt;"Serviço",AND(AUTOEVENTO="Manual",$M78=$A$15)),0,
         IF(OFFSET(CRONOPLE!$F$15,$M78-$A$15,AQ$13)=0,10^12,OFFSET(CRONOPLE!$F$15,$M78-$A$15,AQ$13)))</f>
        <v>1000000000000</v>
      </c>
      <c r="AR78" s="172">
        <f ca="1">IF(OR($D78&lt;&gt;"Serviço",AND(AUTOEVENTO="Manual",$M78=$A$15)),0,
         IF(OFFSET(CRONOPLE!$F$15,$M78-$A$15,AR$13)=0,10^12,OFFSET(CRONOPLE!$F$15,$M78-$A$15,AR$13)))</f>
        <v>1000000000000</v>
      </c>
      <c r="AS78" s="172">
        <f ca="1">IF(OR($D78&lt;&gt;"Serviço",AND(AUTOEVENTO="Manual",$M78=$A$15)),0,
         IF(OFFSET(CRONOPLE!$F$15,$M78-$A$15,AS$13)=0,10^12,OFFSET(CRONOPLE!$F$15,$M78-$A$15,AS$13)))</f>
        <v>1000000000000</v>
      </c>
      <c r="AT78" s="172">
        <f ca="1">IF(OR($D78&lt;&gt;"Serviço",AND(AUTOEVENTO="Manual",$M78=$A$15)),0,
         IF(OFFSET(CRONOPLE!$F$15,$M78-$A$15,AT$13)=0,10^12,OFFSET(CRONOPLE!$F$15,$M78-$A$15,AT$13)))</f>
        <v>1000000000000</v>
      </c>
      <c r="AU78" s="172">
        <f ca="1">IF(OR($D78&lt;&gt;"Serviço",AND(AUTOEVENTO="Manual",$M78=$A$15)),0,
         IF(OFFSET(CRONOPLE!$F$15,$M78-$A$15,AU$13)=0,10^12,OFFSET(CRONOPLE!$F$15,$M78-$A$15,AU$13)))</f>
        <v>1000000000000</v>
      </c>
      <c r="AV78" s="172">
        <f ca="1">IF(OR($D78&lt;&gt;"Serviço",AND(AUTOEVENTO="Manual",$M78=$A$15)),0,
         IF(OFFSET(CRONOPLE!$F$15,$M78-$A$15,AV$13)=0,10^12,OFFSET(CRONOPLE!$F$15,$M78-$A$15,AV$13)))</f>
        <v>1000000000000</v>
      </c>
      <c r="AX78" s="173">
        <f ca="1">IF(OR($D78&lt;&gt;"Serviço",AND(AUTOEVENTO="Manual",$M78=$A$15),$M78&gt;(ROW(PLE.lastrow)-ROW(PLE.firstrow))),0,
           IF(OFFSET(PLE!$G$15,$M78-$A$15,AX$13)="",10^12,OFFSET(PLE!$G$15,$M78-$A$15,AX$13)))</f>
        <v>1000000000000</v>
      </c>
      <c r="AY78" s="173">
        <f ca="1">IF(OR($D78&lt;&gt;"Serviço",AND(AUTOEVENTO="Manual",$M78=$A$15),$M78&gt;(ROW(PLE.lastrow)-ROW(PLE.firstrow))),0,
           IF(OFFSET(PLE!$G$15,$M78-$A$15,AY$13)="",10^12,OFFSET(PLE!$G$15,$M78-$A$15,AY$13)))</f>
        <v>1000000000000</v>
      </c>
      <c r="AZ78" s="173">
        <f ca="1">IF(OR($D78&lt;&gt;"Serviço",AND(AUTOEVENTO="Manual",$M78=$A$15),$M78&gt;(ROW(PLE.lastrow)-ROW(PLE.firstrow))),0,
           IF(OFFSET(PLE!$G$15,$M78-$A$15,AZ$13)="",10^12,OFFSET(PLE!$G$15,$M78-$A$15,AZ$13)))</f>
        <v>1000000000000</v>
      </c>
      <c r="BA78" s="173">
        <f ca="1">IF(OR($D78&lt;&gt;"Serviço",AND(AUTOEVENTO="Manual",$M78=$A$15),$M78&gt;(ROW(PLE.lastrow)-ROW(PLE.firstrow))),0,
           IF(OFFSET(PLE!$G$15,$M78-$A$15,BA$13)="",10^12,OFFSET(PLE!$G$15,$M78-$A$15,BA$13)))</f>
        <v>1000000000000</v>
      </c>
      <c r="BB78" s="173">
        <f ca="1">IF(OR($D78&lt;&gt;"Serviço",AND(AUTOEVENTO="Manual",$M78=$A$15),$M78&gt;(ROW(PLE.lastrow)-ROW(PLE.firstrow))),0,
           IF(OFFSET(PLE!$G$15,$M78-$A$15,BB$13)="",10^12,OFFSET(PLE!$G$15,$M78-$A$15,BB$13)))</f>
        <v>1000000000000</v>
      </c>
      <c r="BC78" s="173">
        <f ca="1">IF(OR($D78&lt;&gt;"Serviço",AND(AUTOEVENTO="Manual",$M78=$A$15),$M78&gt;(ROW(PLE.lastrow)-ROW(PLE.firstrow))),0,
           IF(OFFSET(PLE!$G$15,$M78-$A$15,BC$13)="",10^12,OFFSET(PLE!$G$15,$M78-$A$15,BC$13)))</f>
        <v>1000000000000</v>
      </c>
      <c r="BD78" s="173">
        <f ca="1">IF(OR($D78&lt;&gt;"Serviço",AND(AUTOEVENTO="Manual",$M78=$A$15),$M78&gt;(ROW(PLE.lastrow)-ROW(PLE.firstrow))),0,
           IF(OFFSET(PLE!$G$15,$M78-$A$15,BD$13)="",10^12,OFFSET(PLE!$G$15,$M78-$A$15,BD$13)))</f>
        <v>1000000000000</v>
      </c>
      <c r="BE78" s="173">
        <f ca="1">IF(OR($D78&lt;&gt;"Serviço",AND(AUTOEVENTO="Manual",$M78=$A$15),$M78&gt;(ROW(PLE.lastrow)-ROW(PLE.firstrow))),0,
           IF(OFFSET(PLE!$G$15,$M78-$A$15,BE$13)="",10^12,OFFSET(PLE!$G$15,$M78-$A$15,BE$13)))</f>
        <v>1000000000000</v>
      </c>
      <c r="BF78" s="173">
        <f ca="1">IF(OR($D78&lt;&gt;"Serviço",AND(AUTOEVENTO="Manual",$M78=$A$15),$M78&gt;(ROW(PLE.lastrow)-ROW(PLE.firstrow))),0,
           IF(OFFSET(PLE!$G$15,$M78-$A$15,BF$13)="",10^12,OFFSET(PLE!$G$15,$M78-$A$15,BF$13)))</f>
        <v>1000000000000</v>
      </c>
      <c r="BG78" s="173">
        <f ca="1">IF(OR($D78&lt;&gt;"Serviço",AND(AUTOEVENTO="Manual",$M78=$A$15),$M78&gt;(ROW(PLE.lastrow)-ROW(PLE.firstrow))),0,
           IF(OFFSET(PLE!$G$15,$M78-$A$15,BG$13)="",10^12,OFFSET(PLE!$G$15,$M78-$A$15,BG$13)))</f>
        <v>1000000000000</v>
      </c>
    </row>
    <row r="79" spans="1:59" ht="38.25" x14ac:dyDescent="0.2">
      <c r="A79" s="7" t="str">
        <f t="shared" ca="1" si="9"/>
        <v>35</v>
      </c>
      <c r="B79" s="7" t="str">
        <f ca="1">OFFSET(ORÇAMENTO!C$15,ROW(B79)-ROW(B$15),0)</f>
        <v>S</v>
      </c>
      <c r="C79" s="7" t="str">
        <f ca="1">OFFSET(ORÇAMENTO!L$15,ROW(C79)-ROW(C$15),0)</f>
        <v>F</v>
      </c>
      <c r="D79" s="117" t="str">
        <f ca="1">OFFSET(ORÇAMENTO!N$15,ROW(D79)-ROW(D$15),0)</f>
        <v>Serviço</v>
      </c>
      <c r="E79" s="118" t="str">
        <f ca="1">OFFSET(ORÇAMENTO!O$15,ROW(E79)-ROW(E$15),0)</f>
        <v>1.6.29.</v>
      </c>
      <c r="F79" s="164" t="str">
        <f ca="1">OFFSET(ORÇAMENTO!R$15,ROW(F79)-ROW(F$15),0)</f>
        <v>TELA DE ACO SOLDADA NERVURADA, CA-60, Q-92, (1,48 KG/M2), DIAMETRO DO FIO = 4,2 MM, LARGURA = 2,45 X 60 M DE COMPRIMENTO, ESPACAMENTO DA MALHA = 15 X 15 CM</v>
      </c>
      <c r="G79" s="165" t="str">
        <f ca="1">IF($D79&lt;&gt;"Serviço","",OFFSET(ORÇAMENTO!S$15,ROW(G79)-ROW(G$15),0))</f>
        <v>M2</v>
      </c>
      <c r="H79" s="123">
        <f ca="1">IF($D79&lt;&gt;"Serviço",0,IF(ACOMPANHAMENTO="BM",ROUND(OFFSET(ORÇAMENTO!AJ$15,ROW(H79)-ROW(H$15),0),15-13*ORÇAMENTO!$AF$7),SUMPRODUCT(($Q$1:$AA$1=1)*ROUND($Q79:$AA79,15-13*ORÇAMENTO!$AF$7))))</f>
        <v>22.25</v>
      </c>
      <c r="I79" s="469" t="s">
        <v>1048</v>
      </c>
      <c r="J79" s="663" t="str">
        <f ca="1">IF(OR(B79&lt;&gt;"S",CÁLCULO.FrentesPreenchidas=0),"",IF(AND(ACOMPANHAMENTO="PLE",AUTOEVENTO="Manual",OR(H79&gt;0,ORÇAMENTO!AC79="QUANT."),OR(K79="",M79=0,N79="")),"►",IF(AND(ACOMPANHAMENTO="PLE",ORÇAMENTO!AC79="QUANT."),"►►",IF(AND(COUNTIF($P$11:$AA$11,"▼")=0,H79&gt;0,I79=""),"◄",""))))</f>
        <v/>
      </c>
      <c r="K79" s="664"/>
      <c r="L79" s="166" t="s">
        <v>765</v>
      </c>
      <c r="M79" s="167">
        <f ca="1">IF($D79&lt;&gt;"Serviço","",
          IF(AUTOEVENTO="manual",$A79,
                IF(ISERROR(MATCH($A79,$A$15:OFFSET($A79,-1,0),0)),MAX($M$15:OFFSET(M79,-1,0))+1,
                      INDEX($M$15:OFFSET(M79,-1,0),MATCH($A79,$A$15:OFFSET($A79,-1,0),0)))))</f>
        <v>6</v>
      </c>
      <c r="N79" s="168" t="str">
        <f ca="1">IF($D79&lt;&gt;"Serviço","",
         IF(AUTOEVENTO="Manual",
                IF($A79=0,"&lt;-- defina o número do agrupador",
                       OFFSET(EVENTOS!$D$15,$A79-$A$15,0)),
                OFFSET($F$15,$A79,0)))</f>
        <v>READEQUAÇÃO DA FACHADA PRINCIPAL</v>
      </c>
      <c r="O79" s="169"/>
      <c r="Q79" s="169">
        <v>22.25</v>
      </c>
      <c r="R79" s="170"/>
      <c r="S79" s="170"/>
      <c r="T79" s="170"/>
      <c r="U79" s="170"/>
      <c r="V79" s="170"/>
      <c r="W79" s="170"/>
      <c r="X79" s="170"/>
      <c r="Y79" s="170"/>
      <c r="Z79" s="171"/>
      <c r="AB79" s="454">
        <f ca="1">IF(AND($D79="Serviço",AB$12&lt;&gt;0,$H79&gt;0,OR(AUTOEVENTO&lt;&gt;"manual",$M79&lt;&gt;$A$15)),
        IF(Import.TipoArredondamento&lt;&gt;"TransfereGOV",
              ROUND(OFFSET($P79,0,AB$13),15-13*ORÇAMENTO!$AF$7)/$H79*OFFSET(ORÇAMENTO!$X$15,ROW(AB79)-ROW(AB$15),0),
              ROUND(ROUND(OFFSET($P79,0,AB$13),15-13*ORÇAMENTO!$AF$7)*OFFSET(ORÇAMENTO!$W$15,ROW(AB79)-ROW(AB$15),0),15-13*ORÇAMENTO!$AF$11)),
         0)</f>
        <v>332.64</v>
      </c>
      <c r="AC79" s="454">
        <f ca="1">IF(AND($D79="Serviço",AC$12&lt;&gt;0,$H79&gt;0,OR(AUTOEVENTO&lt;&gt;"manual",$M79&lt;&gt;$A$15)),
        IF(Import.TipoArredondamento&lt;&gt;"TransfereGOV",
              ROUND(OFFSET($P79,0,AC$13),15-13*ORÇAMENTO!$AF$7)/$H79*OFFSET(ORÇAMENTO!$X$15,ROW(AC79)-ROW(AC$15),0),
              ROUND(ROUND(OFFSET($P79,0,AC$13),15-13*ORÇAMENTO!$AF$7)*OFFSET(ORÇAMENTO!$W$15,ROW(AC79)-ROW(AC$15),0),15-13*ORÇAMENTO!$AF$11)),
         0)</f>
        <v>0</v>
      </c>
      <c r="AD79" s="454">
        <f ca="1">IF(AND($D79="Serviço",AD$12&lt;&gt;0,$H79&gt;0,OR(AUTOEVENTO&lt;&gt;"manual",$M79&lt;&gt;$A$15)),
        IF(Import.TipoArredondamento&lt;&gt;"TransfereGOV",
              ROUND(OFFSET($P79,0,AD$13),15-13*ORÇAMENTO!$AF$7)/$H79*OFFSET(ORÇAMENTO!$X$15,ROW(AD79)-ROW(AD$15),0),
              ROUND(ROUND(OFFSET($P79,0,AD$13),15-13*ORÇAMENTO!$AF$7)*OFFSET(ORÇAMENTO!$W$15,ROW(AD79)-ROW(AD$15),0),15-13*ORÇAMENTO!$AF$11)),
         0)</f>
        <v>0</v>
      </c>
      <c r="AE79" s="454">
        <f ca="1">IF(AND($D79="Serviço",AE$12&lt;&gt;0,$H79&gt;0,OR(AUTOEVENTO&lt;&gt;"manual",$M79&lt;&gt;$A$15)),
        IF(Import.TipoArredondamento&lt;&gt;"TransfereGOV",
              ROUND(OFFSET($P79,0,AE$13),15-13*ORÇAMENTO!$AF$7)/$H79*OFFSET(ORÇAMENTO!$X$15,ROW(AE79)-ROW(AE$15),0),
              ROUND(ROUND(OFFSET($P79,0,AE$13),15-13*ORÇAMENTO!$AF$7)*OFFSET(ORÇAMENTO!$W$15,ROW(AE79)-ROW(AE$15),0),15-13*ORÇAMENTO!$AF$11)),
         0)</f>
        <v>0</v>
      </c>
      <c r="AF79" s="454">
        <f ca="1">IF(AND($D79="Serviço",AF$12&lt;&gt;0,$H79&gt;0,OR(AUTOEVENTO&lt;&gt;"manual",$M79&lt;&gt;$A$15)),
        IF(Import.TipoArredondamento&lt;&gt;"TransfereGOV",
              ROUND(OFFSET($P79,0,AF$13),15-13*ORÇAMENTO!$AF$7)/$H79*OFFSET(ORÇAMENTO!$X$15,ROW(AF79)-ROW(AF$15),0),
              ROUND(ROUND(OFFSET($P79,0,AF$13),15-13*ORÇAMENTO!$AF$7)*OFFSET(ORÇAMENTO!$W$15,ROW(AF79)-ROW(AF$15),0),15-13*ORÇAMENTO!$AF$11)),
         0)</f>
        <v>0</v>
      </c>
      <c r="AG79" s="454">
        <f ca="1">IF(AND($D79="Serviço",AG$12&lt;&gt;0,$H79&gt;0,OR(AUTOEVENTO&lt;&gt;"manual",$M79&lt;&gt;$A$15)),
        IF(Import.TipoArredondamento&lt;&gt;"TransfereGOV",
              ROUND(OFFSET($P79,0,AG$13),15-13*ORÇAMENTO!$AF$7)/$H79*OFFSET(ORÇAMENTO!$X$15,ROW(AG79)-ROW(AG$15),0),
              ROUND(ROUND(OFFSET($P79,0,AG$13),15-13*ORÇAMENTO!$AF$7)*OFFSET(ORÇAMENTO!$W$15,ROW(AG79)-ROW(AG$15),0),15-13*ORÇAMENTO!$AF$11)),
         0)</f>
        <v>0</v>
      </c>
      <c r="AH79" s="454">
        <f ca="1">IF(AND($D79="Serviço",AH$12&lt;&gt;0,$H79&gt;0,OR(AUTOEVENTO&lt;&gt;"manual",$M79&lt;&gt;$A$15)),
        IF(Import.TipoArredondamento&lt;&gt;"TransfereGOV",
              ROUND(OFFSET($P79,0,AH$13),15-13*ORÇAMENTO!$AF$7)/$H79*OFFSET(ORÇAMENTO!$X$15,ROW(AH79)-ROW(AH$15),0),
              ROUND(ROUND(OFFSET($P79,0,AH$13),15-13*ORÇAMENTO!$AF$7)*OFFSET(ORÇAMENTO!$W$15,ROW(AH79)-ROW(AH$15),0),15-13*ORÇAMENTO!$AF$11)),
         0)</f>
        <v>0</v>
      </c>
      <c r="AI79" s="454">
        <f ca="1">IF(AND($D79="Serviço",AI$12&lt;&gt;0,$H79&gt;0,OR(AUTOEVENTO&lt;&gt;"manual",$M79&lt;&gt;$A$15)),
        IF(Import.TipoArredondamento&lt;&gt;"TransfereGOV",
              ROUND(OFFSET($P79,0,AI$13),15-13*ORÇAMENTO!$AF$7)/$H79*OFFSET(ORÇAMENTO!$X$15,ROW(AI79)-ROW(AI$15),0),
              ROUND(ROUND(OFFSET($P79,0,AI$13),15-13*ORÇAMENTO!$AF$7)*OFFSET(ORÇAMENTO!$W$15,ROW(AI79)-ROW(AI$15),0),15-13*ORÇAMENTO!$AF$11)),
         0)</f>
        <v>0</v>
      </c>
      <c r="AJ79" s="454">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54">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M79" s="172">
        <f ca="1">IF(OR($D79&lt;&gt;"Serviço",AND(AUTOEVENTO="Manual",$M79=$A$15)),0,
         IF(OFFSET(CRONOPLE!$F$15,$M79-$A$15,AM$13)=0,10^12,OFFSET(CRONOPLE!$F$15,$M79-$A$15,AM$13)))</f>
        <v>1</v>
      </c>
      <c r="AN79" s="172">
        <f ca="1">IF(OR($D79&lt;&gt;"Serviço",AND(AUTOEVENTO="Manual",$M79=$A$15)),0,
         IF(OFFSET(CRONOPLE!$F$15,$M79-$A$15,AN$13)=0,10^12,OFFSET(CRONOPLE!$F$15,$M79-$A$15,AN$13)))</f>
        <v>1000000000000</v>
      </c>
      <c r="AO79" s="172">
        <f ca="1">IF(OR($D79&lt;&gt;"Serviço",AND(AUTOEVENTO="Manual",$M79=$A$15)),0,
         IF(OFFSET(CRONOPLE!$F$15,$M79-$A$15,AO$13)=0,10^12,OFFSET(CRONOPLE!$F$15,$M79-$A$15,AO$13)))</f>
        <v>1000000000000</v>
      </c>
      <c r="AP79" s="172">
        <f ca="1">IF(OR($D79&lt;&gt;"Serviço",AND(AUTOEVENTO="Manual",$M79=$A$15)),0,
         IF(OFFSET(CRONOPLE!$F$15,$M79-$A$15,AP$13)=0,10^12,OFFSET(CRONOPLE!$F$15,$M79-$A$15,AP$13)))</f>
        <v>1000000000000</v>
      </c>
      <c r="AQ79" s="172">
        <f ca="1">IF(OR($D79&lt;&gt;"Serviço",AND(AUTOEVENTO="Manual",$M79=$A$15)),0,
         IF(OFFSET(CRONOPLE!$F$15,$M79-$A$15,AQ$13)=0,10^12,OFFSET(CRONOPLE!$F$15,$M79-$A$15,AQ$13)))</f>
        <v>1000000000000</v>
      </c>
      <c r="AR79" s="172">
        <f ca="1">IF(OR($D79&lt;&gt;"Serviço",AND(AUTOEVENTO="Manual",$M79=$A$15)),0,
         IF(OFFSET(CRONOPLE!$F$15,$M79-$A$15,AR$13)=0,10^12,OFFSET(CRONOPLE!$F$15,$M79-$A$15,AR$13)))</f>
        <v>1000000000000</v>
      </c>
      <c r="AS79" s="172">
        <f ca="1">IF(OR($D79&lt;&gt;"Serviço",AND(AUTOEVENTO="Manual",$M79=$A$15)),0,
         IF(OFFSET(CRONOPLE!$F$15,$M79-$A$15,AS$13)=0,10^12,OFFSET(CRONOPLE!$F$15,$M79-$A$15,AS$13)))</f>
        <v>1000000000000</v>
      </c>
      <c r="AT79" s="172">
        <f ca="1">IF(OR($D79&lt;&gt;"Serviço",AND(AUTOEVENTO="Manual",$M79=$A$15)),0,
         IF(OFFSET(CRONOPLE!$F$15,$M79-$A$15,AT$13)=0,10^12,OFFSET(CRONOPLE!$F$15,$M79-$A$15,AT$13)))</f>
        <v>1000000000000</v>
      </c>
      <c r="AU79" s="172">
        <f ca="1">IF(OR($D79&lt;&gt;"Serviço",AND(AUTOEVENTO="Manual",$M79=$A$15)),0,
         IF(OFFSET(CRONOPLE!$F$15,$M79-$A$15,AU$13)=0,10^12,OFFSET(CRONOPLE!$F$15,$M79-$A$15,AU$13)))</f>
        <v>1000000000000</v>
      </c>
      <c r="AV79" s="172">
        <f ca="1">IF(OR($D79&lt;&gt;"Serviço",AND(AUTOEVENTO="Manual",$M79=$A$15)),0,
         IF(OFFSET(CRONOPLE!$F$15,$M79-$A$15,AV$13)=0,10^12,OFFSET(CRONOPLE!$F$15,$M79-$A$15,AV$13)))</f>
        <v>1000000000000</v>
      </c>
      <c r="AX79" s="173">
        <f ca="1">IF(OR($D79&lt;&gt;"Serviço",AND(AUTOEVENTO="Manual",$M79=$A$15),$M79&gt;(ROW(PLE.lastrow)-ROW(PLE.firstrow))),0,
           IF(OFFSET(PLE!$G$15,$M79-$A$15,AX$13)="",10^12,OFFSET(PLE!$G$15,$M79-$A$15,AX$13)))</f>
        <v>1000000000000</v>
      </c>
      <c r="AY79" s="173">
        <f ca="1">IF(OR($D79&lt;&gt;"Serviço",AND(AUTOEVENTO="Manual",$M79=$A$15),$M79&gt;(ROW(PLE.lastrow)-ROW(PLE.firstrow))),0,
           IF(OFFSET(PLE!$G$15,$M79-$A$15,AY$13)="",10^12,OFFSET(PLE!$G$15,$M79-$A$15,AY$13)))</f>
        <v>1000000000000</v>
      </c>
      <c r="AZ79" s="173">
        <f ca="1">IF(OR($D79&lt;&gt;"Serviço",AND(AUTOEVENTO="Manual",$M79=$A$15),$M79&gt;(ROW(PLE.lastrow)-ROW(PLE.firstrow))),0,
           IF(OFFSET(PLE!$G$15,$M79-$A$15,AZ$13)="",10^12,OFFSET(PLE!$G$15,$M79-$A$15,AZ$13)))</f>
        <v>1000000000000</v>
      </c>
      <c r="BA79" s="173">
        <f ca="1">IF(OR($D79&lt;&gt;"Serviço",AND(AUTOEVENTO="Manual",$M79=$A$15),$M79&gt;(ROW(PLE.lastrow)-ROW(PLE.firstrow))),0,
           IF(OFFSET(PLE!$G$15,$M79-$A$15,BA$13)="",10^12,OFFSET(PLE!$G$15,$M79-$A$15,BA$13)))</f>
        <v>1000000000000</v>
      </c>
      <c r="BB79" s="173">
        <f ca="1">IF(OR($D79&lt;&gt;"Serviço",AND(AUTOEVENTO="Manual",$M79=$A$15),$M79&gt;(ROW(PLE.lastrow)-ROW(PLE.firstrow))),0,
           IF(OFFSET(PLE!$G$15,$M79-$A$15,BB$13)="",10^12,OFFSET(PLE!$G$15,$M79-$A$15,BB$13)))</f>
        <v>1000000000000</v>
      </c>
      <c r="BC79" s="173">
        <f ca="1">IF(OR($D79&lt;&gt;"Serviço",AND(AUTOEVENTO="Manual",$M79=$A$15),$M79&gt;(ROW(PLE.lastrow)-ROW(PLE.firstrow))),0,
           IF(OFFSET(PLE!$G$15,$M79-$A$15,BC$13)="",10^12,OFFSET(PLE!$G$15,$M79-$A$15,BC$13)))</f>
        <v>1000000000000</v>
      </c>
      <c r="BD79" s="173">
        <f ca="1">IF(OR($D79&lt;&gt;"Serviço",AND(AUTOEVENTO="Manual",$M79=$A$15),$M79&gt;(ROW(PLE.lastrow)-ROW(PLE.firstrow))),0,
           IF(OFFSET(PLE!$G$15,$M79-$A$15,BD$13)="",10^12,OFFSET(PLE!$G$15,$M79-$A$15,BD$13)))</f>
        <v>1000000000000</v>
      </c>
      <c r="BE79" s="173">
        <f ca="1">IF(OR($D79&lt;&gt;"Serviço",AND(AUTOEVENTO="Manual",$M79=$A$15),$M79&gt;(ROW(PLE.lastrow)-ROW(PLE.firstrow))),0,
           IF(OFFSET(PLE!$G$15,$M79-$A$15,BE$13)="",10^12,OFFSET(PLE!$G$15,$M79-$A$15,BE$13)))</f>
        <v>1000000000000</v>
      </c>
      <c r="BF79" s="173">
        <f ca="1">IF(OR($D79&lt;&gt;"Serviço",AND(AUTOEVENTO="Manual",$M79=$A$15),$M79&gt;(ROW(PLE.lastrow)-ROW(PLE.firstrow))),0,
           IF(OFFSET(PLE!$G$15,$M79-$A$15,BF$13)="",10^12,OFFSET(PLE!$G$15,$M79-$A$15,BF$13)))</f>
        <v>1000000000000</v>
      </c>
      <c r="BG79" s="173">
        <f ca="1">IF(OR($D79&lt;&gt;"Serviço",AND(AUTOEVENTO="Manual",$M79=$A$15),$M79&gt;(ROW(PLE.lastrow)-ROW(PLE.firstrow))),0,
           IF(OFFSET(PLE!$G$15,$M79-$A$15,BG$13)="",10^12,OFFSET(PLE!$G$15,$M79-$A$15,BG$13)))</f>
        <v>1000000000000</v>
      </c>
    </row>
    <row r="80" spans="1:59" ht="25.5" x14ac:dyDescent="0.2">
      <c r="A80" s="7" t="str">
        <f t="shared" ref="A80:A104" ca="1" si="10">IFERROR(IF(AUTOEVENTO="Manual",IF(K80&lt;&gt;"",MIN(VALUE(LEFT(K80,FIND(".",K80)-1)),COUNTA(EVENTOS.Lista)),0),IF(OR($B80&gt;AUTOEVENTO,$B80="S",$B80=0),SUBSTITUTE(OFFSET($A80,-1,0),IF($D80="Serviço",".",""),""),ROW(A80)-ROW($A$15)&amp;".")),0)</f>
        <v>35</v>
      </c>
      <c r="B80" s="7" t="str">
        <f ca="1">OFFSET(ORÇAMENTO!C$15,ROW(B80)-ROW(B$15),0)</f>
        <v>S</v>
      </c>
      <c r="C80" s="7" t="str">
        <f ca="1">OFFSET(ORÇAMENTO!L$15,ROW(C80)-ROW(C$15),0)</f>
        <v>F</v>
      </c>
      <c r="D80" s="117" t="str">
        <f ca="1">OFFSET(ORÇAMENTO!N$15,ROW(D80)-ROW(D$15),0)</f>
        <v>Serviço</v>
      </c>
      <c r="E80" s="118" t="str">
        <f ca="1">OFFSET(ORÇAMENTO!O$15,ROW(E80)-ROW(E$15),0)</f>
        <v>1.6.30.</v>
      </c>
      <c r="F80" s="164" t="str">
        <f ca="1">OFFSET(ORÇAMENTO!R$15,ROW(F80)-ROW(F$15),0)</f>
        <v>PISO DE BORRACHA PASTILHADO EM PLACAS 50 X 50 CM, E = *3,5* MM, PARA COLA, PRETO</v>
      </c>
      <c r="G80" s="165" t="str">
        <f ca="1">IF($D80&lt;&gt;"Serviço","",OFFSET(ORÇAMENTO!S$15,ROW(G80)-ROW(G$15),0))</f>
        <v>M2</v>
      </c>
      <c r="H80" s="123">
        <f ca="1">IF($D80&lt;&gt;"Serviço",0,IF(ACOMPANHAMENTO="BM",ROUND(OFFSET(ORÇAMENTO!AJ$15,ROW(H80)-ROW(H$15),0),15-13*ORÇAMENTO!$AF$7),SUMPRODUCT(($Q$1:$AA$1=1)*ROUND($Q80:$AA80,15-13*ORÇAMENTO!$AF$7))))</f>
        <v>6.9</v>
      </c>
      <c r="I80" s="469" t="s">
        <v>1048</v>
      </c>
      <c r="J80" s="663" t="str">
        <f ca="1">IF(OR(B80&lt;&gt;"S",CÁLCULO.FrentesPreenchidas=0),"",IF(AND(ACOMPANHAMENTO="PLE",AUTOEVENTO="Manual",OR(H80&gt;0,ORÇAMENTO!AC80="QUANT."),OR(K80="",M80=0,N80="")),"►",IF(AND(ACOMPANHAMENTO="PLE",ORÇAMENTO!AC80="QUANT."),"►►",IF(AND(COUNTIF($P$11:$AA$11,"▼")=0,H80&gt;0,I80=""),"◄",""))))</f>
        <v/>
      </c>
      <c r="K80" s="664"/>
      <c r="L80" s="166" t="s">
        <v>765</v>
      </c>
      <c r="M80" s="167">
        <f ca="1">IF($D80&lt;&gt;"Serviço","",
          IF(AUTOEVENTO="manual",$A80,
                IF(ISERROR(MATCH($A80,$A$15:OFFSET($A80,-1,0),0)),MAX($M$15:OFFSET(M80,-1,0))+1,
                      INDEX($M$15:OFFSET(M80,-1,0),MATCH($A80,$A$15:OFFSET($A80,-1,0),0)))))</f>
        <v>6</v>
      </c>
      <c r="N80" s="168" t="str">
        <f ca="1">IF($D80&lt;&gt;"Serviço","",
         IF(AUTOEVENTO="Manual",
                IF($A80=0,"&lt;-- defina o número do agrupador",
                       OFFSET(EVENTOS!$D$15,$A80-$A$15,0)),
                OFFSET($F$15,$A80,0)))</f>
        <v>READEQUAÇÃO DA FACHADA PRINCIPAL</v>
      </c>
      <c r="O80" s="169"/>
      <c r="Q80" s="169">
        <v>6.9</v>
      </c>
      <c r="R80" s="170"/>
      <c r="S80" s="170"/>
      <c r="T80" s="170"/>
      <c r="U80" s="170"/>
      <c r="V80" s="170"/>
      <c r="W80" s="170"/>
      <c r="X80" s="170"/>
      <c r="Y80" s="170"/>
      <c r="Z80" s="171"/>
      <c r="AB80" s="454">
        <f ca="1">IF(AND($D80="Serviço",AB$12&lt;&gt;0,$H80&gt;0,OR(AUTOEVENTO&lt;&gt;"manual",$M80&lt;&gt;$A$15)),
        IF(Import.TipoArredondamento&lt;&gt;"TransfereGOV",
              ROUND(OFFSET($P80,0,AB$13),15-13*ORÇAMENTO!$AF$7)/$H80*OFFSET(ORÇAMENTO!$X$15,ROW(AB80)-ROW(AB$15),0),
              ROUND(ROUND(OFFSET($P80,0,AB$13),15-13*ORÇAMENTO!$AF$7)*OFFSET(ORÇAMENTO!$W$15,ROW(AB80)-ROW(AB$15),0),15-13*ORÇAMENTO!$AF$11)),
         0)</f>
        <v>382.81</v>
      </c>
      <c r="AC80" s="454">
        <f ca="1">IF(AND($D80="Serviço",AC$12&lt;&gt;0,$H80&gt;0,OR(AUTOEVENTO&lt;&gt;"manual",$M80&lt;&gt;$A$15)),
        IF(Import.TipoArredondamento&lt;&gt;"TransfereGOV",
              ROUND(OFFSET($P80,0,AC$13),15-13*ORÇAMENTO!$AF$7)/$H80*OFFSET(ORÇAMENTO!$X$15,ROW(AC80)-ROW(AC$15),0),
              ROUND(ROUND(OFFSET($P80,0,AC$13),15-13*ORÇAMENTO!$AF$7)*OFFSET(ORÇAMENTO!$W$15,ROW(AC80)-ROW(AC$15),0),15-13*ORÇAMENTO!$AF$11)),
         0)</f>
        <v>0</v>
      </c>
      <c r="AD80" s="454">
        <f ca="1">IF(AND($D80="Serviço",AD$12&lt;&gt;0,$H80&gt;0,OR(AUTOEVENTO&lt;&gt;"manual",$M80&lt;&gt;$A$15)),
        IF(Import.TipoArredondamento&lt;&gt;"TransfereGOV",
              ROUND(OFFSET($P80,0,AD$13),15-13*ORÇAMENTO!$AF$7)/$H80*OFFSET(ORÇAMENTO!$X$15,ROW(AD80)-ROW(AD$15),0),
              ROUND(ROUND(OFFSET($P80,0,AD$13),15-13*ORÇAMENTO!$AF$7)*OFFSET(ORÇAMENTO!$W$15,ROW(AD80)-ROW(AD$15),0),15-13*ORÇAMENTO!$AF$11)),
         0)</f>
        <v>0</v>
      </c>
      <c r="AE80" s="454">
        <f ca="1">IF(AND($D80="Serviço",AE$12&lt;&gt;0,$H80&gt;0,OR(AUTOEVENTO&lt;&gt;"manual",$M80&lt;&gt;$A$15)),
        IF(Import.TipoArredondamento&lt;&gt;"TransfereGOV",
              ROUND(OFFSET($P80,0,AE$13),15-13*ORÇAMENTO!$AF$7)/$H80*OFFSET(ORÇAMENTO!$X$15,ROW(AE80)-ROW(AE$15),0),
              ROUND(ROUND(OFFSET($P80,0,AE$13),15-13*ORÇAMENTO!$AF$7)*OFFSET(ORÇAMENTO!$W$15,ROW(AE80)-ROW(AE$15),0),15-13*ORÇAMENTO!$AF$11)),
         0)</f>
        <v>0</v>
      </c>
      <c r="AF80" s="454">
        <f ca="1">IF(AND($D80="Serviço",AF$12&lt;&gt;0,$H80&gt;0,OR(AUTOEVENTO&lt;&gt;"manual",$M80&lt;&gt;$A$15)),
        IF(Import.TipoArredondamento&lt;&gt;"TransfereGOV",
              ROUND(OFFSET($P80,0,AF$13),15-13*ORÇAMENTO!$AF$7)/$H80*OFFSET(ORÇAMENTO!$X$15,ROW(AF80)-ROW(AF$15),0),
              ROUND(ROUND(OFFSET($P80,0,AF$13),15-13*ORÇAMENTO!$AF$7)*OFFSET(ORÇAMENTO!$W$15,ROW(AF80)-ROW(AF$15),0),15-13*ORÇAMENTO!$AF$11)),
         0)</f>
        <v>0</v>
      </c>
      <c r="AG80" s="454">
        <f ca="1">IF(AND($D80="Serviço",AG$12&lt;&gt;0,$H80&gt;0,OR(AUTOEVENTO&lt;&gt;"manual",$M80&lt;&gt;$A$15)),
        IF(Import.TipoArredondamento&lt;&gt;"TransfereGOV",
              ROUND(OFFSET($P80,0,AG$13),15-13*ORÇAMENTO!$AF$7)/$H80*OFFSET(ORÇAMENTO!$X$15,ROW(AG80)-ROW(AG$15),0),
              ROUND(ROUND(OFFSET($P80,0,AG$13),15-13*ORÇAMENTO!$AF$7)*OFFSET(ORÇAMENTO!$W$15,ROW(AG80)-ROW(AG$15),0),15-13*ORÇAMENTO!$AF$11)),
         0)</f>
        <v>0</v>
      </c>
      <c r="AH80" s="454">
        <f ca="1">IF(AND($D80="Serviço",AH$12&lt;&gt;0,$H80&gt;0,OR(AUTOEVENTO&lt;&gt;"manual",$M80&lt;&gt;$A$15)),
        IF(Import.TipoArredondamento&lt;&gt;"TransfereGOV",
              ROUND(OFFSET($P80,0,AH$13),15-13*ORÇAMENTO!$AF$7)/$H80*OFFSET(ORÇAMENTO!$X$15,ROW(AH80)-ROW(AH$15),0),
              ROUND(ROUND(OFFSET($P80,0,AH$13),15-13*ORÇAMENTO!$AF$7)*OFFSET(ORÇAMENTO!$W$15,ROW(AH80)-ROW(AH$15),0),15-13*ORÇAMENTO!$AF$11)),
         0)</f>
        <v>0</v>
      </c>
      <c r="AI80" s="454">
        <f ca="1">IF(AND($D80="Serviço",AI$12&lt;&gt;0,$H80&gt;0,OR(AUTOEVENTO&lt;&gt;"manual",$M80&lt;&gt;$A$15)),
        IF(Import.TipoArredondamento&lt;&gt;"TransfereGOV",
              ROUND(OFFSET($P80,0,AI$13),15-13*ORÇAMENTO!$AF$7)/$H80*OFFSET(ORÇAMENTO!$X$15,ROW(AI80)-ROW(AI$15),0),
              ROUND(ROUND(OFFSET($P80,0,AI$13),15-13*ORÇAMENTO!$AF$7)*OFFSET(ORÇAMENTO!$W$15,ROW(AI80)-ROW(AI$15),0),15-13*ORÇAMENTO!$AF$11)),
         0)</f>
        <v>0</v>
      </c>
      <c r="AJ80" s="454">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54">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M80" s="172">
        <f ca="1">IF(OR($D80&lt;&gt;"Serviço",AND(AUTOEVENTO="Manual",$M80=$A$15)),0,
         IF(OFFSET(CRONOPLE!$F$15,$M80-$A$15,AM$13)=0,10^12,OFFSET(CRONOPLE!$F$15,$M80-$A$15,AM$13)))</f>
        <v>1</v>
      </c>
      <c r="AN80" s="172">
        <f ca="1">IF(OR($D80&lt;&gt;"Serviço",AND(AUTOEVENTO="Manual",$M80=$A$15)),0,
         IF(OFFSET(CRONOPLE!$F$15,$M80-$A$15,AN$13)=0,10^12,OFFSET(CRONOPLE!$F$15,$M80-$A$15,AN$13)))</f>
        <v>1000000000000</v>
      </c>
      <c r="AO80" s="172">
        <f ca="1">IF(OR($D80&lt;&gt;"Serviço",AND(AUTOEVENTO="Manual",$M80=$A$15)),0,
         IF(OFFSET(CRONOPLE!$F$15,$M80-$A$15,AO$13)=0,10^12,OFFSET(CRONOPLE!$F$15,$M80-$A$15,AO$13)))</f>
        <v>1000000000000</v>
      </c>
      <c r="AP80" s="172">
        <f ca="1">IF(OR($D80&lt;&gt;"Serviço",AND(AUTOEVENTO="Manual",$M80=$A$15)),0,
         IF(OFFSET(CRONOPLE!$F$15,$M80-$A$15,AP$13)=0,10^12,OFFSET(CRONOPLE!$F$15,$M80-$A$15,AP$13)))</f>
        <v>1000000000000</v>
      </c>
      <c r="AQ80" s="172">
        <f ca="1">IF(OR($D80&lt;&gt;"Serviço",AND(AUTOEVENTO="Manual",$M80=$A$15)),0,
         IF(OFFSET(CRONOPLE!$F$15,$M80-$A$15,AQ$13)=0,10^12,OFFSET(CRONOPLE!$F$15,$M80-$A$15,AQ$13)))</f>
        <v>1000000000000</v>
      </c>
      <c r="AR80" s="172">
        <f ca="1">IF(OR($D80&lt;&gt;"Serviço",AND(AUTOEVENTO="Manual",$M80=$A$15)),0,
         IF(OFFSET(CRONOPLE!$F$15,$M80-$A$15,AR$13)=0,10^12,OFFSET(CRONOPLE!$F$15,$M80-$A$15,AR$13)))</f>
        <v>1000000000000</v>
      </c>
      <c r="AS80" s="172">
        <f ca="1">IF(OR($D80&lt;&gt;"Serviço",AND(AUTOEVENTO="Manual",$M80=$A$15)),0,
         IF(OFFSET(CRONOPLE!$F$15,$M80-$A$15,AS$13)=0,10^12,OFFSET(CRONOPLE!$F$15,$M80-$A$15,AS$13)))</f>
        <v>1000000000000</v>
      </c>
      <c r="AT80" s="172">
        <f ca="1">IF(OR($D80&lt;&gt;"Serviço",AND(AUTOEVENTO="Manual",$M80=$A$15)),0,
         IF(OFFSET(CRONOPLE!$F$15,$M80-$A$15,AT$13)=0,10^12,OFFSET(CRONOPLE!$F$15,$M80-$A$15,AT$13)))</f>
        <v>1000000000000</v>
      </c>
      <c r="AU80" s="172">
        <f ca="1">IF(OR($D80&lt;&gt;"Serviço",AND(AUTOEVENTO="Manual",$M80=$A$15)),0,
         IF(OFFSET(CRONOPLE!$F$15,$M80-$A$15,AU$13)=0,10^12,OFFSET(CRONOPLE!$F$15,$M80-$A$15,AU$13)))</f>
        <v>1000000000000</v>
      </c>
      <c r="AV80" s="172">
        <f ca="1">IF(OR($D80&lt;&gt;"Serviço",AND(AUTOEVENTO="Manual",$M80=$A$15)),0,
         IF(OFFSET(CRONOPLE!$F$15,$M80-$A$15,AV$13)=0,10^12,OFFSET(CRONOPLE!$F$15,$M80-$A$15,AV$13)))</f>
        <v>1000000000000</v>
      </c>
      <c r="AX80" s="173">
        <f ca="1">IF(OR($D80&lt;&gt;"Serviço",AND(AUTOEVENTO="Manual",$M80=$A$15),$M80&gt;(ROW(PLE.lastrow)-ROW(PLE.firstrow))),0,
           IF(OFFSET(PLE!$G$15,$M80-$A$15,AX$13)="",10^12,OFFSET(PLE!$G$15,$M80-$A$15,AX$13)))</f>
        <v>1000000000000</v>
      </c>
      <c r="AY80" s="173">
        <f ca="1">IF(OR($D80&lt;&gt;"Serviço",AND(AUTOEVENTO="Manual",$M80=$A$15),$M80&gt;(ROW(PLE.lastrow)-ROW(PLE.firstrow))),0,
           IF(OFFSET(PLE!$G$15,$M80-$A$15,AY$13)="",10^12,OFFSET(PLE!$G$15,$M80-$A$15,AY$13)))</f>
        <v>1000000000000</v>
      </c>
      <c r="AZ80" s="173">
        <f ca="1">IF(OR($D80&lt;&gt;"Serviço",AND(AUTOEVENTO="Manual",$M80=$A$15),$M80&gt;(ROW(PLE.lastrow)-ROW(PLE.firstrow))),0,
           IF(OFFSET(PLE!$G$15,$M80-$A$15,AZ$13)="",10^12,OFFSET(PLE!$G$15,$M80-$A$15,AZ$13)))</f>
        <v>1000000000000</v>
      </c>
      <c r="BA80" s="173">
        <f ca="1">IF(OR($D80&lt;&gt;"Serviço",AND(AUTOEVENTO="Manual",$M80=$A$15),$M80&gt;(ROW(PLE.lastrow)-ROW(PLE.firstrow))),0,
           IF(OFFSET(PLE!$G$15,$M80-$A$15,BA$13)="",10^12,OFFSET(PLE!$G$15,$M80-$A$15,BA$13)))</f>
        <v>1000000000000</v>
      </c>
      <c r="BB80" s="173">
        <f ca="1">IF(OR($D80&lt;&gt;"Serviço",AND(AUTOEVENTO="Manual",$M80=$A$15),$M80&gt;(ROW(PLE.lastrow)-ROW(PLE.firstrow))),0,
           IF(OFFSET(PLE!$G$15,$M80-$A$15,BB$13)="",10^12,OFFSET(PLE!$G$15,$M80-$A$15,BB$13)))</f>
        <v>1000000000000</v>
      </c>
      <c r="BC80" s="173">
        <f ca="1">IF(OR($D80&lt;&gt;"Serviço",AND(AUTOEVENTO="Manual",$M80=$A$15),$M80&gt;(ROW(PLE.lastrow)-ROW(PLE.firstrow))),0,
           IF(OFFSET(PLE!$G$15,$M80-$A$15,BC$13)="",10^12,OFFSET(PLE!$G$15,$M80-$A$15,BC$13)))</f>
        <v>1000000000000</v>
      </c>
      <c r="BD80" s="173">
        <f ca="1">IF(OR($D80&lt;&gt;"Serviço",AND(AUTOEVENTO="Manual",$M80=$A$15),$M80&gt;(ROW(PLE.lastrow)-ROW(PLE.firstrow))),0,
           IF(OFFSET(PLE!$G$15,$M80-$A$15,BD$13)="",10^12,OFFSET(PLE!$G$15,$M80-$A$15,BD$13)))</f>
        <v>1000000000000</v>
      </c>
      <c r="BE80" s="173">
        <f ca="1">IF(OR($D80&lt;&gt;"Serviço",AND(AUTOEVENTO="Manual",$M80=$A$15),$M80&gt;(ROW(PLE.lastrow)-ROW(PLE.firstrow))),0,
           IF(OFFSET(PLE!$G$15,$M80-$A$15,BE$13)="",10^12,OFFSET(PLE!$G$15,$M80-$A$15,BE$13)))</f>
        <v>1000000000000</v>
      </c>
      <c r="BF80" s="173">
        <f ca="1">IF(OR($D80&lt;&gt;"Serviço",AND(AUTOEVENTO="Manual",$M80=$A$15),$M80&gt;(ROW(PLE.lastrow)-ROW(PLE.firstrow))),0,
           IF(OFFSET(PLE!$G$15,$M80-$A$15,BF$13)="",10^12,OFFSET(PLE!$G$15,$M80-$A$15,BF$13)))</f>
        <v>1000000000000</v>
      </c>
      <c r="BG80" s="173">
        <f ca="1">IF(OR($D80&lt;&gt;"Serviço",AND(AUTOEVENTO="Manual",$M80=$A$15),$M80&gt;(ROW(PLE.lastrow)-ROW(PLE.firstrow))),0,
           IF(OFFSET(PLE!$G$15,$M80-$A$15,BG$13)="",10^12,OFFSET(PLE!$G$15,$M80-$A$15,BG$13)))</f>
        <v>1000000000000</v>
      </c>
    </row>
    <row r="81" spans="1:59" ht="25.5" x14ac:dyDescent="0.2">
      <c r="A81" s="7" t="str">
        <f t="shared" ca="1" si="10"/>
        <v>35</v>
      </c>
      <c r="B81" s="7" t="str">
        <f ca="1">OFFSET(ORÇAMENTO!C$15,ROW(B81)-ROW(B$15),0)</f>
        <v>S</v>
      </c>
      <c r="C81" s="7" t="str">
        <f ca="1">OFFSET(ORÇAMENTO!L$15,ROW(C81)-ROW(C$15),0)</f>
        <v>F</v>
      </c>
      <c r="D81" s="117" t="str">
        <f ca="1">OFFSET(ORÇAMENTO!N$15,ROW(D81)-ROW(D$15),0)</f>
        <v>Serviço</v>
      </c>
      <c r="E81" s="118" t="str">
        <f ca="1">OFFSET(ORÇAMENTO!O$15,ROW(E81)-ROW(E$15),0)</f>
        <v>1.6.31.</v>
      </c>
      <c r="F81" s="164" t="str">
        <f ca="1">OFFSET(ORÇAMENTO!R$15,ROW(F81)-ROW(F$15),0)</f>
        <v>ADESIVO ACRILICO DE BASE AQUOSA / COLA DE CONTATO</v>
      </c>
      <c r="G81" s="165" t="str">
        <f ca="1">IF($D81&lt;&gt;"Serviço","",OFFSET(ORÇAMENTO!S$15,ROW(G81)-ROW(G$15),0))</f>
        <v>KG</v>
      </c>
      <c r="H81" s="123">
        <f ca="1">IF($D81&lt;&gt;"Serviço",0,IF(ACOMPANHAMENTO="BM",ROUND(OFFSET(ORÇAMENTO!AJ$15,ROW(H81)-ROW(H$15),0),15-13*ORÇAMENTO!$AF$7),SUMPRODUCT(($Q$1:$AA$1=1)*ROUND($Q81:$AA81,15-13*ORÇAMENTO!$AF$7))))</f>
        <v>5</v>
      </c>
      <c r="I81" s="469" t="s">
        <v>1054</v>
      </c>
      <c r="J81" s="663" t="str">
        <f ca="1">IF(OR(B81&lt;&gt;"S",CÁLCULO.FrentesPreenchidas=0),"",IF(AND(ACOMPANHAMENTO="PLE",AUTOEVENTO="Manual",OR(H81&gt;0,ORÇAMENTO!AC81="QUANT."),OR(K81="",M81=0,N81="")),"►",IF(AND(ACOMPANHAMENTO="PLE",ORÇAMENTO!AC81="QUANT."),"►►",IF(AND(COUNTIF($P$11:$AA$11,"▼")=0,H81&gt;0,I81=""),"◄",""))))</f>
        <v/>
      </c>
      <c r="K81" s="664"/>
      <c r="L81" s="166" t="s">
        <v>765</v>
      </c>
      <c r="M81" s="167">
        <f ca="1">IF($D81&lt;&gt;"Serviço","",
          IF(AUTOEVENTO="manual",$A81,
                IF(ISERROR(MATCH($A81,$A$15:OFFSET($A81,-1,0),0)),MAX($M$15:OFFSET(M81,-1,0))+1,
                      INDEX($M$15:OFFSET(M81,-1,0),MATCH($A81,$A$15:OFFSET($A81,-1,0),0)))))</f>
        <v>6</v>
      </c>
      <c r="N81" s="168" t="str">
        <f ca="1">IF($D81&lt;&gt;"Serviço","",
         IF(AUTOEVENTO="Manual",
                IF($A81=0,"&lt;-- defina o número do agrupador",
                       OFFSET(EVENTOS!$D$15,$A81-$A$15,0)),
                OFFSET($F$15,$A81,0)))</f>
        <v>READEQUAÇÃO DA FACHADA PRINCIPAL</v>
      </c>
      <c r="O81" s="169"/>
      <c r="Q81" s="169">
        <v>5</v>
      </c>
      <c r="R81" s="170"/>
      <c r="S81" s="170"/>
      <c r="T81" s="170"/>
      <c r="U81" s="170"/>
      <c r="V81" s="170"/>
      <c r="W81" s="170"/>
      <c r="X81" s="170"/>
      <c r="Y81" s="170"/>
      <c r="Z81" s="171"/>
      <c r="AB81" s="454">
        <f ca="1">IF(AND($D81="Serviço",AB$12&lt;&gt;0,$H81&gt;0,OR(AUTOEVENTO&lt;&gt;"manual",$M81&lt;&gt;$A$15)),
        IF(Import.TipoArredondamento&lt;&gt;"TransfereGOV",
              ROUND(OFFSET($P81,0,AB$13),15-13*ORÇAMENTO!$AF$7)/$H81*OFFSET(ORÇAMENTO!$X$15,ROW(AB81)-ROW(AB$15),0),
              ROUND(ROUND(OFFSET($P81,0,AB$13),15-13*ORÇAMENTO!$AF$7)*OFFSET(ORÇAMENTO!$W$15,ROW(AB81)-ROW(AB$15),0),15-13*ORÇAMENTO!$AF$11)),
         0)</f>
        <v>217.9</v>
      </c>
      <c r="AC81" s="454">
        <f ca="1">IF(AND($D81="Serviço",AC$12&lt;&gt;0,$H81&gt;0,OR(AUTOEVENTO&lt;&gt;"manual",$M81&lt;&gt;$A$15)),
        IF(Import.TipoArredondamento&lt;&gt;"TransfereGOV",
              ROUND(OFFSET($P81,0,AC$13),15-13*ORÇAMENTO!$AF$7)/$H81*OFFSET(ORÇAMENTO!$X$15,ROW(AC81)-ROW(AC$15),0),
              ROUND(ROUND(OFFSET($P81,0,AC$13),15-13*ORÇAMENTO!$AF$7)*OFFSET(ORÇAMENTO!$W$15,ROW(AC81)-ROW(AC$15),0),15-13*ORÇAMENTO!$AF$11)),
         0)</f>
        <v>0</v>
      </c>
      <c r="AD81" s="454">
        <f ca="1">IF(AND($D81="Serviço",AD$12&lt;&gt;0,$H81&gt;0,OR(AUTOEVENTO&lt;&gt;"manual",$M81&lt;&gt;$A$15)),
        IF(Import.TipoArredondamento&lt;&gt;"TransfereGOV",
              ROUND(OFFSET($P81,0,AD$13),15-13*ORÇAMENTO!$AF$7)/$H81*OFFSET(ORÇAMENTO!$X$15,ROW(AD81)-ROW(AD$15),0),
              ROUND(ROUND(OFFSET($P81,0,AD$13),15-13*ORÇAMENTO!$AF$7)*OFFSET(ORÇAMENTO!$W$15,ROW(AD81)-ROW(AD$15),0),15-13*ORÇAMENTO!$AF$11)),
         0)</f>
        <v>0</v>
      </c>
      <c r="AE81" s="454">
        <f ca="1">IF(AND($D81="Serviço",AE$12&lt;&gt;0,$H81&gt;0,OR(AUTOEVENTO&lt;&gt;"manual",$M81&lt;&gt;$A$15)),
        IF(Import.TipoArredondamento&lt;&gt;"TransfereGOV",
              ROUND(OFFSET($P81,0,AE$13),15-13*ORÇAMENTO!$AF$7)/$H81*OFFSET(ORÇAMENTO!$X$15,ROW(AE81)-ROW(AE$15),0),
              ROUND(ROUND(OFFSET($P81,0,AE$13),15-13*ORÇAMENTO!$AF$7)*OFFSET(ORÇAMENTO!$W$15,ROW(AE81)-ROW(AE$15),0),15-13*ORÇAMENTO!$AF$11)),
         0)</f>
        <v>0</v>
      </c>
      <c r="AF81" s="454">
        <f ca="1">IF(AND($D81="Serviço",AF$12&lt;&gt;0,$H81&gt;0,OR(AUTOEVENTO&lt;&gt;"manual",$M81&lt;&gt;$A$15)),
        IF(Import.TipoArredondamento&lt;&gt;"TransfereGOV",
              ROUND(OFFSET($P81,0,AF$13),15-13*ORÇAMENTO!$AF$7)/$H81*OFFSET(ORÇAMENTO!$X$15,ROW(AF81)-ROW(AF$15),0),
              ROUND(ROUND(OFFSET($P81,0,AF$13),15-13*ORÇAMENTO!$AF$7)*OFFSET(ORÇAMENTO!$W$15,ROW(AF81)-ROW(AF$15),0),15-13*ORÇAMENTO!$AF$11)),
         0)</f>
        <v>0</v>
      </c>
      <c r="AG81" s="454">
        <f ca="1">IF(AND($D81="Serviço",AG$12&lt;&gt;0,$H81&gt;0,OR(AUTOEVENTO&lt;&gt;"manual",$M81&lt;&gt;$A$15)),
        IF(Import.TipoArredondamento&lt;&gt;"TransfereGOV",
              ROUND(OFFSET($P81,0,AG$13),15-13*ORÇAMENTO!$AF$7)/$H81*OFFSET(ORÇAMENTO!$X$15,ROW(AG81)-ROW(AG$15),0),
              ROUND(ROUND(OFFSET($P81,0,AG$13),15-13*ORÇAMENTO!$AF$7)*OFFSET(ORÇAMENTO!$W$15,ROW(AG81)-ROW(AG$15),0),15-13*ORÇAMENTO!$AF$11)),
         0)</f>
        <v>0</v>
      </c>
      <c r="AH81" s="454">
        <f ca="1">IF(AND($D81="Serviço",AH$12&lt;&gt;0,$H81&gt;0,OR(AUTOEVENTO&lt;&gt;"manual",$M81&lt;&gt;$A$15)),
        IF(Import.TipoArredondamento&lt;&gt;"TransfereGOV",
              ROUND(OFFSET($P81,0,AH$13),15-13*ORÇAMENTO!$AF$7)/$H81*OFFSET(ORÇAMENTO!$X$15,ROW(AH81)-ROW(AH$15),0),
              ROUND(ROUND(OFFSET($P81,0,AH$13),15-13*ORÇAMENTO!$AF$7)*OFFSET(ORÇAMENTO!$W$15,ROW(AH81)-ROW(AH$15),0),15-13*ORÇAMENTO!$AF$11)),
         0)</f>
        <v>0</v>
      </c>
      <c r="AI81" s="454">
        <f ca="1">IF(AND($D81="Serviço",AI$12&lt;&gt;0,$H81&gt;0,OR(AUTOEVENTO&lt;&gt;"manual",$M81&lt;&gt;$A$15)),
        IF(Import.TipoArredondamento&lt;&gt;"TransfereGOV",
              ROUND(OFFSET($P81,0,AI$13),15-13*ORÇAMENTO!$AF$7)/$H81*OFFSET(ORÇAMENTO!$X$15,ROW(AI81)-ROW(AI$15),0),
              ROUND(ROUND(OFFSET($P81,0,AI$13),15-13*ORÇAMENTO!$AF$7)*OFFSET(ORÇAMENTO!$W$15,ROW(AI81)-ROW(AI$15),0),15-13*ORÇAMENTO!$AF$11)),
         0)</f>
        <v>0</v>
      </c>
      <c r="AJ81" s="454">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54">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M81" s="172">
        <f ca="1">IF(OR($D81&lt;&gt;"Serviço",AND(AUTOEVENTO="Manual",$M81=$A$15)),0,
         IF(OFFSET(CRONOPLE!$F$15,$M81-$A$15,AM$13)=0,10^12,OFFSET(CRONOPLE!$F$15,$M81-$A$15,AM$13)))</f>
        <v>1</v>
      </c>
      <c r="AN81" s="172">
        <f ca="1">IF(OR($D81&lt;&gt;"Serviço",AND(AUTOEVENTO="Manual",$M81=$A$15)),0,
         IF(OFFSET(CRONOPLE!$F$15,$M81-$A$15,AN$13)=0,10^12,OFFSET(CRONOPLE!$F$15,$M81-$A$15,AN$13)))</f>
        <v>1000000000000</v>
      </c>
      <c r="AO81" s="172">
        <f ca="1">IF(OR($D81&lt;&gt;"Serviço",AND(AUTOEVENTO="Manual",$M81=$A$15)),0,
         IF(OFFSET(CRONOPLE!$F$15,$M81-$A$15,AO$13)=0,10^12,OFFSET(CRONOPLE!$F$15,$M81-$A$15,AO$13)))</f>
        <v>1000000000000</v>
      </c>
      <c r="AP81" s="172">
        <f ca="1">IF(OR($D81&lt;&gt;"Serviço",AND(AUTOEVENTO="Manual",$M81=$A$15)),0,
         IF(OFFSET(CRONOPLE!$F$15,$M81-$A$15,AP$13)=0,10^12,OFFSET(CRONOPLE!$F$15,$M81-$A$15,AP$13)))</f>
        <v>1000000000000</v>
      </c>
      <c r="AQ81" s="172">
        <f ca="1">IF(OR($D81&lt;&gt;"Serviço",AND(AUTOEVENTO="Manual",$M81=$A$15)),0,
         IF(OFFSET(CRONOPLE!$F$15,$M81-$A$15,AQ$13)=0,10^12,OFFSET(CRONOPLE!$F$15,$M81-$A$15,AQ$13)))</f>
        <v>1000000000000</v>
      </c>
      <c r="AR81" s="172">
        <f ca="1">IF(OR($D81&lt;&gt;"Serviço",AND(AUTOEVENTO="Manual",$M81=$A$15)),0,
         IF(OFFSET(CRONOPLE!$F$15,$M81-$A$15,AR$13)=0,10^12,OFFSET(CRONOPLE!$F$15,$M81-$A$15,AR$13)))</f>
        <v>1000000000000</v>
      </c>
      <c r="AS81" s="172">
        <f ca="1">IF(OR($D81&lt;&gt;"Serviço",AND(AUTOEVENTO="Manual",$M81=$A$15)),0,
         IF(OFFSET(CRONOPLE!$F$15,$M81-$A$15,AS$13)=0,10^12,OFFSET(CRONOPLE!$F$15,$M81-$A$15,AS$13)))</f>
        <v>1000000000000</v>
      </c>
      <c r="AT81" s="172">
        <f ca="1">IF(OR($D81&lt;&gt;"Serviço",AND(AUTOEVENTO="Manual",$M81=$A$15)),0,
         IF(OFFSET(CRONOPLE!$F$15,$M81-$A$15,AT$13)=0,10^12,OFFSET(CRONOPLE!$F$15,$M81-$A$15,AT$13)))</f>
        <v>1000000000000</v>
      </c>
      <c r="AU81" s="172">
        <f ca="1">IF(OR($D81&lt;&gt;"Serviço",AND(AUTOEVENTO="Manual",$M81=$A$15)),0,
         IF(OFFSET(CRONOPLE!$F$15,$M81-$A$15,AU$13)=0,10^12,OFFSET(CRONOPLE!$F$15,$M81-$A$15,AU$13)))</f>
        <v>1000000000000</v>
      </c>
      <c r="AV81" s="172">
        <f ca="1">IF(OR($D81&lt;&gt;"Serviço",AND(AUTOEVENTO="Manual",$M81=$A$15)),0,
         IF(OFFSET(CRONOPLE!$F$15,$M81-$A$15,AV$13)=0,10^12,OFFSET(CRONOPLE!$F$15,$M81-$A$15,AV$13)))</f>
        <v>1000000000000</v>
      </c>
      <c r="AX81" s="173">
        <f ca="1">IF(OR($D81&lt;&gt;"Serviço",AND(AUTOEVENTO="Manual",$M81=$A$15),$M81&gt;(ROW(PLE.lastrow)-ROW(PLE.firstrow))),0,
           IF(OFFSET(PLE!$G$15,$M81-$A$15,AX$13)="",10^12,OFFSET(PLE!$G$15,$M81-$A$15,AX$13)))</f>
        <v>1000000000000</v>
      </c>
      <c r="AY81" s="173">
        <f ca="1">IF(OR($D81&lt;&gt;"Serviço",AND(AUTOEVENTO="Manual",$M81=$A$15),$M81&gt;(ROW(PLE.lastrow)-ROW(PLE.firstrow))),0,
           IF(OFFSET(PLE!$G$15,$M81-$A$15,AY$13)="",10^12,OFFSET(PLE!$G$15,$M81-$A$15,AY$13)))</f>
        <v>1000000000000</v>
      </c>
      <c r="AZ81" s="173">
        <f ca="1">IF(OR($D81&lt;&gt;"Serviço",AND(AUTOEVENTO="Manual",$M81=$A$15),$M81&gt;(ROW(PLE.lastrow)-ROW(PLE.firstrow))),0,
           IF(OFFSET(PLE!$G$15,$M81-$A$15,AZ$13)="",10^12,OFFSET(PLE!$G$15,$M81-$A$15,AZ$13)))</f>
        <v>1000000000000</v>
      </c>
      <c r="BA81" s="173">
        <f ca="1">IF(OR($D81&lt;&gt;"Serviço",AND(AUTOEVENTO="Manual",$M81=$A$15),$M81&gt;(ROW(PLE.lastrow)-ROW(PLE.firstrow))),0,
           IF(OFFSET(PLE!$G$15,$M81-$A$15,BA$13)="",10^12,OFFSET(PLE!$G$15,$M81-$A$15,BA$13)))</f>
        <v>1000000000000</v>
      </c>
      <c r="BB81" s="173">
        <f ca="1">IF(OR($D81&lt;&gt;"Serviço",AND(AUTOEVENTO="Manual",$M81=$A$15),$M81&gt;(ROW(PLE.lastrow)-ROW(PLE.firstrow))),0,
           IF(OFFSET(PLE!$G$15,$M81-$A$15,BB$13)="",10^12,OFFSET(PLE!$G$15,$M81-$A$15,BB$13)))</f>
        <v>1000000000000</v>
      </c>
      <c r="BC81" s="173">
        <f ca="1">IF(OR($D81&lt;&gt;"Serviço",AND(AUTOEVENTO="Manual",$M81=$A$15),$M81&gt;(ROW(PLE.lastrow)-ROW(PLE.firstrow))),0,
           IF(OFFSET(PLE!$G$15,$M81-$A$15,BC$13)="",10^12,OFFSET(PLE!$G$15,$M81-$A$15,BC$13)))</f>
        <v>1000000000000</v>
      </c>
      <c r="BD81" s="173">
        <f ca="1">IF(OR($D81&lt;&gt;"Serviço",AND(AUTOEVENTO="Manual",$M81=$A$15),$M81&gt;(ROW(PLE.lastrow)-ROW(PLE.firstrow))),0,
           IF(OFFSET(PLE!$G$15,$M81-$A$15,BD$13)="",10^12,OFFSET(PLE!$G$15,$M81-$A$15,BD$13)))</f>
        <v>1000000000000</v>
      </c>
      <c r="BE81" s="173">
        <f ca="1">IF(OR($D81&lt;&gt;"Serviço",AND(AUTOEVENTO="Manual",$M81=$A$15),$M81&gt;(ROW(PLE.lastrow)-ROW(PLE.firstrow))),0,
           IF(OFFSET(PLE!$G$15,$M81-$A$15,BE$13)="",10^12,OFFSET(PLE!$G$15,$M81-$A$15,BE$13)))</f>
        <v>1000000000000</v>
      </c>
      <c r="BF81" s="173">
        <f ca="1">IF(OR($D81&lt;&gt;"Serviço",AND(AUTOEVENTO="Manual",$M81=$A$15),$M81&gt;(ROW(PLE.lastrow)-ROW(PLE.firstrow))),0,
           IF(OFFSET(PLE!$G$15,$M81-$A$15,BF$13)="",10^12,OFFSET(PLE!$G$15,$M81-$A$15,BF$13)))</f>
        <v>1000000000000</v>
      </c>
      <c r="BG81" s="173">
        <f ca="1">IF(OR($D81&lt;&gt;"Serviço",AND(AUTOEVENTO="Manual",$M81=$A$15),$M81&gt;(ROW(PLE.lastrow)-ROW(PLE.firstrow))),0,
           IF(OFFSET(PLE!$G$15,$M81-$A$15,BG$13)="",10^12,OFFSET(PLE!$G$15,$M81-$A$15,BG$13)))</f>
        <v>1000000000000</v>
      </c>
    </row>
    <row r="82" spans="1:59" ht="38.25" x14ac:dyDescent="0.2">
      <c r="A82" s="7" t="str">
        <f t="shared" ca="1" si="10"/>
        <v>35</v>
      </c>
      <c r="B82" s="7" t="str">
        <f ca="1">OFFSET(ORÇAMENTO!C$15,ROW(B82)-ROW(B$15),0)</f>
        <v>S</v>
      </c>
      <c r="C82" s="7" t="str">
        <f ca="1">OFFSET(ORÇAMENTO!L$15,ROW(C82)-ROW(C$15),0)</f>
        <v>F</v>
      </c>
      <c r="D82" s="117" t="str">
        <f ca="1">OFFSET(ORÇAMENTO!N$15,ROW(D82)-ROW(D$15),0)</f>
        <v>Serviço</v>
      </c>
      <c r="E82" s="118" t="str">
        <f ca="1">OFFSET(ORÇAMENTO!O$15,ROW(E82)-ROW(E$15),0)</f>
        <v>1.6.32.</v>
      </c>
      <c r="F82" s="164" t="str">
        <f ca="1">OFFSET(ORÇAMENTO!R$15,ROW(F82)-ROW(F$15),0)</f>
        <v>PORTAO DE ABRIR / GIRO, EM GRADIL DE METALON REDONDO DE 3/4" VERTICAL, COM REQUADRO, ACABAMENTO NATURAL - COMPLETO</v>
      </c>
      <c r="G82" s="165" t="str">
        <f ca="1">IF($D82&lt;&gt;"Serviço","",OFFSET(ORÇAMENTO!S$15,ROW(G82)-ROW(G$15),0))</f>
        <v>M2</v>
      </c>
      <c r="H82" s="123">
        <f ca="1">IF($D82&lt;&gt;"Serviço",0,IF(ACOMPANHAMENTO="BM",ROUND(OFFSET(ORÇAMENTO!AJ$15,ROW(H82)-ROW(H$15),0),15-13*ORÇAMENTO!$AF$7),SUMPRODUCT(($Q$1:$AA$1=1)*ROUND($Q82:$AA82,15-13*ORÇAMENTO!$AF$7))))</f>
        <v>2.5</v>
      </c>
      <c r="I82" s="469" t="s">
        <v>1066</v>
      </c>
      <c r="J82" s="663" t="str">
        <f ca="1">IF(OR(B82&lt;&gt;"S",CÁLCULO.FrentesPreenchidas=0),"",IF(AND(ACOMPANHAMENTO="PLE",AUTOEVENTO="Manual",OR(H82&gt;0,ORÇAMENTO!AC82="QUANT."),OR(K82="",M82=0,N82="")),"►",IF(AND(ACOMPANHAMENTO="PLE",ORÇAMENTO!AC82="QUANT."),"►►",IF(AND(COUNTIF($P$11:$AA$11,"▼")=0,H82&gt;0,I82=""),"◄",""))))</f>
        <v/>
      </c>
      <c r="K82" s="664"/>
      <c r="L82" s="166" t="s">
        <v>765</v>
      </c>
      <c r="M82" s="167">
        <f ca="1">IF($D82&lt;&gt;"Serviço","",
          IF(AUTOEVENTO="manual",$A82,
                IF(ISERROR(MATCH($A82,$A$15:OFFSET($A82,-1,0),0)),MAX($M$15:OFFSET(M82,-1,0))+1,
                      INDEX($M$15:OFFSET(M82,-1,0),MATCH($A82,$A$15:OFFSET($A82,-1,0),0)))))</f>
        <v>6</v>
      </c>
      <c r="N82" s="168" t="str">
        <f ca="1">IF($D82&lt;&gt;"Serviço","",
         IF(AUTOEVENTO="Manual",
                IF($A82=0,"&lt;-- defina o número do agrupador",
                       OFFSET(EVENTOS!$D$15,$A82-$A$15,0)),
                OFFSET($F$15,$A82,0)))</f>
        <v>READEQUAÇÃO DA FACHADA PRINCIPAL</v>
      </c>
      <c r="O82" s="169"/>
      <c r="Q82" s="169">
        <v>2.5</v>
      </c>
      <c r="R82" s="170"/>
      <c r="S82" s="170"/>
      <c r="T82" s="170"/>
      <c r="U82" s="170"/>
      <c r="V82" s="170"/>
      <c r="W82" s="170"/>
      <c r="X82" s="170"/>
      <c r="Y82" s="170"/>
      <c r="Z82" s="171"/>
      <c r="AB82" s="454">
        <f ca="1">IF(AND($D82="Serviço",AB$12&lt;&gt;0,$H82&gt;0,OR(AUTOEVENTO&lt;&gt;"manual",$M82&lt;&gt;$A$15)),
        IF(Import.TipoArredondamento&lt;&gt;"TransfereGOV",
              ROUND(OFFSET($P82,0,AB$13),15-13*ORÇAMENTO!$AF$7)/$H82*OFFSET(ORÇAMENTO!$X$15,ROW(AB82)-ROW(AB$15),0),
              ROUND(ROUND(OFFSET($P82,0,AB$13),15-13*ORÇAMENTO!$AF$7)*OFFSET(ORÇAMENTO!$W$15,ROW(AB82)-ROW(AB$15),0),15-13*ORÇAMENTO!$AF$11)),
         0)</f>
        <v>1855.95</v>
      </c>
      <c r="AC82" s="454">
        <f ca="1">IF(AND($D82="Serviço",AC$12&lt;&gt;0,$H82&gt;0,OR(AUTOEVENTO&lt;&gt;"manual",$M82&lt;&gt;$A$15)),
        IF(Import.TipoArredondamento&lt;&gt;"TransfereGOV",
              ROUND(OFFSET($P82,0,AC$13),15-13*ORÇAMENTO!$AF$7)/$H82*OFFSET(ORÇAMENTO!$X$15,ROW(AC82)-ROW(AC$15),0),
              ROUND(ROUND(OFFSET($P82,0,AC$13),15-13*ORÇAMENTO!$AF$7)*OFFSET(ORÇAMENTO!$W$15,ROW(AC82)-ROW(AC$15),0),15-13*ORÇAMENTO!$AF$11)),
         0)</f>
        <v>0</v>
      </c>
      <c r="AD82" s="454">
        <f ca="1">IF(AND($D82="Serviço",AD$12&lt;&gt;0,$H82&gt;0,OR(AUTOEVENTO&lt;&gt;"manual",$M82&lt;&gt;$A$15)),
        IF(Import.TipoArredondamento&lt;&gt;"TransfereGOV",
              ROUND(OFFSET($P82,0,AD$13),15-13*ORÇAMENTO!$AF$7)/$H82*OFFSET(ORÇAMENTO!$X$15,ROW(AD82)-ROW(AD$15),0),
              ROUND(ROUND(OFFSET($P82,0,AD$13),15-13*ORÇAMENTO!$AF$7)*OFFSET(ORÇAMENTO!$W$15,ROW(AD82)-ROW(AD$15),0),15-13*ORÇAMENTO!$AF$11)),
         0)</f>
        <v>0</v>
      </c>
      <c r="AE82" s="454">
        <f ca="1">IF(AND($D82="Serviço",AE$12&lt;&gt;0,$H82&gt;0,OR(AUTOEVENTO&lt;&gt;"manual",$M82&lt;&gt;$A$15)),
        IF(Import.TipoArredondamento&lt;&gt;"TransfereGOV",
              ROUND(OFFSET($P82,0,AE$13),15-13*ORÇAMENTO!$AF$7)/$H82*OFFSET(ORÇAMENTO!$X$15,ROW(AE82)-ROW(AE$15),0),
              ROUND(ROUND(OFFSET($P82,0,AE$13),15-13*ORÇAMENTO!$AF$7)*OFFSET(ORÇAMENTO!$W$15,ROW(AE82)-ROW(AE$15),0),15-13*ORÇAMENTO!$AF$11)),
         0)</f>
        <v>0</v>
      </c>
      <c r="AF82" s="454">
        <f ca="1">IF(AND($D82="Serviço",AF$12&lt;&gt;0,$H82&gt;0,OR(AUTOEVENTO&lt;&gt;"manual",$M82&lt;&gt;$A$15)),
        IF(Import.TipoArredondamento&lt;&gt;"TransfereGOV",
              ROUND(OFFSET($P82,0,AF$13),15-13*ORÇAMENTO!$AF$7)/$H82*OFFSET(ORÇAMENTO!$X$15,ROW(AF82)-ROW(AF$15),0),
              ROUND(ROUND(OFFSET($P82,0,AF$13),15-13*ORÇAMENTO!$AF$7)*OFFSET(ORÇAMENTO!$W$15,ROW(AF82)-ROW(AF$15),0),15-13*ORÇAMENTO!$AF$11)),
         0)</f>
        <v>0</v>
      </c>
      <c r="AG82" s="454">
        <f ca="1">IF(AND($D82="Serviço",AG$12&lt;&gt;0,$H82&gt;0,OR(AUTOEVENTO&lt;&gt;"manual",$M82&lt;&gt;$A$15)),
        IF(Import.TipoArredondamento&lt;&gt;"TransfereGOV",
              ROUND(OFFSET($P82,0,AG$13),15-13*ORÇAMENTO!$AF$7)/$H82*OFFSET(ORÇAMENTO!$X$15,ROW(AG82)-ROW(AG$15),0),
              ROUND(ROUND(OFFSET($P82,0,AG$13),15-13*ORÇAMENTO!$AF$7)*OFFSET(ORÇAMENTO!$W$15,ROW(AG82)-ROW(AG$15),0),15-13*ORÇAMENTO!$AF$11)),
         0)</f>
        <v>0</v>
      </c>
      <c r="AH82" s="454">
        <f ca="1">IF(AND($D82="Serviço",AH$12&lt;&gt;0,$H82&gt;0,OR(AUTOEVENTO&lt;&gt;"manual",$M82&lt;&gt;$A$15)),
        IF(Import.TipoArredondamento&lt;&gt;"TransfereGOV",
              ROUND(OFFSET($P82,0,AH$13),15-13*ORÇAMENTO!$AF$7)/$H82*OFFSET(ORÇAMENTO!$X$15,ROW(AH82)-ROW(AH$15),0),
              ROUND(ROUND(OFFSET($P82,0,AH$13),15-13*ORÇAMENTO!$AF$7)*OFFSET(ORÇAMENTO!$W$15,ROW(AH82)-ROW(AH$15),0),15-13*ORÇAMENTO!$AF$11)),
         0)</f>
        <v>0</v>
      </c>
      <c r="AI82" s="454">
        <f ca="1">IF(AND($D82="Serviço",AI$12&lt;&gt;0,$H82&gt;0,OR(AUTOEVENTO&lt;&gt;"manual",$M82&lt;&gt;$A$15)),
        IF(Import.TipoArredondamento&lt;&gt;"TransfereGOV",
              ROUND(OFFSET($P82,0,AI$13),15-13*ORÇAMENTO!$AF$7)/$H82*OFFSET(ORÇAMENTO!$X$15,ROW(AI82)-ROW(AI$15),0),
              ROUND(ROUND(OFFSET($P82,0,AI$13),15-13*ORÇAMENTO!$AF$7)*OFFSET(ORÇAMENTO!$W$15,ROW(AI82)-ROW(AI$15),0),15-13*ORÇAMENTO!$AF$11)),
         0)</f>
        <v>0</v>
      </c>
      <c r="AJ82" s="454">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54">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0</v>
      </c>
      <c r="AM82" s="172">
        <f ca="1">IF(OR($D82&lt;&gt;"Serviço",AND(AUTOEVENTO="Manual",$M82=$A$15)),0,
         IF(OFFSET(CRONOPLE!$F$15,$M82-$A$15,AM$13)=0,10^12,OFFSET(CRONOPLE!$F$15,$M82-$A$15,AM$13)))</f>
        <v>1</v>
      </c>
      <c r="AN82" s="172">
        <f ca="1">IF(OR($D82&lt;&gt;"Serviço",AND(AUTOEVENTO="Manual",$M82=$A$15)),0,
         IF(OFFSET(CRONOPLE!$F$15,$M82-$A$15,AN$13)=0,10^12,OFFSET(CRONOPLE!$F$15,$M82-$A$15,AN$13)))</f>
        <v>1000000000000</v>
      </c>
      <c r="AO82" s="172">
        <f ca="1">IF(OR($D82&lt;&gt;"Serviço",AND(AUTOEVENTO="Manual",$M82=$A$15)),0,
         IF(OFFSET(CRONOPLE!$F$15,$M82-$A$15,AO$13)=0,10^12,OFFSET(CRONOPLE!$F$15,$M82-$A$15,AO$13)))</f>
        <v>1000000000000</v>
      </c>
      <c r="AP82" s="172">
        <f ca="1">IF(OR($D82&lt;&gt;"Serviço",AND(AUTOEVENTO="Manual",$M82=$A$15)),0,
         IF(OFFSET(CRONOPLE!$F$15,$M82-$A$15,AP$13)=0,10^12,OFFSET(CRONOPLE!$F$15,$M82-$A$15,AP$13)))</f>
        <v>1000000000000</v>
      </c>
      <c r="AQ82" s="172">
        <f ca="1">IF(OR($D82&lt;&gt;"Serviço",AND(AUTOEVENTO="Manual",$M82=$A$15)),0,
         IF(OFFSET(CRONOPLE!$F$15,$M82-$A$15,AQ$13)=0,10^12,OFFSET(CRONOPLE!$F$15,$M82-$A$15,AQ$13)))</f>
        <v>1000000000000</v>
      </c>
      <c r="AR82" s="172">
        <f ca="1">IF(OR($D82&lt;&gt;"Serviço",AND(AUTOEVENTO="Manual",$M82=$A$15)),0,
         IF(OFFSET(CRONOPLE!$F$15,$M82-$A$15,AR$13)=0,10^12,OFFSET(CRONOPLE!$F$15,$M82-$A$15,AR$13)))</f>
        <v>1000000000000</v>
      </c>
      <c r="AS82" s="172">
        <f ca="1">IF(OR($D82&lt;&gt;"Serviço",AND(AUTOEVENTO="Manual",$M82=$A$15)),0,
         IF(OFFSET(CRONOPLE!$F$15,$M82-$A$15,AS$13)=0,10^12,OFFSET(CRONOPLE!$F$15,$M82-$A$15,AS$13)))</f>
        <v>1000000000000</v>
      </c>
      <c r="AT82" s="172">
        <f ca="1">IF(OR($D82&lt;&gt;"Serviço",AND(AUTOEVENTO="Manual",$M82=$A$15)),0,
         IF(OFFSET(CRONOPLE!$F$15,$M82-$A$15,AT$13)=0,10^12,OFFSET(CRONOPLE!$F$15,$M82-$A$15,AT$13)))</f>
        <v>1000000000000</v>
      </c>
      <c r="AU82" s="172">
        <f ca="1">IF(OR($D82&lt;&gt;"Serviço",AND(AUTOEVENTO="Manual",$M82=$A$15)),0,
         IF(OFFSET(CRONOPLE!$F$15,$M82-$A$15,AU$13)=0,10^12,OFFSET(CRONOPLE!$F$15,$M82-$A$15,AU$13)))</f>
        <v>1000000000000</v>
      </c>
      <c r="AV82" s="172">
        <f ca="1">IF(OR($D82&lt;&gt;"Serviço",AND(AUTOEVENTO="Manual",$M82=$A$15)),0,
         IF(OFFSET(CRONOPLE!$F$15,$M82-$A$15,AV$13)=0,10^12,OFFSET(CRONOPLE!$F$15,$M82-$A$15,AV$13)))</f>
        <v>1000000000000</v>
      </c>
      <c r="AX82" s="173">
        <f ca="1">IF(OR($D82&lt;&gt;"Serviço",AND(AUTOEVENTO="Manual",$M82=$A$15),$M82&gt;(ROW(PLE.lastrow)-ROW(PLE.firstrow))),0,
           IF(OFFSET(PLE!$G$15,$M82-$A$15,AX$13)="",10^12,OFFSET(PLE!$G$15,$M82-$A$15,AX$13)))</f>
        <v>1000000000000</v>
      </c>
      <c r="AY82" s="173">
        <f ca="1">IF(OR($D82&lt;&gt;"Serviço",AND(AUTOEVENTO="Manual",$M82=$A$15),$M82&gt;(ROW(PLE.lastrow)-ROW(PLE.firstrow))),0,
           IF(OFFSET(PLE!$G$15,$M82-$A$15,AY$13)="",10^12,OFFSET(PLE!$G$15,$M82-$A$15,AY$13)))</f>
        <v>1000000000000</v>
      </c>
      <c r="AZ82" s="173">
        <f ca="1">IF(OR($D82&lt;&gt;"Serviço",AND(AUTOEVENTO="Manual",$M82=$A$15),$M82&gt;(ROW(PLE.lastrow)-ROW(PLE.firstrow))),0,
           IF(OFFSET(PLE!$G$15,$M82-$A$15,AZ$13)="",10^12,OFFSET(PLE!$G$15,$M82-$A$15,AZ$13)))</f>
        <v>1000000000000</v>
      </c>
      <c r="BA82" s="173">
        <f ca="1">IF(OR($D82&lt;&gt;"Serviço",AND(AUTOEVENTO="Manual",$M82=$A$15),$M82&gt;(ROW(PLE.lastrow)-ROW(PLE.firstrow))),0,
           IF(OFFSET(PLE!$G$15,$M82-$A$15,BA$13)="",10^12,OFFSET(PLE!$G$15,$M82-$A$15,BA$13)))</f>
        <v>1000000000000</v>
      </c>
      <c r="BB82" s="173">
        <f ca="1">IF(OR($D82&lt;&gt;"Serviço",AND(AUTOEVENTO="Manual",$M82=$A$15),$M82&gt;(ROW(PLE.lastrow)-ROW(PLE.firstrow))),0,
           IF(OFFSET(PLE!$G$15,$M82-$A$15,BB$13)="",10^12,OFFSET(PLE!$G$15,$M82-$A$15,BB$13)))</f>
        <v>1000000000000</v>
      </c>
      <c r="BC82" s="173">
        <f ca="1">IF(OR($D82&lt;&gt;"Serviço",AND(AUTOEVENTO="Manual",$M82=$A$15),$M82&gt;(ROW(PLE.lastrow)-ROW(PLE.firstrow))),0,
           IF(OFFSET(PLE!$G$15,$M82-$A$15,BC$13)="",10^12,OFFSET(PLE!$G$15,$M82-$A$15,BC$13)))</f>
        <v>1000000000000</v>
      </c>
      <c r="BD82" s="173">
        <f ca="1">IF(OR($D82&lt;&gt;"Serviço",AND(AUTOEVENTO="Manual",$M82=$A$15),$M82&gt;(ROW(PLE.lastrow)-ROW(PLE.firstrow))),0,
           IF(OFFSET(PLE!$G$15,$M82-$A$15,BD$13)="",10^12,OFFSET(PLE!$G$15,$M82-$A$15,BD$13)))</f>
        <v>1000000000000</v>
      </c>
      <c r="BE82" s="173">
        <f ca="1">IF(OR($D82&lt;&gt;"Serviço",AND(AUTOEVENTO="Manual",$M82=$A$15),$M82&gt;(ROW(PLE.lastrow)-ROW(PLE.firstrow))),0,
           IF(OFFSET(PLE!$G$15,$M82-$A$15,BE$13)="",10^12,OFFSET(PLE!$G$15,$M82-$A$15,BE$13)))</f>
        <v>1000000000000</v>
      </c>
      <c r="BF82" s="173">
        <f ca="1">IF(OR($D82&lt;&gt;"Serviço",AND(AUTOEVENTO="Manual",$M82=$A$15),$M82&gt;(ROW(PLE.lastrow)-ROW(PLE.firstrow))),0,
           IF(OFFSET(PLE!$G$15,$M82-$A$15,BF$13)="",10^12,OFFSET(PLE!$G$15,$M82-$A$15,BF$13)))</f>
        <v>1000000000000</v>
      </c>
      <c r="BG82" s="173">
        <f ca="1">IF(OR($D82&lt;&gt;"Serviço",AND(AUTOEVENTO="Manual",$M82=$A$15),$M82&gt;(ROW(PLE.lastrow)-ROW(PLE.firstrow))),0,
           IF(OFFSET(PLE!$G$15,$M82-$A$15,BG$13)="",10^12,OFFSET(PLE!$G$15,$M82-$A$15,BG$13)))</f>
        <v>1000000000000</v>
      </c>
    </row>
    <row r="83" spans="1:59" ht="25.5" x14ac:dyDescent="0.2">
      <c r="A83" s="7" t="str">
        <f t="shared" ca="1" si="10"/>
        <v>35</v>
      </c>
      <c r="B83" s="7" t="str">
        <f ca="1">OFFSET(ORÇAMENTO!C$15,ROW(B83)-ROW(B$15),0)</f>
        <v>S</v>
      </c>
      <c r="C83" s="7" t="str">
        <f ca="1">OFFSET(ORÇAMENTO!L$15,ROW(C83)-ROW(C$15),0)</f>
        <v>F</v>
      </c>
      <c r="D83" s="117" t="str">
        <f ca="1">OFFSET(ORÇAMENTO!N$15,ROW(D83)-ROW(D$15),0)</f>
        <v>Serviço</v>
      </c>
      <c r="E83" s="118" t="str">
        <f ca="1">OFFSET(ORÇAMENTO!O$15,ROW(E83)-ROW(E$15),0)</f>
        <v>1.6.33.</v>
      </c>
      <c r="F83" s="164" t="str">
        <f ca="1">OFFSET(ORÇAMENTO!R$15,ROW(F83)-ROW(F$15),0)</f>
        <v>LUMINÁRIA TIPO PLAFON CIRCULAR, DE SOBREPOR, COM LED DE 12/13 W - FORNECIMENTO E INSTALAÇÃO. AF_09/2024</v>
      </c>
      <c r="G83" s="165" t="str">
        <f ca="1">IF($D83&lt;&gt;"Serviço","",OFFSET(ORÇAMENTO!S$15,ROW(G83)-ROW(G$15),0))</f>
        <v>UN</v>
      </c>
      <c r="H83" s="123">
        <f ca="1">IF($D83&lt;&gt;"Serviço",0,IF(ACOMPANHAMENTO="BM",ROUND(OFFSET(ORÇAMENTO!AJ$15,ROW(H83)-ROW(H$15),0),15-13*ORÇAMENTO!$AF$7),SUMPRODUCT(($Q$1:$AA$1=1)*ROUND($Q83:$AA83,15-13*ORÇAMENTO!$AF$7))))</f>
        <v>3</v>
      </c>
      <c r="I83" s="469" t="s">
        <v>1048</v>
      </c>
      <c r="J83" s="663" t="str">
        <f ca="1">IF(OR(B83&lt;&gt;"S",CÁLCULO.FrentesPreenchidas=0),"",IF(AND(ACOMPANHAMENTO="PLE",AUTOEVENTO="Manual",OR(H83&gt;0,ORÇAMENTO!AC83="QUANT."),OR(K83="",M83=0,N83="")),"►",IF(AND(ACOMPANHAMENTO="PLE",ORÇAMENTO!AC83="QUANT."),"►►",IF(AND(COUNTIF($P$11:$AA$11,"▼")=0,H83&gt;0,I83=""),"◄",""))))</f>
        <v/>
      </c>
      <c r="K83" s="664"/>
      <c r="L83" s="166" t="s">
        <v>765</v>
      </c>
      <c r="M83" s="167">
        <f ca="1">IF($D83&lt;&gt;"Serviço","",
          IF(AUTOEVENTO="manual",$A83,
                IF(ISERROR(MATCH($A83,$A$15:OFFSET($A83,-1,0),0)),MAX($M$15:OFFSET(M83,-1,0))+1,
                      INDEX($M$15:OFFSET(M83,-1,0),MATCH($A83,$A$15:OFFSET($A83,-1,0),0)))))</f>
        <v>6</v>
      </c>
      <c r="N83" s="168" t="str">
        <f ca="1">IF($D83&lt;&gt;"Serviço","",
         IF(AUTOEVENTO="Manual",
                IF($A83=0,"&lt;-- defina o número do agrupador",
                       OFFSET(EVENTOS!$D$15,$A83-$A$15,0)),
                OFFSET($F$15,$A83,0)))</f>
        <v>READEQUAÇÃO DA FACHADA PRINCIPAL</v>
      </c>
      <c r="O83" s="169"/>
      <c r="Q83" s="169">
        <v>3</v>
      </c>
      <c r="R83" s="170"/>
      <c r="S83" s="170"/>
      <c r="T83" s="170"/>
      <c r="U83" s="170"/>
      <c r="V83" s="170"/>
      <c r="W83" s="170"/>
      <c r="X83" s="170"/>
      <c r="Y83" s="170"/>
      <c r="Z83" s="171"/>
      <c r="AB83" s="454">
        <f ca="1">IF(AND($D83="Serviço",AB$12&lt;&gt;0,$H83&gt;0,OR(AUTOEVENTO&lt;&gt;"manual",$M83&lt;&gt;$A$15)),
        IF(Import.TipoArredondamento&lt;&gt;"TransfereGOV",
              ROUND(OFFSET($P83,0,AB$13),15-13*ORÇAMENTO!$AF$7)/$H83*OFFSET(ORÇAMENTO!$X$15,ROW(AB83)-ROW(AB$15),0),
              ROUND(ROUND(OFFSET($P83,0,AB$13),15-13*ORÇAMENTO!$AF$7)*OFFSET(ORÇAMENTO!$W$15,ROW(AB83)-ROW(AB$15),0),15-13*ORÇAMENTO!$AF$11)),
         0)</f>
        <v>108.03</v>
      </c>
      <c r="AC83" s="454">
        <f ca="1">IF(AND($D83="Serviço",AC$12&lt;&gt;0,$H83&gt;0,OR(AUTOEVENTO&lt;&gt;"manual",$M83&lt;&gt;$A$15)),
        IF(Import.TipoArredondamento&lt;&gt;"TransfereGOV",
              ROUND(OFFSET($P83,0,AC$13),15-13*ORÇAMENTO!$AF$7)/$H83*OFFSET(ORÇAMENTO!$X$15,ROW(AC83)-ROW(AC$15),0),
              ROUND(ROUND(OFFSET($P83,0,AC$13),15-13*ORÇAMENTO!$AF$7)*OFFSET(ORÇAMENTO!$W$15,ROW(AC83)-ROW(AC$15),0),15-13*ORÇAMENTO!$AF$11)),
         0)</f>
        <v>0</v>
      </c>
      <c r="AD83" s="454">
        <f ca="1">IF(AND($D83="Serviço",AD$12&lt;&gt;0,$H83&gt;0,OR(AUTOEVENTO&lt;&gt;"manual",$M83&lt;&gt;$A$15)),
        IF(Import.TipoArredondamento&lt;&gt;"TransfereGOV",
              ROUND(OFFSET($P83,0,AD$13),15-13*ORÇAMENTO!$AF$7)/$H83*OFFSET(ORÇAMENTO!$X$15,ROW(AD83)-ROW(AD$15),0),
              ROUND(ROUND(OFFSET($P83,0,AD$13),15-13*ORÇAMENTO!$AF$7)*OFFSET(ORÇAMENTO!$W$15,ROW(AD83)-ROW(AD$15),0),15-13*ORÇAMENTO!$AF$11)),
         0)</f>
        <v>0</v>
      </c>
      <c r="AE83" s="454">
        <f ca="1">IF(AND($D83="Serviço",AE$12&lt;&gt;0,$H83&gt;0,OR(AUTOEVENTO&lt;&gt;"manual",$M83&lt;&gt;$A$15)),
        IF(Import.TipoArredondamento&lt;&gt;"TransfereGOV",
              ROUND(OFFSET($P83,0,AE$13),15-13*ORÇAMENTO!$AF$7)/$H83*OFFSET(ORÇAMENTO!$X$15,ROW(AE83)-ROW(AE$15),0),
              ROUND(ROUND(OFFSET($P83,0,AE$13),15-13*ORÇAMENTO!$AF$7)*OFFSET(ORÇAMENTO!$W$15,ROW(AE83)-ROW(AE$15),0),15-13*ORÇAMENTO!$AF$11)),
         0)</f>
        <v>0</v>
      </c>
      <c r="AF83" s="454">
        <f ca="1">IF(AND($D83="Serviço",AF$12&lt;&gt;0,$H83&gt;0,OR(AUTOEVENTO&lt;&gt;"manual",$M83&lt;&gt;$A$15)),
        IF(Import.TipoArredondamento&lt;&gt;"TransfereGOV",
              ROUND(OFFSET($P83,0,AF$13),15-13*ORÇAMENTO!$AF$7)/$H83*OFFSET(ORÇAMENTO!$X$15,ROW(AF83)-ROW(AF$15),0),
              ROUND(ROUND(OFFSET($P83,0,AF$13),15-13*ORÇAMENTO!$AF$7)*OFFSET(ORÇAMENTO!$W$15,ROW(AF83)-ROW(AF$15),0),15-13*ORÇAMENTO!$AF$11)),
         0)</f>
        <v>0</v>
      </c>
      <c r="AG83" s="454">
        <f ca="1">IF(AND($D83="Serviço",AG$12&lt;&gt;0,$H83&gt;0,OR(AUTOEVENTO&lt;&gt;"manual",$M83&lt;&gt;$A$15)),
        IF(Import.TipoArredondamento&lt;&gt;"TransfereGOV",
              ROUND(OFFSET($P83,0,AG$13),15-13*ORÇAMENTO!$AF$7)/$H83*OFFSET(ORÇAMENTO!$X$15,ROW(AG83)-ROW(AG$15),0),
              ROUND(ROUND(OFFSET($P83,0,AG$13),15-13*ORÇAMENTO!$AF$7)*OFFSET(ORÇAMENTO!$W$15,ROW(AG83)-ROW(AG$15),0),15-13*ORÇAMENTO!$AF$11)),
         0)</f>
        <v>0</v>
      </c>
      <c r="AH83" s="454">
        <f ca="1">IF(AND($D83="Serviço",AH$12&lt;&gt;0,$H83&gt;0,OR(AUTOEVENTO&lt;&gt;"manual",$M83&lt;&gt;$A$15)),
        IF(Import.TipoArredondamento&lt;&gt;"TransfereGOV",
              ROUND(OFFSET($P83,0,AH$13),15-13*ORÇAMENTO!$AF$7)/$H83*OFFSET(ORÇAMENTO!$X$15,ROW(AH83)-ROW(AH$15),0),
              ROUND(ROUND(OFFSET($P83,0,AH$13),15-13*ORÇAMENTO!$AF$7)*OFFSET(ORÇAMENTO!$W$15,ROW(AH83)-ROW(AH$15),0),15-13*ORÇAMENTO!$AF$11)),
         0)</f>
        <v>0</v>
      </c>
      <c r="AI83" s="454">
        <f ca="1">IF(AND($D83="Serviço",AI$12&lt;&gt;0,$H83&gt;0,OR(AUTOEVENTO&lt;&gt;"manual",$M83&lt;&gt;$A$15)),
        IF(Import.TipoArredondamento&lt;&gt;"TransfereGOV",
              ROUND(OFFSET($P83,0,AI$13),15-13*ORÇAMENTO!$AF$7)/$H83*OFFSET(ORÇAMENTO!$X$15,ROW(AI83)-ROW(AI$15),0),
              ROUND(ROUND(OFFSET($P83,0,AI$13),15-13*ORÇAMENTO!$AF$7)*OFFSET(ORÇAMENTO!$W$15,ROW(AI83)-ROW(AI$15),0),15-13*ORÇAMENTO!$AF$11)),
         0)</f>
        <v>0</v>
      </c>
      <c r="AJ83" s="454">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54">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M83" s="172">
        <f ca="1">IF(OR($D83&lt;&gt;"Serviço",AND(AUTOEVENTO="Manual",$M83=$A$15)),0,
         IF(OFFSET(CRONOPLE!$F$15,$M83-$A$15,AM$13)=0,10^12,OFFSET(CRONOPLE!$F$15,$M83-$A$15,AM$13)))</f>
        <v>1</v>
      </c>
      <c r="AN83" s="172">
        <f ca="1">IF(OR($D83&lt;&gt;"Serviço",AND(AUTOEVENTO="Manual",$M83=$A$15)),0,
         IF(OFFSET(CRONOPLE!$F$15,$M83-$A$15,AN$13)=0,10^12,OFFSET(CRONOPLE!$F$15,$M83-$A$15,AN$13)))</f>
        <v>1000000000000</v>
      </c>
      <c r="AO83" s="172">
        <f ca="1">IF(OR($D83&lt;&gt;"Serviço",AND(AUTOEVENTO="Manual",$M83=$A$15)),0,
         IF(OFFSET(CRONOPLE!$F$15,$M83-$A$15,AO$13)=0,10^12,OFFSET(CRONOPLE!$F$15,$M83-$A$15,AO$13)))</f>
        <v>1000000000000</v>
      </c>
      <c r="AP83" s="172">
        <f ca="1">IF(OR($D83&lt;&gt;"Serviço",AND(AUTOEVENTO="Manual",$M83=$A$15)),0,
         IF(OFFSET(CRONOPLE!$F$15,$M83-$A$15,AP$13)=0,10^12,OFFSET(CRONOPLE!$F$15,$M83-$A$15,AP$13)))</f>
        <v>1000000000000</v>
      </c>
      <c r="AQ83" s="172">
        <f ca="1">IF(OR($D83&lt;&gt;"Serviço",AND(AUTOEVENTO="Manual",$M83=$A$15)),0,
         IF(OFFSET(CRONOPLE!$F$15,$M83-$A$15,AQ$13)=0,10^12,OFFSET(CRONOPLE!$F$15,$M83-$A$15,AQ$13)))</f>
        <v>1000000000000</v>
      </c>
      <c r="AR83" s="172">
        <f ca="1">IF(OR($D83&lt;&gt;"Serviço",AND(AUTOEVENTO="Manual",$M83=$A$15)),0,
         IF(OFFSET(CRONOPLE!$F$15,$M83-$A$15,AR$13)=0,10^12,OFFSET(CRONOPLE!$F$15,$M83-$A$15,AR$13)))</f>
        <v>1000000000000</v>
      </c>
      <c r="AS83" s="172">
        <f ca="1">IF(OR($D83&lt;&gt;"Serviço",AND(AUTOEVENTO="Manual",$M83=$A$15)),0,
         IF(OFFSET(CRONOPLE!$F$15,$M83-$A$15,AS$13)=0,10^12,OFFSET(CRONOPLE!$F$15,$M83-$A$15,AS$13)))</f>
        <v>1000000000000</v>
      </c>
      <c r="AT83" s="172">
        <f ca="1">IF(OR($D83&lt;&gt;"Serviço",AND(AUTOEVENTO="Manual",$M83=$A$15)),0,
         IF(OFFSET(CRONOPLE!$F$15,$M83-$A$15,AT$13)=0,10^12,OFFSET(CRONOPLE!$F$15,$M83-$A$15,AT$13)))</f>
        <v>1000000000000</v>
      </c>
      <c r="AU83" s="172">
        <f ca="1">IF(OR($D83&lt;&gt;"Serviço",AND(AUTOEVENTO="Manual",$M83=$A$15)),0,
         IF(OFFSET(CRONOPLE!$F$15,$M83-$A$15,AU$13)=0,10^12,OFFSET(CRONOPLE!$F$15,$M83-$A$15,AU$13)))</f>
        <v>1000000000000</v>
      </c>
      <c r="AV83" s="172">
        <f ca="1">IF(OR($D83&lt;&gt;"Serviço",AND(AUTOEVENTO="Manual",$M83=$A$15)),0,
         IF(OFFSET(CRONOPLE!$F$15,$M83-$A$15,AV$13)=0,10^12,OFFSET(CRONOPLE!$F$15,$M83-$A$15,AV$13)))</f>
        <v>1000000000000</v>
      </c>
      <c r="AX83" s="173">
        <f ca="1">IF(OR($D83&lt;&gt;"Serviço",AND(AUTOEVENTO="Manual",$M83=$A$15),$M83&gt;(ROW(PLE.lastrow)-ROW(PLE.firstrow))),0,
           IF(OFFSET(PLE!$G$15,$M83-$A$15,AX$13)="",10^12,OFFSET(PLE!$G$15,$M83-$A$15,AX$13)))</f>
        <v>1000000000000</v>
      </c>
      <c r="AY83" s="173">
        <f ca="1">IF(OR($D83&lt;&gt;"Serviço",AND(AUTOEVENTO="Manual",$M83=$A$15),$M83&gt;(ROW(PLE.lastrow)-ROW(PLE.firstrow))),0,
           IF(OFFSET(PLE!$G$15,$M83-$A$15,AY$13)="",10^12,OFFSET(PLE!$G$15,$M83-$A$15,AY$13)))</f>
        <v>1000000000000</v>
      </c>
      <c r="AZ83" s="173">
        <f ca="1">IF(OR($D83&lt;&gt;"Serviço",AND(AUTOEVENTO="Manual",$M83=$A$15),$M83&gt;(ROW(PLE.lastrow)-ROW(PLE.firstrow))),0,
           IF(OFFSET(PLE!$G$15,$M83-$A$15,AZ$13)="",10^12,OFFSET(PLE!$G$15,$M83-$A$15,AZ$13)))</f>
        <v>1000000000000</v>
      </c>
      <c r="BA83" s="173">
        <f ca="1">IF(OR($D83&lt;&gt;"Serviço",AND(AUTOEVENTO="Manual",$M83=$A$15),$M83&gt;(ROW(PLE.lastrow)-ROW(PLE.firstrow))),0,
           IF(OFFSET(PLE!$G$15,$M83-$A$15,BA$13)="",10^12,OFFSET(PLE!$G$15,$M83-$A$15,BA$13)))</f>
        <v>1000000000000</v>
      </c>
      <c r="BB83" s="173">
        <f ca="1">IF(OR($D83&lt;&gt;"Serviço",AND(AUTOEVENTO="Manual",$M83=$A$15),$M83&gt;(ROW(PLE.lastrow)-ROW(PLE.firstrow))),0,
           IF(OFFSET(PLE!$G$15,$M83-$A$15,BB$13)="",10^12,OFFSET(PLE!$G$15,$M83-$A$15,BB$13)))</f>
        <v>1000000000000</v>
      </c>
      <c r="BC83" s="173">
        <f ca="1">IF(OR($D83&lt;&gt;"Serviço",AND(AUTOEVENTO="Manual",$M83=$A$15),$M83&gt;(ROW(PLE.lastrow)-ROW(PLE.firstrow))),0,
           IF(OFFSET(PLE!$G$15,$M83-$A$15,BC$13)="",10^12,OFFSET(PLE!$G$15,$M83-$A$15,BC$13)))</f>
        <v>1000000000000</v>
      </c>
      <c r="BD83" s="173">
        <f ca="1">IF(OR($D83&lt;&gt;"Serviço",AND(AUTOEVENTO="Manual",$M83=$A$15),$M83&gt;(ROW(PLE.lastrow)-ROW(PLE.firstrow))),0,
           IF(OFFSET(PLE!$G$15,$M83-$A$15,BD$13)="",10^12,OFFSET(PLE!$G$15,$M83-$A$15,BD$13)))</f>
        <v>1000000000000</v>
      </c>
      <c r="BE83" s="173">
        <f ca="1">IF(OR($D83&lt;&gt;"Serviço",AND(AUTOEVENTO="Manual",$M83=$A$15),$M83&gt;(ROW(PLE.lastrow)-ROW(PLE.firstrow))),0,
           IF(OFFSET(PLE!$G$15,$M83-$A$15,BE$13)="",10^12,OFFSET(PLE!$G$15,$M83-$A$15,BE$13)))</f>
        <v>1000000000000</v>
      </c>
      <c r="BF83" s="173">
        <f ca="1">IF(OR($D83&lt;&gt;"Serviço",AND(AUTOEVENTO="Manual",$M83=$A$15),$M83&gt;(ROW(PLE.lastrow)-ROW(PLE.firstrow))),0,
           IF(OFFSET(PLE!$G$15,$M83-$A$15,BF$13)="",10^12,OFFSET(PLE!$G$15,$M83-$A$15,BF$13)))</f>
        <v>1000000000000</v>
      </c>
      <c r="BG83" s="173">
        <f ca="1">IF(OR($D83&lt;&gt;"Serviço",AND(AUTOEVENTO="Manual",$M83=$A$15),$M83&gt;(ROW(PLE.lastrow)-ROW(PLE.firstrow))),0,
           IF(OFFSET(PLE!$G$15,$M83-$A$15,BG$13)="",10^12,OFFSET(PLE!$G$15,$M83-$A$15,BG$13)))</f>
        <v>1000000000000</v>
      </c>
    </row>
    <row r="84" spans="1:59" ht="38.25" x14ac:dyDescent="0.2">
      <c r="A84" s="7" t="str">
        <f t="shared" ca="1" si="10"/>
        <v>35</v>
      </c>
      <c r="B84" s="7" t="str">
        <f ca="1">OFFSET(ORÇAMENTO!C$15,ROW(B84)-ROW(B$15),0)</f>
        <v>S</v>
      </c>
      <c r="C84" s="7" t="str">
        <f ca="1">OFFSET(ORÇAMENTO!L$15,ROW(C84)-ROW(C$15),0)</f>
        <v>F</v>
      </c>
      <c r="D84" s="117" t="str">
        <f ca="1">OFFSET(ORÇAMENTO!N$15,ROW(D84)-ROW(D$15),0)</f>
        <v>Serviço</v>
      </c>
      <c r="E84" s="118" t="str">
        <f ca="1">OFFSET(ORÇAMENTO!O$15,ROW(E84)-ROW(E$15),0)</f>
        <v>1.6.34.</v>
      </c>
      <c r="F84" s="164" t="str">
        <f ca="1">OFFSET(ORÇAMENTO!R$15,ROW(F84)-ROW(F$15),0)</f>
        <v>CABO DE COBRE FLEXÍVEL ISOLADO, 2,5 MM², ANTI-CHAMA 0,6/1,0 KV, PARA CIRCUITOS TERMINAIS - FORNECIMENTO E INSTALAÇÃO. AF_03/2023</v>
      </c>
      <c r="G84" s="165" t="str">
        <f ca="1">IF($D84&lt;&gt;"Serviço","",OFFSET(ORÇAMENTO!S$15,ROW(G84)-ROW(G$15),0))</f>
        <v>M</v>
      </c>
      <c r="H84" s="123">
        <f ca="1">IF($D84&lt;&gt;"Serviço",0,IF(ACOMPANHAMENTO="BM",ROUND(OFFSET(ORÇAMENTO!AJ$15,ROW(H84)-ROW(H$15),0),15-13*ORÇAMENTO!$AF$7),SUMPRODUCT(($Q$1:$AA$1=1)*ROUND($Q84:$AA84,15-13*ORÇAMENTO!$AF$7))))</f>
        <v>30</v>
      </c>
      <c r="I84" s="469" t="s">
        <v>1048</v>
      </c>
      <c r="J84" s="663" t="str">
        <f ca="1">IF(OR(B84&lt;&gt;"S",CÁLCULO.FrentesPreenchidas=0),"",IF(AND(ACOMPANHAMENTO="PLE",AUTOEVENTO="Manual",OR(H84&gt;0,ORÇAMENTO!AC84="QUANT."),OR(K84="",M84=0,N84="")),"►",IF(AND(ACOMPANHAMENTO="PLE",ORÇAMENTO!AC84="QUANT."),"►►",IF(AND(COUNTIF($P$11:$AA$11,"▼")=0,H84&gt;0,I84=""),"◄",""))))</f>
        <v/>
      </c>
      <c r="K84" s="664"/>
      <c r="L84" s="166" t="s">
        <v>765</v>
      </c>
      <c r="M84" s="167">
        <f ca="1">IF($D84&lt;&gt;"Serviço","",
          IF(AUTOEVENTO="manual",$A84,
                IF(ISERROR(MATCH($A84,$A$15:OFFSET($A84,-1,0),0)),MAX($M$15:OFFSET(M84,-1,0))+1,
                      INDEX($M$15:OFFSET(M84,-1,0),MATCH($A84,$A$15:OFFSET($A84,-1,0),0)))))</f>
        <v>6</v>
      </c>
      <c r="N84" s="168" t="str">
        <f ca="1">IF($D84&lt;&gt;"Serviço","",
         IF(AUTOEVENTO="Manual",
                IF($A84=0,"&lt;-- defina o número do agrupador",
                       OFFSET(EVENTOS!$D$15,$A84-$A$15,0)),
                OFFSET($F$15,$A84,0)))</f>
        <v>READEQUAÇÃO DA FACHADA PRINCIPAL</v>
      </c>
      <c r="O84" s="169"/>
      <c r="Q84" s="169">
        <v>30</v>
      </c>
      <c r="R84" s="170"/>
      <c r="S84" s="170"/>
      <c r="T84" s="170"/>
      <c r="U84" s="170"/>
      <c r="V84" s="170"/>
      <c r="W84" s="170"/>
      <c r="X84" s="170"/>
      <c r="Y84" s="170"/>
      <c r="Z84" s="171"/>
      <c r="AB84" s="454">
        <f ca="1">IF(AND($D84="Serviço",AB$12&lt;&gt;0,$H84&gt;0,OR(AUTOEVENTO&lt;&gt;"manual",$M84&lt;&gt;$A$15)),
        IF(Import.TipoArredondamento&lt;&gt;"TransfereGOV",
              ROUND(OFFSET($P84,0,AB$13),15-13*ORÇAMENTO!$AF$7)/$H84*OFFSET(ORÇAMENTO!$X$15,ROW(AB84)-ROW(AB$15),0),
              ROUND(ROUND(OFFSET($P84,0,AB$13),15-13*ORÇAMENTO!$AF$7)*OFFSET(ORÇAMENTO!$W$15,ROW(AB84)-ROW(AB$15),0),15-13*ORÇAMENTO!$AF$11)),
         0)</f>
        <v>210</v>
      </c>
      <c r="AC84" s="454">
        <f ca="1">IF(AND($D84="Serviço",AC$12&lt;&gt;0,$H84&gt;0,OR(AUTOEVENTO&lt;&gt;"manual",$M84&lt;&gt;$A$15)),
        IF(Import.TipoArredondamento&lt;&gt;"TransfereGOV",
              ROUND(OFFSET($P84,0,AC$13),15-13*ORÇAMENTO!$AF$7)/$H84*OFFSET(ORÇAMENTO!$X$15,ROW(AC84)-ROW(AC$15),0),
              ROUND(ROUND(OFFSET($P84,0,AC$13),15-13*ORÇAMENTO!$AF$7)*OFFSET(ORÇAMENTO!$W$15,ROW(AC84)-ROW(AC$15),0),15-13*ORÇAMENTO!$AF$11)),
         0)</f>
        <v>0</v>
      </c>
      <c r="AD84" s="454">
        <f ca="1">IF(AND($D84="Serviço",AD$12&lt;&gt;0,$H84&gt;0,OR(AUTOEVENTO&lt;&gt;"manual",$M84&lt;&gt;$A$15)),
        IF(Import.TipoArredondamento&lt;&gt;"TransfereGOV",
              ROUND(OFFSET($P84,0,AD$13),15-13*ORÇAMENTO!$AF$7)/$H84*OFFSET(ORÇAMENTO!$X$15,ROW(AD84)-ROW(AD$15),0),
              ROUND(ROUND(OFFSET($P84,0,AD$13),15-13*ORÇAMENTO!$AF$7)*OFFSET(ORÇAMENTO!$W$15,ROW(AD84)-ROW(AD$15),0),15-13*ORÇAMENTO!$AF$11)),
         0)</f>
        <v>0</v>
      </c>
      <c r="AE84" s="454">
        <f ca="1">IF(AND($D84="Serviço",AE$12&lt;&gt;0,$H84&gt;0,OR(AUTOEVENTO&lt;&gt;"manual",$M84&lt;&gt;$A$15)),
        IF(Import.TipoArredondamento&lt;&gt;"TransfereGOV",
              ROUND(OFFSET($P84,0,AE$13),15-13*ORÇAMENTO!$AF$7)/$H84*OFFSET(ORÇAMENTO!$X$15,ROW(AE84)-ROW(AE$15),0),
              ROUND(ROUND(OFFSET($P84,0,AE$13),15-13*ORÇAMENTO!$AF$7)*OFFSET(ORÇAMENTO!$W$15,ROW(AE84)-ROW(AE$15),0),15-13*ORÇAMENTO!$AF$11)),
         0)</f>
        <v>0</v>
      </c>
      <c r="AF84" s="454">
        <f ca="1">IF(AND($D84="Serviço",AF$12&lt;&gt;0,$H84&gt;0,OR(AUTOEVENTO&lt;&gt;"manual",$M84&lt;&gt;$A$15)),
        IF(Import.TipoArredondamento&lt;&gt;"TransfereGOV",
              ROUND(OFFSET($P84,0,AF$13),15-13*ORÇAMENTO!$AF$7)/$H84*OFFSET(ORÇAMENTO!$X$15,ROW(AF84)-ROW(AF$15),0),
              ROUND(ROUND(OFFSET($P84,0,AF$13),15-13*ORÇAMENTO!$AF$7)*OFFSET(ORÇAMENTO!$W$15,ROW(AF84)-ROW(AF$15),0),15-13*ORÇAMENTO!$AF$11)),
         0)</f>
        <v>0</v>
      </c>
      <c r="AG84" s="454">
        <f ca="1">IF(AND($D84="Serviço",AG$12&lt;&gt;0,$H84&gt;0,OR(AUTOEVENTO&lt;&gt;"manual",$M84&lt;&gt;$A$15)),
        IF(Import.TipoArredondamento&lt;&gt;"TransfereGOV",
              ROUND(OFFSET($P84,0,AG$13),15-13*ORÇAMENTO!$AF$7)/$H84*OFFSET(ORÇAMENTO!$X$15,ROW(AG84)-ROW(AG$15),0),
              ROUND(ROUND(OFFSET($P84,0,AG$13),15-13*ORÇAMENTO!$AF$7)*OFFSET(ORÇAMENTO!$W$15,ROW(AG84)-ROW(AG$15),0),15-13*ORÇAMENTO!$AF$11)),
         0)</f>
        <v>0</v>
      </c>
      <c r="AH84" s="454">
        <f ca="1">IF(AND($D84="Serviço",AH$12&lt;&gt;0,$H84&gt;0,OR(AUTOEVENTO&lt;&gt;"manual",$M84&lt;&gt;$A$15)),
        IF(Import.TipoArredondamento&lt;&gt;"TransfereGOV",
              ROUND(OFFSET($P84,0,AH$13),15-13*ORÇAMENTO!$AF$7)/$H84*OFFSET(ORÇAMENTO!$X$15,ROW(AH84)-ROW(AH$15),0),
              ROUND(ROUND(OFFSET($P84,0,AH$13),15-13*ORÇAMENTO!$AF$7)*OFFSET(ORÇAMENTO!$W$15,ROW(AH84)-ROW(AH$15),0),15-13*ORÇAMENTO!$AF$11)),
         0)</f>
        <v>0</v>
      </c>
      <c r="AI84" s="454">
        <f ca="1">IF(AND($D84="Serviço",AI$12&lt;&gt;0,$H84&gt;0,OR(AUTOEVENTO&lt;&gt;"manual",$M84&lt;&gt;$A$15)),
        IF(Import.TipoArredondamento&lt;&gt;"TransfereGOV",
              ROUND(OFFSET($P84,0,AI$13),15-13*ORÇAMENTO!$AF$7)/$H84*OFFSET(ORÇAMENTO!$X$15,ROW(AI84)-ROW(AI$15),0),
              ROUND(ROUND(OFFSET($P84,0,AI$13),15-13*ORÇAMENTO!$AF$7)*OFFSET(ORÇAMENTO!$W$15,ROW(AI84)-ROW(AI$15),0),15-13*ORÇAMENTO!$AF$11)),
         0)</f>
        <v>0</v>
      </c>
      <c r="AJ84" s="454">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54">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M84" s="172">
        <f ca="1">IF(OR($D84&lt;&gt;"Serviço",AND(AUTOEVENTO="Manual",$M84=$A$15)),0,
         IF(OFFSET(CRONOPLE!$F$15,$M84-$A$15,AM$13)=0,10^12,OFFSET(CRONOPLE!$F$15,$M84-$A$15,AM$13)))</f>
        <v>1</v>
      </c>
      <c r="AN84" s="172">
        <f ca="1">IF(OR($D84&lt;&gt;"Serviço",AND(AUTOEVENTO="Manual",$M84=$A$15)),0,
         IF(OFFSET(CRONOPLE!$F$15,$M84-$A$15,AN$13)=0,10^12,OFFSET(CRONOPLE!$F$15,$M84-$A$15,AN$13)))</f>
        <v>1000000000000</v>
      </c>
      <c r="AO84" s="172">
        <f ca="1">IF(OR($D84&lt;&gt;"Serviço",AND(AUTOEVENTO="Manual",$M84=$A$15)),0,
         IF(OFFSET(CRONOPLE!$F$15,$M84-$A$15,AO$13)=0,10^12,OFFSET(CRONOPLE!$F$15,$M84-$A$15,AO$13)))</f>
        <v>1000000000000</v>
      </c>
      <c r="AP84" s="172">
        <f ca="1">IF(OR($D84&lt;&gt;"Serviço",AND(AUTOEVENTO="Manual",$M84=$A$15)),0,
         IF(OFFSET(CRONOPLE!$F$15,$M84-$A$15,AP$13)=0,10^12,OFFSET(CRONOPLE!$F$15,$M84-$A$15,AP$13)))</f>
        <v>1000000000000</v>
      </c>
      <c r="AQ84" s="172">
        <f ca="1">IF(OR($D84&lt;&gt;"Serviço",AND(AUTOEVENTO="Manual",$M84=$A$15)),0,
         IF(OFFSET(CRONOPLE!$F$15,$M84-$A$15,AQ$13)=0,10^12,OFFSET(CRONOPLE!$F$15,$M84-$A$15,AQ$13)))</f>
        <v>1000000000000</v>
      </c>
      <c r="AR84" s="172">
        <f ca="1">IF(OR($D84&lt;&gt;"Serviço",AND(AUTOEVENTO="Manual",$M84=$A$15)),0,
         IF(OFFSET(CRONOPLE!$F$15,$M84-$A$15,AR$13)=0,10^12,OFFSET(CRONOPLE!$F$15,$M84-$A$15,AR$13)))</f>
        <v>1000000000000</v>
      </c>
      <c r="AS84" s="172">
        <f ca="1">IF(OR($D84&lt;&gt;"Serviço",AND(AUTOEVENTO="Manual",$M84=$A$15)),0,
         IF(OFFSET(CRONOPLE!$F$15,$M84-$A$15,AS$13)=0,10^12,OFFSET(CRONOPLE!$F$15,$M84-$A$15,AS$13)))</f>
        <v>1000000000000</v>
      </c>
      <c r="AT84" s="172">
        <f ca="1">IF(OR($D84&lt;&gt;"Serviço",AND(AUTOEVENTO="Manual",$M84=$A$15)),0,
         IF(OFFSET(CRONOPLE!$F$15,$M84-$A$15,AT$13)=0,10^12,OFFSET(CRONOPLE!$F$15,$M84-$A$15,AT$13)))</f>
        <v>1000000000000</v>
      </c>
      <c r="AU84" s="172">
        <f ca="1">IF(OR($D84&lt;&gt;"Serviço",AND(AUTOEVENTO="Manual",$M84=$A$15)),0,
         IF(OFFSET(CRONOPLE!$F$15,$M84-$A$15,AU$13)=0,10^12,OFFSET(CRONOPLE!$F$15,$M84-$A$15,AU$13)))</f>
        <v>1000000000000</v>
      </c>
      <c r="AV84" s="172">
        <f ca="1">IF(OR($D84&lt;&gt;"Serviço",AND(AUTOEVENTO="Manual",$M84=$A$15)),0,
         IF(OFFSET(CRONOPLE!$F$15,$M84-$A$15,AV$13)=0,10^12,OFFSET(CRONOPLE!$F$15,$M84-$A$15,AV$13)))</f>
        <v>1000000000000</v>
      </c>
      <c r="AX84" s="173">
        <f ca="1">IF(OR($D84&lt;&gt;"Serviço",AND(AUTOEVENTO="Manual",$M84=$A$15),$M84&gt;(ROW(PLE.lastrow)-ROW(PLE.firstrow))),0,
           IF(OFFSET(PLE!$G$15,$M84-$A$15,AX$13)="",10^12,OFFSET(PLE!$G$15,$M84-$A$15,AX$13)))</f>
        <v>1000000000000</v>
      </c>
      <c r="AY84" s="173">
        <f ca="1">IF(OR($D84&lt;&gt;"Serviço",AND(AUTOEVENTO="Manual",$M84=$A$15),$M84&gt;(ROW(PLE.lastrow)-ROW(PLE.firstrow))),0,
           IF(OFFSET(PLE!$G$15,$M84-$A$15,AY$13)="",10^12,OFFSET(PLE!$G$15,$M84-$A$15,AY$13)))</f>
        <v>1000000000000</v>
      </c>
      <c r="AZ84" s="173">
        <f ca="1">IF(OR($D84&lt;&gt;"Serviço",AND(AUTOEVENTO="Manual",$M84=$A$15),$M84&gt;(ROW(PLE.lastrow)-ROW(PLE.firstrow))),0,
           IF(OFFSET(PLE!$G$15,$M84-$A$15,AZ$13)="",10^12,OFFSET(PLE!$G$15,$M84-$A$15,AZ$13)))</f>
        <v>1000000000000</v>
      </c>
      <c r="BA84" s="173">
        <f ca="1">IF(OR($D84&lt;&gt;"Serviço",AND(AUTOEVENTO="Manual",$M84=$A$15),$M84&gt;(ROW(PLE.lastrow)-ROW(PLE.firstrow))),0,
           IF(OFFSET(PLE!$G$15,$M84-$A$15,BA$13)="",10^12,OFFSET(PLE!$G$15,$M84-$A$15,BA$13)))</f>
        <v>1000000000000</v>
      </c>
      <c r="BB84" s="173">
        <f ca="1">IF(OR($D84&lt;&gt;"Serviço",AND(AUTOEVENTO="Manual",$M84=$A$15),$M84&gt;(ROW(PLE.lastrow)-ROW(PLE.firstrow))),0,
           IF(OFFSET(PLE!$G$15,$M84-$A$15,BB$13)="",10^12,OFFSET(PLE!$G$15,$M84-$A$15,BB$13)))</f>
        <v>1000000000000</v>
      </c>
      <c r="BC84" s="173">
        <f ca="1">IF(OR($D84&lt;&gt;"Serviço",AND(AUTOEVENTO="Manual",$M84=$A$15),$M84&gt;(ROW(PLE.lastrow)-ROW(PLE.firstrow))),0,
           IF(OFFSET(PLE!$G$15,$M84-$A$15,BC$13)="",10^12,OFFSET(PLE!$G$15,$M84-$A$15,BC$13)))</f>
        <v>1000000000000</v>
      </c>
      <c r="BD84" s="173">
        <f ca="1">IF(OR($D84&lt;&gt;"Serviço",AND(AUTOEVENTO="Manual",$M84=$A$15),$M84&gt;(ROW(PLE.lastrow)-ROW(PLE.firstrow))),0,
           IF(OFFSET(PLE!$G$15,$M84-$A$15,BD$13)="",10^12,OFFSET(PLE!$G$15,$M84-$A$15,BD$13)))</f>
        <v>1000000000000</v>
      </c>
      <c r="BE84" s="173">
        <f ca="1">IF(OR($D84&lt;&gt;"Serviço",AND(AUTOEVENTO="Manual",$M84=$A$15),$M84&gt;(ROW(PLE.lastrow)-ROW(PLE.firstrow))),0,
           IF(OFFSET(PLE!$G$15,$M84-$A$15,BE$13)="",10^12,OFFSET(PLE!$G$15,$M84-$A$15,BE$13)))</f>
        <v>1000000000000</v>
      </c>
      <c r="BF84" s="173">
        <f ca="1">IF(OR($D84&lt;&gt;"Serviço",AND(AUTOEVENTO="Manual",$M84=$A$15),$M84&gt;(ROW(PLE.lastrow)-ROW(PLE.firstrow))),0,
           IF(OFFSET(PLE!$G$15,$M84-$A$15,BF$13)="",10^12,OFFSET(PLE!$G$15,$M84-$A$15,BF$13)))</f>
        <v>1000000000000</v>
      </c>
      <c r="BG84" s="173">
        <f ca="1">IF(OR($D84&lt;&gt;"Serviço",AND(AUTOEVENTO="Manual",$M84=$A$15),$M84&gt;(ROW(PLE.lastrow)-ROW(PLE.firstrow))),0,
           IF(OFFSET(PLE!$G$15,$M84-$A$15,BG$13)="",10^12,OFFSET(PLE!$G$15,$M84-$A$15,BG$13)))</f>
        <v>1000000000000</v>
      </c>
    </row>
    <row r="85" spans="1:59" ht="25.5" x14ac:dyDescent="0.2">
      <c r="A85" s="7" t="str">
        <f t="shared" ca="1" si="10"/>
        <v>35</v>
      </c>
      <c r="B85" s="7" t="str">
        <f ca="1">OFFSET(ORÇAMENTO!C$15,ROW(B85)-ROW(B$15),0)</f>
        <v>S</v>
      </c>
      <c r="C85" s="7" t="str">
        <f ca="1">OFFSET(ORÇAMENTO!L$15,ROW(C85)-ROW(C$15),0)</f>
        <v>F</v>
      </c>
      <c r="D85" s="117" t="str">
        <f ca="1">OFFSET(ORÇAMENTO!N$15,ROW(D85)-ROW(D$15),0)</f>
        <v>Serviço</v>
      </c>
      <c r="E85" s="118" t="str">
        <f ca="1">OFFSET(ORÇAMENTO!O$15,ROW(E85)-ROW(E$15),0)</f>
        <v>1.6.35.</v>
      </c>
      <c r="F85" s="164" t="str">
        <f ca="1">OFFSET(ORÇAMENTO!R$15,ROW(F85)-ROW(F$15),0)</f>
        <v>TOMADA BAIXA DE EMBUTIR (1 MÓDULO), 2P+T 20 A, INCLUINDO SUPORTE E PLACA - FORNECIMENTO E INSTALAÇÃO. AF_03/2023</v>
      </c>
      <c r="G85" s="165" t="str">
        <f ca="1">IF($D85&lt;&gt;"Serviço","",OFFSET(ORÇAMENTO!S$15,ROW(G85)-ROW(G$15),0))</f>
        <v>UN</v>
      </c>
      <c r="H85" s="123">
        <f ca="1">IF($D85&lt;&gt;"Serviço",0,IF(ACOMPANHAMENTO="BM",ROUND(OFFSET(ORÇAMENTO!AJ$15,ROW(H85)-ROW(H$15),0),15-13*ORÇAMENTO!$AF$7),SUMPRODUCT(($Q$1:$AA$1=1)*ROUND($Q85:$AA85,15-13*ORÇAMENTO!$AF$7))))</f>
        <v>1</v>
      </c>
      <c r="I85" s="469" t="s">
        <v>1048</v>
      </c>
      <c r="J85" s="663" t="str">
        <f ca="1">IF(OR(B85&lt;&gt;"S",CÁLCULO.FrentesPreenchidas=0),"",IF(AND(ACOMPANHAMENTO="PLE",AUTOEVENTO="Manual",OR(H85&gt;0,ORÇAMENTO!AC85="QUANT."),OR(K85="",M85=0,N85="")),"►",IF(AND(ACOMPANHAMENTO="PLE",ORÇAMENTO!AC85="QUANT."),"►►",IF(AND(COUNTIF($P$11:$AA$11,"▼")=0,H85&gt;0,I85=""),"◄",""))))</f>
        <v/>
      </c>
      <c r="K85" s="664"/>
      <c r="L85" s="166" t="s">
        <v>765</v>
      </c>
      <c r="M85" s="167">
        <f ca="1">IF($D85&lt;&gt;"Serviço","",
          IF(AUTOEVENTO="manual",$A85,
                IF(ISERROR(MATCH($A85,$A$15:OFFSET($A85,-1,0),0)),MAX($M$15:OFFSET(M85,-1,0))+1,
                      INDEX($M$15:OFFSET(M85,-1,0),MATCH($A85,$A$15:OFFSET($A85,-1,0),0)))))</f>
        <v>6</v>
      </c>
      <c r="N85" s="168" t="str">
        <f ca="1">IF($D85&lt;&gt;"Serviço","",
         IF(AUTOEVENTO="Manual",
                IF($A85=0,"&lt;-- defina o número do agrupador",
                       OFFSET(EVENTOS!$D$15,$A85-$A$15,0)),
                OFFSET($F$15,$A85,0)))</f>
        <v>READEQUAÇÃO DA FACHADA PRINCIPAL</v>
      </c>
      <c r="O85" s="169"/>
      <c r="Q85" s="169">
        <v>1</v>
      </c>
      <c r="R85" s="170"/>
      <c r="S85" s="170"/>
      <c r="T85" s="170"/>
      <c r="U85" s="170"/>
      <c r="V85" s="170"/>
      <c r="W85" s="170"/>
      <c r="X85" s="170"/>
      <c r="Y85" s="170"/>
      <c r="Z85" s="171"/>
      <c r="AB85" s="454">
        <f ca="1">IF(AND($D85="Serviço",AB$12&lt;&gt;0,$H85&gt;0,OR(AUTOEVENTO&lt;&gt;"manual",$M85&lt;&gt;$A$15)),
        IF(Import.TipoArredondamento&lt;&gt;"TransfereGOV",
              ROUND(OFFSET($P85,0,AB$13),15-13*ORÇAMENTO!$AF$7)/$H85*OFFSET(ORÇAMENTO!$X$15,ROW(AB85)-ROW(AB$15),0),
              ROUND(ROUND(OFFSET($P85,0,AB$13),15-13*ORÇAMENTO!$AF$7)*OFFSET(ORÇAMENTO!$W$15,ROW(AB85)-ROW(AB$15),0),15-13*ORÇAMENTO!$AF$11)),
         0)</f>
        <v>47.08</v>
      </c>
      <c r="AC85" s="454">
        <f ca="1">IF(AND($D85="Serviço",AC$12&lt;&gt;0,$H85&gt;0,OR(AUTOEVENTO&lt;&gt;"manual",$M85&lt;&gt;$A$15)),
        IF(Import.TipoArredondamento&lt;&gt;"TransfereGOV",
              ROUND(OFFSET($P85,0,AC$13),15-13*ORÇAMENTO!$AF$7)/$H85*OFFSET(ORÇAMENTO!$X$15,ROW(AC85)-ROW(AC$15),0),
              ROUND(ROUND(OFFSET($P85,0,AC$13),15-13*ORÇAMENTO!$AF$7)*OFFSET(ORÇAMENTO!$W$15,ROW(AC85)-ROW(AC$15),0),15-13*ORÇAMENTO!$AF$11)),
         0)</f>
        <v>0</v>
      </c>
      <c r="AD85" s="454">
        <f ca="1">IF(AND($D85="Serviço",AD$12&lt;&gt;0,$H85&gt;0,OR(AUTOEVENTO&lt;&gt;"manual",$M85&lt;&gt;$A$15)),
        IF(Import.TipoArredondamento&lt;&gt;"TransfereGOV",
              ROUND(OFFSET($P85,0,AD$13),15-13*ORÇAMENTO!$AF$7)/$H85*OFFSET(ORÇAMENTO!$X$15,ROW(AD85)-ROW(AD$15),0),
              ROUND(ROUND(OFFSET($P85,0,AD$13),15-13*ORÇAMENTO!$AF$7)*OFFSET(ORÇAMENTO!$W$15,ROW(AD85)-ROW(AD$15),0),15-13*ORÇAMENTO!$AF$11)),
         0)</f>
        <v>0</v>
      </c>
      <c r="AE85" s="454">
        <f ca="1">IF(AND($D85="Serviço",AE$12&lt;&gt;0,$H85&gt;0,OR(AUTOEVENTO&lt;&gt;"manual",$M85&lt;&gt;$A$15)),
        IF(Import.TipoArredondamento&lt;&gt;"TransfereGOV",
              ROUND(OFFSET($P85,0,AE$13),15-13*ORÇAMENTO!$AF$7)/$H85*OFFSET(ORÇAMENTO!$X$15,ROW(AE85)-ROW(AE$15),0),
              ROUND(ROUND(OFFSET($P85,0,AE$13),15-13*ORÇAMENTO!$AF$7)*OFFSET(ORÇAMENTO!$W$15,ROW(AE85)-ROW(AE$15),0),15-13*ORÇAMENTO!$AF$11)),
         0)</f>
        <v>0</v>
      </c>
      <c r="AF85" s="454">
        <f ca="1">IF(AND($D85="Serviço",AF$12&lt;&gt;0,$H85&gt;0,OR(AUTOEVENTO&lt;&gt;"manual",$M85&lt;&gt;$A$15)),
        IF(Import.TipoArredondamento&lt;&gt;"TransfereGOV",
              ROUND(OFFSET($P85,0,AF$13),15-13*ORÇAMENTO!$AF$7)/$H85*OFFSET(ORÇAMENTO!$X$15,ROW(AF85)-ROW(AF$15),0),
              ROUND(ROUND(OFFSET($P85,0,AF$13),15-13*ORÇAMENTO!$AF$7)*OFFSET(ORÇAMENTO!$W$15,ROW(AF85)-ROW(AF$15),0),15-13*ORÇAMENTO!$AF$11)),
         0)</f>
        <v>0</v>
      </c>
      <c r="AG85" s="454">
        <f ca="1">IF(AND($D85="Serviço",AG$12&lt;&gt;0,$H85&gt;0,OR(AUTOEVENTO&lt;&gt;"manual",$M85&lt;&gt;$A$15)),
        IF(Import.TipoArredondamento&lt;&gt;"TransfereGOV",
              ROUND(OFFSET($P85,0,AG$13),15-13*ORÇAMENTO!$AF$7)/$H85*OFFSET(ORÇAMENTO!$X$15,ROW(AG85)-ROW(AG$15),0),
              ROUND(ROUND(OFFSET($P85,0,AG$13),15-13*ORÇAMENTO!$AF$7)*OFFSET(ORÇAMENTO!$W$15,ROW(AG85)-ROW(AG$15),0),15-13*ORÇAMENTO!$AF$11)),
         0)</f>
        <v>0</v>
      </c>
      <c r="AH85" s="454">
        <f ca="1">IF(AND($D85="Serviço",AH$12&lt;&gt;0,$H85&gt;0,OR(AUTOEVENTO&lt;&gt;"manual",$M85&lt;&gt;$A$15)),
        IF(Import.TipoArredondamento&lt;&gt;"TransfereGOV",
              ROUND(OFFSET($P85,0,AH$13),15-13*ORÇAMENTO!$AF$7)/$H85*OFFSET(ORÇAMENTO!$X$15,ROW(AH85)-ROW(AH$15),0),
              ROUND(ROUND(OFFSET($P85,0,AH$13),15-13*ORÇAMENTO!$AF$7)*OFFSET(ORÇAMENTO!$W$15,ROW(AH85)-ROW(AH$15),0),15-13*ORÇAMENTO!$AF$11)),
         0)</f>
        <v>0</v>
      </c>
      <c r="AI85" s="454">
        <f ca="1">IF(AND($D85="Serviço",AI$12&lt;&gt;0,$H85&gt;0,OR(AUTOEVENTO&lt;&gt;"manual",$M85&lt;&gt;$A$15)),
        IF(Import.TipoArredondamento&lt;&gt;"TransfereGOV",
              ROUND(OFFSET($P85,0,AI$13),15-13*ORÇAMENTO!$AF$7)/$H85*OFFSET(ORÇAMENTO!$X$15,ROW(AI85)-ROW(AI$15),0),
              ROUND(ROUND(OFFSET($P85,0,AI$13),15-13*ORÇAMENTO!$AF$7)*OFFSET(ORÇAMENTO!$W$15,ROW(AI85)-ROW(AI$15),0),15-13*ORÇAMENTO!$AF$11)),
         0)</f>
        <v>0</v>
      </c>
      <c r="AJ85" s="454">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54">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M85" s="172">
        <f ca="1">IF(OR($D85&lt;&gt;"Serviço",AND(AUTOEVENTO="Manual",$M85=$A$15)),0,
         IF(OFFSET(CRONOPLE!$F$15,$M85-$A$15,AM$13)=0,10^12,OFFSET(CRONOPLE!$F$15,$M85-$A$15,AM$13)))</f>
        <v>1</v>
      </c>
      <c r="AN85" s="172">
        <f ca="1">IF(OR($D85&lt;&gt;"Serviço",AND(AUTOEVENTO="Manual",$M85=$A$15)),0,
         IF(OFFSET(CRONOPLE!$F$15,$M85-$A$15,AN$13)=0,10^12,OFFSET(CRONOPLE!$F$15,$M85-$A$15,AN$13)))</f>
        <v>1000000000000</v>
      </c>
      <c r="AO85" s="172">
        <f ca="1">IF(OR($D85&lt;&gt;"Serviço",AND(AUTOEVENTO="Manual",$M85=$A$15)),0,
         IF(OFFSET(CRONOPLE!$F$15,$M85-$A$15,AO$13)=0,10^12,OFFSET(CRONOPLE!$F$15,$M85-$A$15,AO$13)))</f>
        <v>1000000000000</v>
      </c>
      <c r="AP85" s="172">
        <f ca="1">IF(OR($D85&lt;&gt;"Serviço",AND(AUTOEVENTO="Manual",$M85=$A$15)),0,
         IF(OFFSET(CRONOPLE!$F$15,$M85-$A$15,AP$13)=0,10^12,OFFSET(CRONOPLE!$F$15,$M85-$A$15,AP$13)))</f>
        <v>1000000000000</v>
      </c>
      <c r="AQ85" s="172">
        <f ca="1">IF(OR($D85&lt;&gt;"Serviço",AND(AUTOEVENTO="Manual",$M85=$A$15)),0,
         IF(OFFSET(CRONOPLE!$F$15,$M85-$A$15,AQ$13)=0,10^12,OFFSET(CRONOPLE!$F$15,$M85-$A$15,AQ$13)))</f>
        <v>1000000000000</v>
      </c>
      <c r="AR85" s="172">
        <f ca="1">IF(OR($D85&lt;&gt;"Serviço",AND(AUTOEVENTO="Manual",$M85=$A$15)),0,
         IF(OFFSET(CRONOPLE!$F$15,$M85-$A$15,AR$13)=0,10^12,OFFSET(CRONOPLE!$F$15,$M85-$A$15,AR$13)))</f>
        <v>1000000000000</v>
      </c>
      <c r="AS85" s="172">
        <f ca="1">IF(OR($D85&lt;&gt;"Serviço",AND(AUTOEVENTO="Manual",$M85=$A$15)),0,
         IF(OFFSET(CRONOPLE!$F$15,$M85-$A$15,AS$13)=0,10^12,OFFSET(CRONOPLE!$F$15,$M85-$A$15,AS$13)))</f>
        <v>1000000000000</v>
      </c>
      <c r="AT85" s="172">
        <f ca="1">IF(OR($D85&lt;&gt;"Serviço",AND(AUTOEVENTO="Manual",$M85=$A$15)),0,
         IF(OFFSET(CRONOPLE!$F$15,$M85-$A$15,AT$13)=0,10^12,OFFSET(CRONOPLE!$F$15,$M85-$A$15,AT$13)))</f>
        <v>1000000000000</v>
      </c>
      <c r="AU85" s="172">
        <f ca="1">IF(OR($D85&lt;&gt;"Serviço",AND(AUTOEVENTO="Manual",$M85=$A$15)),0,
         IF(OFFSET(CRONOPLE!$F$15,$M85-$A$15,AU$13)=0,10^12,OFFSET(CRONOPLE!$F$15,$M85-$A$15,AU$13)))</f>
        <v>1000000000000</v>
      </c>
      <c r="AV85" s="172">
        <f ca="1">IF(OR($D85&lt;&gt;"Serviço",AND(AUTOEVENTO="Manual",$M85=$A$15)),0,
         IF(OFFSET(CRONOPLE!$F$15,$M85-$A$15,AV$13)=0,10^12,OFFSET(CRONOPLE!$F$15,$M85-$A$15,AV$13)))</f>
        <v>1000000000000</v>
      </c>
      <c r="AX85" s="173">
        <f ca="1">IF(OR($D85&lt;&gt;"Serviço",AND(AUTOEVENTO="Manual",$M85=$A$15),$M85&gt;(ROW(PLE.lastrow)-ROW(PLE.firstrow))),0,
           IF(OFFSET(PLE!$G$15,$M85-$A$15,AX$13)="",10^12,OFFSET(PLE!$G$15,$M85-$A$15,AX$13)))</f>
        <v>1000000000000</v>
      </c>
      <c r="AY85" s="173">
        <f ca="1">IF(OR($D85&lt;&gt;"Serviço",AND(AUTOEVENTO="Manual",$M85=$A$15),$M85&gt;(ROW(PLE.lastrow)-ROW(PLE.firstrow))),0,
           IF(OFFSET(PLE!$G$15,$M85-$A$15,AY$13)="",10^12,OFFSET(PLE!$G$15,$M85-$A$15,AY$13)))</f>
        <v>1000000000000</v>
      </c>
      <c r="AZ85" s="173">
        <f ca="1">IF(OR($D85&lt;&gt;"Serviço",AND(AUTOEVENTO="Manual",$M85=$A$15),$M85&gt;(ROW(PLE.lastrow)-ROW(PLE.firstrow))),0,
           IF(OFFSET(PLE!$G$15,$M85-$A$15,AZ$13)="",10^12,OFFSET(PLE!$G$15,$M85-$A$15,AZ$13)))</f>
        <v>1000000000000</v>
      </c>
      <c r="BA85" s="173">
        <f ca="1">IF(OR($D85&lt;&gt;"Serviço",AND(AUTOEVENTO="Manual",$M85=$A$15),$M85&gt;(ROW(PLE.lastrow)-ROW(PLE.firstrow))),0,
           IF(OFFSET(PLE!$G$15,$M85-$A$15,BA$13)="",10^12,OFFSET(PLE!$G$15,$M85-$A$15,BA$13)))</f>
        <v>1000000000000</v>
      </c>
      <c r="BB85" s="173">
        <f ca="1">IF(OR($D85&lt;&gt;"Serviço",AND(AUTOEVENTO="Manual",$M85=$A$15),$M85&gt;(ROW(PLE.lastrow)-ROW(PLE.firstrow))),0,
           IF(OFFSET(PLE!$G$15,$M85-$A$15,BB$13)="",10^12,OFFSET(PLE!$G$15,$M85-$A$15,BB$13)))</f>
        <v>1000000000000</v>
      </c>
      <c r="BC85" s="173">
        <f ca="1">IF(OR($D85&lt;&gt;"Serviço",AND(AUTOEVENTO="Manual",$M85=$A$15),$M85&gt;(ROW(PLE.lastrow)-ROW(PLE.firstrow))),0,
           IF(OFFSET(PLE!$G$15,$M85-$A$15,BC$13)="",10^12,OFFSET(PLE!$G$15,$M85-$A$15,BC$13)))</f>
        <v>1000000000000</v>
      </c>
      <c r="BD85" s="173">
        <f ca="1">IF(OR($D85&lt;&gt;"Serviço",AND(AUTOEVENTO="Manual",$M85=$A$15),$M85&gt;(ROW(PLE.lastrow)-ROW(PLE.firstrow))),0,
           IF(OFFSET(PLE!$G$15,$M85-$A$15,BD$13)="",10^12,OFFSET(PLE!$G$15,$M85-$A$15,BD$13)))</f>
        <v>1000000000000</v>
      </c>
      <c r="BE85" s="173">
        <f ca="1">IF(OR($D85&lt;&gt;"Serviço",AND(AUTOEVENTO="Manual",$M85=$A$15),$M85&gt;(ROW(PLE.lastrow)-ROW(PLE.firstrow))),0,
           IF(OFFSET(PLE!$G$15,$M85-$A$15,BE$13)="",10^12,OFFSET(PLE!$G$15,$M85-$A$15,BE$13)))</f>
        <v>1000000000000</v>
      </c>
      <c r="BF85" s="173">
        <f ca="1">IF(OR($D85&lt;&gt;"Serviço",AND(AUTOEVENTO="Manual",$M85=$A$15),$M85&gt;(ROW(PLE.lastrow)-ROW(PLE.firstrow))),0,
           IF(OFFSET(PLE!$G$15,$M85-$A$15,BF$13)="",10^12,OFFSET(PLE!$G$15,$M85-$A$15,BF$13)))</f>
        <v>1000000000000</v>
      </c>
      <c r="BG85" s="173">
        <f ca="1">IF(OR($D85&lt;&gt;"Serviço",AND(AUTOEVENTO="Manual",$M85=$A$15),$M85&gt;(ROW(PLE.lastrow)-ROW(PLE.firstrow))),0,
           IF(OFFSET(PLE!$G$15,$M85-$A$15,BG$13)="",10^12,OFFSET(PLE!$G$15,$M85-$A$15,BG$13)))</f>
        <v>1000000000000</v>
      </c>
    </row>
    <row r="86" spans="1:59" ht="38.25" x14ac:dyDescent="0.2">
      <c r="A86" s="7" t="str">
        <f t="shared" ca="1" si="10"/>
        <v>35</v>
      </c>
      <c r="B86" s="7" t="str">
        <f ca="1">OFFSET(ORÇAMENTO!C$15,ROW(B86)-ROW(B$15),0)</f>
        <v>S</v>
      </c>
      <c r="C86" s="7" t="str">
        <f ca="1">OFFSET(ORÇAMENTO!L$15,ROW(C86)-ROW(C$15),0)</f>
        <v>F</v>
      </c>
      <c r="D86" s="117" t="str">
        <f ca="1">OFFSET(ORÇAMENTO!N$15,ROW(D86)-ROW(D$15),0)</f>
        <v>Serviço</v>
      </c>
      <c r="E86" s="118" t="str">
        <f ca="1">OFFSET(ORÇAMENTO!O$15,ROW(E86)-ROW(E$15),0)</f>
        <v>1.6.36.</v>
      </c>
      <c r="F86" s="164" t="str">
        <f ca="1">OFFSET(ORÇAMENTO!R$15,ROW(F86)-ROW(F$15),0)</f>
        <v>INTERRUPTOR SIMPLES (1 MÓDULO) COM 1 TOMADA DE EMBUTIR 2P+T 10 A, INCLUINDO SUPORTE E PLACA - FORNECIMENTO E INSTALAÇÃO. AF_03/2023</v>
      </c>
      <c r="G86" s="165" t="str">
        <f ca="1">IF($D86&lt;&gt;"Serviço","",OFFSET(ORÇAMENTO!S$15,ROW(G86)-ROW(G$15),0))</f>
        <v>UN</v>
      </c>
      <c r="H86" s="123">
        <f ca="1">IF($D86&lt;&gt;"Serviço",0,IF(ACOMPANHAMENTO="BM",ROUND(OFFSET(ORÇAMENTO!AJ$15,ROW(H86)-ROW(H$15),0),15-13*ORÇAMENTO!$AF$7),SUMPRODUCT(($Q$1:$AA$1=1)*ROUND($Q86:$AA86,15-13*ORÇAMENTO!$AF$7))))</f>
        <v>1</v>
      </c>
      <c r="I86" s="469" t="s">
        <v>1048</v>
      </c>
      <c r="J86" s="663" t="str">
        <f ca="1">IF(OR(B86&lt;&gt;"S",CÁLCULO.FrentesPreenchidas=0),"",IF(AND(ACOMPANHAMENTO="PLE",AUTOEVENTO="Manual",OR(H86&gt;0,ORÇAMENTO!AC86="QUANT."),OR(K86="",M86=0,N86="")),"►",IF(AND(ACOMPANHAMENTO="PLE",ORÇAMENTO!AC86="QUANT."),"►►",IF(AND(COUNTIF($P$11:$AA$11,"▼")=0,H86&gt;0,I86=""),"◄",""))))</f>
        <v/>
      </c>
      <c r="K86" s="664"/>
      <c r="L86" s="166" t="s">
        <v>765</v>
      </c>
      <c r="M86" s="167">
        <f ca="1">IF($D86&lt;&gt;"Serviço","",
          IF(AUTOEVENTO="manual",$A86,
                IF(ISERROR(MATCH($A86,$A$15:OFFSET($A86,-1,0),0)),MAX($M$15:OFFSET(M86,-1,0))+1,
                      INDEX($M$15:OFFSET(M86,-1,0),MATCH($A86,$A$15:OFFSET($A86,-1,0),0)))))</f>
        <v>6</v>
      </c>
      <c r="N86" s="168" t="str">
        <f ca="1">IF($D86&lt;&gt;"Serviço","",
         IF(AUTOEVENTO="Manual",
                IF($A86=0,"&lt;-- defina o número do agrupador",
                       OFFSET(EVENTOS!$D$15,$A86-$A$15,0)),
                OFFSET($F$15,$A86,0)))</f>
        <v>READEQUAÇÃO DA FACHADA PRINCIPAL</v>
      </c>
      <c r="O86" s="169"/>
      <c r="Q86" s="169">
        <v>1</v>
      </c>
      <c r="R86" s="170"/>
      <c r="S86" s="170"/>
      <c r="T86" s="170"/>
      <c r="U86" s="170"/>
      <c r="V86" s="170"/>
      <c r="W86" s="170"/>
      <c r="X86" s="170"/>
      <c r="Y86" s="170"/>
      <c r="Z86" s="171"/>
      <c r="AB86" s="454">
        <f ca="1">IF(AND($D86="Serviço",AB$12&lt;&gt;0,$H86&gt;0,OR(AUTOEVENTO&lt;&gt;"manual",$M86&lt;&gt;$A$15)),
        IF(Import.TipoArredondamento&lt;&gt;"TransfereGOV",
              ROUND(OFFSET($P86,0,AB$13),15-13*ORÇAMENTO!$AF$7)/$H86*OFFSET(ORÇAMENTO!$X$15,ROW(AB86)-ROW(AB$15),0),
              ROUND(ROUND(OFFSET($P86,0,AB$13),15-13*ORÇAMENTO!$AF$7)*OFFSET(ORÇAMENTO!$W$15,ROW(AB86)-ROW(AB$15),0),15-13*ORÇAMENTO!$AF$11)),
         0)</f>
        <v>71.260000000000005</v>
      </c>
      <c r="AC86" s="454">
        <f ca="1">IF(AND($D86="Serviço",AC$12&lt;&gt;0,$H86&gt;0,OR(AUTOEVENTO&lt;&gt;"manual",$M86&lt;&gt;$A$15)),
        IF(Import.TipoArredondamento&lt;&gt;"TransfereGOV",
              ROUND(OFFSET($P86,0,AC$13),15-13*ORÇAMENTO!$AF$7)/$H86*OFFSET(ORÇAMENTO!$X$15,ROW(AC86)-ROW(AC$15),0),
              ROUND(ROUND(OFFSET($P86,0,AC$13),15-13*ORÇAMENTO!$AF$7)*OFFSET(ORÇAMENTO!$W$15,ROW(AC86)-ROW(AC$15),0),15-13*ORÇAMENTO!$AF$11)),
         0)</f>
        <v>0</v>
      </c>
      <c r="AD86" s="454">
        <f ca="1">IF(AND($D86="Serviço",AD$12&lt;&gt;0,$H86&gt;0,OR(AUTOEVENTO&lt;&gt;"manual",$M86&lt;&gt;$A$15)),
        IF(Import.TipoArredondamento&lt;&gt;"TransfereGOV",
              ROUND(OFFSET($P86,0,AD$13),15-13*ORÇAMENTO!$AF$7)/$H86*OFFSET(ORÇAMENTO!$X$15,ROW(AD86)-ROW(AD$15),0),
              ROUND(ROUND(OFFSET($P86,0,AD$13),15-13*ORÇAMENTO!$AF$7)*OFFSET(ORÇAMENTO!$W$15,ROW(AD86)-ROW(AD$15),0),15-13*ORÇAMENTO!$AF$11)),
         0)</f>
        <v>0</v>
      </c>
      <c r="AE86" s="454">
        <f ca="1">IF(AND($D86="Serviço",AE$12&lt;&gt;0,$H86&gt;0,OR(AUTOEVENTO&lt;&gt;"manual",$M86&lt;&gt;$A$15)),
        IF(Import.TipoArredondamento&lt;&gt;"TransfereGOV",
              ROUND(OFFSET($P86,0,AE$13),15-13*ORÇAMENTO!$AF$7)/$H86*OFFSET(ORÇAMENTO!$X$15,ROW(AE86)-ROW(AE$15),0),
              ROUND(ROUND(OFFSET($P86,0,AE$13),15-13*ORÇAMENTO!$AF$7)*OFFSET(ORÇAMENTO!$W$15,ROW(AE86)-ROW(AE$15),0),15-13*ORÇAMENTO!$AF$11)),
         0)</f>
        <v>0</v>
      </c>
      <c r="AF86" s="454">
        <f ca="1">IF(AND($D86="Serviço",AF$12&lt;&gt;0,$H86&gt;0,OR(AUTOEVENTO&lt;&gt;"manual",$M86&lt;&gt;$A$15)),
        IF(Import.TipoArredondamento&lt;&gt;"TransfereGOV",
              ROUND(OFFSET($P86,0,AF$13),15-13*ORÇAMENTO!$AF$7)/$H86*OFFSET(ORÇAMENTO!$X$15,ROW(AF86)-ROW(AF$15),0),
              ROUND(ROUND(OFFSET($P86,0,AF$13),15-13*ORÇAMENTO!$AF$7)*OFFSET(ORÇAMENTO!$W$15,ROW(AF86)-ROW(AF$15),0),15-13*ORÇAMENTO!$AF$11)),
         0)</f>
        <v>0</v>
      </c>
      <c r="AG86" s="454">
        <f ca="1">IF(AND($D86="Serviço",AG$12&lt;&gt;0,$H86&gt;0,OR(AUTOEVENTO&lt;&gt;"manual",$M86&lt;&gt;$A$15)),
        IF(Import.TipoArredondamento&lt;&gt;"TransfereGOV",
              ROUND(OFFSET($P86,0,AG$13),15-13*ORÇAMENTO!$AF$7)/$H86*OFFSET(ORÇAMENTO!$X$15,ROW(AG86)-ROW(AG$15),0),
              ROUND(ROUND(OFFSET($P86,0,AG$13),15-13*ORÇAMENTO!$AF$7)*OFFSET(ORÇAMENTO!$W$15,ROW(AG86)-ROW(AG$15),0),15-13*ORÇAMENTO!$AF$11)),
         0)</f>
        <v>0</v>
      </c>
      <c r="AH86" s="454">
        <f ca="1">IF(AND($D86="Serviço",AH$12&lt;&gt;0,$H86&gt;0,OR(AUTOEVENTO&lt;&gt;"manual",$M86&lt;&gt;$A$15)),
        IF(Import.TipoArredondamento&lt;&gt;"TransfereGOV",
              ROUND(OFFSET($P86,0,AH$13),15-13*ORÇAMENTO!$AF$7)/$H86*OFFSET(ORÇAMENTO!$X$15,ROW(AH86)-ROW(AH$15),0),
              ROUND(ROUND(OFFSET($P86,0,AH$13),15-13*ORÇAMENTO!$AF$7)*OFFSET(ORÇAMENTO!$W$15,ROW(AH86)-ROW(AH$15),0),15-13*ORÇAMENTO!$AF$11)),
         0)</f>
        <v>0</v>
      </c>
      <c r="AI86" s="454">
        <f ca="1">IF(AND($D86="Serviço",AI$12&lt;&gt;0,$H86&gt;0,OR(AUTOEVENTO&lt;&gt;"manual",$M86&lt;&gt;$A$15)),
        IF(Import.TipoArredondamento&lt;&gt;"TransfereGOV",
              ROUND(OFFSET($P86,0,AI$13),15-13*ORÇAMENTO!$AF$7)/$H86*OFFSET(ORÇAMENTO!$X$15,ROW(AI86)-ROW(AI$15),0),
              ROUND(ROUND(OFFSET($P86,0,AI$13),15-13*ORÇAMENTO!$AF$7)*OFFSET(ORÇAMENTO!$W$15,ROW(AI86)-ROW(AI$15),0),15-13*ORÇAMENTO!$AF$11)),
         0)</f>
        <v>0</v>
      </c>
      <c r="AJ86" s="454">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54">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M86" s="172">
        <f ca="1">IF(OR($D86&lt;&gt;"Serviço",AND(AUTOEVENTO="Manual",$M86=$A$15)),0,
         IF(OFFSET(CRONOPLE!$F$15,$M86-$A$15,AM$13)=0,10^12,OFFSET(CRONOPLE!$F$15,$M86-$A$15,AM$13)))</f>
        <v>1</v>
      </c>
      <c r="AN86" s="172">
        <f ca="1">IF(OR($D86&lt;&gt;"Serviço",AND(AUTOEVENTO="Manual",$M86=$A$15)),0,
         IF(OFFSET(CRONOPLE!$F$15,$M86-$A$15,AN$13)=0,10^12,OFFSET(CRONOPLE!$F$15,$M86-$A$15,AN$13)))</f>
        <v>1000000000000</v>
      </c>
      <c r="AO86" s="172">
        <f ca="1">IF(OR($D86&lt;&gt;"Serviço",AND(AUTOEVENTO="Manual",$M86=$A$15)),0,
         IF(OFFSET(CRONOPLE!$F$15,$M86-$A$15,AO$13)=0,10^12,OFFSET(CRONOPLE!$F$15,$M86-$A$15,AO$13)))</f>
        <v>1000000000000</v>
      </c>
      <c r="AP86" s="172">
        <f ca="1">IF(OR($D86&lt;&gt;"Serviço",AND(AUTOEVENTO="Manual",$M86=$A$15)),0,
         IF(OFFSET(CRONOPLE!$F$15,$M86-$A$15,AP$13)=0,10^12,OFFSET(CRONOPLE!$F$15,$M86-$A$15,AP$13)))</f>
        <v>1000000000000</v>
      </c>
      <c r="AQ86" s="172">
        <f ca="1">IF(OR($D86&lt;&gt;"Serviço",AND(AUTOEVENTO="Manual",$M86=$A$15)),0,
         IF(OFFSET(CRONOPLE!$F$15,$M86-$A$15,AQ$13)=0,10^12,OFFSET(CRONOPLE!$F$15,$M86-$A$15,AQ$13)))</f>
        <v>1000000000000</v>
      </c>
      <c r="AR86" s="172">
        <f ca="1">IF(OR($D86&lt;&gt;"Serviço",AND(AUTOEVENTO="Manual",$M86=$A$15)),0,
         IF(OFFSET(CRONOPLE!$F$15,$M86-$A$15,AR$13)=0,10^12,OFFSET(CRONOPLE!$F$15,$M86-$A$15,AR$13)))</f>
        <v>1000000000000</v>
      </c>
      <c r="AS86" s="172">
        <f ca="1">IF(OR($D86&lt;&gt;"Serviço",AND(AUTOEVENTO="Manual",$M86=$A$15)),0,
         IF(OFFSET(CRONOPLE!$F$15,$M86-$A$15,AS$13)=0,10^12,OFFSET(CRONOPLE!$F$15,$M86-$A$15,AS$13)))</f>
        <v>1000000000000</v>
      </c>
      <c r="AT86" s="172">
        <f ca="1">IF(OR($D86&lt;&gt;"Serviço",AND(AUTOEVENTO="Manual",$M86=$A$15)),0,
         IF(OFFSET(CRONOPLE!$F$15,$M86-$A$15,AT$13)=0,10^12,OFFSET(CRONOPLE!$F$15,$M86-$A$15,AT$13)))</f>
        <v>1000000000000</v>
      </c>
      <c r="AU86" s="172">
        <f ca="1">IF(OR($D86&lt;&gt;"Serviço",AND(AUTOEVENTO="Manual",$M86=$A$15)),0,
         IF(OFFSET(CRONOPLE!$F$15,$M86-$A$15,AU$13)=0,10^12,OFFSET(CRONOPLE!$F$15,$M86-$A$15,AU$13)))</f>
        <v>1000000000000</v>
      </c>
      <c r="AV86" s="172">
        <f ca="1">IF(OR($D86&lt;&gt;"Serviço",AND(AUTOEVENTO="Manual",$M86=$A$15)),0,
         IF(OFFSET(CRONOPLE!$F$15,$M86-$A$15,AV$13)=0,10^12,OFFSET(CRONOPLE!$F$15,$M86-$A$15,AV$13)))</f>
        <v>1000000000000</v>
      </c>
      <c r="AX86" s="173">
        <f ca="1">IF(OR($D86&lt;&gt;"Serviço",AND(AUTOEVENTO="Manual",$M86=$A$15),$M86&gt;(ROW(PLE.lastrow)-ROW(PLE.firstrow))),0,
           IF(OFFSET(PLE!$G$15,$M86-$A$15,AX$13)="",10^12,OFFSET(PLE!$G$15,$M86-$A$15,AX$13)))</f>
        <v>1000000000000</v>
      </c>
      <c r="AY86" s="173">
        <f ca="1">IF(OR($D86&lt;&gt;"Serviço",AND(AUTOEVENTO="Manual",$M86=$A$15),$M86&gt;(ROW(PLE.lastrow)-ROW(PLE.firstrow))),0,
           IF(OFFSET(PLE!$G$15,$M86-$A$15,AY$13)="",10^12,OFFSET(PLE!$G$15,$M86-$A$15,AY$13)))</f>
        <v>1000000000000</v>
      </c>
      <c r="AZ86" s="173">
        <f ca="1">IF(OR($D86&lt;&gt;"Serviço",AND(AUTOEVENTO="Manual",$M86=$A$15),$M86&gt;(ROW(PLE.lastrow)-ROW(PLE.firstrow))),0,
           IF(OFFSET(PLE!$G$15,$M86-$A$15,AZ$13)="",10^12,OFFSET(PLE!$G$15,$M86-$A$15,AZ$13)))</f>
        <v>1000000000000</v>
      </c>
      <c r="BA86" s="173">
        <f ca="1">IF(OR($D86&lt;&gt;"Serviço",AND(AUTOEVENTO="Manual",$M86=$A$15),$M86&gt;(ROW(PLE.lastrow)-ROW(PLE.firstrow))),0,
           IF(OFFSET(PLE!$G$15,$M86-$A$15,BA$13)="",10^12,OFFSET(PLE!$G$15,$M86-$A$15,BA$13)))</f>
        <v>1000000000000</v>
      </c>
      <c r="BB86" s="173">
        <f ca="1">IF(OR($D86&lt;&gt;"Serviço",AND(AUTOEVENTO="Manual",$M86=$A$15),$M86&gt;(ROW(PLE.lastrow)-ROW(PLE.firstrow))),0,
           IF(OFFSET(PLE!$G$15,$M86-$A$15,BB$13)="",10^12,OFFSET(PLE!$G$15,$M86-$A$15,BB$13)))</f>
        <v>1000000000000</v>
      </c>
      <c r="BC86" s="173">
        <f ca="1">IF(OR($D86&lt;&gt;"Serviço",AND(AUTOEVENTO="Manual",$M86=$A$15),$M86&gt;(ROW(PLE.lastrow)-ROW(PLE.firstrow))),0,
           IF(OFFSET(PLE!$G$15,$M86-$A$15,BC$13)="",10^12,OFFSET(PLE!$G$15,$M86-$A$15,BC$13)))</f>
        <v>1000000000000</v>
      </c>
      <c r="BD86" s="173">
        <f ca="1">IF(OR($D86&lt;&gt;"Serviço",AND(AUTOEVENTO="Manual",$M86=$A$15),$M86&gt;(ROW(PLE.lastrow)-ROW(PLE.firstrow))),0,
           IF(OFFSET(PLE!$G$15,$M86-$A$15,BD$13)="",10^12,OFFSET(PLE!$G$15,$M86-$A$15,BD$13)))</f>
        <v>1000000000000</v>
      </c>
      <c r="BE86" s="173">
        <f ca="1">IF(OR($D86&lt;&gt;"Serviço",AND(AUTOEVENTO="Manual",$M86=$A$15),$M86&gt;(ROW(PLE.lastrow)-ROW(PLE.firstrow))),0,
           IF(OFFSET(PLE!$G$15,$M86-$A$15,BE$13)="",10^12,OFFSET(PLE!$G$15,$M86-$A$15,BE$13)))</f>
        <v>1000000000000</v>
      </c>
      <c r="BF86" s="173">
        <f ca="1">IF(OR($D86&lt;&gt;"Serviço",AND(AUTOEVENTO="Manual",$M86=$A$15),$M86&gt;(ROW(PLE.lastrow)-ROW(PLE.firstrow))),0,
           IF(OFFSET(PLE!$G$15,$M86-$A$15,BF$13)="",10^12,OFFSET(PLE!$G$15,$M86-$A$15,BF$13)))</f>
        <v>1000000000000</v>
      </c>
      <c r="BG86" s="173">
        <f ca="1">IF(OR($D86&lt;&gt;"Serviço",AND(AUTOEVENTO="Manual",$M86=$A$15),$M86&gt;(ROW(PLE.lastrow)-ROW(PLE.firstrow))),0,
           IF(OFFSET(PLE!$G$15,$M86-$A$15,BG$13)="",10^12,OFFSET(PLE!$G$15,$M86-$A$15,BG$13)))</f>
        <v>1000000000000</v>
      </c>
    </row>
    <row r="87" spans="1:59" ht="12.75" x14ac:dyDescent="0.2">
      <c r="A87" s="7" t="str">
        <f t="shared" ca="1" si="10"/>
        <v>72.</v>
      </c>
      <c r="B87" s="7">
        <f ca="1">OFFSET(ORÇAMENTO!C$15,ROW(B87)-ROW(B$15),0)</f>
        <v>2</v>
      </c>
      <c r="C87" s="7" t="str">
        <f ca="1">OFFSET(ORÇAMENTO!L$15,ROW(C87)-ROW(C$15),0)</f>
        <v>F</v>
      </c>
      <c r="D87" s="117" t="str">
        <f ca="1">OFFSET(ORÇAMENTO!N$15,ROW(D87)-ROW(D$15),0)</f>
        <v>Nível 2</v>
      </c>
      <c r="E87" s="118" t="str">
        <f ca="1">OFFSET(ORÇAMENTO!O$15,ROW(E87)-ROW(E$15),0)</f>
        <v>1.7.</v>
      </c>
      <c r="F87" s="164" t="str">
        <f ca="1">OFFSET(ORÇAMENTO!R$15,ROW(F87)-ROW(F$15),0)</f>
        <v>MURRO DE ARRIMO</v>
      </c>
      <c r="G87" s="165" t="str">
        <f ca="1">IF($D87&lt;&gt;"Serviço","",OFFSET(ORÇAMENTO!S$15,ROW(G87)-ROW(G$15),0))</f>
        <v/>
      </c>
      <c r="H87" s="123">
        <f ca="1">IF($D87&lt;&gt;"Serviço",0,IF(ACOMPANHAMENTO="BM",ROUND(OFFSET(ORÇAMENTO!AJ$15,ROW(H87)-ROW(H$15),0),15-13*ORÇAMENTO!$AF$7),SUMPRODUCT(($Q$1:$AA$1=1)*ROUND($Q87:$AA87,15-13*ORÇAMENTO!$AF$7))))</f>
        <v>0</v>
      </c>
      <c r="I87" s="469"/>
      <c r="J87" s="663" t="str">
        <f ca="1">IF(OR(B87&lt;&gt;"S",CÁLCULO.FrentesPreenchidas=0),"",IF(AND(ACOMPANHAMENTO="PLE",AUTOEVENTO="Manual",OR(H87&gt;0,ORÇAMENTO!AC87="QUANT."),OR(K87="",M87=0,N87="")),"►",IF(AND(ACOMPANHAMENTO="PLE",ORÇAMENTO!AC87="QUANT."),"►►",IF(AND(COUNTIF($P$11:$AA$11,"▼")=0,H87&gt;0,I87=""),"◄",""))))</f>
        <v/>
      </c>
      <c r="K87" s="664"/>
      <c r="L87" s="166" t="s">
        <v>765</v>
      </c>
      <c r="M87" s="167" t="str">
        <f ca="1">IF($D87&lt;&gt;"Serviço","",
          IF(AUTOEVENTO="manual",$A87,
                IF(ISERROR(MATCH($A87,$A$15:OFFSET($A87,-1,0),0)),MAX($M$15:OFFSET(M87,-1,0))+1,
                      INDEX($M$15:OFFSET(M87,-1,0),MATCH($A87,$A$15:OFFSET($A87,-1,0),0)))))</f>
        <v/>
      </c>
      <c r="N87" s="168" t="str">
        <f ca="1">IF($D87&lt;&gt;"Serviço","",
         IF(AUTOEVENTO="Manual",
                IF($A87=0,"&lt;-- defina o número do agrupador",
                       OFFSET(EVENTOS!$D$15,$A87-$A$15,0)),
                OFFSET($F$15,$A87,0)))</f>
        <v/>
      </c>
      <c r="O87" s="169"/>
      <c r="Q87" s="169"/>
      <c r="R87" s="170"/>
      <c r="S87" s="170"/>
      <c r="T87" s="170"/>
      <c r="U87" s="170"/>
      <c r="V87" s="170"/>
      <c r="W87" s="170"/>
      <c r="X87" s="170"/>
      <c r="Y87" s="170"/>
      <c r="Z87" s="171"/>
      <c r="AB87" s="454">
        <f ca="1">IF(AND($D87="Serviço",AB$12&lt;&gt;0,$H87&gt;0,OR(AUTOEVENTO&lt;&gt;"manual",$M87&lt;&gt;$A$15)),
        IF(Import.TipoArredondamento&lt;&gt;"TransfereGOV",
              ROUND(OFFSET($P87,0,AB$13),15-13*ORÇAMENTO!$AF$7)/$H87*OFFSET(ORÇAMENTO!$X$15,ROW(AB87)-ROW(AB$15),0),
              ROUND(ROUND(OFFSET($P87,0,AB$13),15-13*ORÇAMENTO!$AF$7)*OFFSET(ORÇAMENTO!$W$15,ROW(AB87)-ROW(AB$15),0),15-13*ORÇAMENTO!$AF$11)),
         0)</f>
        <v>0</v>
      </c>
      <c r="AC87" s="454">
        <f ca="1">IF(AND($D87="Serviço",AC$12&lt;&gt;0,$H87&gt;0,OR(AUTOEVENTO&lt;&gt;"manual",$M87&lt;&gt;$A$15)),
        IF(Import.TipoArredondamento&lt;&gt;"TransfereGOV",
              ROUND(OFFSET($P87,0,AC$13),15-13*ORÇAMENTO!$AF$7)/$H87*OFFSET(ORÇAMENTO!$X$15,ROW(AC87)-ROW(AC$15),0),
              ROUND(ROUND(OFFSET($P87,0,AC$13),15-13*ORÇAMENTO!$AF$7)*OFFSET(ORÇAMENTO!$W$15,ROW(AC87)-ROW(AC$15),0),15-13*ORÇAMENTO!$AF$11)),
         0)</f>
        <v>0</v>
      </c>
      <c r="AD87" s="454">
        <f ca="1">IF(AND($D87="Serviço",AD$12&lt;&gt;0,$H87&gt;0,OR(AUTOEVENTO&lt;&gt;"manual",$M87&lt;&gt;$A$15)),
        IF(Import.TipoArredondamento&lt;&gt;"TransfereGOV",
              ROUND(OFFSET($P87,0,AD$13),15-13*ORÇAMENTO!$AF$7)/$H87*OFFSET(ORÇAMENTO!$X$15,ROW(AD87)-ROW(AD$15),0),
              ROUND(ROUND(OFFSET($P87,0,AD$13),15-13*ORÇAMENTO!$AF$7)*OFFSET(ORÇAMENTO!$W$15,ROW(AD87)-ROW(AD$15),0),15-13*ORÇAMENTO!$AF$11)),
         0)</f>
        <v>0</v>
      </c>
      <c r="AE87" s="454">
        <f ca="1">IF(AND($D87="Serviço",AE$12&lt;&gt;0,$H87&gt;0,OR(AUTOEVENTO&lt;&gt;"manual",$M87&lt;&gt;$A$15)),
        IF(Import.TipoArredondamento&lt;&gt;"TransfereGOV",
              ROUND(OFFSET($P87,0,AE$13),15-13*ORÇAMENTO!$AF$7)/$H87*OFFSET(ORÇAMENTO!$X$15,ROW(AE87)-ROW(AE$15),0),
              ROUND(ROUND(OFFSET($P87,0,AE$13),15-13*ORÇAMENTO!$AF$7)*OFFSET(ORÇAMENTO!$W$15,ROW(AE87)-ROW(AE$15),0),15-13*ORÇAMENTO!$AF$11)),
         0)</f>
        <v>0</v>
      </c>
      <c r="AF87" s="454">
        <f ca="1">IF(AND($D87="Serviço",AF$12&lt;&gt;0,$H87&gt;0,OR(AUTOEVENTO&lt;&gt;"manual",$M87&lt;&gt;$A$15)),
        IF(Import.TipoArredondamento&lt;&gt;"TransfereGOV",
              ROUND(OFFSET($P87,0,AF$13),15-13*ORÇAMENTO!$AF$7)/$H87*OFFSET(ORÇAMENTO!$X$15,ROW(AF87)-ROW(AF$15),0),
              ROUND(ROUND(OFFSET($P87,0,AF$13),15-13*ORÇAMENTO!$AF$7)*OFFSET(ORÇAMENTO!$W$15,ROW(AF87)-ROW(AF$15),0),15-13*ORÇAMENTO!$AF$11)),
         0)</f>
        <v>0</v>
      </c>
      <c r="AG87" s="454">
        <f ca="1">IF(AND($D87="Serviço",AG$12&lt;&gt;0,$H87&gt;0,OR(AUTOEVENTO&lt;&gt;"manual",$M87&lt;&gt;$A$15)),
        IF(Import.TipoArredondamento&lt;&gt;"TransfereGOV",
              ROUND(OFFSET($P87,0,AG$13),15-13*ORÇAMENTO!$AF$7)/$H87*OFFSET(ORÇAMENTO!$X$15,ROW(AG87)-ROW(AG$15),0),
              ROUND(ROUND(OFFSET($P87,0,AG$13),15-13*ORÇAMENTO!$AF$7)*OFFSET(ORÇAMENTO!$W$15,ROW(AG87)-ROW(AG$15),0),15-13*ORÇAMENTO!$AF$11)),
         0)</f>
        <v>0</v>
      </c>
      <c r="AH87" s="454">
        <f ca="1">IF(AND($D87="Serviço",AH$12&lt;&gt;0,$H87&gt;0,OR(AUTOEVENTO&lt;&gt;"manual",$M87&lt;&gt;$A$15)),
        IF(Import.TipoArredondamento&lt;&gt;"TransfereGOV",
              ROUND(OFFSET($P87,0,AH$13),15-13*ORÇAMENTO!$AF$7)/$H87*OFFSET(ORÇAMENTO!$X$15,ROW(AH87)-ROW(AH$15),0),
              ROUND(ROUND(OFFSET($P87,0,AH$13),15-13*ORÇAMENTO!$AF$7)*OFFSET(ORÇAMENTO!$W$15,ROW(AH87)-ROW(AH$15),0),15-13*ORÇAMENTO!$AF$11)),
         0)</f>
        <v>0</v>
      </c>
      <c r="AI87" s="454">
        <f ca="1">IF(AND($D87="Serviço",AI$12&lt;&gt;0,$H87&gt;0,OR(AUTOEVENTO&lt;&gt;"manual",$M87&lt;&gt;$A$15)),
        IF(Import.TipoArredondamento&lt;&gt;"TransfereGOV",
              ROUND(OFFSET($P87,0,AI$13),15-13*ORÇAMENTO!$AF$7)/$H87*OFFSET(ORÇAMENTO!$X$15,ROW(AI87)-ROW(AI$15),0),
              ROUND(ROUND(OFFSET($P87,0,AI$13),15-13*ORÇAMENTO!$AF$7)*OFFSET(ORÇAMENTO!$W$15,ROW(AI87)-ROW(AI$15),0),15-13*ORÇAMENTO!$AF$11)),
         0)</f>
        <v>0</v>
      </c>
      <c r="AJ87" s="454">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54">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M87" s="172">
        <f ca="1">IF(OR($D87&lt;&gt;"Serviço",AND(AUTOEVENTO="Manual",$M87=$A$15)),0,
         IF(OFFSET(CRONOPLE!$F$15,$M87-$A$15,AM$13)=0,10^12,OFFSET(CRONOPLE!$F$15,$M87-$A$15,AM$13)))</f>
        <v>0</v>
      </c>
      <c r="AN87" s="172">
        <f ca="1">IF(OR($D87&lt;&gt;"Serviço",AND(AUTOEVENTO="Manual",$M87=$A$15)),0,
         IF(OFFSET(CRONOPLE!$F$15,$M87-$A$15,AN$13)=0,10^12,OFFSET(CRONOPLE!$F$15,$M87-$A$15,AN$13)))</f>
        <v>0</v>
      </c>
      <c r="AO87" s="172">
        <f ca="1">IF(OR($D87&lt;&gt;"Serviço",AND(AUTOEVENTO="Manual",$M87=$A$15)),0,
         IF(OFFSET(CRONOPLE!$F$15,$M87-$A$15,AO$13)=0,10^12,OFFSET(CRONOPLE!$F$15,$M87-$A$15,AO$13)))</f>
        <v>0</v>
      </c>
      <c r="AP87" s="172">
        <f ca="1">IF(OR($D87&lt;&gt;"Serviço",AND(AUTOEVENTO="Manual",$M87=$A$15)),0,
         IF(OFFSET(CRONOPLE!$F$15,$M87-$A$15,AP$13)=0,10^12,OFFSET(CRONOPLE!$F$15,$M87-$A$15,AP$13)))</f>
        <v>0</v>
      </c>
      <c r="AQ87" s="172">
        <f ca="1">IF(OR($D87&lt;&gt;"Serviço",AND(AUTOEVENTO="Manual",$M87=$A$15)),0,
         IF(OFFSET(CRONOPLE!$F$15,$M87-$A$15,AQ$13)=0,10^12,OFFSET(CRONOPLE!$F$15,$M87-$A$15,AQ$13)))</f>
        <v>0</v>
      </c>
      <c r="AR87" s="172">
        <f ca="1">IF(OR($D87&lt;&gt;"Serviço",AND(AUTOEVENTO="Manual",$M87=$A$15)),0,
         IF(OFFSET(CRONOPLE!$F$15,$M87-$A$15,AR$13)=0,10^12,OFFSET(CRONOPLE!$F$15,$M87-$A$15,AR$13)))</f>
        <v>0</v>
      </c>
      <c r="AS87" s="172">
        <f ca="1">IF(OR($D87&lt;&gt;"Serviço",AND(AUTOEVENTO="Manual",$M87=$A$15)),0,
         IF(OFFSET(CRONOPLE!$F$15,$M87-$A$15,AS$13)=0,10^12,OFFSET(CRONOPLE!$F$15,$M87-$A$15,AS$13)))</f>
        <v>0</v>
      </c>
      <c r="AT87" s="172">
        <f ca="1">IF(OR($D87&lt;&gt;"Serviço",AND(AUTOEVENTO="Manual",$M87=$A$15)),0,
         IF(OFFSET(CRONOPLE!$F$15,$M87-$A$15,AT$13)=0,10^12,OFFSET(CRONOPLE!$F$15,$M87-$A$15,AT$13)))</f>
        <v>0</v>
      </c>
      <c r="AU87" s="172">
        <f ca="1">IF(OR($D87&lt;&gt;"Serviço",AND(AUTOEVENTO="Manual",$M87=$A$15)),0,
         IF(OFFSET(CRONOPLE!$F$15,$M87-$A$15,AU$13)=0,10^12,OFFSET(CRONOPLE!$F$15,$M87-$A$15,AU$13)))</f>
        <v>0</v>
      </c>
      <c r="AV87" s="172">
        <f ca="1">IF(OR($D87&lt;&gt;"Serviço",AND(AUTOEVENTO="Manual",$M87=$A$15)),0,
         IF(OFFSET(CRONOPLE!$F$15,$M87-$A$15,AV$13)=0,10^12,OFFSET(CRONOPLE!$F$15,$M87-$A$15,AV$13)))</f>
        <v>0</v>
      </c>
      <c r="AX87" s="173">
        <f ca="1">IF(OR($D87&lt;&gt;"Serviço",AND(AUTOEVENTO="Manual",$M87=$A$15),$M87&gt;(ROW(PLE.lastrow)-ROW(PLE.firstrow))),0,
           IF(OFFSET(PLE!$G$15,$M87-$A$15,AX$13)="",10^12,OFFSET(PLE!$G$15,$M87-$A$15,AX$13)))</f>
        <v>0</v>
      </c>
      <c r="AY87" s="173">
        <f ca="1">IF(OR($D87&lt;&gt;"Serviço",AND(AUTOEVENTO="Manual",$M87=$A$15),$M87&gt;(ROW(PLE.lastrow)-ROW(PLE.firstrow))),0,
           IF(OFFSET(PLE!$G$15,$M87-$A$15,AY$13)="",10^12,OFFSET(PLE!$G$15,$M87-$A$15,AY$13)))</f>
        <v>0</v>
      </c>
      <c r="AZ87" s="173">
        <f ca="1">IF(OR($D87&lt;&gt;"Serviço",AND(AUTOEVENTO="Manual",$M87=$A$15),$M87&gt;(ROW(PLE.lastrow)-ROW(PLE.firstrow))),0,
           IF(OFFSET(PLE!$G$15,$M87-$A$15,AZ$13)="",10^12,OFFSET(PLE!$G$15,$M87-$A$15,AZ$13)))</f>
        <v>0</v>
      </c>
      <c r="BA87" s="173">
        <f ca="1">IF(OR($D87&lt;&gt;"Serviço",AND(AUTOEVENTO="Manual",$M87=$A$15),$M87&gt;(ROW(PLE.lastrow)-ROW(PLE.firstrow))),0,
           IF(OFFSET(PLE!$G$15,$M87-$A$15,BA$13)="",10^12,OFFSET(PLE!$G$15,$M87-$A$15,BA$13)))</f>
        <v>0</v>
      </c>
      <c r="BB87" s="173">
        <f ca="1">IF(OR($D87&lt;&gt;"Serviço",AND(AUTOEVENTO="Manual",$M87=$A$15),$M87&gt;(ROW(PLE.lastrow)-ROW(PLE.firstrow))),0,
           IF(OFFSET(PLE!$G$15,$M87-$A$15,BB$13)="",10^12,OFFSET(PLE!$G$15,$M87-$A$15,BB$13)))</f>
        <v>0</v>
      </c>
      <c r="BC87" s="173">
        <f ca="1">IF(OR($D87&lt;&gt;"Serviço",AND(AUTOEVENTO="Manual",$M87=$A$15),$M87&gt;(ROW(PLE.lastrow)-ROW(PLE.firstrow))),0,
           IF(OFFSET(PLE!$G$15,$M87-$A$15,BC$13)="",10^12,OFFSET(PLE!$G$15,$M87-$A$15,BC$13)))</f>
        <v>0</v>
      </c>
      <c r="BD87" s="173">
        <f ca="1">IF(OR($D87&lt;&gt;"Serviço",AND(AUTOEVENTO="Manual",$M87=$A$15),$M87&gt;(ROW(PLE.lastrow)-ROW(PLE.firstrow))),0,
           IF(OFFSET(PLE!$G$15,$M87-$A$15,BD$13)="",10^12,OFFSET(PLE!$G$15,$M87-$A$15,BD$13)))</f>
        <v>0</v>
      </c>
      <c r="BE87" s="173">
        <f ca="1">IF(OR($D87&lt;&gt;"Serviço",AND(AUTOEVENTO="Manual",$M87=$A$15),$M87&gt;(ROW(PLE.lastrow)-ROW(PLE.firstrow))),0,
           IF(OFFSET(PLE!$G$15,$M87-$A$15,BE$13)="",10^12,OFFSET(PLE!$G$15,$M87-$A$15,BE$13)))</f>
        <v>0</v>
      </c>
      <c r="BF87" s="173">
        <f ca="1">IF(OR($D87&lt;&gt;"Serviço",AND(AUTOEVENTO="Manual",$M87=$A$15),$M87&gt;(ROW(PLE.lastrow)-ROW(PLE.firstrow))),0,
           IF(OFFSET(PLE!$G$15,$M87-$A$15,BF$13)="",10^12,OFFSET(PLE!$G$15,$M87-$A$15,BF$13)))</f>
        <v>0</v>
      </c>
      <c r="BG87" s="173">
        <f ca="1">IF(OR($D87&lt;&gt;"Serviço",AND(AUTOEVENTO="Manual",$M87=$A$15),$M87&gt;(ROW(PLE.lastrow)-ROW(PLE.firstrow))),0,
           IF(OFFSET(PLE!$G$15,$M87-$A$15,BG$13)="",10^12,OFFSET(PLE!$G$15,$M87-$A$15,BG$13)))</f>
        <v>0</v>
      </c>
    </row>
    <row r="88" spans="1:59" ht="38.25" x14ac:dyDescent="0.2">
      <c r="A88" s="7" t="str">
        <f t="shared" ca="1" si="10"/>
        <v>72</v>
      </c>
      <c r="B88" s="7" t="str">
        <f ca="1">OFFSET(ORÇAMENTO!C$15,ROW(B88)-ROW(B$15),0)</f>
        <v>S</v>
      </c>
      <c r="C88" s="7" t="str">
        <f ca="1">OFFSET(ORÇAMENTO!L$15,ROW(C88)-ROW(C$15),0)</f>
        <v>F</v>
      </c>
      <c r="D88" s="117" t="str">
        <f ca="1">OFFSET(ORÇAMENTO!N$15,ROW(D88)-ROW(D$15),0)</f>
        <v>Serviço</v>
      </c>
      <c r="E88" s="118" t="str">
        <f ca="1">OFFSET(ORÇAMENTO!O$15,ROW(E88)-ROW(E$15),0)</f>
        <v>1.7.1.</v>
      </c>
      <c r="F88" s="164" t="str">
        <f ca="1">OFFSET(ORÇAMENTO!R$15,ROW(F88)-ROW(F$15),0)</f>
        <v>ALVENARIA DE VEDAÇÃO DE BLOCOS CERÂMICOS MACIÇOS DE 5X10X20CM (ESPESSURA 10CM) E ARGAMASSA DE ASSENTAMENTO COM PREPARO EM BETONEIRA. AF_05/2020</v>
      </c>
      <c r="G88" s="165" t="str">
        <f ca="1">IF($D88&lt;&gt;"Serviço","",OFFSET(ORÇAMENTO!S$15,ROW(G88)-ROW(G$15),0))</f>
        <v>M2</v>
      </c>
      <c r="H88" s="123">
        <f ca="1">IF($D88&lt;&gt;"Serviço",0,IF(ACOMPANHAMENTO="BM",ROUND(OFFSET(ORÇAMENTO!AJ$15,ROW(H88)-ROW(H$15),0),15-13*ORÇAMENTO!$AF$7),SUMPRODUCT(($Q$1:$AA$1=1)*ROUND($Q88:$AA88,15-13*ORÇAMENTO!$AF$7))))</f>
        <v>71</v>
      </c>
      <c r="I88" s="469" t="s">
        <v>1067</v>
      </c>
      <c r="J88" s="663" t="str">
        <f ca="1">IF(OR(B88&lt;&gt;"S",CÁLCULO.FrentesPreenchidas=0),"",IF(AND(ACOMPANHAMENTO="PLE",AUTOEVENTO="Manual",OR(H88&gt;0,ORÇAMENTO!AC88="QUANT."),OR(K88="",M88=0,N88="")),"►",IF(AND(ACOMPANHAMENTO="PLE",ORÇAMENTO!AC88="QUANT."),"►►",IF(AND(COUNTIF($P$11:$AA$11,"▼")=0,H88&gt;0,I88=""),"◄",""))))</f>
        <v/>
      </c>
      <c r="K88" s="664"/>
      <c r="L88" s="166" t="s">
        <v>765</v>
      </c>
      <c r="M88" s="167">
        <f ca="1">IF($D88&lt;&gt;"Serviço","",
          IF(AUTOEVENTO="manual",$A88,
                IF(ISERROR(MATCH($A88,$A$15:OFFSET($A88,-1,0),0)),MAX($M$15:OFFSET(M88,-1,0))+1,
                      INDEX($M$15:OFFSET(M88,-1,0),MATCH($A88,$A$15:OFFSET($A88,-1,0),0)))))</f>
        <v>7</v>
      </c>
      <c r="N88" s="168" t="str">
        <f ca="1">IF($D88&lt;&gt;"Serviço","",
         IF(AUTOEVENTO="Manual",
                IF($A88=0,"&lt;-- defina o número do agrupador",
                       OFFSET(EVENTOS!$D$15,$A88-$A$15,0)),
                OFFSET($F$15,$A88,0)))</f>
        <v>MURRO DE ARRIMO</v>
      </c>
      <c r="O88" s="169"/>
      <c r="Q88" s="169">
        <v>71</v>
      </c>
      <c r="R88" s="170"/>
      <c r="S88" s="170"/>
      <c r="T88" s="170"/>
      <c r="U88" s="170"/>
      <c r="V88" s="170"/>
      <c r="W88" s="170"/>
      <c r="X88" s="170"/>
      <c r="Y88" s="170"/>
      <c r="Z88" s="171"/>
      <c r="AB88" s="454">
        <f ca="1">IF(AND($D88="Serviço",AB$12&lt;&gt;0,$H88&gt;0,OR(AUTOEVENTO&lt;&gt;"manual",$M88&lt;&gt;$A$15)),
        IF(Import.TipoArredondamento&lt;&gt;"TransfereGOV",
              ROUND(OFFSET($P88,0,AB$13),15-13*ORÇAMENTO!$AF$7)/$H88*OFFSET(ORÇAMENTO!$X$15,ROW(AB88)-ROW(AB$15),0),
              ROUND(ROUND(OFFSET($P88,0,AB$13),15-13*ORÇAMENTO!$AF$7)*OFFSET(ORÇAMENTO!$W$15,ROW(AB88)-ROW(AB$15),0),15-13*ORÇAMENTO!$AF$11)),
         0)</f>
        <v>11740.56</v>
      </c>
      <c r="AC88" s="454">
        <f ca="1">IF(AND($D88="Serviço",AC$12&lt;&gt;0,$H88&gt;0,OR(AUTOEVENTO&lt;&gt;"manual",$M88&lt;&gt;$A$15)),
        IF(Import.TipoArredondamento&lt;&gt;"TransfereGOV",
              ROUND(OFFSET($P88,0,AC$13),15-13*ORÇAMENTO!$AF$7)/$H88*OFFSET(ORÇAMENTO!$X$15,ROW(AC88)-ROW(AC$15),0),
              ROUND(ROUND(OFFSET($P88,0,AC$13),15-13*ORÇAMENTO!$AF$7)*OFFSET(ORÇAMENTO!$W$15,ROW(AC88)-ROW(AC$15),0),15-13*ORÇAMENTO!$AF$11)),
         0)</f>
        <v>0</v>
      </c>
      <c r="AD88" s="454">
        <f ca="1">IF(AND($D88="Serviço",AD$12&lt;&gt;0,$H88&gt;0,OR(AUTOEVENTO&lt;&gt;"manual",$M88&lt;&gt;$A$15)),
        IF(Import.TipoArredondamento&lt;&gt;"TransfereGOV",
              ROUND(OFFSET($P88,0,AD$13),15-13*ORÇAMENTO!$AF$7)/$H88*OFFSET(ORÇAMENTO!$X$15,ROW(AD88)-ROW(AD$15),0),
              ROUND(ROUND(OFFSET($P88,0,AD$13),15-13*ORÇAMENTO!$AF$7)*OFFSET(ORÇAMENTO!$W$15,ROW(AD88)-ROW(AD$15),0),15-13*ORÇAMENTO!$AF$11)),
         0)</f>
        <v>0</v>
      </c>
      <c r="AE88" s="454">
        <f ca="1">IF(AND($D88="Serviço",AE$12&lt;&gt;0,$H88&gt;0,OR(AUTOEVENTO&lt;&gt;"manual",$M88&lt;&gt;$A$15)),
        IF(Import.TipoArredondamento&lt;&gt;"TransfereGOV",
              ROUND(OFFSET($P88,0,AE$13),15-13*ORÇAMENTO!$AF$7)/$H88*OFFSET(ORÇAMENTO!$X$15,ROW(AE88)-ROW(AE$15),0),
              ROUND(ROUND(OFFSET($P88,0,AE$13),15-13*ORÇAMENTO!$AF$7)*OFFSET(ORÇAMENTO!$W$15,ROW(AE88)-ROW(AE$15),0),15-13*ORÇAMENTO!$AF$11)),
         0)</f>
        <v>0</v>
      </c>
      <c r="AF88" s="454">
        <f ca="1">IF(AND($D88="Serviço",AF$12&lt;&gt;0,$H88&gt;0,OR(AUTOEVENTO&lt;&gt;"manual",$M88&lt;&gt;$A$15)),
        IF(Import.TipoArredondamento&lt;&gt;"TransfereGOV",
              ROUND(OFFSET($P88,0,AF$13),15-13*ORÇAMENTO!$AF$7)/$H88*OFFSET(ORÇAMENTO!$X$15,ROW(AF88)-ROW(AF$15),0),
              ROUND(ROUND(OFFSET($P88,0,AF$13),15-13*ORÇAMENTO!$AF$7)*OFFSET(ORÇAMENTO!$W$15,ROW(AF88)-ROW(AF$15),0),15-13*ORÇAMENTO!$AF$11)),
         0)</f>
        <v>0</v>
      </c>
      <c r="AG88" s="454">
        <f ca="1">IF(AND($D88="Serviço",AG$12&lt;&gt;0,$H88&gt;0,OR(AUTOEVENTO&lt;&gt;"manual",$M88&lt;&gt;$A$15)),
        IF(Import.TipoArredondamento&lt;&gt;"TransfereGOV",
              ROUND(OFFSET($P88,0,AG$13),15-13*ORÇAMENTO!$AF$7)/$H88*OFFSET(ORÇAMENTO!$X$15,ROW(AG88)-ROW(AG$15),0),
              ROUND(ROUND(OFFSET($P88,0,AG$13),15-13*ORÇAMENTO!$AF$7)*OFFSET(ORÇAMENTO!$W$15,ROW(AG88)-ROW(AG$15),0),15-13*ORÇAMENTO!$AF$11)),
         0)</f>
        <v>0</v>
      </c>
      <c r="AH88" s="454">
        <f ca="1">IF(AND($D88="Serviço",AH$12&lt;&gt;0,$H88&gt;0,OR(AUTOEVENTO&lt;&gt;"manual",$M88&lt;&gt;$A$15)),
        IF(Import.TipoArredondamento&lt;&gt;"TransfereGOV",
              ROUND(OFFSET($P88,0,AH$13),15-13*ORÇAMENTO!$AF$7)/$H88*OFFSET(ORÇAMENTO!$X$15,ROW(AH88)-ROW(AH$15),0),
              ROUND(ROUND(OFFSET($P88,0,AH$13),15-13*ORÇAMENTO!$AF$7)*OFFSET(ORÇAMENTO!$W$15,ROW(AH88)-ROW(AH$15),0),15-13*ORÇAMENTO!$AF$11)),
         0)</f>
        <v>0</v>
      </c>
      <c r="AI88" s="454">
        <f ca="1">IF(AND($D88="Serviço",AI$12&lt;&gt;0,$H88&gt;0,OR(AUTOEVENTO&lt;&gt;"manual",$M88&lt;&gt;$A$15)),
        IF(Import.TipoArredondamento&lt;&gt;"TransfereGOV",
              ROUND(OFFSET($P88,0,AI$13),15-13*ORÇAMENTO!$AF$7)/$H88*OFFSET(ORÇAMENTO!$X$15,ROW(AI88)-ROW(AI$15),0),
              ROUND(ROUND(OFFSET($P88,0,AI$13),15-13*ORÇAMENTO!$AF$7)*OFFSET(ORÇAMENTO!$W$15,ROW(AI88)-ROW(AI$15),0),15-13*ORÇAMENTO!$AF$11)),
         0)</f>
        <v>0</v>
      </c>
      <c r="AJ88" s="454">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54">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M88" s="172">
        <f ca="1">IF(OR($D88&lt;&gt;"Serviço",AND(AUTOEVENTO="Manual",$M88=$A$15)),0,
         IF(OFFSET(CRONOPLE!$F$15,$M88-$A$15,AM$13)=0,10^12,OFFSET(CRONOPLE!$F$15,$M88-$A$15,AM$13)))</f>
        <v>1</v>
      </c>
      <c r="AN88" s="172">
        <f ca="1">IF(OR($D88&lt;&gt;"Serviço",AND(AUTOEVENTO="Manual",$M88=$A$15)),0,
         IF(OFFSET(CRONOPLE!$F$15,$M88-$A$15,AN$13)=0,10^12,OFFSET(CRONOPLE!$F$15,$M88-$A$15,AN$13)))</f>
        <v>1000000000000</v>
      </c>
      <c r="AO88" s="172">
        <f ca="1">IF(OR($D88&lt;&gt;"Serviço",AND(AUTOEVENTO="Manual",$M88=$A$15)),0,
         IF(OFFSET(CRONOPLE!$F$15,$M88-$A$15,AO$13)=0,10^12,OFFSET(CRONOPLE!$F$15,$M88-$A$15,AO$13)))</f>
        <v>1000000000000</v>
      </c>
      <c r="AP88" s="172">
        <f ca="1">IF(OR($D88&lt;&gt;"Serviço",AND(AUTOEVENTO="Manual",$M88=$A$15)),0,
         IF(OFFSET(CRONOPLE!$F$15,$M88-$A$15,AP$13)=0,10^12,OFFSET(CRONOPLE!$F$15,$M88-$A$15,AP$13)))</f>
        <v>1000000000000</v>
      </c>
      <c r="AQ88" s="172">
        <f ca="1">IF(OR($D88&lt;&gt;"Serviço",AND(AUTOEVENTO="Manual",$M88=$A$15)),0,
         IF(OFFSET(CRONOPLE!$F$15,$M88-$A$15,AQ$13)=0,10^12,OFFSET(CRONOPLE!$F$15,$M88-$A$15,AQ$13)))</f>
        <v>1000000000000</v>
      </c>
      <c r="AR88" s="172">
        <f ca="1">IF(OR($D88&lt;&gt;"Serviço",AND(AUTOEVENTO="Manual",$M88=$A$15)),0,
         IF(OFFSET(CRONOPLE!$F$15,$M88-$A$15,AR$13)=0,10^12,OFFSET(CRONOPLE!$F$15,$M88-$A$15,AR$13)))</f>
        <v>1000000000000</v>
      </c>
      <c r="AS88" s="172">
        <f ca="1">IF(OR($D88&lt;&gt;"Serviço",AND(AUTOEVENTO="Manual",$M88=$A$15)),0,
         IF(OFFSET(CRONOPLE!$F$15,$M88-$A$15,AS$13)=0,10^12,OFFSET(CRONOPLE!$F$15,$M88-$A$15,AS$13)))</f>
        <v>1000000000000</v>
      </c>
      <c r="AT88" s="172">
        <f ca="1">IF(OR($D88&lt;&gt;"Serviço",AND(AUTOEVENTO="Manual",$M88=$A$15)),0,
         IF(OFFSET(CRONOPLE!$F$15,$M88-$A$15,AT$13)=0,10^12,OFFSET(CRONOPLE!$F$15,$M88-$A$15,AT$13)))</f>
        <v>1000000000000</v>
      </c>
      <c r="AU88" s="172">
        <f ca="1">IF(OR($D88&lt;&gt;"Serviço",AND(AUTOEVENTO="Manual",$M88=$A$15)),0,
         IF(OFFSET(CRONOPLE!$F$15,$M88-$A$15,AU$13)=0,10^12,OFFSET(CRONOPLE!$F$15,$M88-$A$15,AU$13)))</f>
        <v>1000000000000</v>
      </c>
      <c r="AV88" s="172">
        <f ca="1">IF(OR($D88&lt;&gt;"Serviço",AND(AUTOEVENTO="Manual",$M88=$A$15)),0,
         IF(OFFSET(CRONOPLE!$F$15,$M88-$A$15,AV$13)=0,10^12,OFFSET(CRONOPLE!$F$15,$M88-$A$15,AV$13)))</f>
        <v>1000000000000</v>
      </c>
      <c r="AX88" s="173">
        <f ca="1">IF(OR($D88&lt;&gt;"Serviço",AND(AUTOEVENTO="Manual",$M88=$A$15),$M88&gt;(ROW(PLE.lastrow)-ROW(PLE.firstrow))),0,
           IF(OFFSET(PLE!$G$15,$M88-$A$15,AX$13)="",10^12,OFFSET(PLE!$G$15,$M88-$A$15,AX$13)))</f>
        <v>1000000000000</v>
      </c>
      <c r="AY88" s="173">
        <f ca="1">IF(OR($D88&lt;&gt;"Serviço",AND(AUTOEVENTO="Manual",$M88=$A$15),$M88&gt;(ROW(PLE.lastrow)-ROW(PLE.firstrow))),0,
           IF(OFFSET(PLE!$G$15,$M88-$A$15,AY$13)="",10^12,OFFSET(PLE!$G$15,$M88-$A$15,AY$13)))</f>
        <v>1000000000000</v>
      </c>
      <c r="AZ88" s="173">
        <f ca="1">IF(OR($D88&lt;&gt;"Serviço",AND(AUTOEVENTO="Manual",$M88=$A$15),$M88&gt;(ROW(PLE.lastrow)-ROW(PLE.firstrow))),0,
           IF(OFFSET(PLE!$G$15,$M88-$A$15,AZ$13)="",10^12,OFFSET(PLE!$G$15,$M88-$A$15,AZ$13)))</f>
        <v>1000000000000</v>
      </c>
      <c r="BA88" s="173">
        <f ca="1">IF(OR($D88&lt;&gt;"Serviço",AND(AUTOEVENTO="Manual",$M88=$A$15),$M88&gt;(ROW(PLE.lastrow)-ROW(PLE.firstrow))),0,
           IF(OFFSET(PLE!$G$15,$M88-$A$15,BA$13)="",10^12,OFFSET(PLE!$G$15,$M88-$A$15,BA$13)))</f>
        <v>1000000000000</v>
      </c>
      <c r="BB88" s="173">
        <f ca="1">IF(OR($D88&lt;&gt;"Serviço",AND(AUTOEVENTO="Manual",$M88=$A$15),$M88&gt;(ROW(PLE.lastrow)-ROW(PLE.firstrow))),0,
           IF(OFFSET(PLE!$G$15,$M88-$A$15,BB$13)="",10^12,OFFSET(PLE!$G$15,$M88-$A$15,BB$13)))</f>
        <v>1000000000000</v>
      </c>
      <c r="BC88" s="173">
        <f ca="1">IF(OR($D88&lt;&gt;"Serviço",AND(AUTOEVENTO="Manual",$M88=$A$15),$M88&gt;(ROW(PLE.lastrow)-ROW(PLE.firstrow))),0,
           IF(OFFSET(PLE!$G$15,$M88-$A$15,BC$13)="",10^12,OFFSET(PLE!$G$15,$M88-$A$15,BC$13)))</f>
        <v>1000000000000</v>
      </c>
      <c r="BD88" s="173">
        <f ca="1">IF(OR($D88&lt;&gt;"Serviço",AND(AUTOEVENTO="Manual",$M88=$A$15),$M88&gt;(ROW(PLE.lastrow)-ROW(PLE.firstrow))),0,
           IF(OFFSET(PLE!$G$15,$M88-$A$15,BD$13)="",10^12,OFFSET(PLE!$G$15,$M88-$A$15,BD$13)))</f>
        <v>1000000000000</v>
      </c>
      <c r="BE88" s="173">
        <f ca="1">IF(OR($D88&lt;&gt;"Serviço",AND(AUTOEVENTO="Manual",$M88=$A$15),$M88&gt;(ROW(PLE.lastrow)-ROW(PLE.firstrow))),0,
           IF(OFFSET(PLE!$G$15,$M88-$A$15,BE$13)="",10^12,OFFSET(PLE!$G$15,$M88-$A$15,BE$13)))</f>
        <v>1000000000000</v>
      </c>
      <c r="BF88" s="173">
        <f ca="1">IF(OR($D88&lt;&gt;"Serviço",AND(AUTOEVENTO="Manual",$M88=$A$15),$M88&gt;(ROW(PLE.lastrow)-ROW(PLE.firstrow))),0,
           IF(OFFSET(PLE!$G$15,$M88-$A$15,BF$13)="",10^12,OFFSET(PLE!$G$15,$M88-$A$15,BF$13)))</f>
        <v>1000000000000</v>
      </c>
      <c r="BG88" s="173">
        <f ca="1">IF(OR($D88&lt;&gt;"Serviço",AND(AUTOEVENTO="Manual",$M88=$A$15),$M88&gt;(ROW(PLE.lastrow)-ROW(PLE.firstrow))),0,
           IF(OFFSET(PLE!$G$15,$M88-$A$15,BG$13)="",10^12,OFFSET(PLE!$G$15,$M88-$A$15,BG$13)))</f>
        <v>1000000000000</v>
      </c>
    </row>
    <row r="89" spans="1:59" ht="51" x14ac:dyDescent="0.2">
      <c r="A89" s="7" t="str">
        <f t="shared" ca="1" si="10"/>
        <v>72</v>
      </c>
      <c r="B89" s="7" t="str">
        <f ca="1">OFFSET(ORÇAMENTO!C$15,ROW(B89)-ROW(B$15),0)</f>
        <v>S</v>
      </c>
      <c r="C89" s="7" t="str">
        <f ca="1">OFFSET(ORÇAMENTO!L$15,ROW(C89)-ROW(C$15),0)</f>
        <v>F</v>
      </c>
      <c r="D89" s="117" t="str">
        <f ca="1">OFFSET(ORÇAMENTO!N$15,ROW(D89)-ROW(D$15),0)</f>
        <v>Serviço</v>
      </c>
      <c r="E89" s="118" t="str">
        <f ca="1">OFFSET(ORÇAMENTO!O$15,ROW(E89)-ROW(E$15),0)</f>
        <v>1.7.2.</v>
      </c>
      <c r="F89" s="164" t="str">
        <f ca="1">OFFSET(ORÇAMENTO!R$15,ROW(F89)-ROW(F$15),0)</f>
        <v>ARGAMASSA TRAÇO 1:1,5:7,5 (EM VOLUME DE CIMENTO, CAL E AREIA MÉDIA ÚMIDA) PARA EMBOÇO/MASSA ÚNICA/ASSENTAMENTO DE ALVENARIA DE VEDAÇÃO, PREPARO MECÂNICO COM BETONEIRA ATÉ 600 L. AF_07/2026</v>
      </c>
      <c r="G89" s="165" t="str">
        <f ca="1">IF($D89&lt;&gt;"Serviço","",OFFSET(ORÇAMENTO!S$15,ROW(G89)-ROW(G$15),0))</f>
        <v>M3</v>
      </c>
      <c r="H89" s="123">
        <f ca="1">IF($D89&lt;&gt;"Serviço",0,IF(ACOMPANHAMENTO="BM",ROUND(OFFSET(ORÇAMENTO!AJ$15,ROW(H89)-ROW(H$15),0),15-13*ORÇAMENTO!$AF$7),SUMPRODUCT(($Q$1:$AA$1=1)*ROUND($Q89:$AA89,15-13*ORÇAMENTO!$AF$7))))</f>
        <v>0.4</v>
      </c>
      <c r="I89" s="469" t="s">
        <v>1068</v>
      </c>
      <c r="J89" s="663" t="str">
        <f ca="1">IF(OR(B89&lt;&gt;"S",CÁLCULO.FrentesPreenchidas=0),"",IF(AND(ACOMPANHAMENTO="PLE",AUTOEVENTO="Manual",OR(H89&gt;0,ORÇAMENTO!AC89="QUANT."),OR(K89="",M89=0,N89="")),"►",IF(AND(ACOMPANHAMENTO="PLE",ORÇAMENTO!AC89="QUANT."),"►►",IF(AND(COUNTIF($P$11:$AA$11,"▼")=0,H89&gt;0,I89=""),"◄",""))))</f>
        <v/>
      </c>
      <c r="K89" s="664"/>
      <c r="L89" s="166" t="s">
        <v>765</v>
      </c>
      <c r="M89" s="167">
        <f ca="1">IF($D89&lt;&gt;"Serviço","",
          IF(AUTOEVENTO="manual",$A89,
                IF(ISERROR(MATCH($A89,$A$15:OFFSET($A89,-1,0),0)),MAX($M$15:OFFSET(M89,-1,0))+1,
                      INDEX($M$15:OFFSET(M89,-1,0),MATCH($A89,$A$15:OFFSET($A89,-1,0),0)))))</f>
        <v>7</v>
      </c>
      <c r="N89" s="168" t="str">
        <f ca="1">IF($D89&lt;&gt;"Serviço","",
         IF(AUTOEVENTO="Manual",
                IF($A89=0,"&lt;-- defina o número do agrupador",
                       OFFSET(EVENTOS!$D$15,$A89-$A$15,0)),
                OFFSET($F$15,$A89,0)))</f>
        <v>MURRO DE ARRIMO</v>
      </c>
      <c r="O89" s="169"/>
      <c r="Q89" s="169">
        <v>0.4</v>
      </c>
      <c r="R89" s="170"/>
      <c r="S89" s="170"/>
      <c r="T89" s="170"/>
      <c r="U89" s="170"/>
      <c r="V89" s="170"/>
      <c r="W89" s="170"/>
      <c r="X89" s="170"/>
      <c r="Y89" s="170"/>
      <c r="Z89" s="171"/>
      <c r="AB89" s="454">
        <f ca="1">IF(AND($D89="Serviço",AB$12&lt;&gt;0,$H89&gt;0,OR(AUTOEVENTO&lt;&gt;"manual",$M89&lt;&gt;$A$15)),
        IF(Import.TipoArredondamento&lt;&gt;"TransfereGOV",
              ROUND(OFFSET($P89,0,AB$13),15-13*ORÇAMENTO!$AF$7)/$H89*OFFSET(ORÇAMENTO!$X$15,ROW(AB89)-ROW(AB$15),0),
              ROUND(ROUND(OFFSET($P89,0,AB$13),15-13*ORÇAMENTO!$AF$7)*OFFSET(ORÇAMENTO!$W$15,ROW(AB89)-ROW(AB$15),0),15-13*ORÇAMENTO!$AF$11)),
         0)</f>
        <v>286.20999999999998</v>
      </c>
      <c r="AC89" s="454">
        <f ca="1">IF(AND($D89="Serviço",AC$12&lt;&gt;0,$H89&gt;0,OR(AUTOEVENTO&lt;&gt;"manual",$M89&lt;&gt;$A$15)),
        IF(Import.TipoArredondamento&lt;&gt;"TransfereGOV",
              ROUND(OFFSET($P89,0,AC$13),15-13*ORÇAMENTO!$AF$7)/$H89*OFFSET(ORÇAMENTO!$X$15,ROW(AC89)-ROW(AC$15),0),
              ROUND(ROUND(OFFSET($P89,0,AC$13),15-13*ORÇAMENTO!$AF$7)*OFFSET(ORÇAMENTO!$W$15,ROW(AC89)-ROW(AC$15),0),15-13*ORÇAMENTO!$AF$11)),
         0)</f>
        <v>0</v>
      </c>
      <c r="AD89" s="454">
        <f ca="1">IF(AND($D89="Serviço",AD$12&lt;&gt;0,$H89&gt;0,OR(AUTOEVENTO&lt;&gt;"manual",$M89&lt;&gt;$A$15)),
        IF(Import.TipoArredondamento&lt;&gt;"TransfereGOV",
              ROUND(OFFSET($P89,0,AD$13),15-13*ORÇAMENTO!$AF$7)/$H89*OFFSET(ORÇAMENTO!$X$15,ROW(AD89)-ROW(AD$15),0),
              ROUND(ROUND(OFFSET($P89,0,AD$13),15-13*ORÇAMENTO!$AF$7)*OFFSET(ORÇAMENTO!$W$15,ROW(AD89)-ROW(AD$15),0),15-13*ORÇAMENTO!$AF$11)),
         0)</f>
        <v>0</v>
      </c>
      <c r="AE89" s="454">
        <f ca="1">IF(AND($D89="Serviço",AE$12&lt;&gt;0,$H89&gt;0,OR(AUTOEVENTO&lt;&gt;"manual",$M89&lt;&gt;$A$15)),
        IF(Import.TipoArredondamento&lt;&gt;"TransfereGOV",
              ROUND(OFFSET($P89,0,AE$13),15-13*ORÇAMENTO!$AF$7)/$H89*OFFSET(ORÇAMENTO!$X$15,ROW(AE89)-ROW(AE$15),0),
              ROUND(ROUND(OFFSET($P89,0,AE$13),15-13*ORÇAMENTO!$AF$7)*OFFSET(ORÇAMENTO!$W$15,ROW(AE89)-ROW(AE$15),0),15-13*ORÇAMENTO!$AF$11)),
         0)</f>
        <v>0</v>
      </c>
      <c r="AF89" s="454">
        <f ca="1">IF(AND($D89="Serviço",AF$12&lt;&gt;0,$H89&gt;0,OR(AUTOEVENTO&lt;&gt;"manual",$M89&lt;&gt;$A$15)),
        IF(Import.TipoArredondamento&lt;&gt;"TransfereGOV",
              ROUND(OFFSET($P89,0,AF$13),15-13*ORÇAMENTO!$AF$7)/$H89*OFFSET(ORÇAMENTO!$X$15,ROW(AF89)-ROW(AF$15),0),
              ROUND(ROUND(OFFSET($P89,0,AF$13),15-13*ORÇAMENTO!$AF$7)*OFFSET(ORÇAMENTO!$W$15,ROW(AF89)-ROW(AF$15),0),15-13*ORÇAMENTO!$AF$11)),
         0)</f>
        <v>0</v>
      </c>
      <c r="AG89" s="454">
        <f ca="1">IF(AND($D89="Serviço",AG$12&lt;&gt;0,$H89&gt;0,OR(AUTOEVENTO&lt;&gt;"manual",$M89&lt;&gt;$A$15)),
        IF(Import.TipoArredondamento&lt;&gt;"TransfereGOV",
              ROUND(OFFSET($P89,0,AG$13),15-13*ORÇAMENTO!$AF$7)/$H89*OFFSET(ORÇAMENTO!$X$15,ROW(AG89)-ROW(AG$15),0),
              ROUND(ROUND(OFFSET($P89,0,AG$13),15-13*ORÇAMENTO!$AF$7)*OFFSET(ORÇAMENTO!$W$15,ROW(AG89)-ROW(AG$15),0),15-13*ORÇAMENTO!$AF$11)),
         0)</f>
        <v>0</v>
      </c>
      <c r="AH89" s="454">
        <f ca="1">IF(AND($D89="Serviço",AH$12&lt;&gt;0,$H89&gt;0,OR(AUTOEVENTO&lt;&gt;"manual",$M89&lt;&gt;$A$15)),
        IF(Import.TipoArredondamento&lt;&gt;"TransfereGOV",
              ROUND(OFFSET($P89,0,AH$13),15-13*ORÇAMENTO!$AF$7)/$H89*OFFSET(ORÇAMENTO!$X$15,ROW(AH89)-ROW(AH$15),0),
              ROUND(ROUND(OFFSET($P89,0,AH$13),15-13*ORÇAMENTO!$AF$7)*OFFSET(ORÇAMENTO!$W$15,ROW(AH89)-ROW(AH$15),0),15-13*ORÇAMENTO!$AF$11)),
         0)</f>
        <v>0</v>
      </c>
      <c r="AI89" s="454">
        <f ca="1">IF(AND($D89="Serviço",AI$12&lt;&gt;0,$H89&gt;0,OR(AUTOEVENTO&lt;&gt;"manual",$M89&lt;&gt;$A$15)),
        IF(Import.TipoArredondamento&lt;&gt;"TransfereGOV",
              ROUND(OFFSET($P89,0,AI$13),15-13*ORÇAMENTO!$AF$7)/$H89*OFFSET(ORÇAMENTO!$X$15,ROW(AI89)-ROW(AI$15),0),
              ROUND(ROUND(OFFSET($P89,0,AI$13),15-13*ORÇAMENTO!$AF$7)*OFFSET(ORÇAMENTO!$W$15,ROW(AI89)-ROW(AI$15),0),15-13*ORÇAMENTO!$AF$11)),
         0)</f>
        <v>0</v>
      </c>
      <c r="AJ89" s="454">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0</v>
      </c>
      <c r="AK89" s="454">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0</v>
      </c>
      <c r="AM89" s="172">
        <f ca="1">IF(OR($D89&lt;&gt;"Serviço",AND(AUTOEVENTO="Manual",$M89=$A$15)),0,
         IF(OFFSET(CRONOPLE!$F$15,$M89-$A$15,AM$13)=0,10^12,OFFSET(CRONOPLE!$F$15,$M89-$A$15,AM$13)))</f>
        <v>1</v>
      </c>
      <c r="AN89" s="172">
        <f ca="1">IF(OR($D89&lt;&gt;"Serviço",AND(AUTOEVENTO="Manual",$M89=$A$15)),0,
         IF(OFFSET(CRONOPLE!$F$15,$M89-$A$15,AN$13)=0,10^12,OFFSET(CRONOPLE!$F$15,$M89-$A$15,AN$13)))</f>
        <v>1000000000000</v>
      </c>
      <c r="AO89" s="172">
        <f ca="1">IF(OR($D89&lt;&gt;"Serviço",AND(AUTOEVENTO="Manual",$M89=$A$15)),0,
         IF(OFFSET(CRONOPLE!$F$15,$M89-$A$15,AO$13)=0,10^12,OFFSET(CRONOPLE!$F$15,$M89-$A$15,AO$13)))</f>
        <v>1000000000000</v>
      </c>
      <c r="AP89" s="172">
        <f ca="1">IF(OR($D89&lt;&gt;"Serviço",AND(AUTOEVENTO="Manual",$M89=$A$15)),0,
         IF(OFFSET(CRONOPLE!$F$15,$M89-$A$15,AP$13)=0,10^12,OFFSET(CRONOPLE!$F$15,$M89-$A$15,AP$13)))</f>
        <v>1000000000000</v>
      </c>
      <c r="AQ89" s="172">
        <f ca="1">IF(OR($D89&lt;&gt;"Serviço",AND(AUTOEVENTO="Manual",$M89=$A$15)),0,
         IF(OFFSET(CRONOPLE!$F$15,$M89-$A$15,AQ$13)=0,10^12,OFFSET(CRONOPLE!$F$15,$M89-$A$15,AQ$13)))</f>
        <v>1000000000000</v>
      </c>
      <c r="AR89" s="172">
        <f ca="1">IF(OR($D89&lt;&gt;"Serviço",AND(AUTOEVENTO="Manual",$M89=$A$15)),0,
         IF(OFFSET(CRONOPLE!$F$15,$M89-$A$15,AR$13)=0,10^12,OFFSET(CRONOPLE!$F$15,$M89-$A$15,AR$13)))</f>
        <v>1000000000000</v>
      </c>
      <c r="AS89" s="172">
        <f ca="1">IF(OR($D89&lt;&gt;"Serviço",AND(AUTOEVENTO="Manual",$M89=$A$15)),0,
         IF(OFFSET(CRONOPLE!$F$15,$M89-$A$15,AS$13)=0,10^12,OFFSET(CRONOPLE!$F$15,$M89-$A$15,AS$13)))</f>
        <v>1000000000000</v>
      </c>
      <c r="AT89" s="172">
        <f ca="1">IF(OR($D89&lt;&gt;"Serviço",AND(AUTOEVENTO="Manual",$M89=$A$15)),0,
         IF(OFFSET(CRONOPLE!$F$15,$M89-$A$15,AT$13)=0,10^12,OFFSET(CRONOPLE!$F$15,$M89-$A$15,AT$13)))</f>
        <v>1000000000000</v>
      </c>
      <c r="AU89" s="172">
        <f ca="1">IF(OR($D89&lt;&gt;"Serviço",AND(AUTOEVENTO="Manual",$M89=$A$15)),0,
         IF(OFFSET(CRONOPLE!$F$15,$M89-$A$15,AU$13)=0,10^12,OFFSET(CRONOPLE!$F$15,$M89-$A$15,AU$13)))</f>
        <v>1000000000000</v>
      </c>
      <c r="AV89" s="172">
        <f ca="1">IF(OR($D89&lt;&gt;"Serviço",AND(AUTOEVENTO="Manual",$M89=$A$15)),0,
         IF(OFFSET(CRONOPLE!$F$15,$M89-$A$15,AV$13)=0,10^12,OFFSET(CRONOPLE!$F$15,$M89-$A$15,AV$13)))</f>
        <v>1000000000000</v>
      </c>
      <c r="AX89" s="173">
        <f ca="1">IF(OR($D89&lt;&gt;"Serviço",AND(AUTOEVENTO="Manual",$M89=$A$15),$M89&gt;(ROW(PLE.lastrow)-ROW(PLE.firstrow))),0,
           IF(OFFSET(PLE!$G$15,$M89-$A$15,AX$13)="",10^12,OFFSET(PLE!$G$15,$M89-$A$15,AX$13)))</f>
        <v>1000000000000</v>
      </c>
      <c r="AY89" s="173">
        <f ca="1">IF(OR($D89&lt;&gt;"Serviço",AND(AUTOEVENTO="Manual",$M89=$A$15),$M89&gt;(ROW(PLE.lastrow)-ROW(PLE.firstrow))),0,
           IF(OFFSET(PLE!$G$15,$M89-$A$15,AY$13)="",10^12,OFFSET(PLE!$G$15,$M89-$A$15,AY$13)))</f>
        <v>1000000000000</v>
      </c>
      <c r="AZ89" s="173">
        <f ca="1">IF(OR($D89&lt;&gt;"Serviço",AND(AUTOEVENTO="Manual",$M89=$A$15),$M89&gt;(ROW(PLE.lastrow)-ROW(PLE.firstrow))),0,
           IF(OFFSET(PLE!$G$15,$M89-$A$15,AZ$13)="",10^12,OFFSET(PLE!$G$15,$M89-$A$15,AZ$13)))</f>
        <v>1000000000000</v>
      </c>
      <c r="BA89" s="173">
        <f ca="1">IF(OR($D89&lt;&gt;"Serviço",AND(AUTOEVENTO="Manual",$M89=$A$15),$M89&gt;(ROW(PLE.lastrow)-ROW(PLE.firstrow))),0,
           IF(OFFSET(PLE!$G$15,$M89-$A$15,BA$13)="",10^12,OFFSET(PLE!$G$15,$M89-$A$15,BA$13)))</f>
        <v>1000000000000</v>
      </c>
      <c r="BB89" s="173">
        <f ca="1">IF(OR($D89&lt;&gt;"Serviço",AND(AUTOEVENTO="Manual",$M89=$A$15),$M89&gt;(ROW(PLE.lastrow)-ROW(PLE.firstrow))),0,
           IF(OFFSET(PLE!$G$15,$M89-$A$15,BB$13)="",10^12,OFFSET(PLE!$G$15,$M89-$A$15,BB$13)))</f>
        <v>1000000000000</v>
      </c>
      <c r="BC89" s="173">
        <f ca="1">IF(OR($D89&lt;&gt;"Serviço",AND(AUTOEVENTO="Manual",$M89=$A$15),$M89&gt;(ROW(PLE.lastrow)-ROW(PLE.firstrow))),0,
           IF(OFFSET(PLE!$G$15,$M89-$A$15,BC$13)="",10^12,OFFSET(PLE!$G$15,$M89-$A$15,BC$13)))</f>
        <v>1000000000000</v>
      </c>
      <c r="BD89" s="173">
        <f ca="1">IF(OR($D89&lt;&gt;"Serviço",AND(AUTOEVENTO="Manual",$M89=$A$15),$M89&gt;(ROW(PLE.lastrow)-ROW(PLE.firstrow))),0,
           IF(OFFSET(PLE!$G$15,$M89-$A$15,BD$13)="",10^12,OFFSET(PLE!$G$15,$M89-$A$15,BD$13)))</f>
        <v>1000000000000</v>
      </c>
      <c r="BE89" s="173">
        <f ca="1">IF(OR($D89&lt;&gt;"Serviço",AND(AUTOEVENTO="Manual",$M89=$A$15),$M89&gt;(ROW(PLE.lastrow)-ROW(PLE.firstrow))),0,
           IF(OFFSET(PLE!$G$15,$M89-$A$15,BE$13)="",10^12,OFFSET(PLE!$G$15,$M89-$A$15,BE$13)))</f>
        <v>1000000000000</v>
      </c>
      <c r="BF89" s="173">
        <f ca="1">IF(OR($D89&lt;&gt;"Serviço",AND(AUTOEVENTO="Manual",$M89=$A$15),$M89&gt;(ROW(PLE.lastrow)-ROW(PLE.firstrow))),0,
           IF(OFFSET(PLE!$G$15,$M89-$A$15,BF$13)="",10^12,OFFSET(PLE!$G$15,$M89-$A$15,BF$13)))</f>
        <v>1000000000000</v>
      </c>
      <c r="BG89" s="173">
        <f ca="1">IF(OR($D89&lt;&gt;"Serviço",AND(AUTOEVENTO="Manual",$M89=$A$15),$M89&gt;(ROW(PLE.lastrow)-ROW(PLE.firstrow))),0,
           IF(OFFSET(PLE!$G$15,$M89-$A$15,BG$13)="",10^12,OFFSET(PLE!$G$15,$M89-$A$15,BG$13)))</f>
        <v>1000000000000</v>
      </c>
    </row>
    <row r="90" spans="1:59" ht="38.25" x14ac:dyDescent="0.2">
      <c r="A90" s="7" t="str">
        <f t="shared" ca="1" si="10"/>
        <v>72</v>
      </c>
      <c r="B90" s="7" t="str">
        <f ca="1">OFFSET(ORÇAMENTO!C$15,ROW(B90)-ROW(B$15),0)</f>
        <v>S</v>
      </c>
      <c r="C90" s="7" t="str">
        <f ca="1">OFFSET(ORÇAMENTO!L$15,ROW(C90)-ROW(C$15),0)</f>
        <v>F</v>
      </c>
      <c r="D90" s="117" t="str">
        <f ca="1">OFFSET(ORÇAMENTO!N$15,ROW(D90)-ROW(D$15),0)</f>
        <v>Serviço</v>
      </c>
      <c r="E90" s="118" t="str">
        <f ca="1">OFFSET(ORÇAMENTO!O$15,ROW(E90)-ROW(E$15),0)</f>
        <v>1.7.3.</v>
      </c>
      <c r="F90" s="164" t="str">
        <f ca="1">OFFSET(ORÇAMENTO!R$15,ROW(F90)-ROW(F$15),0)</f>
        <v>ARGAMASSA TRAÇO 1:3 (EM VOLUME DE CIMENTO E AREIA GROSSA ÚMIDA) PARA CHAPISCO CONVENCIONAL, PREPARO MECÂNICO COM BETONEIRA ATÉ 600 L. AF_07/2026</v>
      </c>
      <c r="G90" s="165" t="str">
        <f ca="1">IF($D90&lt;&gt;"Serviço","",OFFSET(ORÇAMENTO!S$15,ROW(G90)-ROW(G$15),0))</f>
        <v>M3</v>
      </c>
      <c r="H90" s="123">
        <f ca="1">IF($D90&lt;&gt;"Serviço",0,IF(ACOMPANHAMENTO="BM",ROUND(OFFSET(ORÇAMENTO!AJ$15,ROW(H90)-ROW(H$15),0),15-13*ORÇAMENTO!$AF$7),SUMPRODUCT(($Q$1:$AA$1=1)*ROUND($Q90:$AA90,15-13*ORÇAMENTO!$AF$7))))</f>
        <v>1.5</v>
      </c>
      <c r="I90" s="469" t="s">
        <v>1069</v>
      </c>
      <c r="J90" s="663" t="str">
        <f ca="1">IF(OR(B90&lt;&gt;"S",CÁLCULO.FrentesPreenchidas=0),"",IF(AND(ACOMPANHAMENTO="PLE",AUTOEVENTO="Manual",OR(H90&gt;0,ORÇAMENTO!AC90="QUANT."),OR(K90="",M90=0,N90="")),"►",IF(AND(ACOMPANHAMENTO="PLE",ORÇAMENTO!AC90="QUANT."),"►►",IF(AND(COUNTIF($P$11:$AA$11,"▼")=0,H90&gt;0,I90=""),"◄",""))))</f>
        <v/>
      </c>
      <c r="K90" s="664"/>
      <c r="L90" s="166" t="s">
        <v>765</v>
      </c>
      <c r="M90" s="167">
        <f ca="1">IF($D90&lt;&gt;"Serviço","",
          IF(AUTOEVENTO="manual",$A90,
                IF(ISERROR(MATCH($A90,$A$15:OFFSET($A90,-1,0),0)),MAX($M$15:OFFSET(M90,-1,0))+1,
                      INDEX($M$15:OFFSET(M90,-1,0),MATCH($A90,$A$15:OFFSET($A90,-1,0),0)))))</f>
        <v>7</v>
      </c>
      <c r="N90" s="168" t="str">
        <f ca="1">IF($D90&lt;&gt;"Serviço","",
         IF(AUTOEVENTO="Manual",
                IF($A90=0,"&lt;-- defina o número do agrupador",
                       OFFSET(EVENTOS!$D$15,$A90-$A$15,0)),
                OFFSET($F$15,$A90,0)))</f>
        <v>MURRO DE ARRIMO</v>
      </c>
      <c r="O90" s="169"/>
      <c r="Q90" s="169">
        <v>1.5</v>
      </c>
      <c r="R90" s="170"/>
      <c r="S90" s="170"/>
      <c r="T90" s="170"/>
      <c r="U90" s="170"/>
      <c r="V90" s="170"/>
      <c r="W90" s="170"/>
      <c r="X90" s="170"/>
      <c r="Y90" s="170"/>
      <c r="Z90" s="171"/>
      <c r="AB90" s="454">
        <f ca="1">IF(AND($D90="Serviço",AB$12&lt;&gt;0,$H90&gt;0,OR(AUTOEVENTO&lt;&gt;"manual",$M90&lt;&gt;$A$15)),
        IF(Import.TipoArredondamento&lt;&gt;"TransfereGOV",
              ROUND(OFFSET($P90,0,AB$13),15-13*ORÇAMENTO!$AF$7)/$H90*OFFSET(ORÇAMENTO!$X$15,ROW(AB90)-ROW(AB$15),0),
              ROUND(ROUND(OFFSET($P90,0,AB$13),15-13*ORÇAMENTO!$AF$7)*OFFSET(ORÇAMENTO!$W$15,ROW(AB90)-ROW(AB$15),0),15-13*ORÇAMENTO!$AF$11)),
         0)</f>
        <v>1097.25</v>
      </c>
      <c r="AC90" s="454">
        <f ca="1">IF(AND($D90="Serviço",AC$12&lt;&gt;0,$H90&gt;0,OR(AUTOEVENTO&lt;&gt;"manual",$M90&lt;&gt;$A$15)),
        IF(Import.TipoArredondamento&lt;&gt;"TransfereGOV",
              ROUND(OFFSET($P90,0,AC$13),15-13*ORÇAMENTO!$AF$7)/$H90*OFFSET(ORÇAMENTO!$X$15,ROW(AC90)-ROW(AC$15),0),
              ROUND(ROUND(OFFSET($P90,0,AC$13),15-13*ORÇAMENTO!$AF$7)*OFFSET(ORÇAMENTO!$W$15,ROW(AC90)-ROW(AC$15),0),15-13*ORÇAMENTO!$AF$11)),
         0)</f>
        <v>0</v>
      </c>
      <c r="AD90" s="454">
        <f ca="1">IF(AND($D90="Serviço",AD$12&lt;&gt;0,$H90&gt;0,OR(AUTOEVENTO&lt;&gt;"manual",$M90&lt;&gt;$A$15)),
        IF(Import.TipoArredondamento&lt;&gt;"TransfereGOV",
              ROUND(OFFSET($P90,0,AD$13),15-13*ORÇAMENTO!$AF$7)/$H90*OFFSET(ORÇAMENTO!$X$15,ROW(AD90)-ROW(AD$15),0),
              ROUND(ROUND(OFFSET($P90,0,AD$13),15-13*ORÇAMENTO!$AF$7)*OFFSET(ORÇAMENTO!$W$15,ROW(AD90)-ROW(AD$15),0),15-13*ORÇAMENTO!$AF$11)),
         0)</f>
        <v>0</v>
      </c>
      <c r="AE90" s="454">
        <f ca="1">IF(AND($D90="Serviço",AE$12&lt;&gt;0,$H90&gt;0,OR(AUTOEVENTO&lt;&gt;"manual",$M90&lt;&gt;$A$15)),
        IF(Import.TipoArredondamento&lt;&gt;"TransfereGOV",
              ROUND(OFFSET($P90,0,AE$13),15-13*ORÇAMENTO!$AF$7)/$H90*OFFSET(ORÇAMENTO!$X$15,ROW(AE90)-ROW(AE$15),0),
              ROUND(ROUND(OFFSET($P90,0,AE$13),15-13*ORÇAMENTO!$AF$7)*OFFSET(ORÇAMENTO!$W$15,ROW(AE90)-ROW(AE$15),0),15-13*ORÇAMENTO!$AF$11)),
         0)</f>
        <v>0</v>
      </c>
      <c r="AF90" s="454">
        <f ca="1">IF(AND($D90="Serviço",AF$12&lt;&gt;0,$H90&gt;0,OR(AUTOEVENTO&lt;&gt;"manual",$M90&lt;&gt;$A$15)),
        IF(Import.TipoArredondamento&lt;&gt;"TransfereGOV",
              ROUND(OFFSET($P90,0,AF$13),15-13*ORÇAMENTO!$AF$7)/$H90*OFFSET(ORÇAMENTO!$X$15,ROW(AF90)-ROW(AF$15),0),
              ROUND(ROUND(OFFSET($P90,0,AF$13),15-13*ORÇAMENTO!$AF$7)*OFFSET(ORÇAMENTO!$W$15,ROW(AF90)-ROW(AF$15),0),15-13*ORÇAMENTO!$AF$11)),
         0)</f>
        <v>0</v>
      </c>
      <c r="AG90" s="454">
        <f ca="1">IF(AND($D90="Serviço",AG$12&lt;&gt;0,$H90&gt;0,OR(AUTOEVENTO&lt;&gt;"manual",$M90&lt;&gt;$A$15)),
        IF(Import.TipoArredondamento&lt;&gt;"TransfereGOV",
              ROUND(OFFSET($P90,0,AG$13),15-13*ORÇAMENTO!$AF$7)/$H90*OFFSET(ORÇAMENTO!$X$15,ROW(AG90)-ROW(AG$15),0),
              ROUND(ROUND(OFFSET($P90,0,AG$13),15-13*ORÇAMENTO!$AF$7)*OFFSET(ORÇAMENTO!$W$15,ROW(AG90)-ROW(AG$15),0),15-13*ORÇAMENTO!$AF$11)),
         0)</f>
        <v>0</v>
      </c>
      <c r="AH90" s="454">
        <f ca="1">IF(AND($D90="Serviço",AH$12&lt;&gt;0,$H90&gt;0,OR(AUTOEVENTO&lt;&gt;"manual",$M90&lt;&gt;$A$15)),
        IF(Import.TipoArredondamento&lt;&gt;"TransfereGOV",
              ROUND(OFFSET($P90,0,AH$13),15-13*ORÇAMENTO!$AF$7)/$H90*OFFSET(ORÇAMENTO!$X$15,ROW(AH90)-ROW(AH$15),0),
              ROUND(ROUND(OFFSET($P90,0,AH$13),15-13*ORÇAMENTO!$AF$7)*OFFSET(ORÇAMENTO!$W$15,ROW(AH90)-ROW(AH$15),0),15-13*ORÇAMENTO!$AF$11)),
         0)</f>
        <v>0</v>
      </c>
      <c r="AI90" s="454">
        <f ca="1">IF(AND($D90="Serviço",AI$12&lt;&gt;0,$H90&gt;0,OR(AUTOEVENTO&lt;&gt;"manual",$M90&lt;&gt;$A$15)),
        IF(Import.TipoArredondamento&lt;&gt;"TransfereGOV",
              ROUND(OFFSET($P90,0,AI$13),15-13*ORÇAMENTO!$AF$7)/$H90*OFFSET(ORÇAMENTO!$X$15,ROW(AI90)-ROW(AI$15),0),
              ROUND(ROUND(OFFSET($P90,0,AI$13),15-13*ORÇAMENTO!$AF$7)*OFFSET(ORÇAMENTO!$W$15,ROW(AI90)-ROW(AI$15),0),15-13*ORÇAMENTO!$AF$11)),
         0)</f>
        <v>0</v>
      </c>
      <c r="AJ90" s="454">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0</v>
      </c>
      <c r="AK90" s="454">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0</v>
      </c>
      <c r="AM90" s="172">
        <f ca="1">IF(OR($D90&lt;&gt;"Serviço",AND(AUTOEVENTO="Manual",$M90=$A$15)),0,
         IF(OFFSET(CRONOPLE!$F$15,$M90-$A$15,AM$13)=0,10^12,OFFSET(CRONOPLE!$F$15,$M90-$A$15,AM$13)))</f>
        <v>1</v>
      </c>
      <c r="AN90" s="172">
        <f ca="1">IF(OR($D90&lt;&gt;"Serviço",AND(AUTOEVENTO="Manual",$M90=$A$15)),0,
         IF(OFFSET(CRONOPLE!$F$15,$M90-$A$15,AN$13)=0,10^12,OFFSET(CRONOPLE!$F$15,$M90-$A$15,AN$13)))</f>
        <v>1000000000000</v>
      </c>
      <c r="AO90" s="172">
        <f ca="1">IF(OR($D90&lt;&gt;"Serviço",AND(AUTOEVENTO="Manual",$M90=$A$15)),0,
         IF(OFFSET(CRONOPLE!$F$15,$M90-$A$15,AO$13)=0,10^12,OFFSET(CRONOPLE!$F$15,$M90-$A$15,AO$13)))</f>
        <v>1000000000000</v>
      </c>
      <c r="AP90" s="172">
        <f ca="1">IF(OR($D90&lt;&gt;"Serviço",AND(AUTOEVENTO="Manual",$M90=$A$15)),0,
         IF(OFFSET(CRONOPLE!$F$15,$M90-$A$15,AP$13)=0,10^12,OFFSET(CRONOPLE!$F$15,$M90-$A$15,AP$13)))</f>
        <v>1000000000000</v>
      </c>
      <c r="AQ90" s="172">
        <f ca="1">IF(OR($D90&lt;&gt;"Serviço",AND(AUTOEVENTO="Manual",$M90=$A$15)),0,
         IF(OFFSET(CRONOPLE!$F$15,$M90-$A$15,AQ$13)=0,10^12,OFFSET(CRONOPLE!$F$15,$M90-$A$15,AQ$13)))</f>
        <v>1000000000000</v>
      </c>
      <c r="AR90" s="172">
        <f ca="1">IF(OR($D90&lt;&gt;"Serviço",AND(AUTOEVENTO="Manual",$M90=$A$15)),0,
         IF(OFFSET(CRONOPLE!$F$15,$M90-$A$15,AR$13)=0,10^12,OFFSET(CRONOPLE!$F$15,$M90-$A$15,AR$13)))</f>
        <v>1000000000000</v>
      </c>
      <c r="AS90" s="172">
        <f ca="1">IF(OR($D90&lt;&gt;"Serviço",AND(AUTOEVENTO="Manual",$M90=$A$15)),0,
         IF(OFFSET(CRONOPLE!$F$15,$M90-$A$15,AS$13)=0,10^12,OFFSET(CRONOPLE!$F$15,$M90-$A$15,AS$13)))</f>
        <v>1000000000000</v>
      </c>
      <c r="AT90" s="172">
        <f ca="1">IF(OR($D90&lt;&gt;"Serviço",AND(AUTOEVENTO="Manual",$M90=$A$15)),0,
         IF(OFFSET(CRONOPLE!$F$15,$M90-$A$15,AT$13)=0,10^12,OFFSET(CRONOPLE!$F$15,$M90-$A$15,AT$13)))</f>
        <v>1000000000000</v>
      </c>
      <c r="AU90" s="172">
        <f ca="1">IF(OR($D90&lt;&gt;"Serviço",AND(AUTOEVENTO="Manual",$M90=$A$15)),0,
         IF(OFFSET(CRONOPLE!$F$15,$M90-$A$15,AU$13)=0,10^12,OFFSET(CRONOPLE!$F$15,$M90-$A$15,AU$13)))</f>
        <v>1000000000000</v>
      </c>
      <c r="AV90" s="172">
        <f ca="1">IF(OR($D90&lt;&gt;"Serviço",AND(AUTOEVENTO="Manual",$M90=$A$15)),0,
         IF(OFFSET(CRONOPLE!$F$15,$M90-$A$15,AV$13)=0,10^12,OFFSET(CRONOPLE!$F$15,$M90-$A$15,AV$13)))</f>
        <v>1000000000000</v>
      </c>
      <c r="AX90" s="173">
        <f ca="1">IF(OR($D90&lt;&gt;"Serviço",AND(AUTOEVENTO="Manual",$M90=$A$15),$M90&gt;(ROW(PLE.lastrow)-ROW(PLE.firstrow))),0,
           IF(OFFSET(PLE!$G$15,$M90-$A$15,AX$13)="",10^12,OFFSET(PLE!$G$15,$M90-$A$15,AX$13)))</f>
        <v>1000000000000</v>
      </c>
      <c r="AY90" s="173">
        <f ca="1">IF(OR($D90&lt;&gt;"Serviço",AND(AUTOEVENTO="Manual",$M90=$A$15),$M90&gt;(ROW(PLE.lastrow)-ROW(PLE.firstrow))),0,
           IF(OFFSET(PLE!$G$15,$M90-$A$15,AY$13)="",10^12,OFFSET(PLE!$G$15,$M90-$A$15,AY$13)))</f>
        <v>1000000000000</v>
      </c>
      <c r="AZ90" s="173">
        <f ca="1">IF(OR($D90&lt;&gt;"Serviço",AND(AUTOEVENTO="Manual",$M90=$A$15),$M90&gt;(ROW(PLE.lastrow)-ROW(PLE.firstrow))),0,
           IF(OFFSET(PLE!$G$15,$M90-$A$15,AZ$13)="",10^12,OFFSET(PLE!$G$15,$M90-$A$15,AZ$13)))</f>
        <v>1000000000000</v>
      </c>
      <c r="BA90" s="173">
        <f ca="1">IF(OR($D90&lt;&gt;"Serviço",AND(AUTOEVENTO="Manual",$M90=$A$15),$M90&gt;(ROW(PLE.lastrow)-ROW(PLE.firstrow))),0,
           IF(OFFSET(PLE!$G$15,$M90-$A$15,BA$13)="",10^12,OFFSET(PLE!$G$15,$M90-$A$15,BA$13)))</f>
        <v>1000000000000</v>
      </c>
      <c r="BB90" s="173">
        <f ca="1">IF(OR($D90&lt;&gt;"Serviço",AND(AUTOEVENTO="Manual",$M90=$A$15),$M90&gt;(ROW(PLE.lastrow)-ROW(PLE.firstrow))),0,
           IF(OFFSET(PLE!$G$15,$M90-$A$15,BB$13)="",10^12,OFFSET(PLE!$G$15,$M90-$A$15,BB$13)))</f>
        <v>1000000000000</v>
      </c>
      <c r="BC90" s="173">
        <f ca="1">IF(OR($D90&lt;&gt;"Serviço",AND(AUTOEVENTO="Manual",$M90=$A$15),$M90&gt;(ROW(PLE.lastrow)-ROW(PLE.firstrow))),0,
           IF(OFFSET(PLE!$G$15,$M90-$A$15,BC$13)="",10^12,OFFSET(PLE!$G$15,$M90-$A$15,BC$13)))</f>
        <v>1000000000000</v>
      </c>
      <c r="BD90" s="173">
        <f ca="1">IF(OR($D90&lt;&gt;"Serviço",AND(AUTOEVENTO="Manual",$M90=$A$15),$M90&gt;(ROW(PLE.lastrow)-ROW(PLE.firstrow))),0,
           IF(OFFSET(PLE!$G$15,$M90-$A$15,BD$13)="",10^12,OFFSET(PLE!$G$15,$M90-$A$15,BD$13)))</f>
        <v>1000000000000</v>
      </c>
      <c r="BE90" s="173">
        <f ca="1">IF(OR($D90&lt;&gt;"Serviço",AND(AUTOEVENTO="Manual",$M90=$A$15),$M90&gt;(ROW(PLE.lastrow)-ROW(PLE.firstrow))),0,
           IF(OFFSET(PLE!$G$15,$M90-$A$15,BE$13)="",10^12,OFFSET(PLE!$G$15,$M90-$A$15,BE$13)))</f>
        <v>1000000000000</v>
      </c>
      <c r="BF90" s="173">
        <f ca="1">IF(OR($D90&lt;&gt;"Serviço",AND(AUTOEVENTO="Manual",$M90=$A$15),$M90&gt;(ROW(PLE.lastrow)-ROW(PLE.firstrow))),0,
           IF(OFFSET(PLE!$G$15,$M90-$A$15,BF$13)="",10^12,OFFSET(PLE!$G$15,$M90-$A$15,BF$13)))</f>
        <v>1000000000000</v>
      </c>
      <c r="BG90" s="173">
        <f ca="1">IF(OR($D90&lt;&gt;"Serviço",AND(AUTOEVENTO="Manual",$M90=$A$15),$M90&gt;(ROW(PLE.lastrow)-ROW(PLE.firstrow))),0,
           IF(OFFSET(PLE!$G$15,$M90-$A$15,BG$13)="",10^12,OFFSET(PLE!$G$15,$M90-$A$15,BG$13)))</f>
        <v>1000000000000</v>
      </c>
    </row>
    <row r="91" spans="1:59" ht="38.25" x14ac:dyDescent="0.2">
      <c r="A91" s="7" t="str">
        <f t="shared" ca="1" si="10"/>
        <v>72</v>
      </c>
      <c r="B91" s="7" t="str">
        <f ca="1">OFFSET(ORÇAMENTO!C$15,ROW(B91)-ROW(B$15),0)</f>
        <v>S</v>
      </c>
      <c r="C91" s="7" t="str">
        <f ca="1">OFFSET(ORÇAMENTO!L$15,ROW(C91)-ROW(C$15),0)</f>
        <v>F</v>
      </c>
      <c r="D91" s="117" t="str">
        <f ca="1">OFFSET(ORÇAMENTO!N$15,ROW(D91)-ROW(D$15),0)</f>
        <v>Serviço</v>
      </c>
      <c r="E91" s="118" t="str">
        <f ca="1">OFFSET(ORÇAMENTO!O$15,ROW(E91)-ROW(E$15),0)</f>
        <v>1.7.4.</v>
      </c>
      <c r="F91" s="164" t="str">
        <f ca="1">OFFSET(ORÇAMENTO!R$15,ROW(F91)-ROW(F$15),0)</f>
        <v>FABRICAÇÃO DE FÔRMA PARA PILARES E ESTRUTURAS SIMILARES, EM MADEIRA SERRADA, E=25 MM. AF_09/2020</v>
      </c>
      <c r="G91" s="165" t="str">
        <f ca="1">IF($D91&lt;&gt;"Serviço","",OFFSET(ORÇAMENTO!S$15,ROW(G91)-ROW(G$15),0))</f>
        <v>M2</v>
      </c>
      <c r="H91" s="123">
        <f ca="1">IF($D91&lt;&gt;"Serviço",0,IF(ACOMPANHAMENTO="BM",ROUND(OFFSET(ORÇAMENTO!AJ$15,ROW(H91)-ROW(H$15),0),15-13*ORÇAMENTO!$AF$7),SUMPRODUCT(($Q$1:$AA$1=1)*ROUND($Q91:$AA91,15-13*ORÇAMENTO!$AF$7))))</f>
        <v>23.5</v>
      </c>
      <c r="I91" s="469" t="s">
        <v>1070</v>
      </c>
      <c r="J91" s="663" t="str">
        <f ca="1">IF(OR(B91&lt;&gt;"S",CÁLCULO.FrentesPreenchidas=0),"",IF(AND(ACOMPANHAMENTO="PLE",AUTOEVENTO="Manual",OR(H91&gt;0,ORÇAMENTO!AC91="QUANT."),OR(K91="",M91=0,N91="")),"►",IF(AND(ACOMPANHAMENTO="PLE",ORÇAMENTO!AC91="QUANT."),"►►",IF(AND(COUNTIF($P$11:$AA$11,"▼")=0,H91&gt;0,I91=""),"◄",""))))</f>
        <v/>
      </c>
      <c r="K91" s="664"/>
      <c r="L91" s="166" t="s">
        <v>765</v>
      </c>
      <c r="M91" s="167">
        <f ca="1">IF($D91&lt;&gt;"Serviço","",
          IF(AUTOEVENTO="manual",$A91,
                IF(ISERROR(MATCH($A91,$A$15:OFFSET($A91,-1,0),0)),MAX($M$15:OFFSET(M91,-1,0))+1,
                      INDEX($M$15:OFFSET(M91,-1,0),MATCH($A91,$A$15:OFFSET($A91,-1,0),0)))))</f>
        <v>7</v>
      </c>
      <c r="N91" s="168" t="str">
        <f ca="1">IF($D91&lt;&gt;"Serviço","",
         IF(AUTOEVENTO="Manual",
                IF($A91=0,"&lt;-- defina o número do agrupador",
                       OFFSET(EVENTOS!$D$15,$A91-$A$15,0)),
                OFFSET($F$15,$A91,0)))</f>
        <v>MURRO DE ARRIMO</v>
      </c>
      <c r="O91" s="169"/>
      <c r="Q91" s="169">
        <v>23.5</v>
      </c>
      <c r="R91" s="170"/>
      <c r="S91" s="170"/>
      <c r="T91" s="170"/>
      <c r="U91" s="170"/>
      <c r="V91" s="170"/>
      <c r="W91" s="170"/>
      <c r="X91" s="170"/>
      <c r="Y91" s="170"/>
      <c r="Z91" s="171"/>
      <c r="AB91" s="454">
        <f ca="1">IF(AND($D91="Serviço",AB$12&lt;&gt;0,$H91&gt;0,OR(AUTOEVENTO&lt;&gt;"manual",$M91&lt;&gt;$A$15)),
        IF(Import.TipoArredondamento&lt;&gt;"TransfereGOV",
              ROUND(OFFSET($P91,0,AB$13),15-13*ORÇAMENTO!$AF$7)/$H91*OFFSET(ORÇAMENTO!$X$15,ROW(AB91)-ROW(AB$15),0),
              ROUND(ROUND(OFFSET($P91,0,AB$13),15-13*ORÇAMENTO!$AF$7)*OFFSET(ORÇAMENTO!$W$15,ROW(AB91)-ROW(AB$15),0),15-13*ORÇAMENTO!$AF$11)),
         0)</f>
        <v>3207.28</v>
      </c>
      <c r="AC91" s="454">
        <f ca="1">IF(AND($D91="Serviço",AC$12&lt;&gt;0,$H91&gt;0,OR(AUTOEVENTO&lt;&gt;"manual",$M91&lt;&gt;$A$15)),
        IF(Import.TipoArredondamento&lt;&gt;"TransfereGOV",
              ROUND(OFFSET($P91,0,AC$13),15-13*ORÇAMENTO!$AF$7)/$H91*OFFSET(ORÇAMENTO!$X$15,ROW(AC91)-ROW(AC$15),0),
              ROUND(ROUND(OFFSET($P91,0,AC$13),15-13*ORÇAMENTO!$AF$7)*OFFSET(ORÇAMENTO!$W$15,ROW(AC91)-ROW(AC$15),0),15-13*ORÇAMENTO!$AF$11)),
         0)</f>
        <v>0</v>
      </c>
      <c r="AD91" s="454">
        <f ca="1">IF(AND($D91="Serviço",AD$12&lt;&gt;0,$H91&gt;0,OR(AUTOEVENTO&lt;&gt;"manual",$M91&lt;&gt;$A$15)),
        IF(Import.TipoArredondamento&lt;&gt;"TransfereGOV",
              ROUND(OFFSET($P91,0,AD$13),15-13*ORÇAMENTO!$AF$7)/$H91*OFFSET(ORÇAMENTO!$X$15,ROW(AD91)-ROW(AD$15),0),
              ROUND(ROUND(OFFSET($P91,0,AD$13),15-13*ORÇAMENTO!$AF$7)*OFFSET(ORÇAMENTO!$W$15,ROW(AD91)-ROW(AD$15),0),15-13*ORÇAMENTO!$AF$11)),
         0)</f>
        <v>0</v>
      </c>
      <c r="AE91" s="454">
        <f ca="1">IF(AND($D91="Serviço",AE$12&lt;&gt;0,$H91&gt;0,OR(AUTOEVENTO&lt;&gt;"manual",$M91&lt;&gt;$A$15)),
        IF(Import.TipoArredondamento&lt;&gt;"TransfereGOV",
              ROUND(OFFSET($P91,0,AE$13),15-13*ORÇAMENTO!$AF$7)/$H91*OFFSET(ORÇAMENTO!$X$15,ROW(AE91)-ROW(AE$15),0),
              ROUND(ROUND(OFFSET($P91,0,AE$13),15-13*ORÇAMENTO!$AF$7)*OFFSET(ORÇAMENTO!$W$15,ROW(AE91)-ROW(AE$15),0),15-13*ORÇAMENTO!$AF$11)),
         0)</f>
        <v>0</v>
      </c>
      <c r="AF91" s="454">
        <f ca="1">IF(AND($D91="Serviço",AF$12&lt;&gt;0,$H91&gt;0,OR(AUTOEVENTO&lt;&gt;"manual",$M91&lt;&gt;$A$15)),
        IF(Import.TipoArredondamento&lt;&gt;"TransfereGOV",
              ROUND(OFFSET($P91,0,AF$13),15-13*ORÇAMENTO!$AF$7)/$H91*OFFSET(ORÇAMENTO!$X$15,ROW(AF91)-ROW(AF$15),0),
              ROUND(ROUND(OFFSET($P91,0,AF$13),15-13*ORÇAMENTO!$AF$7)*OFFSET(ORÇAMENTO!$W$15,ROW(AF91)-ROW(AF$15),0),15-13*ORÇAMENTO!$AF$11)),
         0)</f>
        <v>0</v>
      </c>
      <c r="AG91" s="454">
        <f ca="1">IF(AND($D91="Serviço",AG$12&lt;&gt;0,$H91&gt;0,OR(AUTOEVENTO&lt;&gt;"manual",$M91&lt;&gt;$A$15)),
        IF(Import.TipoArredondamento&lt;&gt;"TransfereGOV",
              ROUND(OFFSET($P91,0,AG$13),15-13*ORÇAMENTO!$AF$7)/$H91*OFFSET(ORÇAMENTO!$X$15,ROW(AG91)-ROW(AG$15),0),
              ROUND(ROUND(OFFSET($P91,0,AG$13),15-13*ORÇAMENTO!$AF$7)*OFFSET(ORÇAMENTO!$W$15,ROW(AG91)-ROW(AG$15),0),15-13*ORÇAMENTO!$AF$11)),
         0)</f>
        <v>0</v>
      </c>
      <c r="AH91" s="454">
        <f ca="1">IF(AND($D91="Serviço",AH$12&lt;&gt;0,$H91&gt;0,OR(AUTOEVENTO&lt;&gt;"manual",$M91&lt;&gt;$A$15)),
        IF(Import.TipoArredondamento&lt;&gt;"TransfereGOV",
              ROUND(OFFSET($P91,0,AH$13),15-13*ORÇAMENTO!$AF$7)/$H91*OFFSET(ORÇAMENTO!$X$15,ROW(AH91)-ROW(AH$15),0),
              ROUND(ROUND(OFFSET($P91,0,AH$13),15-13*ORÇAMENTO!$AF$7)*OFFSET(ORÇAMENTO!$W$15,ROW(AH91)-ROW(AH$15),0),15-13*ORÇAMENTO!$AF$11)),
         0)</f>
        <v>0</v>
      </c>
      <c r="AI91" s="454">
        <f ca="1">IF(AND($D91="Serviço",AI$12&lt;&gt;0,$H91&gt;0,OR(AUTOEVENTO&lt;&gt;"manual",$M91&lt;&gt;$A$15)),
        IF(Import.TipoArredondamento&lt;&gt;"TransfereGOV",
              ROUND(OFFSET($P91,0,AI$13),15-13*ORÇAMENTO!$AF$7)/$H91*OFFSET(ORÇAMENTO!$X$15,ROW(AI91)-ROW(AI$15),0),
              ROUND(ROUND(OFFSET($P91,0,AI$13),15-13*ORÇAMENTO!$AF$7)*OFFSET(ORÇAMENTO!$W$15,ROW(AI91)-ROW(AI$15),0),15-13*ORÇAMENTO!$AF$11)),
         0)</f>
        <v>0</v>
      </c>
      <c r="AJ91" s="454">
        <f ca="1">IF(AND($D91="Serviço",AJ$12&lt;&gt;0,$H91&gt;0,OR(AUTOEVENTO&lt;&gt;"manual",$M91&lt;&gt;$A$15)),
        IF(Import.TipoArredondamento&lt;&gt;"TransfereGOV",
              ROUND(OFFSET($P91,0,AJ$13),15-13*ORÇAMENTO!$AF$7)/$H91*OFFSET(ORÇAMENTO!$X$15,ROW(AJ91)-ROW(AJ$15),0),
              ROUND(ROUND(OFFSET($P91,0,AJ$13),15-13*ORÇAMENTO!$AF$7)*OFFSET(ORÇAMENTO!$W$15,ROW(AJ91)-ROW(AJ$15),0),15-13*ORÇAMENTO!$AF$11)),
         0)</f>
        <v>0</v>
      </c>
      <c r="AK91" s="454">
        <f ca="1">IF(AND($D91="Serviço",AK$12&lt;&gt;0,$H91&gt;0,OR(AUTOEVENTO&lt;&gt;"manual",$M91&lt;&gt;$A$15)),
        IF(Import.TipoArredondamento&lt;&gt;"TransfereGOV",
              ROUND(OFFSET($P91,0,AK$13),15-13*ORÇAMENTO!$AF$7)/$H91*OFFSET(ORÇAMENTO!$X$15,ROW(AK91)-ROW(AK$15),0),
              ROUND(ROUND(OFFSET($P91,0,AK$13),15-13*ORÇAMENTO!$AF$7)*OFFSET(ORÇAMENTO!$W$15,ROW(AK91)-ROW(AK$15),0),15-13*ORÇAMENTO!$AF$11)),
         0)</f>
        <v>0</v>
      </c>
      <c r="AM91" s="172">
        <f ca="1">IF(OR($D91&lt;&gt;"Serviço",AND(AUTOEVENTO="Manual",$M91=$A$15)),0,
         IF(OFFSET(CRONOPLE!$F$15,$M91-$A$15,AM$13)=0,10^12,OFFSET(CRONOPLE!$F$15,$M91-$A$15,AM$13)))</f>
        <v>1</v>
      </c>
      <c r="AN91" s="172">
        <f ca="1">IF(OR($D91&lt;&gt;"Serviço",AND(AUTOEVENTO="Manual",$M91=$A$15)),0,
         IF(OFFSET(CRONOPLE!$F$15,$M91-$A$15,AN$13)=0,10^12,OFFSET(CRONOPLE!$F$15,$M91-$A$15,AN$13)))</f>
        <v>1000000000000</v>
      </c>
      <c r="AO91" s="172">
        <f ca="1">IF(OR($D91&lt;&gt;"Serviço",AND(AUTOEVENTO="Manual",$M91=$A$15)),0,
         IF(OFFSET(CRONOPLE!$F$15,$M91-$A$15,AO$13)=0,10^12,OFFSET(CRONOPLE!$F$15,$M91-$A$15,AO$13)))</f>
        <v>1000000000000</v>
      </c>
      <c r="AP91" s="172">
        <f ca="1">IF(OR($D91&lt;&gt;"Serviço",AND(AUTOEVENTO="Manual",$M91=$A$15)),0,
         IF(OFFSET(CRONOPLE!$F$15,$M91-$A$15,AP$13)=0,10^12,OFFSET(CRONOPLE!$F$15,$M91-$A$15,AP$13)))</f>
        <v>1000000000000</v>
      </c>
      <c r="AQ91" s="172">
        <f ca="1">IF(OR($D91&lt;&gt;"Serviço",AND(AUTOEVENTO="Manual",$M91=$A$15)),0,
         IF(OFFSET(CRONOPLE!$F$15,$M91-$A$15,AQ$13)=0,10^12,OFFSET(CRONOPLE!$F$15,$M91-$A$15,AQ$13)))</f>
        <v>1000000000000</v>
      </c>
      <c r="AR91" s="172">
        <f ca="1">IF(OR($D91&lt;&gt;"Serviço",AND(AUTOEVENTO="Manual",$M91=$A$15)),0,
         IF(OFFSET(CRONOPLE!$F$15,$M91-$A$15,AR$13)=0,10^12,OFFSET(CRONOPLE!$F$15,$M91-$A$15,AR$13)))</f>
        <v>1000000000000</v>
      </c>
      <c r="AS91" s="172">
        <f ca="1">IF(OR($D91&lt;&gt;"Serviço",AND(AUTOEVENTO="Manual",$M91=$A$15)),0,
         IF(OFFSET(CRONOPLE!$F$15,$M91-$A$15,AS$13)=0,10^12,OFFSET(CRONOPLE!$F$15,$M91-$A$15,AS$13)))</f>
        <v>1000000000000</v>
      </c>
      <c r="AT91" s="172">
        <f ca="1">IF(OR($D91&lt;&gt;"Serviço",AND(AUTOEVENTO="Manual",$M91=$A$15)),0,
         IF(OFFSET(CRONOPLE!$F$15,$M91-$A$15,AT$13)=0,10^12,OFFSET(CRONOPLE!$F$15,$M91-$A$15,AT$13)))</f>
        <v>1000000000000</v>
      </c>
      <c r="AU91" s="172">
        <f ca="1">IF(OR($D91&lt;&gt;"Serviço",AND(AUTOEVENTO="Manual",$M91=$A$15)),0,
         IF(OFFSET(CRONOPLE!$F$15,$M91-$A$15,AU$13)=0,10^12,OFFSET(CRONOPLE!$F$15,$M91-$A$15,AU$13)))</f>
        <v>1000000000000</v>
      </c>
      <c r="AV91" s="172">
        <f ca="1">IF(OR($D91&lt;&gt;"Serviço",AND(AUTOEVENTO="Manual",$M91=$A$15)),0,
         IF(OFFSET(CRONOPLE!$F$15,$M91-$A$15,AV$13)=0,10^12,OFFSET(CRONOPLE!$F$15,$M91-$A$15,AV$13)))</f>
        <v>1000000000000</v>
      </c>
      <c r="AX91" s="173">
        <f ca="1">IF(OR($D91&lt;&gt;"Serviço",AND(AUTOEVENTO="Manual",$M91=$A$15),$M91&gt;(ROW(PLE.lastrow)-ROW(PLE.firstrow))),0,
           IF(OFFSET(PLE!$G$15,$M91-$A$15,AX$13)="",10^12,OFFSET(PLE!$G$15,$M91-$A$15,AX$13)))</f>
        <v>1000000000000</v>
      </c>
      <c r="AY91" s="173">
        <f ca="1">IF(OR($D91&lt;&gt;"Serviço",AND(AUTOEVENTO="Manual",$M91=$A$15),$M91&gt;(ROW(PLE.lastrow)-ROW(PLE.firstrow))),0,
           IF(OFFSET(PLE!$G$15,$M91-$A$15,AY$13)="",10^12,OFFSET(PLE!$G$15,$M91-$A$15,AY$13)))</f>
        <v>1000000000000</v>
      </c>
      <c r="AZ91" s="173">
        <f ca="1">IF(OR($D91&lt;&gt;"Serviço",AND(AUTOEVENTO="Manual",$M91=$A$15),$M91&gt;(ROW(PLE.lastrow)-ROW(PLE.firstrow))),0,
           IF(OFFSET(PLE!$G$15,$M91-$A$15,AZ$13)="",10^12,OFFSET(PLE!$G$15,$M91-$A$15,AZ$13)))</f>
        <v>1000000000000</v>
      </c>
      <c r="BA91" s="173">
        <f ca="1">IF(OR($D91&lt;&gt;"Serviço",AND(AUTOEVENTO="Manual",$M91=$A$15),$M91&gt;(ROW(PLE.lastrow)-ROW(PLE.firstrow))),0,
           IF(OFFSET(PLE!$G$15,$M91-$A$15,BA$13)="",10^12,OFFSET(PLE!$G$15,$M91-$A$15,BA$13)))</f>
        <v>1000000000000</v>
      </c>
      <c r="BB91" s="173">
        <f ca="1">IF(OR($D91&lt;&gt;"Serviço",AND(AUTOEVENTO="Manual",$M91=$A$15),$M91&gt;(ROW(PLE.lastrow)-ROW(PLE.firstrow))),0,
           IF(OFFSET(PLE!$G$15,$M91-$A$15,BB$13)="",10^12,OFFSET(PLE!$G$15,$M91-$A$15,BB$13)))</f>
        <v>1000000000000</v>
      </c>
      <c r="BC91" s="173">
        <f ca="1">IF(OR($D91&lt;&gt;"Serviço",AND(AUTOEVENTO="Manual",$M91=$A$15),$M91&gt;(ROW(PLE.lastrow)-ROW(PLE.firstrow))),0,
           IF(OFFSET(PLE!$G$15,$M91-$A$15,BC$13)="",10^12,OFFSET(PLE!$G$15,$M91-$A$15,BC$13)))</f>
        <v>1000000000000</v>
      </c>
      <c r="BD91" s="173">
        <f ca="1">IF(OR($D91&lt;&gt;"Serviço",AND(AUTOEVENTO="Manual",$M91=$A$15),$M91&gt;(ROW(PLE.lastrow)-ROW(PLE.firstrow))),0,
           IF(OFFSET(PLE!$G$15,$M91-$A$15,BD$13)="",10^12,OFFSET(PLE!$G$15,$M91-$A$15,BD$13)))</f>
        <v>1000000000000</v>
      </c>
      <c r="BE91" s="173">
        <f ca="1">IF(OR($D91&lt;&gt;"Serviço",AND(AUTOEVENTO="Manual",$M91=$A$15),$M91&gt;(ROW(PLE.lastrow)-ROW(PLE.firstrow))),0,
           IF(OFFSET(PLE!$G$15,$M91-$A$15,BE$13)="",10^12,OFFSET(PLE!$G$15,$M91-$A$15,BE$13)))</f>
        <v>1000000000000</v>
      </c>
      <c r="BF91" s="173">
        <f ca="1">IF(OR($D91&lt;&gt;"Serviço",AND(AUTOEVENTO="Manual",$M91=$A$15),$M91&gt;(ROW(PLE.lastrow)-ROW(PLE.firstrow))),0,
           IF(OFFSET(PLE!$G$15,$M91-$A$15,BF$13)="",10^12,OFFSET(PLE!$G$15,$M91-$A$15,BF$13)))</f>
        <v>1000000000000</v>
      </c>
      <c r="BG91" s="173">
        <f ca="1">IF(OR($D91&lt;&gt;"Serviço",AND(AUTOEVENTO="Manual",$M91=$A$15),$M91&gt;(ROW(PLE.lastrow)-ROW(PLE.firstrow))),0,
           IF(OFFSET(PLE!$G$15,$M91-$A$15,BG$13)="",10^12,OFFSET(PLE!$G$15,$M91-$A$15,BG$13)))</f>
        <v>1000000000000</v>
      </c>
    </row>
    <row r="92" spans="1:59" ht="38.25" x14ac:dyDescent="0.2">
      <c r="A92" s="7" t="str">
        <f t="shared" ca="1" si="10"/>
        <v>72</v>
      </c>
      <c r="B92" s="7" t="str">
        <f ca="1">OFFSET(ORÇAMENTO!C$15,ROW(B92)-ROW(B$15),0)</f>
        <v>S</v>
      </c>
      <c r="C92" s="7" t="str">
        <f ca="1">OFFSET(ORÇAMENTO!L$15,ROW(C92)-ROW(C$15),0)</f>
        <v>F</v>
      </c>
      <c r="D92" s="117" t="str">
        <f ca="1">OFFSET(ORÇAMENTO!N$15,ROW(D92)-ROW(D$15),0)</f>
        <v>Serviço</v>
      </c>
      <c r="E92" s="118" t="str">
        <f ca="1">OFFSET(ORÇAMENTO!O$15,ROW(E92)-ROW(E$15),0)</f>
        <v>1.7.5.</v>
      </c>
      <c r="F92" s="164" t="str">
        <f ca="1">OFFSET(ORÇAMENTO!R$15,ROW(F92)-ROW(F$15),0)</f>
        <v>FABRICAÇÃO DE FÔRMA PARA VIGAS, COM MADEIRA SERRADA, E = 25 MM. AF_09/2020</v>
      </c>
      <c r="G92" s="165" t="str">
        <f ca="1">IF($D92&lt;&gt;"Serviço","",OFFSET(ORÇAMENTO!S$15,ROW(G92)-ROW(G$15),0))</f>
        <v>M2</v>
      </c>
      <c r="H92" s="123">
        <f ca="1">IF($D92&lt;&gt;"Serviço",0,IF(ACOMPANHAMENTO="BM",ROUND(OFFSET(ORÇAMENTO!AJ$15,ROW(H92)-ROW(H$15),0),15-13*ORÇAMENTO!$AF$7),SUMPRODUCT(($Q$1:$AA$1=1)*ROUND($Q92:$AA92,15-13*ORÇAMENTO!$AF$7))))</f>
        <v>45</v>
      </c>
      <c r="I92" s="469" t="s">
        <v>1071</v>
      </c>
      <c r="J92" s="663" t="str">
        <f ca="1">IF(OR(B92&lt;&gt;"S",CÁLCULO.FrentesPreenchidas=0),"",IF(AND(ACOMPANHAMENTO="PLE",AUTOEVENTO="Manual",OR(H92&gt;0,ORÇAMENTO!AC92="QUANT."),OR(K92="",M92=0,N92="")),"►",IF(AND(ACOMPANHAMENTO="PLE",ORÇAMENTO!AC92="QUANT."),"►►",IF(AND(COUNTIF($P$11:$AA$11,"▼")=0,H92&gt;0,I92=""),"◄",""))))</f>
        <v/>
      </c>
      <c r="K92" s="664"/>
      <c r="L92" s="166" t="s">
        <v>765</v>
      </c>
      <c r="M92" s="167">
        <f ca="1">IF($D92&lt;&gt;"Serviço","",
          IF(AUTOEVENTO="manual",$A92,
                IF(ISERROR(MATCH($A92,$A$15:OFFSET($A92,-1,0),0)),MAX($M$15:OFFSET(M92,-1,0))+1,
                      INDEX($M$15:OFFSET(M92,-1,0),MATCH($A92,$A$15:OFFSET($A92,-1,0),0)))))</f>
        <v>7</v>
      </c>
      <c r="N92" s="168" t="str">
        <f ca="1">IF($D92&lt;&gt;"Serviço","",
         IF(AUTOEVENTO="Manual",
                IF($A92=0,"&lt;-- defina o número do agrupador",
                       OFFSET(EVENTOS!$D$15,$A92-$A$15,0)),
                OFFSET($F$15,$A92,0)))</f>
        <v>MURRO DE ARRIMO</v>
      </c>
      <c r="O92" s="169"/>
      <c r="Q92" s="169">
        <v>45</v>
      </c>
      <c r="R92" s="170"/>
      <c r="S92" s="170"/>
      <c r="T92" s="170"/>
      <c r="U92" s="170"/>
      <c r="V92" s="170"/>
      <c r="W92" s="170"/>
      <c r="X92" s="170"/>
      <c r="Y92" s="170"/>
      <c r="Z92" s="171"/>
      <c r="AB92" s="454">
        <f ca="1">IF(AND($D92="Serviço",AB$12&lt;&gt;0,$H92&gt;0,OR(AUTOEVENTO&lt;&gt;"manual",$M92&lt;&gt;$A$15)),
        IF(Import.TipoArredondamento&lt;&gt;"TransfereGOV",
              ROUND(OFFSET($P92,0,AB$13),15-13*ORÇAMENTO!$AF$7)/$H92*OFFSET(ORÇAMENTO!$X$15,ROW(AB92)-ROW(AB$15),0),
              ROUND(ROUND(OFFSET($P92,0,AB$13),15-13*ORÇAMENTO!$AF$7)*OFFSET(ORÇAMENTO!$W$15,ROW(AB92)-ROW(AB$15),0),15-13*ORÇAMENTO!$AF$11)),
         0)</f>
        <v>8987.4</v>
      </c>
      <c r="AC92" s="454">
        <f ca="1">IF(AND($D92="Serviço",AC$12&lt;&gt;0,$H92&gt;0,OR(AUTOEVENTO&lt;&gt;"manual",$M92&lt;&gt;$A$15)),
        IF(Import.TipoArredondamento&lt;&gt;"TransfereGOV",
              ROUND(OFFSET($P92,0,AC$13),15-13*ORÇAMENTO!$AF$7)/$H92*OFFSET(ORÇAMENTO!$X$15,ROW(AC92)-ROW(AC$15),0),
              ROUND(ROUND(OFFSET($P92,0,AC$13),15-13*ORÇAMENTO!$AF$7)*OFFSET(ORÇAMENTO!$W$15,ROW(AC92)-ROW(AC$15),0),15-13*ORÇAMENTO!$AF$11)),
         0)</f>
        <v>0</v>
      </c>
      <c r="AD92" s="454">
        <f ca="1">IF(AND($D92="Serviço",AD$12&lt;&gt;0,$H92&gt;0,OR(AUTOEVENTO&lt;&gt;"manual",$M92&lt;&gt;$A$15)),
        IF(Import.TipoArredondamento&lt;&gt;"TransfereGOV",
              ROUND(OFFSET($P92,0,AD$13),15-13*ORÇAMENTO!$AF$7)/$H92*OFFSET(ORÇAMENTO!$X$15,ROW(AD92)-ROW(AD$15),0),
              ROUND(ROUND(OFFSET($P92,0,AD$13),15-13*ORÇAMENTO!$AF$7)*OFFSET(ORÇAMENTO!$W$15,ROW(AD92)-ROW(AD$15),0),15-13*ORÇAMENTO!$AF$11)),
         0)</f>
        <v>0</v>
      </c>
      <c r="AE92" s="454">
        <f ca="1">IF(AND($D92="Serviço",AE$12&lt;&gt;0,$H92&gt;0,OR(AUTOEVENTO&lt;&gt;"manual",$M92&lt;&gt;$A$15)),
        IF(Import.TipoArredondamento&lt;&gt;"TransfereGOV",
              ROUND(OFFSET($P92,0,AE$13),15-13*ORÇAMENTO!$AF$7)/$H92*OFFSET(ORÇAMENTO!$X$15,ROW(AE92)-ROW(AE$15),0),
              ROUND(ROUND(OFFSET($P92,0,AE$13),15-13*ORÇAMENTO!$AF$7)*OFFSET(ORÇAMENTO!$W$15,ROW(AE92)-ROW(AE$15),0),15-13*ORÇAMENTO!$AF$11)),
         0)</f>
        <v>0</v>
      </c>
      <c r="AF92" s="454">
        <f ca="1">IF(AND($D92="Serviço",AF$12&lt;&gt;0,$H92&gt;0,OR(AUTOEVENTO&lt;&gt;"manual",$M92&lt;&gt;$A$15)),
        IF(Import.TipoArredondamento&lt;&gt;"TransfereGOV",
              ROUND(OFFSET($P92,0,AF$13),15-13*ORÇAMENTO!$AF$7)/$H92*OFFSET(ORÇAMENTO!$X$15,ROW(AF92)-ROW(AF$15),0),
              ROUND(ROUND(OFFSET($P92,0,AF$13),15-13*ORÇAMENTO!$AF$7)*OFFSET(ORÇAMENTO!$W$15,ROW(AF92)-ROW(AF$15),0),15-13*ORÇAMENTO!$AF$11)),
         0)</f>
        <v>0</v>
      </c>
      <c r="AG92" s="454">
        <f ca="1">IF(AND($D92="Serviço",AG$12&lt;&gt;0,$H92&gt;0,OR(AUTOEVENTO&lt;&gt;"manual",$M92&lt;&gt;$A$15)),
        IF(Import.TipoArredondamento&lt;&gt;"TransfereGOV",
              ROUND(OFFSET($P92,0,AG$13),15-13*ORÇAMENTO!$AF$7)/$H92*OFFSET(ORÇAMENTO!$X$15,ROW(AG92)-ROW(AG$15),0),
              ROUND(ROUND(OFFSET($P92,0,AG$13),15-13*ORÇAMENTO!$AF$7)*OFFSET(ORÇAMENTO!$W$15,ROW(AG92)-ROW(AG$15),0),15-13*ORÇAMENTO!$AF$11)),
         0)</f>
        <v>0</v>
      </c>
      <c r="AH92" s="454">
        <f ca="1">IF(AND($D92="Serviço",AH$12&lt;&gt;0,$H92&gt;0,OR(AUTOEVENTO&lt;&gt;"manual",$M92&lt;&gt;$A$15)),
        IF(Import.TipoArredondamento&lt;&gt;"TransfereGOV",
              ROUND(OFFSET($P92,0,AH$13),15-13*ORÇAMENTO!$AF$7)/$H92*OFFSET(ORÇAMENTO!$X$15,ROW(AH92)-ROW(AH$15),0),
              ROUND(ROUND(OFFSET($P92,0,AH$13),15-13*ORÇAMENTO!$AF$7)*OFFSET(ORÇAMENTO!$W$15,ROW(AH92)-ROW(AH$15),0),15-13*ORÇAMENTO!$AF$11)),
         0)</f>
        <v>0</v>
      </c>
      <c r="AI92" s="454">
        <f ca="1">IF(AND($D92="Serviço",AI$12&lt;&gt;0,$H92&gt;0,OR(AUTOEVENTO&lt;&gt;"manual",$M92&lt;&gt;$A$15)),
        IF(Import.TipoArredondamento&lt;&gt;"TransfereGOV",
              ROUND(OFFSET($P92,0,AI$13),15-13*ORÇAMENTO!$AF$7)/$H92*OFFSET(ORÇAMENTO!$X$15,ROW(AI92)-ROW(AI$15),0),
              ROUND(ROUND(OFFSET($P92,0,AI$13),15-13*ORÇAMENTO!$AF$7)*OFFSET(ORÇAMENTO!$W$15,ROW(AI92)-ROW(AI$15),0),15-13*ORÇAMENTO!$AF$11)),
         0)</f>
        <v>0</v>
      </c>
      <c r="AJ92" s="454">
        <f ca="1">IF(AND($D92="Serviço",AJ$12&lt;&gt;0,$H92&gt;0,OR(AUTOEVENTO&lt;&gt;"manual",$M92&lt;&gt;$A$15)),
        IF(Import.TipoArredondamento&lt;&gt;"TransfereGOV",
              ROUND(OFFSET($P92,0,AJ$13),15-13*ORÇAMENTO!$AF$7)/$H92*OFFSET(ORÇAMENTO!$X$15,ROW(AJ92)-ROW(AJ$15),0),
              ROUND(ROUND(OFFSET($P92,0,AJ$13),15-13*ORÇAMENTO!$AF$7)*OFFSET(ORÇAMENTO!$W$15,ROW(AJ92)-ROW(AJ$15),0),15-13*ORÇAMENTO!$AF$11)),
         0)</f>
        <v>0</v>
      </c>
      <c r="AK92" s="454">
        <f ca="1">IF(AND($D92="Serviço",AK$12&lt;&gt;0,$H92&gt;0,OR(AUTOEVENTO&lt;&gt;"manual",$M92&lt;&gt;$A$15)),
        IF(Import.TipoArredondamento&lt;&gt;"TransfereGOV",
              ROUND(OFFSET($P92,0,AK$13),15-13*ORÇAMENTO!$AF$7)/$H92*OFFSET(ORÇAMENTO!$X$15,ROW(AK92)-ROW(AK$15),0),
              ROUND(ROUND(OFFSET($P92,0,AK$13),15-13*ORÇAMENTO!$AF$7)*OFFSET(ORÇAMENTO!$W$15,ROW(AK92)-ROW(AK$15),0),15-13*ORÇAMENTO!$AF$11)),
         0)</f>
        <v>0</v>
      </c>
      <c r="AM92" s="172">
        <f ca="1">IF(OR($D92&lt;&gt;"Serviço",AND(AUTOEVENTO="Manual",$M92=$A$15)),0,
         IF(OFFSET(CRONOPLE!$F$15,$M92-$A$15,AM$13)=0,10^12,OFFSET(CRONOPLE!$F$15,$M92-$A$15,AM$13)))</f>
        <v>1</v>
      </c>
      <c r="AN92" s="172">
        <f ca="1">IF(OR($D92&lt;&gt;"Serviço",AND(AUTOEVENTO="Manual",$M92=$A$15)),0,
         IF(OFFSET(CRONOPLE!$F$15,$M92-$A$15,AN$13)=0,10^12,OFFSET(CRONOPLE!$F$15,$M92-$A$15,AN$13)))</f>
        <v>1000000000000</v>
      </c>
      <c r="AO92" s="172">
        <f ca="1">IF(OR($D92&lt;&gt;"Serviço",AND(AUTOEVENTO="Manual",$M92=$A$15)),0,
         IF(OFFSET(CRONOPLE!$F$15,$M92-$A$15,AO$13)=0,10^12,OFFSET(CRONOPLE!$F$15,$M92-$A$15,AO$13)))</f>
        <v>1000000000000</v>
      </c>
      <c r="AP92" s="172">
        <f ca="1">IF(OR($D92&lt;&gt;"Serviço",AND(AUTOEVENTO="Manual",$M92=$A$15)),0,
         IF(OFFSET(CRONOPLE!$F$15,$M92-$A$15,AP$13)=0,10^12,OFFSET(CRONOPLE!$F$15,$M92-$A$15,AP$13)))</f>
        <v>1000000000000</v>
      </c>
      <c r="AQ92" s="172">
        <f ca="1">IF(OR($D92&lt;&gt;"Serviço",AND(AUTOEVENTO="Manual",$M92=$A$15)),0,
         IF(OFFSET(CRONOPLE!$F$15,$M92-$A$15,AQ$13)=0,10^12,OFFSET(CRONOPLE!$F$15,$M92-$A$15,AQ$13)))</f>
        <v>1000000000000</v>
      </c>
      <c r="AR92" s="172">
        <f ca="1">IF(OR($D92&lt;&gt;"Serviço",AND(AUTOEVENTO="Manual",$M92=$A$15)),0,
         IF(OFFSET(CRONOPLE!$F$15,$M92-$A$15,AR$13)=0,10^12,OFFSET(CRONOPLE!$F$15,$M92-$A$15,AR$13)))</f>
        <v>1000000000000</v>
      </c>
      <c r="AS92" s="172">
        <f ca="1">IF(OR($D92&lt;&gt;"Serviço",AND(AUTOEVENTO="Manual",$M92=$A$15)),0,
         IF(OFFSET(CRONOPLE!$F$15,$M92-$A$15,AS$13)=0,10^12,OFFSET(CRONOPLE!$F$15,$M92-$A$15,AS$13)))</f>
        <v>1000000000000</v>
      </c>
      <c r="AT92" s="172">
        <f ca="1">IF(OR($D92&lt;&gt;"Serviço",AND(AUTOEVENTO="Manual",$M92=$A$15)),0,
         IF(OFFSET(CRONOPLE!$F$15,$M92-$A$15,AT$13)=0,10^12,OFFSET(CRONOPLE!$F$15,$M92-$A$15,AT$13)))</f>
        <v>1000000000000</v>
      </c>
      <c r="AU92" s="172">
        <f ca="1">IF(OR($D92&lt;&gt;"Serviço",AND(AUTOEVENTO="Manual",$M92=$A$15)),0,
         IF(OFFSET(CRONOPLE!$F$15,$M92-$A$15,AU$13)=0,10^12,OFFSET(CRONOPLE!$F$15,$M92-$A$15,AU$13)))</f>
        <v>1000000000000</v>
      </c>
      <c r="AV92" s="172">
        <f ca="1">IF(OR($D92&lt;&gt;"Serviço",AND(AUTOEVENTO="Manual",$M92=$A$15)),0,
         IF(OFFSET(CRONOPLE!$F$15,$M92-$A$15,AV$13)=0,10^12,OFFSET(CRONOPLE!$F$15,$M92-$A$15,AV$13)))</f>
        <v>1000000000000</v>
      </c>
      <c r="AX92" s="173">
        <f ca="1">IF(OR($D92&lt;&gt;"Serviço",AND(AUTOEVENTO="Manual",$M92=$A$15),$M92&gt;(ROW(PLE.lastrow)-ROW(PLE.firstrow))),0,
           IF(OFFSET(PLE!$G$15,$M92-$A$15,AX$13)="",10^12,OFFSET(PLE!$G$15,$M92-$A$15,AX$13)))</f>
        <v>1000000000000</v>
      </c>
      <c r="AY92" s="173">
        <f ca="1">IF(OR($D92&lt;&gt;"Serviço",AND(AUTOEVENTO="Manual",$M92=$A$15),$M92&gt;(ROW(PLE.lastrow)-ROW(PLE.firstrow))),0,
           IF(OFFSET(PLE!$G$15,$M92-$A$15,AY$13)="",10^12,OFFSET(PLE!$G$15,$M92-$A$15,AY$13)))</f>
        <v>1000000000000</v>
      </c>
      <c r="AZ92" s="173">
        <f ca="1">IF(OR($D92&lt;&gt;"Serviço",AND(AUTOEVENTO="Manual",$M92=$A$15),$M92&gt;(ROW(PLE.lastrow)-ROW(PLE.firstrow))),0,
           IF(OFFSET(PLE!$G$15,$M92-$A$15,AZ$13)="",10^12,OFFSET(PLE!$G$15,$M92-$A$15,AZ$13)))</f>
        <v>1000000000000</v>
      </c>
      <c r="BA92" s="173">
        <f ca="1">IF(OR($D92&lt;&gt;"Serviço",AND(AUTOEVENTO="Manual",$M92=$A$15),$M92&gt;(ROW(PLE.lastrow)-ROW(PLE.firstrow))),0,
           IF(OFFSET(PLE!$G$15,$M92-$A$15,BA$13)="",10^12,OFFSET(PLE!$G$15,$M92-$A$15,BA$13)))</f>
        <v>1000000000000</v>
      </c>
      <c r="BB92" s="173">
        <f ca="1">IF(OR($D92&lt;&gt;"Serviço",AND(AUTOEVENTO="Manual",$M92=$A$15),$M92&gt;(ROW(PLE.lastrow)-ROW(PLE.firstrow))),0,
           IF(OFFSET(PLE!$G$15,$M92-$A$15,BB$13)="",10^12,OFFSET(PLE!$G$15,$M92-$A$15,BB$13)))</f>
        <v>1000000000000</v>
      </c>
      <c r="BC92" s="173">
        <f ca="1">IF(OR($D92&lt;&gt;"Serviço",AND(AUTOEVENTO="Manual",$M92=$A$15),$M92&gt;(ROW(PLE.lastrow)-ROW(PLE.firstrow))),0,
           IF(OFFSET(PLE!$G$15,$M92-$A$15,BC$13)="",10^12,OFFSET(PLE!$G$15,$M92-$A$15,BC$13)))</f>
        <v>1000000000000</v>
      </c>
      <c r="BD92" s="173">
        <f ca="1">IF(OR($D92&lt;&gt;"Serviço",AND(AUTOEVENTO="Manual",$M92=$A$15),$M92&gt;(ROW(PLE.lastrow)-ROW(PLE.firstrow))),0,
           IF(OFFSET(PLE!$G$15,$M92-$A$15,BD$13)="",10^12,OFFSET(PLE!$G$15,$M92-$A$15,BD$13)))</f>
        <v>1000000000000</v>
      </c>
      <c r="BE92" s="173">
        <f ca="1">IF(OR($D92&lt;&gt;"Serviço",AND(AUTOEVENTO="Manual",$M92=$A$15),$M92&gt;(ROW(PLE.lastrow)-ROW(PLE.firstrow))),0,
           IF(OFFSET(PLE!$G$15,$M92-$A$15,BE$13)="",10^12,OFFSET(PLE!$G$15,$M92-$A$15,BE$13)))</f>
        <v>1000000000000</v>
      </c>
      <c r="BF92" s="173">
        <f ca="1">IF(OR($D92&lt;&gt;"Serviço",AND(AUTOEVENTO="Manual",$M92=$A$15),$M92&gt;(ROW(PLE.lastrow)-ROW(PLE.firstrow))),0,
           IF(OFFSET(PLE!$G$15,$M92-$A$15,BF$13)="",10^12,OFFSET(PLE!$G$15,$M92-$A$15,BF$13)))</f>
        <v>1000000000000</v>
      </c>
      <c r="BG92" s="173">
        <f ca="1">IF(OR($D92&lt;&gt;"Serviço",AND(AUTOEVENTO="Manual",$M92=$A$15),$M92&gt;(ROW(PLE.lastrow)-ROW(PLE.firstrow))),0,
           IF(OFFSET(PLE!$G$15,$M92-$A$15,BG$13)="",10^12,OFFSET(PLE!$G$15,$M92-$A$15,BG$13)))</f>
        <v>1000000000000</v>
      </c>
    </row>
    <row r="93" spans="1:59" ht="38.25" x14ac:dyDescent="0.2">
      <c r="A93" s="7" t="str">
        <f t="shared" ca="1" si="10"/>
        <v>72</v>
      </c>
      <c r="B93" s="7" t="str">
        <f ca="1">OFFSET(ORÇAMENTO!C$15,ROW(B93)-ROW(B$15),0)</f>
        <v>S</v>
      </c>
      <c r="C93" s="7" t="str">
        <f ca="1">OFFSET(ORÇAMENTO!L$15,ROW(C93)-ROW(C$15),0)</f>
        <v>F</v>
      </c>
      <c r="D93" s="117" t="str">
        <f ca="1">OFFSET(ORÇAMENTO!N$15,ROW(D93)-ROW(D$15),0)</f>
        <v>Serviço</v>
      </c>
      <c r="E93" s="118" t="str">
        <f ca="1">OFFSET(ORÇAMENTO!O$15,ROW(E93)-ROW(E$15),0)</f>
        <v>1.7.6.</v>
      </c>
      <c r="F93" s="164" t="str">
        <f ca="1">OFFSET(ORÇAMENTO!R$15,ROW(F93)-ROW(F$15),0)</f>
        <v>FABRICAÇÃO, MONTAGEM E DESMONTAGEM DE FÔRMA PARA SAPATA, EM MADEIRA SERRADA, E=25 MM, 1 UTILIZAÇÃO. AF_01/2024</v>
      </c>
      <c r="G93" s="165" t="str">
        <f ca="1">IF($D93&lt;&gt;"Serviço","",OFFSET(ORÇAMENTO!S$15,ROW(G93)-ROW(G$15),0))</f>
        <v>M2</v>
      </c>
      <c r="H93" s="123">
        <f ca="1">IF($D93&lt;&gt;"Serviço",0,IF(ACOMPANHAMENTO="BM",ROUND(OFFSET(ORÇAMENTO!AJ$15,ROW(H93)-ROW(H$15),0),15-13*ORÇAMENTO!$AF$7),SUMPRODUCT(($Q$1:$AA$1=1)*ROUND($Q93:$AA93,15-13*ORÇAMENTO!$AF$7))))</f>
        <v>19</v>
      </c>
      <c r="I93" s="469" t="s">
        <v>1072</v>
      </c>
      <c r="J93" s="663" t="str">
        <f ca="1">IF(OR(B93&lt;&gt;"S",CÁLCULO.FrentesPreenchidas=0),"",IF(AND(ACOMPANHAMENTO="PLE",AUTOEVENTO="Manual",OR(H93&gt;0,ORÇAMENTO!AC93="QUANT."),OR(K93="",M93=0,N93="")),"►",IF(AND(ACOMPANHAMENTO="PLE",ORÇAMENTO!AC93="QUANT."),"►►",IF(AND(COUNTIF($P$11:$AA$11,"▼")=0,H93&gt;0,I93=""),"◄",""))))</f>
        <v/>
      </c>
      <c r="K93" s="664"/>
      <c r="L93" s="166" t="s">
        <v>765</v>
      </c>
      <c r="M93" s="167">
        <f ca="1">IF($D93&lt;&gt;"Serviço","",
          IF(AUTOEVENTO="manual",$A93,
                IF(ISERROR(MATCH($A93,$A$15:OFFSET($A93,-1,0),0)),MAX($M$15:OFFSET(M93,-1,0))+1,
                      INDEX($M$15:OFFSET(M93,-1,0),MATCH($A93,$A$15:OFFSET($A93,-1,0),0)))))</f>
        <v>7</v>
      </c>
      <c r="N93" s="168" t="str">
        <f ca="1">IF($D93&lt;&gt;"Serviço","",
         IF(AUTOEVENTO="Manual",
                IF($A93=0,"&lt;-- defina o número do agrupador",
                       OFFSET(EVENTOS!$D$15,$A93-$A$15,0)),
                OFFSET($F$15,$A93,0)))</f>
        <v>MURRO DE ARRIMO</v>
      </c>
      <c r="O93" s="169"/>
      <c r="Q93" s="169">
        <v>19</v>
      </c>
      <c r="R93" s="170"/>
      <c r="S93" s="170"/>
      <c r="T93" s="170"/>
      <c r="U93" s="170"/>
      <c r="V93" s="170"/>
      <c r="W93" s="170"/>
      <c r="X93" s="170"/>
      <c r="Y93" s="170"/>
      <c r="Z93" s="171"/>
      <c r="AB93" s="454">
        <f ca="1">IF(AND($D93="Serviço",AB$12&lt;&gt;0,$H93&gt;0,OR(AUTOEVENTO&lt;&gt;"manual",$M93&lt;&gt;$A$15)),
        IF(Import.TipoArredondamento&lt;&gt;"TransfereGOV",
              ROUND(OFFSET($P93,0,AB$13),15-13*ORÇAMENTO!$AF$7)/$H93*OFFSET(ORÇAMENTO!$X$15,ROW(AB93)-ROW(AB$15),0),
              ROUND(ROUND(OFFSET($P93,0,AB$13),15-13*ORÇAMENTO!$AF$7)*OFFSET(ORÇAMENTO!$W$15,ROW(AB93)-ROW(AB$15),0),15-13*ORÇAMENTO!$AF$11)),
         0)</f>
        <v>5540.21</v>
      </c>
      <c r="AC93" s="454">
        <f ca="1">IF(AND($D93="Serviço",AC$12&lt;&gt;0,$H93&gt;0,OR(AUTOEVENTO&lt;&gt;"manual",$M93&lt;&gt;$A$15)),
        IF(Import.TipoArredondamento&lt;&gt;"TransfereGOV",
              ROUND(OFFSET($P93,0,AC$13),15-13*ORÇAMENTO!$AF$7)/$H93*OFFSET(ORÇAMENTO!$X$15,ROW(AC93)-ROW(AC$15),0),
              ROUND(ROUND(OFFSET($P93,0,AC$13),15-13*ORÇAMENTO!$AF$7)*OFFSET(ORÇAMENTO!$W$15,ROW(AC93)-ROW(AC$15),0),15-13*ORÇAMENTO!$AF$11)),
         0)</f>
        <v>0</v>
      </c>
      <c r="AD93" s="454">
        <f ca="1">IF(AND($D93="Serviço",AD$12&lt;&gt;0,$H93&gt;0,OR(AUTOEVENTO&lt;&gt;"manual",$M93&lt;&gt;$A$15)),
        IF(Import.TipoArredondamento&lt;&gt;"TransfereGOV",
              ROUND(OFFSET($P93,0,AD$13),15-13*ORÇAMENTO!$AF$7)/$H93*OFFSET(ORÇAMENTO!$X$15,ROW(AD93)-ROW(AD$15),0),
              ROUND(ROUND(OFFSET($P93,0,AD$13),15-13*ORÇAMENTO!$AF$7)*OFFSET(ORÇAMENTO!$W$15,ROW(AD93)-ROW(AD$15),0),15-13*ORÇAMENTO!$AF$11)),
         0)</f>
        <v>0</v>
      </c>
      <c r="AE93" s="454">
        <f ca="1">IF(AND($D93="Serviço",AE$12&lt;&gt;0,$H93&gt;0,OR(AUTOEVENTO&lt;&gt;"manual",$M93&lt;&gt;$A$15)),
        IF(Import.TipoArredondamento&lt;&gt;"TransfereGOV",
              ROUND(OFFSET($P93,0,AE$13),15-13*ORÇAMENTO!$AF$7)/$H93*OFFSET(ORÇAMENTO!$X$15,ROW(AE93)-ROW(AE$15),0),
              ROUND(ROUND(OFFSET($P93,0,AE$13),15-13*ORÇAMENTO!$AF$7)*OFFSET(ORÇAMENTO!$W$15,ROW(AE93)-ROW(AE$15),0),15-13*ORÇAMENTO!$AF$11)),
         0)</f>
        <v>0</v>
      </c>
      <c r="AF93" s="454">
        <f ca="1">IF(AND($D93="Serviço",AF$12&lt;&gt;0,$H93&gt;0,OR(AUTOEVENTO&lt;&gt;"manual",$M93&lt;&gt;$A$15)),
        IF(Import.TipoArredondamento&lt;&gt;"TransfereGOV",
              ROUND(OFFSET($P93,0,AF$13),15-13*ORÇAMENTO!$AF$7)/$H93*OFFSET(ORÇAMENTO!$X$15,ROW(AF93)-ROW(AF$15),0),
              ROUND(ROUND(OFFSET($P93,0,AF$13),15-13*ORÇAMENTO!$AF$7)*OFFSET(ORÇAMENTO!$W$15,ROW(AF93)-ROW(AF$15),0),15-13*ORÇAMENTO!$AF$11)),
         0)</f>
        <v>0</v>
      </c>
      <c r="AG93" s="454">
        <f ca="1">IF(AND($D93="Serviço",AG$12&lt;&gt;0,$H93&gt;0,OR(AUTOEVENTO&lt;&gt;"manual",$M93&lt;&gt;$A$15)),
        IF(Import.TipoArredondamento&lt;&gt;"TransfereGOV",
              ROUND(OFFSET($P93,0,AG$13),15-13*ORÇAMENTO!$AF$7)/$H93*OFFSET(ORÇAMENTO!$X$15,ROW(AG93)-ROW(AG$15),0),
              ROUND(ROUND(OFFSET($P93,0,AG$13),15-13*ORÇAMENTO!$AF$7)*OFFSET(ORÇAMENTO!$W$15,ROW(AG93)-ROW(AG$15),0),15-13*ORÇAMENTO!$AF$11)),
         0)</f>
        <v>0</v>
      </c>
      <c r="AH93" s="454">
        <f ca="1">IF(AND($D93="Serviço",AH$12&lt;&gt;0,$H93&gt;0,OR(AUTOEVENTO&lt;&gt;"manual",$M93&lt;&gt;$A$15)),
        IF(Import.TipoArredondamento&lt;&gt;"TransfereGOV",
              ROUND(OFFSET($P93,0,AH$13),15-13*ORÇAMENTO!$AF$7)/$H93*OFFSET(ORÇAMENTO!$X$15,ROW(AH93)-ROW(AH$15),0),
              ROUND(ROUND(OFFSET($P93,0,AH$13),15-13*ORÇAMENTO!$AF$7)*OFFSET(ORÇAMENTO!$W$15,ROW(AH93)-ROW(AH$15),0),15-13*ORÇAMENTO!$AF$11)),
         0)</f>
        <v>0</v>
      </c>
      <c r="AI93" s="454">
        <f ca="1">IF(AND($D93="Serviço",AI$12&lt;&gt;0,$H93&gt;0,OR(AUTOEVENTO&lt;&gt;"manual",$M93&lt;&gt;$A$15)),
        IF(Import.TipoArredondamento&lt;&gt;"TransfereGOV",
              ROUND(OFFSET($P93,0,AI$13),15-13*ORÇAMENTO!$AF$7)/$H93*OFFSET(ORÇAMENTO!$X$15,ROW(AI93)-ROW(AI$15),0),
              ROUND(ROUND(OFFSET($P93,0,AI$13),15-13*ORÇAMENTO!$AF$7)*OFFSET(ORÇAMENTO!$W$15,ROW(AI93)-ROW(AI$15),0),15-13*ORÇAMENTO!$AF$11)),
         0)</f>
        <v>0</v>
      </c>
      <c r="AJ93" s="454">
        <f ca="1">IF(AND($D93="Serviço",AJ$12&lt;&gt;0,$H93&gt;0,OR(AUTOEVENTO&lt;&gt;"manual",$M93&lt;&gt;$A$15)),
        IF(Import.TipoArredondamento&lt;&gt;"TransfereGOV",
              ROUND(OFFSET($P93,0,AJ$13),15-13*ORÇAMENTO!$AF$7)/$H93*OFFSET(ORÇAMENTO!$X$15,ROW(AJ93)-ROW(AJ$15),0),
              ROUND(ROUND(OFFSET($P93,0,AJ$13),15-13*ORÇAMENTO!$AF$7)*OFFSET(ORÇAMENTO!$W$15,ROW(AJ93)-ROW(AJ$15),0),15-13*ORÇAMENTO!$AF$11)),
         0)</f>
        <v>0</v>
      </c>
      <c r="AK93" s="454">
        <f ca="1">IF(AND($D93="Serviço",AK$12&lt;&gt;0,$H93&gt;0,OR(AUTOEVENTO&lt;&gt;"manual",$M93&lt;&gt;$A$15)),
        IF(Import.TipoArredondamento&lt;&gt;"TransfereGOV",
              ROUND(OFFSET($P93,0,AK$13),15-13*ORÇAMENTO!$AF$7)/$H93*OFFSET(ORÇAMENTO!$X$15,ROW(AK93)-ROW(AK$15),0),
              ROUND(ROUND(OFFSET($P93,0,AK$13),15-13*ORÇAMENTO!$AF$7)*OFFSET(ORÇAMENTO!$W$15,ROW(AK93)-ROW(AK$15),0),15-13*ORÇAMENTO!$AF$11)),
         0)</f>
        <v>0</v>
      </c>
      <c r="AM93" s="172">
        <f ca="1">IF(OR($D93&lt;&gt;"Serviço",AND(AUTOEVENTO="Manual",$M93=$A$15)),0,
         IF(OFFSET(CRONOPLE!$F$15,$M93-$A$15,AM$13)=0,10^12,OFFSET(CRONOPLE!$F$15,$M93-$A$15,AM$13)))</f>
        <v>1</v>
      </c>
      <c r="AN93" s="172">
        <f ca="1">IF(OR($D93&lt;&gt;"Serviço",AND(AUTOEVENTO="Manual",$M93=$A$15)),0,
         IF(OFFSET(CRONOPLE!$F$15,$M93-$A$15,AN$13)=0,10^12,OFFSET(CRONOPLE!$F$15,$M93-$A$15,AN$13)))</f>
        <v>1000000000000</v>
      </c>
      <c r="AO93" s="172">
        <f ca="1">IF(OR($D93&lt;&gt;"Serviço",AND(AUTOEVENTO="Manual",$M93=$A$15)),0,
         IF(OFFSET(CRONOPLE!$F$15,$M93-$A$15,AO$13)=0,10^12,OFFSET(CRONOPLE!$F$15,$M93-$A$15,AO$13)))</f>
        <v>1000000000000</v>
      </c>
      <c r="AP93" s="172">
        <f ca="1">IF(OR($D93&lt;&gt;"Serviço",AND(AUTOEVENTO="Manual",$M93=$A$15)),0,
         IF(OFFSET(CRONOPLE!$F$15,$M93-$A$15,AP$13)=0,10^12,OFFSET(CRONOPLE!$F$15,$M93-$A$15,AP$13)))</f>
        <v>1000000000000</v>
      </c>
      <c r="AQ93" s="172">
        <f ca="1">IF(OR($D93&lt;&gt;"Serviço",AND(AUTOEVENTO="Manual",$M93=$A$15)),0,
         IF(OFFSET(CRONOPLE!$F$15,$M93-$A$15,AQ$13)=0,10^12,OFFSET(CRONOPLE!$F$15,$M93-$A$15,AQ$13)))</f>
        <v>1000000000000</v>
      </c>
      <c r="AR93" s="172">
        <f ca="1">IF(OR($D93&lt;&gt;"Serviço",AND(AUTOEVENTO="Manual",$M93=$A$15)),0,
         IF(OFFSET(CRONOPLE!$F$15,$M93-$A$15,AR$13)=0,10^12,OFFSET(CRONOPLE!$F$15,$M93-$A$15,AR$13)))</f>
        <v>1000000000000</v>
      </c>
      <c r="AS93" s="172">
        <f ca="1">IF(OR($D93&lt;&gt;"Serviço",AND(AUTOEVENTO="Manual",$M93=$A$15)),0,
         IF(OFFSET(CRONOPLE!$F$15,$M93-$A$15,AS$13)=0,10^12,OFFSET(CRONOPLE!$F$15,$M93-$A$15,AS$13)))</f>
        <v>1000000000000</v>
      </c>
      <c r="AT93" s="172">
        <f ca="1">IF(OR($D93&lt;&gt;"Serviço",AND(AUTOEVENTO="Manual",$M93=$A$15)),0,
         IF(OFFSET(CRONOPLE!$F$15,$M93-$A$15,AT$13)=0,10^12,OFFSET(CRONOPLE!$F$15,$M93-$A$15,AT$13)))</f>
        <v>1000000000000</v>
      </c>
      <c r="AU93" s="172">
        <f ca="1">IF(OR($D93&lt;&gt;"Serviço",AND(AUTOEVENTO="Manual",$M93=$A$15)),0,
         IF(OFFSET(CRONOPLE!$F$15,$M93-$A$15,AU$13)=0,10^12,OFFSET(CRONOPLE!$F$15,$M93-$A$15,AU$13)))</f>
        <v>1000000000000</v>
      </c>
      <c r="AV93" s="172">
        <f ca="1">IF(OR($D93&lt;&gt;"Serviço",AND(AUTOEVENTO="Manual",$M93=$A$15)),0,
         IF(OFFSET(CRONOPLE!$F$15,$M93-$A$15,AV$13)=0,10^12,OFFSET(CRONOPLE!$F$15,$M93-$A$15,AV$13)))</f>
        <v>1000000000000</v>
      </c>
      <c r="AX93" s="173">
        <f ca="1">IF(OR($D93&lt;&gt;"Serviço",AND(AUTOEVENTO="Manual",$M93=$A$15),$M93&gt;(ROW(PLE.lastrow)-ROW(PLE.firstrow))),0,
           IF(OFFSET(PLE!$G$15,$M93-$A$15,AX$13)="",10^12,OFFSET(PLE!$G$15,$M93-$A$15,AX$13)))</f>
        <v>1000000000000</v>
      </c>
      <c r="AY93" s="173">
        <f ca="1">IF(OR($D93&lt;&gt;"Serviço",AND(AUTOEVENTO="Manual",$M93=$A$15),$M93&gt;(ROW(PLE.lastrow)-ROW(PLE.firstrow))),0,
           IF(OFFSET(PLE!$G$15,$M93-$A$15,AY$13)="",10^12,OFFSET(PLE!$G$15,$M93-$A$15,AY$13)))</f>
        <v>1000000000000</v>
      </c>
      <c r="AZ93" s="173">
        <f ca="1">IF(OR($D93&lt;&gt;"Serviço",AND(AUTOEVENTO="Manual",$M93=$A$15),$M93&gt;(ROW(PLE.lastrow)-ROW(PLE.firstrow))),0,
           IF(OFFSET(PLE!$G$15,$M93-$A$15,AZ$13)="",10^12,OFFSET(PLE!$G$15,$M93-$A$15,AZ$13)))</f>
        <v>1000000000000</v>
      </c>
      <c r="BA93" s="173">
        <f ca="1">IF(OR($D93&lt;&gt;"Serviço",AND(AUTOEVENTO="Manual",$M93=$A$15),$M93&gt;(ROW(PLE.lastrow)-ROW(PLE.firstrow))),0,
           IF(OFFSET(PLE!$G$15,$M93-$A$15,BA$13)="",10^12,OFFSET(PLE!$G$15,$M93-$A$15,BA$13)))</f>
        <v>1000000000000</v>
      </c>
      <c r="BB93" s="173">
        <f ca="1">IF(OR($D93&lt;&gt;"Serviço",AND(AUTOEVENTO="Manual",$M93=$A$15),$M93&gt;(ROW(PLE.lastrow)-ROW(PLE.firstrow))),0,
           IF(OFFSET(PLE!$G$15,$M93-$A$15,BB$13)="",10^12,OFFSET(PLE!$G$15,$M93-$A$15,BB$13)))</f>
        <v>1000000000000</v>
      </c>
      <c r="BC93" s="173">
        <f ca="1">IF(OR($D93&lt;&gt;"Serviço",AND(AUTOEVENTO="Manual",$M93=$A$15),$M93&gt;(ROW(PLE.lastrow)-ROW(PLE.firstrow))),0,
           IF(OFFSET(PLE!$G$15,$M93-$A$15,BC$13)="",10^12,OFFSET(PLE!$G$15,$M93-$A$15,BC$13)))</f>
        <v>1000000000000</v>
      </c>
      <c r="BD93" s="173">
        <f ca="1">IF(OR($D93&lt;&gt;"Serviço",AND(AUTOEVENTO="Manual",$M93=$A$15),$M93&gt;(ROW(PLE.lastrow)-ROW(PLE.firstrow))),0,
           IF(OFFSET(PLE!$G$15,$M93-$A$15,BD$13)="",10^12,OFFSET(PLE!$G$15,$M93-$A$15,BD$13)))</f>
        <v>1000000000000</v>
      </c>
      <c r="BE93" s="173">
        <f ca="1">IF(OR($D93&lt;&gt;"Serviço",AND(AUTOEVENTO="Manual",$M93=$A$15),$M93&gt;(ROW(PLE.lastrow)-ROW(PLE.firstrow))),0,
           IF(OFFSET(PLE!$G$15,$M93-$A$15,BE$13)="",10^12,OFFSET(PLE!$G$15,$M93-$A$15,BE$13)))</f>
        <v>1000000000000</v>
      </c>
      <c r="BF93" s="173">
        <f ca="1">IF(OR($D93&lt;&gt;"Serviço",AND(AUTOEVENTO="Manual",$M93=$A$15),$M93&gt;(ROW(PLE.lastrow)-ROW(PLE.firstrow))),0,
           IF(OFFSET(PLE!$G$15,$M93-$A$15,BF$13)="",10^12,OFFSET(PLE!$G$15,$M93-$A$15,BF$13)))</f>
        <v>1000000000000</v>
      </c>
      <c r="BG93" s="173">
        <f ca="1">IF(OR($D93&lt;&gt;"Serviço",AND(AUTOEVENTO="Manual",$M93=$A$15),$M93&gt;(ROW(PLE.lastrow)-ROW(PLE.firstrow))),0,
           IF(OFFSET(PLE!$G$15,$M93-$A$15,BG$13)="",10^12,OFFSET(PLE!$G$15,$M93-$A$15,BG$13)))</f>
        <v>1000000000000</v>
      </c>
    </row>
    <row r="94" spans="1:59" ht="12.75" x14ac:dyDescent="0.2">
      <c r="A94" s="7" t="str">
        <f t="shared" ca="1" si="10"/>
        <v>72</v>
      </c>
      <c r="B94" s="7" t="str">
        <f ca="1">OFFSET(ORÇAMENTO!C$15,ROW(B94)-ROW(B$15),0)</f>
        <v>S</v>
      </c>
      <c r="C94" s="7" t="str">
        <f ca="1">OFFSET(ORÇAMENTO!L$15,ROW(C94)-ROW(C$15),0)</f>
        <v>F</v>
      </c>
      <c r="D94" s="117" t="str">
        <f ca="1">OFFSET(ORÇAMENTO!N$15,ROW(D94)-ROW(D$15),0)</f>
        <v>Serviço</v>
      </c>
      <c r="E94" s="118" t="str">
        <f ca="1">OFFSET(ORÇAMENTO!O$15,ROW(E94)-ROW(E$15),0)</f>
        <v>1.7.7.</v>
      </c>
      <c r="F94" s="164" t="str">
        <f ca="1">OFFSET(ORÇAMENTO!R$15,ROW(F94)-ROW(F$15),0)</f>
        <v>PREGO DE ACO POLIDO COM CABECA 18 X 30 (2 3/4 X 10)</v>
      </c>
      <c r="G94" s="165" t="str">
        <f ca="1">IF($D94&lt;&gt;"Serviço","",OFFSET(ORÇAMENTO!S$15,ROW(G94)-ROW(G$15),0))</f>
        <v>KG</v>
      </c>
      <c r="H94" s="123">
        <f ca="1">IF($D94&lt;&gt;"Serviço",0,IF(ACOMPANHAMENTO="BM",ROUND(OFFSET(ORÇAMENTO!AJ$15,ROW(H94)-ROW(H$15),0),15-13*ORÇAMENTO!$AF$7),SUMPRODUCT(($Q$1:$AA$1=1)*ROUND($Q94:$AA94,15-13*ORÇAMENTO!$AF$7))))</f>
        <v>8</v>
      </c>
      <c r="I94" s="469" t="s">
        <v>1062</v>
      </c>
      <c r="J94" s="663" t="str">
        <f ca="1">IF(OR(B94&lt;&gt;"S",CÁLCULO.FrentesPreenchidas=0),"",IF(AND(ACOMPANHAMENTO="PLE",AUTOEVENTO="Manual",OR(H94&gt;0,ORÇAMENTO!AC94="QUANT."),OR(K94="",M94=0,N94="")),"►",IF(AND(ACOMPANHAMENTO="PLE",ORÇAMENTO!AC94="QUANT."),"►►",IF(AND(COUNTIF($P$11:$AA$11,"▼")=0,H94&gt;0,I94=""),"◄",""))))</f>
        <v/>
      </c>
      <c r="K94" s="664"/>
      <c r="L94" s="166" t="s">
        <v>765</v>
      </c>
      <c r="M94" s="167">
        <f ca="1">IF($D94&lt;&gt;"Serviço","",
          IF(AUTOEVENTO="manual",$A94,
                IF(ISERROR(MATCH($A94,$A$15:OFFSET($A94,-1,0),0)),MAX($M$15:OFFSET(M94,-1,0))+1,
                      INDEX($M$15:OFFSET(M94,-1,0),MATCH($A94,$A$15:OFFSET($A94,-1,0),0)))))</f>
        <v>7</v>
      </c>
      <c r="N94" s="168" t="str">
        <f ca="1">IF($D94&lt;&gt;"Serviço","",
         IF(AUTOEVENTO="Manual",
                IF($A94=0,"&lt;-- defina o número do agrupador",
                       OFFSET(EVENTOS!$D$15,$A94-$A$15,0)),
                OFFSET($F$15,$A94,0)))</f>
        <v>MURRO DE ARRIMO</v>
      </c>
      <c r="O94" s="169"/>
      <c r="Q94" s="169">
        <v>8</v>
      </c>
      <c r="R94" s="170"/>
      <c r="S94" s="170"/>
      <c r="T94" s="170"/>
      <c r="U94" s="170"/>
      <c r="V94" s="170"/>
      <c r="W94" s="170"/>
      <c r="X94" s="170"/>
      <c r="Y94" s="170"/>
      <c r="Z94" s="171"/>
      <c r="AB94" s="454">
        <f ca="1">IF(AND($D94="Serviço",AB$12&lt;&gt;0,$H94&gt;0,OR(AUTOEVENTO&lt;&gt;"manual",$M94&lt;&gt;$A$15)),
        IF(Import.TipoArredondamento&lt;&gt;"TransfereGOV",
              ROUND(OFFSET($P94,0,AB$13),15-13*ORÇAMENTO!$AF$7)/$H94*OFFSET(ORÇAMENTO!$X$15,ROW(AB94)-ROW(AB$15),0),
              ROUND(ROUND(OFFSET($P94,0,AB$13),15-13*ORÇAMENTO!$AF$7)*OFFSET(ORÇAMENTO!$W$15,ROW(AB94)-ROW(AB$15),0),15-13*ORÇAMENTO!$AF$11)),
         0)</f>
        <v>134.4</v>
      </c>
      <c r="AC94" s="454">
        <f ca="1">IF(AND($D94="Serviço",AC$12&lt;&gt;0,$H94&gt;0,OR(AUTOEVENTO&lt;&gt;"manual",$M94&lt;&gt;$A$15)),
        IF(Import.TipoArredondamento&lt;&gt;"TransfereGOV",
              ROUND(OFFSET($P94,0,AC$13),15-13*ORÇAMENTO!$AF$7)/$H94*OFFSET(ORÇAMENTO!$X$15,ROW(AC94)-ROW(AC$15),0),
              ROUND(ROUND(OFFSET($P94,0,AC$13),15-13*ORÇAMENTO!$AF$7)*OFFSET(ORÇAMENTO!$W$15,ROW(AC94)-ROW(AC$15),0),15-13*ORÇAMENTO!$AF$11)),
         0)</f>
        <v>0</v>
      </c>
      <c r="AD94" s="454">
        <f ca="1">IF(AND($D94="Serviço",AD$12&lt;&gt;0,$H94&gt;0,OR(AUTOEVENTO&lt;&gt;"manual",$M94&lt;&gt;$A$15)),
        IF(Import.TipoArredondamento&lt;&gt;"TransfereGOV",
              ROUND(OFFSET($P94,0,AD$13),15-13*ORÇAMENTO!$AF$7)/$H94*OFFSET(ORÇAMENTO!$X$15,ROW(AD94)-ROW(AD$15),0),
              ROUND(ROUND(OFFSET($P94,0,AD$13),15-13*ORÇAMENTO!$AF$7)*OFFSET(ORÇAMENTO!$W$15,ROW(AD94)-ROW(AD$15),0),15-13*ORÇAMENTO!$AF$11)),
         0)</f>
        <v>0</v>
      </c>
      <c r="AE94" s="454">
        <f ca="1">IF(AND($D94="Serviço",AE$12&lt;&gt;0,$H94&gt;0,OR(AUTOEVENTO&lt;&gt;"manual",$M94&lt;&gt;$A$15)),
        IF(Import.TipoArredondamento&lt;&gt;"TransfereGOV",
              ROUND(OFFSET($P94,0,AE$13),15-13*ORÇAMENTO!$AF$7)/$H94*OFFSET(ORÇAMENTO!$X$15,ROW(AE94)-ROW(AE$15),0),
              ROUND(ROUND(OFFSET($P94,0,AE$13),15-13*ORÇAMENTO!$AF$7)*OFFSET(ORÇAMENTO!$W$15,ROW(AE94)-ROW(AE$15),0),15-13*ORÇAMENTO!$AF$11)),
         0)</f>
        <v>0</v>
      </c>
      <c r="AF94" s="454">
        <f ca="1">IF(AND($D94="Serviço",AF$12&lt;&gt;0,$H94&gt;0,OR(AUTOEVENTO&lt;&gt;"manual",$M94&lt;&gt;$A$15)),
        IF(Import.TipoArredondamento&lt;&gt;"TransfereGOV",
              ROUND(OFFSET($P94,0,AF$13),15-13*ORÇAMENTO!$AF$7)/$H94*OFFSET(ORÇAMENTO!$X$15,ROW(AF94)-ROW(AF$15),0),
              ROUND(ROUND(OFFSET($P94,0,AF$13),15-13*ORÇAMENTO!$AF$7)*OFFSET(ORÇAMENTO!$W$15,ROW(AF94)-ROW(AF$15),0),15-13*ORÇAMENTO!$AF$11)),
         0)</f>
        <v>0</v>
      </c>
      <c r="AG94" s="454">
        <f ca="1">IF(AND($D94="Serviço",AG$12&lt;&gt;0,$H94&gt;0,OR(AUTOEVENTO&lt;&gt;"manual",$M94&lt;&gt;$A$15)),
        IF(Import.TipoArredondamento&lt;&gt;"TransfereGOV",
              ROUND(OFFSET($P94,0,AG$13),15-13*ORÇAMENTO!$AF$7)/$H94*OFFSET(ORÇAMENTO!$X$15,ROW(AG94)-ROW(AG$15),0),
              ROUND(ROUND(OFFSET($P94,0,AG$13),15-13*ORÇAMENTO!$AF$7)*OFFSET(ORÇAMENTO!$W$15,ROW(AG94)-ROW(AG$15),0),15-13*ORÇAMENTO!$AF$11)),
         0)</f>
        <v>0</v>
      </c>
      <c r="AH94" s="454">
        <f ca="1">IF(AND($D94="Serviço",AH$12&lt;&gt;0,$H94&gt;0,OR(AUTOEVENTO&lt;&gt;"manual",$M94&lt;&gt;$A$15)),
        IF(Import.TipoArredondamento&lt;&gt;"TransfereGOV",
              ROUND(OFFSET($P94,0,AH$13),15-13*ORÇAMENTO!$AF$7)/$H94*OFFSET(ORÇAMENTO!$X$15,ROW(AH94)-ROW(AH$15),0),
              ROUND(ROUND(OFFSET($P94,0,AH$13),15-13*ORÇAMENTO!$AF$7)*OFFSET(ORÇAMENTO!$W$15,ROW(AH94)-ROW(AH$15),0),15-13*ORÇAMENTO!$AF$11)),
         0)</f>
        <v>0</v>
      </c>
      <c r="AI94" s="454">
        <f ca="1">IF(AND($D94="Serviço",AI$12&lt;&gt;0,$H94&gt;0,OR(AUTOEVENTO&lt;&gt;"manual",$M94&lt;&gt;$A$15)),
        IF(Import.TipoArredondamento&lt;&gt;"TransfereGOV",
              ROUND(OFFSET($P94,0,AI$13),15-13*ORÇAMENTO!$AF$7)/$H94*OFFSET(ORÇAMENTO!$X$15,ROW(AI94)-ROW(AI$15),0),
              ROUND(ROUND(OFFSET($P94,0,AI$13),15-13*ORÇAMENTO!$AF$7)*OFFSET(ORÇAMENTO!$W$15,ROW(AI94)-ROW(AI$15),0),15-13*ORÇAMENTO!$AF$11)),
         0)</f>
        <v>0</v>
      </c>
      <c r="AJ94" s="454">
        <f ca="1">IF(AND($D94="Serviço",AJ$12&lt;&gt;0,$H94&gt;0,OR(AUTOEVENTO&lt;&gt;"manual",$M94&lt;&gt;$A$15)),
        IF(Import.TipoArredondamento&lt;&gt;"TransfereGOV",
              ROUND(OFFSET($P94,0,AJ$13),15-13*ORÇAMENTO!$AF$7)/$H94*OFFSET(ORÇAMENTO!$X$15,ROW(AJ94)-ROW(AJ$15),0),
              ROUND(ROUND(OFFSET($P94,0,AJ$13),15-13*ORÇAMENTO!$AF$7)*OFFSET(ORÇAMENTO!$W$15,ROW(AJ94)-ROW(AJ$15),0),15-13*ORÇAMENTO!$AF$11)),
         0)</f>
        <v>0</v>
      </c>
      <c r="AK94" s="454">
        <f ca="1">IF(AND($D94="Serviço",AK$12&lt;&gt;0,$H94&gt;0,OR(AUTOEVENTO&lt;&gt;"manual",$M94&lt;&gt;$A$15)),
        IF(Import.TipoArredondamento&lt;&gt;"TransfereGOV",
              ROUND(OFFSET($P94,0,AK$13),15-13*ORÇAMENTO!$AF$7)/$H94*OFFSET(ORÇAMENTO!$X$15,ROW(AK94)-ROW(AK$15),0),
              ROUND(ROUND(OFFSET($P94,0,AK$13),15-13*ORÇAMENTO!$AF$7)*OFFSET(ORÇAMENTO!$W$15,ROW(AK94)-ROW(AK$15),0),15-13*ORÇAMENTO!$AF$11)),
         0)</f>
        <v>0</v>
      </c>
      <c r="AM94" s="172">
        <f ca="1">IF(OR($D94&lt;&gt;"Serviço",AND(AUTOEVENTO="Manual",$M94=$A$15)),0,
         IF(OFFSET(CRONOPLE!$F$15,$M94-$A$15,AM$13)=0,10^12,OFFSET(CRONOPLE!$F$15,$M94-$A$15,AM$13)))</f>
        <v>1</v>
      </c>
      <c r="AN94" s="172">
        <f ca="1">IF(OR($D94&lt;&gt;"Serviço",AND(AUTOEVENTO="Manual",$M94=$A$15)),0,
         IF(OFFSET(CRONOPLE!$F$15,$M94-$A$15,AN$13)=0,10^12,OFFSET(CRONOPLE!$F$15,$M94-$A$15,AN$13)))</f>
        <v>1000000000000</v>
      </c>
      <c r="AO94" s="172">
        <f ca="1">IF(OR($D94&lt;&gt;"Serviço",AND(AUTOEVENTO="Manual",$M94=$A$15)),0,
         IF(OFFSET(CRONOPLE!$F$15,$M94-$A$15,AO$13)=0,10^12,OFFSET(CRONOPLE!$F$15,$M94-$A$15,AO$13)))</f>
        <v>1000000000000</v>
      </c>
      <c r="AP94" s="172">
        <f ca="1">IF(OR($D94&lt;&gt;"Serviço",AND(AUTOEVENTO="Manual",$M94=$A$15)),0,
         IF(OFFSET(CRONOPLE!$F$15,$M94-$A$15,AP$13)=0,10^12,OFFSET(CRONOPLE!$F$15,$M94-$A$15,AP$13)))</f>
        <v>1000000000000</v>
      </c>
      <c r="AQ94" s="172">
        <f ca="1">IF(OR($D94&lt;&gt;"Serviço",AND(AUTOEVENTO="Manual",$M94=$A$15)),0,
         IF(OFFSET(CRONOPLE!$F$15,$M94-$A$15,AQ$13)=0,10^12,OFFSET(CRONOPLE!$F$15,$M94-$A$15,AQ$13)))</f>
        <v>1000000000000</v>
      </c>
      <c r="AR94" s="172">
        <f ca="1">IF(OR($D94&lt;&gt;"Serviço",AND(AUTOEVENTO="Manual",$M94=$A$15)),0,
         IF(OFFSET(CRONOPLE!$F$15,$M94-$A$15,AR$13)=0,10^12,OFFSET(CRONOPLE!$F$15,$M94-$A$15,AR$13)))</f>
        <v>1000000000000</v>
      </c>
      <c r="AS94" s="172">
        <f ca="1">IF(OR($D94&lt;&gt;"Serviço",AND(AUTOEVENTO="Manual",$M94=$A$15)),0,
         IF(OFFSET(CRONOPLE!$F$15,$M94-$A$15,AS$13)=0,10^12,OFFSET(CRONOPLE!$F$15,$M94-$A$15,AS$13)))</f>
        <v>1000000000000</v>
      </c>
      <c r="AT94" s="172">
        <f ca="1">IF(OR($D94&lt;&gt;"Serviço",AND(AUTOEVENTO="Manual",$M94=$A$15)),0,
         IF(OFFSET(CRONOPLE!$F$15,$M94-$A$15,AT$13)=0,10^12,OFFSET(CRONOPLE!$F$15,$M94-$A$15,AT$13)))</f>
        <v>1000000000000</v>
      </c>
      <c r="AU94" s="172">
        <f ca="1">IF(OR($D94&lt;&gt;"Serviço",AND(AUTOEVENTO="Manual",$M94=$A$15)),0,
         IF(OFFSET(CRONOPLE!$F$15,$M94-$A$15,AU$13)=0,10^12,OFFSET(CRONOPLE!$F$15,$M94-$A$15,AU$13)))</f>
        <v>1000000000000</v>
      </c>
      <c r="AV94" s="172">
        <f ca="1">IF(OR($D94&lt;&gt;"Serviço",AND(AUTOEVENTO="Manual",$M94=$A$15)),0,
         IF(OFFSET(CRONOPLE!$F$15,$M94-$A$15,AV$13)=0,10^12,OFFSET(CRONOPLE!$F$15,$M94-$A$15,AV$13)))</f>
        <v>1000000000000</v>
      </c>
      <c r="AX94" s="173">
        <f ca="1">IF(OR($D94&lt;&gt;"Serviço",AND(AUTOEVENTO="Manual",$M94=$A$15),$M94&gt;(ROW(PLE.lastrow)-ROW(PLE.firstrow))),0,
           IF(OFFSET(PLE!$G$15,$M94-$A$15,AX$13)="",10^12,OFFSET(PLE!$G$15,$M94-$A$15,AX$13)))</f>
        <v>1000000000000</v>
      </c>
      <c r="AY94" s="173">
        <f ca="1">IF(OR($D94&lt;&gt;"Serviço",AND(AUTOEVENTO="Manual",$M94=$A$15),$M94&gt;(ROW(PLE.lastrow)-ROW(PLE.firstrow))),0,
           IF(OFFSET(PLE!$G$15,$M94-$A$15,AY$13)="",10^12,OFFSET(PLE!$G$15,$M94-$A$15,AY$13)))</f>
        <v>1000000000000</v>
      </c>
      <c r="AZ94" s="173">
        <f ca="1">IF(OR($D94&lt;&gt;"Serviço",AND(AUTOEVENTO="Manual",$M94=$A$15),$M94&gt;(ROW(PLE.lastrow)-ROW(PLE.firstrow))),0,
           IF(OFFSET(PLE!$G$15,$M94-$A$15,AZ$13)="",10^12,OFFSET(PLE!$G$15,$M94-$A$15,AZ$13)))</f>
        <v>1000000000000</v>
      </c>
      <c r="BA94" s="173">
        <f ca="1">IF(OR($D94&lt;&gt;"Serviço",AND(AUTOEVENTO="Manual",$M94=$A$15),$M94&gt;(ROW(PLE.lastrow)-ROW(PLE.firstrow))),0,
           IF(OFFSET(PLE!$G$15,$M94-$A$15,BA$13)="",10^12,OFFSET(PLE!$G$15,$M94-$A$15,BA$13)))</f>
        <v>1000000000000</v>
      </c>
      <c r="BB94" s="173">
        <f ca="1">IF(OR($D94&lt;&gt;"Serviço",AND(AUTOEVENTO="Manual",$M94=$A$15),$M94&gt;(ROW(PLE.lastrow)-ROW(PLE.firstrow))),0,
           IF(OFFSET(PLE!$G$15,$M94-$A$15,BB$13)="",10^12,OFFSET(PLE!$G$15,$M94-$A$15,BB$13)))</f>
        <v>1000000000000</v>
      </c>
      <c r="BC94" s="173">
        <f ca="1">IF(OR($D94&lt;&gt;"Serviço",AND(AUTOEVENTO="Manual",$M94=$A$15),$M94&gt;(ROW(PLE.lastrow)-ROW(PLE.firstrow))),0,
           IF(OFFSET(PLE!$G$15,$M94-$A$15,BC$13)="",10^12,OFFSET(PLE!$G$15,$M94-$A$15,BC$13)))</f>
        <v>1000000000000</v>
      </c>
      <c r="BD94" s="173">
        <f ca="1">IF(OR($D94&lt;&gt;"Serviço",AND(AUTOEVENTO="Manual",$M94=$A$15),$M94&gt;(ROW(PLE.lastrow)-ROW(PLE.firstrow))),0,
           IF(OFFSET(PLE!$G$15,$M94-$A$15,BD$13)="",10^12,OFFSET(PLE!$G$15,$M94-$A$15,BD$13)))</f>
        <v>1000000000000</v>
      </c>
      <c r="BE94" s="173">
        <f ca="1">IF(OR($D94&lt;&gt;"Serviço",AND(AUTOEVENTO="Manual",$M94=$A$15),$M94&gt;(ROW(PLE.lastrow)-ROW(PLE.firstrow))),0,
           IF(OFFSET(PLE!$G$15,$M94-$A$15,BE$13)="",10^12,OFFSET(PLE!$G$15,$M94-$A$15,BE$13)))</f>
        <v>1000000000000</v>
      </c>
      <c r="BF94" s="173">
        <f ca="1">IF(OR($D94&lt;&gt;"Serviço",AND(AUTOEVENTO="Manual",$M94=$A$15),$M94&gt;(ROW(PLE.lastrow)-ROW(PLE.firstrow))),0,
           IF(OFFSET(PLE!$G$15,$M94-$A$15,BF$13)="",10^12,OFFSET(PLE!$G$15,$M94-$A$15,BF$13)))</f>
        <v>1000000000000</v>
      </c>
      <c r="BG94" s="173">
        <f ca="1">IF(OR($D94&lt;&gt;"Serviço",AND(AUTOEVENTO="Manual",$M94=$A$15),$M94&gt;(ROW(PLE.lastrow)-ROW(PLE.firstrow))),0,
           IF(OFFSET(PLE!$G$15,$M94-$A$15,BG$13)="",10^12,OFFSET(PLE!$G$15,$M94-$A$15,BG$13)))</f>
        <v>1000000000000</v>
      </c>
    </row>
    <row r="95" spans="1:59" ht="25.5" x14ac:dyDescent="0.2">
      <c r="A95" s="7" t="str">
        <f t="shared" ca="1" si="10"/>
        <v>72</v>
      </c>
      <c r="B95" s="7" t="str">
        <f ca="1">OFFSET(ORÇAMENTO!C$15,ROW(B95)-ROW(B$15),0)</f>
        <v>S</v>
      </c>
      <c r="C95" s="7" t="str">
        <f ca="1">OFFSET(ORÇAMENTO!L$15,ROW(C95)-ROW(C$15),0)</f>
        <v>F</v>
      </c>
      <c r="D95" s="117" t="str">
        <f ca="1">OFFSET(ORÇAMENTO!N$15,ROW(D95)-ROW(D$15),0)</f>
        <v>Serviço</v>
      </c>
      <c r="E95" s="118" t="str">
        <f ca="1">OFFSET(ORÇAMENTO!O$15,ROW(E95)-ROW(E$15),0)</f>
        <v>1.7.8.</v>
      </c>
      <c r="F95" s="164" t="str">
        <f ca="1">OFFSET(ORÇAMENTO!R$15,ROW(F95)-ROW(F$15),0)</f>
        <v>ARAME RECOZIDO 16 BWG, D = 1,65 MM (0,016 KG/M) OU 18 BWG, D = 1,25 MM (0,01 KG/M)</v>
      </c>
      <c r="G95" s="165" t="str">
        <f ca="1">IF($D95&lt;&gt;"Serviço","",OFFSET(ORÇAMENTO!S$15,ROW(G95)-ROW(G$15),0))</f>
        <v>KG</v>
      </c>
      <c r="H95" s="123">
        <f ca="1">IF($D95&lt;&gt;"Serviço",0,IF(ACOMPANHAMENTO="BM",ROUND(OFFSET(ORÇAMENTO!AJ$15,ROW(H95)-ROW(H$15),0),15-13*ORÇAMENTO!$AF$7),SUMPRODUCT(($Q$1:$AA$1=1)*ROUND($Q95:$AA95,15-13*ORÇAMENTO!$AF$7))))</f>
        <v>11</v>
      </c>
      <c r="I95" s="469" t="s">
        <v>1062</v>
      </c>
      <c r="J95" s="663" t="str">
        <f ca="1">IF(OR(B95&lt;&gt;"S",CÁLCULO.FrentesPreenchidas=0),"",IF(AND(ACOMPANHAMENTO="PLE",AUTOEVENTO="Manual",OR(H95&gt;0,ORÇAMENTO!AC95="QUANT."),OR(K95="",M95=0,N95="")),"►",IF(AND(ACOMPANHAMENTO="PLE",ORÇAMENTO!AC95="QUANT."),"►►",IF(AND(COUNTIF($P$11:$AA$11,"▼")=0,H95&gt;0,I95=""),"◄",""))))</f>
        <v/>
      </c>
      <c r="K95" s="664"/>
      <c r="L95" s="166" t="s">
        <v>765</v>
      </c>
      <c r="M95" s="167">
        <f ca="1">IF($D95&lt;&gt;"Serviço","",
          IF(AUTOEVENTO="manual",$A95,
                IF(ISERROR(MATCH($A95,$A$15:OFFSET($A95,-1,0),0)),MAX($M$15:OFFSET(M95,-1,0))+1,
                      INDEX($M$15:OFFSET(M95,-1,0),MATCH($A95,$A$15:OFFSET($A95,-1,0),0)))))</f>
        <v>7</v>
      </c>
      <c r="N95" s="168" t="str">
        <f ca="1">IF($D95&lt;&gt;"Serviço","",
         IF(AUTOEVENTO="Manual",
                IF($A95=0,"&lt;-- defina o número do agrupador",
                       OFFSET(EVENTOS!$D$15,$A95-$A$15,0)),
                OFFSET($F$15,$A95,0)))</f>
        <v>MURRO DE ARRIMO</v>
      </c>
      <c r="O95" s="169"/>
      <c r="Q95" s="169">
        <v>11</v>
      </c>
      <c r="R95" s="170"/>
      <c r="S95" s="170"/>
      <c r="T95" s="170"/>
      <c r="U95" s="170"/>
      <c r="V95" s="170"/>
      <c r="W95" s="170"/>
      <c r="X95" s="170"/>
      <c r="Y95" s="170"/>
      <c r="Z95" s="171"/>
      <c r="AB95" s="454">
        <f ca="1">IF(AND($D95="Serviço",AB$12&lt;&gt;0,$H95&gt;0,OR(AUTOEVENTO&lt;&gt;"manual",$M95&lt;&gt;$A$15)),
        IF(Import.TipoArredondamento&lt;&gt;"TransfereGOV",
              ROUND(OFFSET($P95,0,AB$13),15-13*ORÇAMENTO!$AF$7)/$H95*OFFSET(ORÇAMENTO!$X$15,ROW(AB95)-ROW(AB$15),0),
              ROUND(ROUND(OFFSET($P95,0,AB$13),15-13*ORÇAMENTO!$AF$7)*OFFSET(ORÇAMENTO!$W$15,ROW(AB95)-ROW(AB$15),0),15-13*ORÇAMENTO!$AF$11)),
         0)</f>
        <v>263.89</v>
      </c>
      <c r="AC95" s="454">
        <f ca="1">IF(AND($D95="Serviço",AC$12&lt;&gt;0,$H95&gt;0,OR(AUTOEVENTO&lt;&gt;"manual",$M95&lt;&gt;$A$15)),
        IF(Import.TipoArredondamento&lt;&gt;"TransfereGOV",
              ROUND(OFFSET($P95,0,AC$13),15-13*ORÇAMENTO!$AF$7)/$H95*OFFSET(ORÇAMENTO!$X$15,ROW(AC95)-ROW(AC$15),0),
              ROUND(ROUND(OFFSET($P95,0,AC$13),15-13*ORÇAMENTO!$AF$7)*OFFSET(ORÇAMENTO!$W$15,ROW(AC95)-ROW(AC$15),0),15-13*ORÇAMENTO!$AF$11)),
         0)</f>
        <v>0</v>
      </c>
      <c r="AD95" s="454">
        <f ca="1">IF(AND($D95="Serviço",AD$12&lt;&gt;0,$H95&gt;0,OR(AUTOEVENTO&lt;&gt;"manual",$M95&lt;&gt;$A$15)),
        IF(Import.TipoArredondamento&lt;&gt;"TransfereGOV",
              ROUND(OFFSET($P95,0,AD$13),15-13*ORÇAMENTO!$AF$7)/$H95*OFFSET(ORÇAMENTO!$X$15,ROW(AD95)-ROW(AD$15),0),
              ROUND(ROUND(OFFSET($P95,0,AD$13),15-13*ORÇAMENTO!$AF$7)*OFFSET(ORÇAMENTO!$W$15,ROW(AD95)-ROW(AD$15),0),15-13*ORÇAMENTO!$AF$11)),
         0)</f>
        <v>0</v>
      </c>
      <c r="AE95" s="454">
        <f ca="1">IF(AND($D95="Serviço",AE$12&lt;&gt;0,$H95&gt;0,OR(AUTOEVENTO&lt;&gt;"manual",$M95&lt;&gt;$A$15)),
        IF(Import.TipoArredondamento&lt;&gt;"TransfereGOV",
              ROUND(OFFSET($P95,0,AE$13),15-13*ORÇAMENTO!$AF$7)/$H95*OFFSET(ORÇAMENTO!$X$15,ROW(AE95)-ROW(AE$15),0),
              ROUND(ROUND(OFFSET($P95,0,AE$13),15-13*ORÇAMENTO!$AF$7)*OFFSET(ORÇAMENTO!$W$15,ROW(AE95)-ROW(AE$15),0),15-13*ORÇAMENTO!$AF$11)),
         0)</f>
        <v>0</v>
      </c>
      <c r="AF95" s="454">
        <f ca="1">IF(AND($D95="Serviço",AF$12&lt;&gt;0,$H95&gt;0,OR(AUTOEVENTO&lt;&gt;"manual",$M95&lt;&gt;$A$15)),
        IF(Import.TipoArredondamento&lt;&gt;"TransfereGOV",
              ROUND(OFFSET($P95,0,AF$13),15-13*ORÇAMENTO!$AF$7)/$H95*OFFSET(ORÇAMENTO!$X$15,ROW(AF95)-ROW(AF$15),0),
              ROUND(ROUND(OFFSET($P95,0,AF$13),15-13*ORÇAMENTO!$AF$7)*OFFSET(ORÇAMENTO!$W$15,ROW(AF95)-ROW(AF$15),0),15-13*ORÇAMENTO!$AF$11)),
         0)</f>
        <v>0</v>
      </c>
      <c r="AG95" s="454">
        <f ca="1">IF(AND($D95="Serviço",AG$12&lt;&gt;0,$H95&gt;0,OR(AUTOEVENTO&lt;&gt;"manual",$M95&lt;&gt;$A$15)),
        IF(Import.TipoArredondamento&lt;&gt;"TransfereGOV",
              ROUND(OFFSET($P95,0,AG$13),15-13*ORÇAMENTO!$AF$7)/$H95*OFFSET(ORÇAMENTO!$X$15,ROW(AG95)-ROW(AG$15),0),
              ROUND(ROUND(OFFSET($P95,0,AG$13),15-13*ORÇAMENTO!$AF$7)*OFFSET(ORÇAMENTO!$W$15,ROW(AG95)-ROW(AG$15),0),15-13*ORÇAMENTO!$AF$11)),
         0)</f>
        <v>0</v>
      </c>
      <c r="AH95" s="454">
        <f ca="1">IF(AND($D95="Serviço",AH$12&lt;&gt;0,$H95&gt;0,OR(AUTOEVENTO&lt;&gt;"manual",$M95&lt;&gt;$A$15)),
        IF(Import.TipoArredondamento&lt;&gt;"TransfereGOV",
              ROUND(OFFSET($P95,0,AH$13),15-13*ORÇAMENTO!$AF$7)/$H95*OFFSET(ORÇAMENTO!$X$15,ROW(AH95)-ROW(AH$15),0),
              ROUND(ROUND(OFFSET($P95,0,AH$13),15-13*ORÇAMENTO!$AF$7)*OFFSET(ORÇAMENTO!$W$15,ROW(AH95)-ROW(AH$15),0),15-13*ORÇAMENTO!$AF$11)),
         0)</f>
        <v>0</v>
      </c>
      <c r="AI95" s="454">
        <f ca="1">IF(AND($D95="Serviço",AI$12&lt;&gt;0,$H95&gt;0,OR(AUTOEVENTO&lt;&gt;"manual",$M95&lt;&gt;$A$15)),
        IF(Import.TipoArredondamento&lt;&gt;"TransfereGOV",
              ROUND(OFFSET($P95,0,AI$13),15-13*ORÇAMENTO!$AF$7)/$H95*OFFSET(ORÇAMENTO!$X$15,ROW(AI95)-ROW(AI$15),0),
              ROUND(ROUND(OFFSET($P95,0,AI$13),15-13*ORÇAMENTO!$AF$7)*OFFSET(ORÇAMENTO!$W$15,ROW(AI95)-ROW(AI$15),0),15-13*ORÇAMENTO!$AF$11)),
         0)</f>
        <v>0</v>
      </c>
      <c r="AJ95" s="454">
        <f ca="1">IF(AND($D95="Serviço",AJ$12&lt;&gt;0,$H95&gt;0,OR(AUTOEVENTO&lt;&gt;"manual",$M95&lt;&gt;$A$15)),
        IF(Import.TipoArredondamento&lt;&gt;"TransfereGOV",
              ROUND(OFFSET($P95,0,AJ$13),15-13*ORÇAMENTO!$AF$7)/$H95*OFFSET(ORÇAMENTO!$X$15,ROW(AJ95)-ROW(AJ$15),0),
              ROUND(ROUND(OFFSET($P95,0,AJ$13),15-13*ORÇAMENTO!$AF$7)*OFFSET(ORÇAMENTO!$W$15,ROW(AJ95)-ROW(AJ$15),0),15-13*ORÇAMENTO!$AF$11)),
         0)</f>
        <v>0</v>
      </c>
      <c r="AK95" s="454">
        <f ca="1">IF(AND($D95="Serviço",AK$12&lt;&gt;0,$H95&gt;0,OR(AUTOEVENTO&lt;&gt;"manual",$M95&lt;&gt;$A$15)),
        IF(Import.TipoArredondamento&lt;&gt;"TransfereGOV",
              ROUND(OFFSET($P95,0,AK$13),15-13*ORÇAMENTO!$AF$7)/$H95*OFFSET(ORÇAMENTO!$X$15,ROW(AK95)-ROW(AK$15),0),
              ROUND(ROUND(OFFSET($P95,0,AK$13),15-13*ORÇAMENTO!$AF$7)*OFFSET(ORÇAMENTO!$W$15,ROW(AK95)-ROW(AK$15),0),15-13*ORÇAMENTO!$AF$11)),
         0)</f>
        <v>0</v>
      </c>
      <c r="AM95" s="172">
        <f ca="1">IF(OR($D95&lt;&gt;"Serviço",AND(AUTOEVENTO="Manual",$M95=$A$15)),0,
         IF(OFFSET(CRONOPLE!$F$15,$M95-$A$15,AM$13)=0,10^12,OFFSET(CRONOPLE!$F$15,$M95-$A$15,AM$13)))</f>
        <v>1</v>
      </c>
      <c r="AN95" s="172">
        <f ca="1">IF(OR($D95&lt;&gt;"Serviço",AND(AUTOEVENTO="Manual",$M95=$A$15)),0,
         IF(OFFSET(CRONOPLE!$F$15,$M95-$A$15,AN$13)=0,10^12,OFFSET(CRONOPLE!$F$15,$M95-$A$15,AN$13)))</f>
        <v>1000000000000</v>
      </c>
      <c r="AO95" s="172">
        <f ca="1">IF(OR($D95&lt;&gt;"Serviço",AND(AUTOEVENTO="Manual",$M95=$A$15)),0,
         IF(OFFSET(CRONOPLE!$F$15,$M95-$A$15,AO$13)=0,10^12,OFFSET(CRONOPLE!$F$15,$M95-$A$15,AO$13)))</f>
        <v>1000000000000</v>
      </c>
      <c r="AP95" s="172">
        <f ca="1">IF(OR($D95&lt;&gt;"Serviço",AND(AUTOEVENTO="Manual",$M95=$A$15)),0,
         IF(OFFSET(CRONOPLE!$F$15,$M95-$A$15,AP$13)=0,10^12,OFFSET(CRONOPLE!$F$15,$M95-$A$15,AP$13)))</f>
        <v>1000000000000</v>
      </c>
      <c r="AQ95" s="172">
        <f ca="1">IF(OR($D95&lt;&gt;"Serviço",AND(AUTOEVENTO="Manual",$M95=$A$15)),0,
         IF(OFFSET(CRONOPLE!$F$15,$M95-$A$15,AQ$13)=0,10^12,OFFSET(CRONOPLE!$F$15,$M95-$A$15,AQ$13)))</f>
        <v>1000000000000</v>
      </c>
      <c r="AR95" s="172">
        <f ca="1">IF(OR($D95&lt;&gt;"Serviço",AND(AUTOEVENTO="Manual",$M95=$A$15)),0,
         IF(OFFSET(CRONOPLE!$F$15,$M95-$A$15,AR$13)=0,10^12,OFFSET(CRONOPLE!$F$15,$M95-$A$15,AR$13)))</f>
        <v>1000000000000</v>
      </c>
      <c r="AS95" s="172">
        <f ca="1">IF(OR($D95&lt;&gt;"Serviço",AND(AUTOEVENTO="Manual",$M95=$A$15)),0,
         IF(OFFSET(CRONOPLE!$F$15,$M95-$A$15,AS$13)=0,10^12,OFFSET(CRONOPLE!$F$15,$M95-$A$15,AS$13)))</f>
        <v>1000000000000</v>
      </c>
      <c r="AT95" s="172">
        <f ca="1">IF(OR($D95&lt;&gt;"Serviço",AND(AUTOEVENTO="Manual",$M95=$A$15)),0,
         IF(OFFSET(CRONOPLE!$F$15,$M95-$A$15,AT$13)=0,10^12,OFFSET(CRONOPLE!$F$15,$M95-$A$15,AT$13)))</f>
        <v>1000000000000</v>
      </c>
      <c r="AU95" s="172">
        <f ca="1">IF(OR($D95&lt;&gt;"Serviço",AND(AUTOEVENTO="Manual",$M95=$A$15)),0,
         IF(OFFSET(CRONOPLE!$F$15,$M95-$A$15,AU$13)=0,10^12,OFFSET(CRONOPLE!$F$15,$M95-$A$15,AU$13)))</f>
        <v>1000000000000</v>
      </c>
      <c r="AV95" s="172">
        <f ca="1">IF(OR($D95&lt;&gt;"Serviço",AND(AUTOEVENTO="Manual",$M95=$A$15)),0,
         IF(OFFSET(CRONOPLE!$F$15,$M95-$A$15,AV$13)=0,10^12,OFFSET(CRONOPLE!$F$15,$M95-$A$15,AV$13)))</f>
        <v>1000000000000</v>
      </c>
      <c r="AX95" s="173">
        <f ca="1">IF(OR($D95&lt;&gt;"Serviço",AND(AUTOEVENTO="Manual",$M95=$A$15),$M95&gt;(ROW(PLE.lastrow)-ROW(PLE.firstrow))),0,
           IF(OFFSET(PLE!$G$15,$M95-$A$15,AX$13)="",10^12,OFFSET(PLE!$G$15,$M95-$A$15,AX$13)))</f>
        <v>1000000000000</v>
      </c>
      <c r="AY95" s="173">
        <f ca="1">IF(OR($D95&lt;&gt;"Serviço",AND(AUTOEVENTO="Manual",$M95=$A$15),$M95&gt;(ROW(PLE.lastrow)-ROW(PLE.firstrow))),0,
           IF(OFFSET(PLE!$G$15,$M95-$A$15,AY$13)="",10^12,OFFSET(PLE!$G$15,$M95-$A$15,AY$13)))</f>
        <v>1000000000000</v>
      </c>
      <c r="AZ95" s="173">
        <f ca="1">IF(OR($D95&lt;&gt;"Serviço",AND(AUTOEVENTO="Manual",$M95=$A$15),$M95&gt;(ROW(PLE.lastrow)-ROW(PLE.firstrow))),0,
           IF(OFFSET(PLE!$G$15,$M95-$A$15,AZ$13)="",10^12,OFFSET(PLE!$G$15,$M95-$A$15,AZ$13)))</f>
        <v>1000000000000</v>
      </c>
      <c r="BA95" s="173">
        <f ca="1">IF(OR($D95&lt;&gt;"Serviço",AND(AUTOEVENTO="Manual",$M95=$A$15),$M95&gt;(ROW(PLE.lastrow)-ROW(PLE.firstrow))),0,
           IF(OFFSET(PLE!$G$15,$M95-$A$15,BA$13)="",10^12,OFFSET(PLE!$G$15,$M95-$A$15,BA$13)))</f>
        <v>1000000000000</v>
      </c>
      <c r="BB95" s="173">
        <f ca="1">IF(OR($D95&lt;&gt;"Serviço",AND(AUTOEVENTO="Manual",$M95=$A$15),$M95&gt;(ROW(PLE.lastrow)-ROW(PLE.firstrow))),0,
           IF(OFFSET(PLE!$G$15,$M95-$A$15,BB$13)="",10^12,OFFSET(PLE!$G$15,$M95-$A$15,BB$13)))</f>
        <v>1000000000000</v>
      </c>
      <c r="BC95" s="173">
        <f ca="1">IF(OR($D95&lt;&gt;"Serviço",AND(AUTOEVENTO="Manual",$M95=$A$15),$M95&gt;(ROW(PLE.lastrow)-ROW(PLE.firstrow))),0,
           IF(OFFSET(PLE!$G$15,$M95-$A$15,BC$13)="",10^12,OFFSET(PLE!$G$15,$M95-$A$15,BC$13)))</f>
        <v>1000000000000</v>
      </c>
      <c r="BD95" s="173">
        <f ca="1">IF(OR($D95&lt;&gt;"Serviço",AND(AUTOEVENTO="Manual",$M95=$A$15),$M95&gt;(ROW(PLE.lastrow)-ROW(PLE.firstrow))),0,
           IF(OFFSET(PLE!$G$15,$M95-$A$15,BD$13)="",10^12,OFFSET(PLE!$G$15,$M95-$A$15,BD$13)))</f>
        <v>1000000000000</v>
      </c>
      <c r="BE95" s="173">
        <f ca="1">IF(OR($D95&lt;&gt;"Serviço",AND(AUTOEVENTO="Manual",$M95=$A$15),$M95&gt;(ROW(PLE.lastrow)-ROW(PLE.firstrow))),0,
           IF(OFFSET(PLE!$G$15,$M95-$A$15,BE$13)="",10^12,OFFSET(PLE!$G$15,$M95-$A$15,BE$13)))</f>
        <v>1000000000000</v>
      </c>
      <c r="BF95" s="173">
        <f ca="1">IF(OR($D95&lt;&gt;"Serviço",AND(AUTOEVENTO="Manual",$M95=$A$15),$M95&gt;(ROW(PLE.lastrow)-ROW(PLE.firstrow))),0,
           IF(OFFSET(PLE!$G$15,$M95-$A$15,BF$13)="",10^12,OFFSET(PLE!$G$15,$M95-$A$15,BF$13)))</f>
        <v>1000000000000</v>
      </c>
      <c r="BG95" s="173">
        <f ca="1">IF(OR($D95&lt;&gt;"Serviço",AND(AUTOEVENTO="Manual",$M95=$A$15),$M95&gt;(ROW(PLE.lastrow)-ROW(PLE.firstrow))),0,
           IF(OFFSET(PLE!$G$15,$M95-$A$15,BG$13)="",10^12,OFFSET(PLE!$G$15,$M95-$A$15,BG$13)))</f>
        <v>1000000000000</v>
      </c>
    </row>
    <row r="96" spans="1:59" ht="38.25" x14ac:dyDescent="0.2">
      <c r="A96" s="7" t="str">
        <f t="shared" ca="1" si="10"/>
        <v>72</v>
      </c>
      <c r="B96" s="7" t="str">
        <f ca="1">OFFSET(ORÇAMENTO!C$15,ROW(B96)-ROW(B$15),0)</f>
        <v>S</v>
      </c>
      <c r="C96" s="7" t="str">
        <f ca="1">OFFSET(ORÇAMENTO!L$15,ROW(C96)-ROW(C$15),0)</f>
        <v>F</v>
      </c>
      <c r="D96" s="117" t="str">
        <f ca="1">OFFSET(ORÇAMENTO!N$15,ROW(D96)-ROW(D$15),0)</f>
        <v>Serviço</v>
      </c>
      <c r="E96" s="118" t="str">
        <f ca="1">OFFSET(ORÇAMENTO!O$15,ROW(E96)-ROW(E$15),0)</f>
        <v>1.7.9.</v>
      </c>
      <c r="F96" s="164" t="str">
        <f ca="1">OFFSET(ORÇAMENTO!R$15,ROW(F96)-ROW(F$15),0)</f>
        <v>ARMAÇÃO DE PILAR OU VIGA DE ESTRUTURA CONVENCIONAL DE CONCRETO ARMADO UTILIZANDO AÇO CA-50 DE 10,0 MM - MONTAGEM. AF_06/2022</v>
      </c>
      <c r="G96" s="165" t="str">
        <f ca="1">IF($D96&lt;&gt;"Serviço","",OFFSET(ORÇAMENTO!S$15,ROW(G96)-ROW(G$15),0))</f>
        <v>KG</v>
      </c>
      <c r="H96" s="123">
        <f ca="1">IF($D96&lt;&gt;"Serviço",0,IF(ACOMPANHAMENTO="BM",ROUND(OFFSET(ORÇAMENTO!AJ$15,ROW(H96)-ROW(H$15),0),15-13*ORÇAMENTO!$AF$7),SUMPRODUCT(($Q$1:$AA$1=1)*ROUND($Q96:$AA96,15-13*ORÇAMENTO!$AF$7))))</f>
        <v>422.1</v>
      </c>
      <c r="I96" s="469" t="s">
        <v>1073</v>
      </c>
      <c r="J96" s="663" t="str">
        <f ca="1">IF(OR(B96&lt;&gt;"S",CÁLCULO.FrentesPreenchidas=0),"",IF(AND(ACOMPANHAMENTO="PLE",AUTOEVENTO="Manual",OR(H96&gt;0,ORÇAMENTO!AC96="QUANT."),OR(K96="",M96=0,N96="")),"►",IF(AND(ACOMPANHAMENTO="PLE",ORÇAMENTO!AC96="QUANT."),"►►",IF(AND(COUNTIF($P$11:$AA$11,"▼")=0,H96&gt;0,I96=""),"◄",""))))</f>
        <v/>
      </c>
      <c r="K96" s="664"/>
      <c r="L96" s="166" t="s">
        <v>765</v>
      </c>
      <c r="M96" s="167">
        <f ca="1">IF($D96&lt;&gt;"Serviço","",
          IF(AUTOEVENTO="manual",$A96,
                IF(ISERROR(MATCH($A96,$A$15:OFFSET($A96,-1,0),0)),MAX($M$15:OFFSET(M96,-1,0))+1,
                      INDEX($M$15:OFFSET(M96,-1,0),MATCH($A96,$A$15:OFFSET($A96,-1,0),0)))))</f>
        <v>7</v>
      </c>
      <c r="N96" s="168" t="str">
        <f ca="1">IF($D96&lt;&gt;"Serviço","",
         IF(AUTOEVENTO="Manual",
                IF($A96=0,"&lt;-- defina o número do agrupador",
                       OFFSET(EVENTOS!$D$15,$A96-$A$15,0)),
                OFFSET($F$15,$A96,0)))</f>
        <v>MURRO DE ARRIMO</v>
      </c>
      <c r="O96" s="169"/>
      <c r="Q96" s="169">
        <v>422.1</v>
      </c>
      <c r="R96" s="170"/>
      <c r="S96" s="170"/>
      <c r="T96" s="170"/>
      <c r="U96" s="170"/>
      <c r="V96" s="170"/>
      <c r="W96" s="170"/>
      <c r="X96" s="170"/>
      <c r="Y96" s="170"/>
      <c r="Z96" s="171"/>
      <c r="AB96" s="454">
        <f ca="1">IF(AND($D96="Serviço",AB$12&lt;&gt;0,$H96&gt;0,OR(AUTOEVENTO&lt;&gt;"manual",$M96&lt;&gt;$A$15)),
        IF(Import.TipoArredondamento&lt;&gt;"TransfereGOV",
              ROUND(OFFSET($P96,0,AB$13),15-13*ORÇAMENTO!$AF$7)/$H96*OFFSET(ORÇAMENTO!$X$15,ROW(AB96)-ROW(AB$15),0),
              ROUND(ROUND(OFFSET($P96,0,AB$13),15-13*ORÇAMENTO!$AF$7)*OFFSET(ORÇAMENTO!$W$15,ROW(AB96)-ROW(AB$15),0),15-13*ORÇAMENTO!$AF$11)),
         0)</f>
        <v>4862.59</v>
      </c>
      <c r="AC96" s="454">
        <f ca="1">IF(AND($D96="Serviço",AC$12&lt;&gt;0,$H96&gt;0,OR(AUTOEVENTO&lt;&gt;"manual",$M96&lt;&gt;$A$15)),
        IF(Import.TipoArredondamento&lt;&gt;"TransfereGOV",
              ROUND(OFFSET($P96,0,AC$13),15-13*ORÇAMENTO!$AF$7)/$H96*OFFSET(ORÇAMENTO!$X$15,ROW(AC96)-ROW(AC$15),0),
              ROUND(ROUND(OFFSET($P96,0,AC$13),15-13*ORÇAMENTO!$AF$7)*OFFSET(ORÇAMENTO!$W$15,ROW(AC96)-ROW(AC$15),0),15-13*ORÇAMENTO!$AF$11)),
         0)</f>
        <v>0</v>
      </c>
      <c r="AD96" s="454">
        <f ca="1">IF(AND($D96="Serviço",AD$12&lt;&gt;0,$H96&gt;0,OR(AUTOEVENTO&lt;&gt;"manual",$M96&lt;&gt;$A$15)),
        IF(Import.TipoArredondamento&lt;&gt;"TransfereGOV",
              ROUND(OFFSET($P96,0,AD$13),15-13*ORÇAMENTO!$AF$7)/$H96*OFFSET(ORÇAMENTO!$X$15,ROW(AD96)-ROW(AD$15),0),
              ROUND(ROUND(OFFSET($P96,0,AD$13),15-13*ORÇAMENTO!$AF$7)*OFFSET(ORÇAMENTO!$W$15,ROW(AD96)-ROW(AD$15),0),15-13*ORÇAMENTO!$AF$11)),
         0)</f>
        <v>0</v>
      </c>
      <c r="AE96" s="454">
        <f ca="1">IF(AND($D96="Serviço",AE$12&lt;&gt;0,$H96&gt;0,OR(AUTOEVENTO&lt;&gt;"manual",$M96&lt;&gt;$A$15)),
        IF(Import.TipoArredondamento&lt;&gt;"TransfereGOV",
              ROUND(OFFSET($P96,0,AE$13),15-13*ORÇAMENTO!$AF$7)/$H96*OFFSET(ORÇAMENTO!$X$15,ROW(AE96)-ROW(AE$15),0),
              ROUND(ROUND(OFFSET($P96,0,AE$13),15-13*ORÇAMENTO!$AF$7)*OFFSET(ORÇAMENTO!$W$15,ROW(AE96)-ROW(AE$15),0),15-13*ORÇAMENTO!$AF$11)),
         0)</f>
        <v>0</v>
      </c>
      <c r="AF96" s="454">
        <f ca="1">IF(AND($D96="Serviço",AF$12&lt;&gt;0,$H96&gt;0,OR(AUTOEVENTO&lt;&gt;"manual",$M96&lt;&gt;$A$15)),
        IF(Import.TipoArredondamento&lt;&gt;"TransfereGOV",
              ROUND(OFFSET($P96,0,AF$13),15-13*ORÇAMENTO!$AF$7)/$H96*OFFSET(ORÇAMENTO!$X$15,ROW(AF96)-ROW(AF$15),0),
              ROUND(ROUND(OFFSET($P96,0,AF$13),15-13*ORÇAMENTO!$AF$7)*OFFSET(ORÇAMENTO!$W$15,ROW(AF96)-ROW(AF$15),0),15-13*ORÇAMENTO!$AF$11)),
         0)</f>
        <v>0</v>
      </c>
      <c r="AG96" s="454">
        <f ca="1">IF(AND($D96="Serviço",AG$12&lt;&gt;0,$H96&gt;0,OR(AUTOEVENTO&lt;&gt;"manual",$M96&lt;&gt;$A$15)),
        IF(Import.TipoArredondamento&lt;&gt;"TransfereGOV",
              ROUND(OFFSET($P96,0,AG$13),15-13*ORÇAMENTO!$AF$7)/$H96*OFFSET(ORÇAMENTO!$X$15,ROW(AG96)-ROW(AG$15),0),
              ROUND(ROUND(OFFSET($P96,0,AG$13),15-13*ORÇAMENTO!$AF$7)*OFFSET(ORÇAMENTO!$W$15,ROW(AG96)-ROW(AG$15),0),15-13*ORÇAMENTO!$AF$11)),
         0)</f>
        <v>0</v>
      </c>
      <c r="AH96" s="454">
        <f ca="1">IF(AND($D96="Serviço",AH$12&lt;&gt;0,$H96&gt;0,OR(AUTOEVENTO&lt;&gt;"manual",$M96&lt;&gt;$A$15)),
        IF(Import.TipoArredondamento&lt;&gt;"TransfereGOV",
              ROUND(OFFSET($P96,0,AH$13),15-13*ORÇAMENTO!$AF$7)/$H96*OFFSET(ORÇAMENTO!$X$15,ROW(AH96)-ROW(AH$15),0),
              ROUND(ROUND(OFFSET($P96,0,AH$13),15-13*ORÇAMENTO!$AF$7)*OFFSET(ORÇAMENTO!$W$15,ROW(AH96)-ROW(AH$15),0),15-13*ORÇAMENTO!$AF$11)),
         0)</f>
        <v>0</v>
      </c>
      <c r="AI96" s="454">
        <f ca="1">IF(AND($D96="Serviço",AI$12&lt;&gt;0,$H96&gt;0,OR(AUTOEVENTO&lt;&gt;"manual",$M96&lt;&gt;$A$15)),
        IF(Import.TipoArredondamento&lt;&gt;"TransfereGOV",
              ROUND(OFFSET($P96,0,AI$13),15-13*ORÇAMENTO!$AF$7)/$H96*OFFSET(ORÇAMENTO!$X$15,ROW(AI96)-ROW(AI$15),0),
              ROUND(ROUND(OFFSET($P96,0,AI$13),15-13*ORÇAMENTO!$AF$7)*OFFSET(ORÇAMENTO!$W$15,ROW(AI96)-ROW(AI$15),0),15-13*ORÇAMENTO!$AF$11)),
         0)</f>
        <v>0</v>
      </c>
      <c r="AJ96" s="454">
        <f ca="1">IF(AND($D96="Serviço",AJ$12&lt;&gt;0,$H96&gt;0,OR(AUTOEVENTO&lt;&gt;"manual",$M96&lt;&gt;$A$15)),
        IF(Import.TipoArredondamento&lt;&gt;"TransfereGOV",
              ROUND(OFFSET($P96,0,AJ$13),15-13*ORÇAMENTO!$AF$7)/$H96*OFFSET(ORÇAMENTO!$X$15,ROW(AJ96)-ROW(AJ$15),0),
              ROUND(ROUND(OFFSET($P96,0,AJ$13),15-13*ORÇAMENTO!$AF$7)*OFFSET(ORÇAMENTO!$W$15,ROW(AJ96)-ROW(AJ$15),0),15-13*ORÇAMENTO!$AF$11)),
         0)</f>
        <v>0</v>
      </c>
      <c r="AK96" s="454">
        <f ca="1">IF(AND($D96="Serviço",AK$12&lt;&gt;0,$H96&gt;0,OR(AUTOEVENTO&lt;&gt;"manual",$M96&lt;&gt;$A$15)),
        IF(Import.TipoArredondamento&lt;&gt;"TransfereGOV",
              ROUND(OFFSET($P96,0,AK$13),15-13*ORÇAMENTO!$AF$7)/$H96*OFFSET(ORÇAMENTO!$X$15,ROW(AK96)-ROW(AK$15),0),
              ROUND(ROUND(OFFSET($P96,0,AK$13),15-13*ORÇAMENTO!$AF$7)*OFFSET(ORÇAMENTO!$W$15,ROW(AK96)-ROW(AK$15),0),15-13*ORÇAMENTO!$AF$11)),
         0)</f>
        <v>0</v>
      </c>
      <c r="AM96" s="172">
        <f ca="1">IF(OR($D96&lt;&gt;"Serviço",AND(AUTOEVENTO="Manual",$M96=$A$15)),0,
         IF(OFFSET(CRONOPLE!$F$15,$M96-$A$15,AM$13)=0,10^12,OFFSET(CRONOPLE!$F$15,$M96-$A$15,AM$13)))</f>
        <v>1</v>
      </c>
      <c r="AN96" s="172">
        <f ca="1">IF(OR($D96&lt;&gt;"Serviço",AND(AUTOEVENTO="Manual",$M96=$A$15)),0,
         IF(OFFSET(CRONOPLE!$F$15,$M96-$A$15,AN$13)=0,10^12,OFFSET(CRONOPLE!$F$15,$M96-$A$15,AN$13)))</f>
        <v>1000000000000</v>
      </c>
      <c r="AO96" s="172">
        <f ca="1">IF(OR($D96&lt;&gt;"Serviço",AND(AUTOEVENTO="Manual",$M96=$A$15)),0,
         IF(OFFSET(CRONOPLE!$F$15,$M96-$A$15,AO$13)=0,10^12,OFFSET(CRONOPLE!$F$15,$M96-$A$15,AO$13)))</f>
        <v>1000000000000</v>
      </c>
      <c r="AP96" s="172">
        <f ca="1">IF(OR($D96&lt;&gt;"Serviço",AND(AUTOEVENTO="Manual",$M96=$A$15)),0,
         IF(OFFSET(CRONOPLE!$F$15,$M96-$A$15,AP$13)=0,10^12,OFFSET(CRONOPLE!$F$15,$M96-$A$15,AP$13)))</f>
        <v>1000000000000</v>
      </c>
      <c r="AQ96" s="172">
        <f ca="1">IF(OR($D96&lt;&gt;"Serviço",AND(AUTOEVENTO="Manual",$M96=$A$15)),0,
         IF(OFFSET(CRONOPLE!$F$15,$M96-$A$15,AQ$13)=0,10^12,OFFSET(CRONOPLE!$F$15,$M96-$A$15,AQ$13)))</f>
        <v>1000000000000</v>
      </c>
      <c r="AR96" s="172">
        <f ca="1">IF(OR($D96&lt;&gt;"Serviço",AND(AUTOEVENTO="Manual",$M96=$A$15)),0,
         IF(OFFSET(CRONOPLE!$F$15,$M96-$A$15,AR$13)=0,10^12,OFFSET(CRONOPLE!$F$15,$M96-$A$15,AR$13)))</f>
        <v>1000000000000</v>
      </c>
      <c r="AS96" s="172">
        <f ca="1">IF(OR($D96&lt;&gt;"Serviço",AND(AUTOEVENTO="Manual",$M96=$A$15)),0,
         IF(OFFSET(CRONOPLE!$F$15,$M96-$A$15,AS$13)=0,10^12,OFFSET(CRONOPLE!$F$15,$M96-$A$15,AS$13)))</f>
        <v>1000000000000</v>
      </c>
      <c r="AT96" s="172">
        <f ca="1">IF(OR($D96&lt;&gt;"Serviço",AND(AUTOEVENTO="Manual",$M96=$A$15)),0,
         IF(OFFSET(CRONOPLE!$F$15,$M96-$A$15,AT$13)=0,10^12,OFFSET(CRONOPLE!$F$15,$M96-$A$15,AT$13)))</f>
        <v>1000000000000</v>
      </c>
      <c r="AU96" s="172">
        <f ca="1">IF(OR($D96&lt;&gt;"Serviço",AND(AUTOEVENTO="Manual",$M96=$A$15)),0,
         IF(OFFSET(CRONOPLE!$F$15,$M96-$A$15,AU$13)=0,10^12,OFFSET(CRONOPLE!$F$15,$M96-$A$15,AU$13)))</f>
        <v>1000000000000</v>
      </c>
      <c r="AV96" s="172">
        <f ca="1">IF(OR($D96&lt;&gt;"Serviço",AND(AUTOEVENTO="Manual",$M96=$A$15)),0,
         IF(OFFSET(CRONOPLE!$F$15,$M96-$A$15,AV$13)=0,10^12,OFFSET(CRONOPLE!$F$15,$M96-$A$15,AV$13)))</f>
        <v>1000000000000</v>
      </c>
      <c r="AX96" s="173">
        <f ca="1">IF(OR($D96&lt;&gt;"Serviço",AND(AUTOEVENTO="Manual",$M96=$A$15),$M96&gt;(ROW(PLE.lastrow)-ROW(PLE.firstrow))),0,
           IF(OFFSET(PLE!$G$15,$M96-$A$15,AX$13)="",10^12,OFFSET(PLE!$G$15,$M96-$A$15,AX$13)))</f>
        <v>1000000000000</v>
      </c>
      <c r="AY96" s="173">
        <f ca="1">IF(OR($D96&lt;&gt;"Serviço",AND(AUTOEVENTO="Manual",$M96=$A$15),$M96&gt;(ROW(PLE.lastrow)-ROW(PLE.firstrow))),0,
           IF(OFFSET(PLE!$G$15,$M96-$A$15,AY$13)="",10^12,OFFSET(PLE!$G$15,$M96-$A$15,AY$13)))</f>
        <v>1000000000000</v>
      </c>
      <c r="AZ96" s="173">
        <f ca="1">IF(OR($D96&lt;&gt;"Serviço",AND(AUTOEVENTO="Manual",$M96=$A$15),$M96&gt;(ROW(PLE.lastrow)-ROW(PLE.firstrow))),0,
           IF(OFFSET(PLE!$G$15,$M96-$A$15,AZ$13)="",10^12,OFFSET(PLE!$G$15,$M96-$A$15,AZ$13)))</f>
        <v>1000000000000</v>
      </c>
      <c r="BA96" s="173">
        <f ca="1">IF(OR($D96&lt;&gt;"Serviço",AND(AUTOEVENTO="Manual",$M96=$A$15),$M96&gt;(ROW(PLE.lastrow)-ROW(PLE.firstrow))),0,
           IF(OFFSET(PLE!$G$15,$M96-$A$15,BA$13)="",10^12,OFFSET(PLE!$G$15,$M96-$A$15,BA$13)))</f>
        <v>1000000000000</v>
      </c>
      <c r="BB96" s="173">
        <f ca="1">IF(OR($D96&lt;&gt;"Serviço",AND(AUTOEVENTO="Manual",$M96=$A$15),$M96&gt;(ROW(PLE.lastrow)-ROW(PLE.firstrow))),0,
           IF(OFFSET(PLE!$G$15,$M96-$A$15,BB$13)="",10^12,OFFSET(PLE!$G$15,$M96-$A$15,BB$13)))</f>
        <v>1000000000000</v>
      </c>
      <c r="BC96" s="173">
        <f ca="1">IF(OR($D96&lt;&gt;"Serviço",AND(AUTOEVENTO="Manual",$M96=$A$15),$M96&gt;(ROW(PLE.lastrow)-ROW(PLE.firstrow))),0,
           IF(OFFSET(PLE!$G$15,$M96-$A$15,BC$13)="",10^12,OFFSET(PLE!$G$15,$M96-$A$15,BC$13)))</f>
        <v>1000000000000</v>
      </c>
      <c r="BD96" s="173">
        <f ca="1">IF(OR($D96&lt;&gt;"Serviço",AND(AUTOEVENTO="Manual",$M96=$A$15),$M96&gt;(ROW(PLE.lastrow)-ROW(PLE.firstrow))),0,
           IF(OFFSET(PLE!$G$15,$M96-$A$15,BD$13)="",10^12,OFFSET(PLE!$G$15,$M96-$A$15,BD$13)))</f>
        <v>1000000000000</v>
      </c>
      <c r="BE96" s="173">
        <f ca="1">IF(OR($D96&lt;&gt;"Serviço",AND(AUTOEVENTO="Manual",$M96=$A$15),$M96&gt;(ROW(PLE.lastrow)-ROW(PLE.firstrow))),0,
           IF(OFFSET(PLE!$G$15,$M96-$A$15,BE$13)="",10^12,OFFSET(PLE!$G$15,$M96-$A$15,BE$13)))</f>
        <v>1000000000000</v>
      </c>
      <c r="BF96" s="173">
        <f ca="1">IF(OR($D96&lt;&gt;"Serviço",AND(AUTOEVENTO="Manual",$M96=$A$15),$M96&gt;(ROW(PLE.lastrow)-ROW(PLE.firstrow))),0,
           IF(OFFSET(PLE!$G$15,$M96-$A$15,BF$13)="",10^12,OFFSET(PLE!$G$15,$M96-$A$15,BF$13)))</f>
        <v>1000000000000</v>
      </c>
      <c r="BG96" s="173">
        <f ca="1">IF(OR($D96&lt;&gt;"Serviço",AND(AUTOEVENTO="Manual",$M96=$A$15),$M96&gt;(ROW(PLE.lastrow)-ROW(PLE.firstrow))),0,
           IF(OFFSET(PLE!$G$15,$M96-$A$15,BG$13)="",10^12,OFFSET(PLE!$G$15,$M96-$A$15,BG$13)))</f>
        <v>1000000000000</v>
      </c>
    </row>
    <row r="97" spans="1:59" ht="51" x14ac:dyDescent="0.2">
      <c r="A97" s="7" t="str">
        <f t="shared" ca="1" si="10"/>
        <v>72</v>
      </c>
      <c r="B97" s="7" t="str">
        <f ca="1">OFFSET(ORÇAMENTO!C$15,ROW(B97)-ROW(B$15),0)</f>
        <v>S</v>
      </c>
      <c r="C97" s="7" t="str">
        <f ca="1">OFFSET(ORÇAMENTO!L$15,ROW(C97)-ROW(C$15),0)</f>
        <v>F</v>
      </c>
      <c r="D97" s="117" t="str">
        <f ca="1">OFFSET(ORÇAMENTO!N$15,ROW(D97)-ROW(D$15),0)</f>
        <v>Serviço</v>
      </c>
      <c r="E97" s="118" t="str">
        <f ca="1">OFFSET(ORÇAMENTO!O$15,ROW(E97)-ROW(E$15),0)</f>
        <v>1.7.10.</v>
      </c>
      <c r="F97" s="164" t="str">
        <f ca="1">OFFSET(ORÇAMENTO!R$15,ROW(F97)-ROW(F$15),0)</f>
        <v>ARMAÇÃO DE PILAR OU VIGA DE ESTRUTURA CONVENCIONAL DE CONCRETO ARMADO UTILIZANDO AÇO CA-60 DE 5,0 MM - MONTAGEM. AF_06/2022</v>
      </c>
      <c r="G97" s="165" t="str">
        <f ca="1">IF($D97&lt;&gt;"Serviço","",OFFSET(ORÇAMENTO!S$15,ROW(G97)-ROW(G$15),0))</f>
        <v>KG</v>
      </c>
      <c r="H97" s="123">
        <f ca="1">IF($D97&lt;&gt;"Serviço",0,IF(ACOMPANHAMENTO="BM",ROUND(OFFSET(ORÇAMENTO!AJ$15,ROW(H97)-ROW(H$15),0),15-13*ORÇAMENTO!$AF$7),SUMPRODUCT(($Q$1:$AA$1=1)*ROUND($Q97:$AA97,15-13*ORÇAMENTO!$AF$7))))</f>
        <v>175.5</v>
      </c>
      <c r="I97" s="469" t="s">
        <v>1074</v>
      </c>
      <c r="J97" s="663" t="str">
        <f ca="1">IF(OR(B97&lt;&gt;"S",CÁLCULO.FrentesPreenchidas=0),"",IF(AND(ACOMPANHAMENTO="PLE",AUTOEVENTO="Manual",OR(H97&gt;0,ORÇAMENTO!AC97="QUANT."),OR(K97="",M97=0,N97="")),"►",IF(AND(ACOMPANHAMENTO="PLE",ORÇAMENTO!AC97="QUANT."),"►►",IF(AND(COUNTIF($P$11:$AA$11,"▼")=0,H97&gt;0,I97=""),"◄",""))))</f>
        <v/>
      </c>
      <c r="K97" s="664"/>
      <c r="L97" s="166" t="s">
        <v>765</v>
      </c>
      <c r="M97" s="167">
        <f ca="1">IF($D97&lt;&gt;"Serviço","",
          IF(AUTOEVENTO="manual",$A97,
                IF(ISERROR(MATCH($A97,$A$15:OFFSET($A97,-1,0),0)),MAX($M$15:OFFSET(M97,-1,0))+1,
                      INDEX($M$15:OFFSET(M97,-1,0),MATCH($A97,$A$15:OFFSET($A97,-1,0),0)))))</f>
        <v>7</v>
      </c>
      <c r="N97" s="168" t="str">
        <f ca="1">IF($D97&lt;&gt;"Serviço","",
         IF(AUTOEVENTO="Manual",
                IF($A97=0,"&lt;-- defina o número do agrupador",
                       OFFSET(EVENTOS!$D$15,$A97-$A$15,0)),
                OFFSET($F$15,$A97,0)))</f>
        <v>MURRO DE ARRIMO</v>
      </c>
      <c r="O97" s="169"/>
      <c r="Q97" s="169">
        <v>175.5</v>
      </c>
      <c r="R97" s="170"/>
      <c r="S97" s="170"/>
      <c r="T97" s="170"/>
      <c r="U97" s="170"/>
      <c r="V97" s="170"/>
      <c r="W97" s="170"/>
      <c r="X97" s="170"/>
      <c r="Y97" s="170"/>
      <c r="Z97" s="171"/>
      <c r="AB97" s="454">
        <f ca="1">IF(AND($D97="Serviço",AB$12&lt;&gt;0,$H97&gt;0,OR(AUTOEVENTO&lt;&gt;"manual",$M97&lt;&gt;$A$15)),
        IF(Import.TipoArredondamento&lt;&gt;"TransfereGOV",
              ROUND(OFFSET($P97,0,AB$13),15-13*ORÇAMENTO!$AF$7)/$H97*OFFSET(ORÇAMENTO!$X$15,ROW(AB97)-ROW(AB$15),0),
              ROUND(ROUND(OFFSET($P97,0,AB$13),15-13*ORÇAMENTO!$AF$7)*OFFSET(ORÇAMENTO!$W$15,ROW(AB97)-ROW(AB$15),0),15-13*ORÇAMENTO!$AF$11)),
         0)</f>
        <v>2679.89</v>
      </c>
      <c r="AC97" s="454">
        <f ca="1">IF(AND($D97="Serviço",AC$12&lt;&gt;0,$H97&gt;0,OR(AUTOEVENTO&lt;&gt;"manual",$M97&lt;&gt;$A$15)),
        IF(Import.TipoArredondamento&lt;&gt;"TransfereGOV",
              ROUND(OFFSET($P97,0,AC$13),15-13*ORÇAMENTO!$AF$7)/$H97*OFFSET(ORÇAMENTO!$X$15,ROW(AC97)-ROW(AC$15),0),
              ROUND(ROUND(OFFSET($P97,0,AC$13),15-13*ORÇAMENTO!$AF$7)*OFFSET(ORÇAMENTO!$W$15,ROW(AC97)-ROW(AC$15),0),15-13*ORÇAMENTO!$AF$11)),
         0)</f>
        <v>0</v>
      </c>
      <c r="AD97" s="454">
        <f ca="1">IF(AND($D97="Serviço",AD$12&lt;&gt;0,$H97&gt;0,OR(AUTOEVENTO&lt;&gt;"manual",$M97&lt;&gt;$A$15)),
        IF(Import.TipoArredondamento&lt;&gt;"TransfereGOV",
              ROUND(OFFSET($P97,0,AD$13),15-13*ORÇAMENTO!$AF$7)/$H97*OFFSET(ORÇAMENTO!$X$15,ROW(AD97)-ROW(AD$15),0),
              ROUND(ROUND(OFFSET($P97,0,AD$13),15-13*ORÇAMENTO!$AF$7)*OFFSET(ORÇAMENTO!$W$15,ROW(AD97)-ROW(AD$15),0),15-13*ORÇAMENTO!$AF$11)),
         0)</f>
        <v>0</v>
      </c>
      <c r="AE97" s="454">
        <f ca="1">IF(AND($D97="Serviço",AE$12&lt;&gt;0,$H97&gt;0,OR(AUTOEVENTO&lt;&gt;"manual",$M97&lt;&gt;$A$15)),
        IF(Import.TipoArredondamento&lt;&gt;"TransfereGOV",
              ROUND(OFFSET($P97,0,AE$13),15-13*ORÇAMENTO!$AF$7)/$H97*OFFSET(ORÇAMENTO!$X$15,ROW(AE97)-ROW(AE$15),0),
              ROUND(ROUND(OFFSET($P97,0,AE$13),15-13*ORÇAMENTO!$AF$7)*OFFSET(ORÇAMENTO!$W$15,ROW(AE97)-ROW(AE$15),0),15-13*ORÇAMENTO!$AF$11)),
         0)</f>
        <v>0</v>
      </c>
      <c r="AF97" s="454">
        <f ca="1">IF(AND($D97="Serviço",AF$12&lt;&gt;0,$H97&gt;0,OR(AUTOEVENTO&lt;&gt;"manual",$M97&lt;&gt;$A$15)),
        IF(Import.TipoArredondamento&lt;&gt;"TransfereGOV",
              ROUND(OFFSET($P97,0,AF$13),15-13*ORÇAMENTO!$AF$7)/$H97*OFFSET(ORÇAMENTO!$X$15,ROW(AF97)-ROW(AF$15),0),
              ROUND(ROUND(OFFSET($P97,0,AF$13),15-13*ORÇAMENTO!$AF$7)*OFFSET(ORÇAMENTO!$W$15,ROW(AF97)-ROW(AF$15),0),15-13*ORÇAMENTO!$AF$11)),
         0)</f>
        <v>0</v>
      </c>
      <c r="AG97" s="454">
        <f ca="1">IF(AND($D97="Serviço",AG$12&lt;&gt;0,$H97&gt;0,OR(AUTOEVENTO&lt;&gt;"manual",$M97&lt;&gt;$A$15)),
        IF(Import.TipoArredondamento&lt;&gt;"TransfereGOV",
              ROUND(OFFSET($P97,0,AG$13),15-13*ORÇAMENTO!$AF$7)/$H97*OFFSET(ORÇAMENTO!$X$15,ROW(AG97)-ROW(AG$15),0),
              ROUND(ROUND(OFFSET($P97,0,AG$13),15-13*ORÇAMENTO!$AF$7)*OFFSET(ORÇAMENTO!$W$15,ROW(AG97)-ROW(AG$15),0),15-13*ORÇAMENTO!$AF$11)),
         0)</f>
        <v>0</v>
      </c>
      <c r="AH97" s="454">
        <f ca="1">IF(AND($D97="Serviço",AH$12&lt;&gt;0,$H97&gt;0,OR(AUTOEVENTO&lt;&gt;"manual",$M97&lt;&gt;$A$15)),
        IF(Import.TipoArredondamento&lt;&gt;"TransfereGOV",
              ROUND(OFFSET($P97,0,AH$13),15-13*ORÇAMENTO!$AF$7)/$H97*OFFSET(ORÇAMENTO!$X$15,ROW(AH97)-ROW(AH$15),0),
              ROUND(ROUND(OFFSET($P97,0,AH$13),15-13*ORÇAMENTO!$AF$7)*OFFSET(ORÇAMENTO!$W$15,ROW(AH97)-ROW(AH$15),0),15-13*ORÇAMENTO!$AF$11)),
         0)</f>
        <v>0</v>
      </c>
      <c r="AI97" s="454">
        <f ca="1">IF(AND($D97="Serviço",AI$12&lt;&gt;0,$H97&gt;0,OR(AUTOEVENTO&lt;&gt;"manual",$M97&lt;&gt;$A$15)),
        IF(Import.TipoArredondamento&lt;&gt;"TransfereGOV",
              ROUND(OFFSET($P97,0,AI$13),15-13*ORÇAMENTO!$AF$7)/$H97*OFFSET(ORÇAMENTO!$X$15,ROW(AI97)-ROW(AI$15),0),
              ROUND(ROUND(OFFSET($P97,0,AI$13),15-13*ORÇAMENTO!$AF$7)*OFFSET(ORÇAMENTO!$W$15,ROW(AI97)-ROW(AI$15),0),15-13*ORÇAMENTO!$AF$11)),
         0)</f>
        <v>0</v>
      </c>
      <c r="AJ97" s="454">
        <f ca="1">IF(AND($D97="Serviço",AJ$12&lt;&gt;0,$H97&gt;0,OR(AUTOEVENTO&lt;&gt;"manual",$M97&lt;&gt;$A$15)),
        IF(Import.TipoArredondamento&lt;&gt;"TransfereGOV",
              ROUND(OFFSET($P97,0,AJ$13),15-13*ORÇAMENTO!$AF$7)/$H97*OFFSET(ORÇAMENTO!$X$15,ROW(AJ97)-ROW(AJ$15),0),
              ROUND(ROUND(OFFSET($P97,0,AJ$13),15-13*ORÇAMENTO!$AF$7)*OFFSET(ORÇAMENTO!$W$15,ROW(AJ97)-ROW(AJ$15),0),15-13*ORÇAMENTO!$AF$11)),
         0)</f>
        <v>0</v>
      </c>
      <c r="AK97" s="454">
        <f ca="1">IF(AND($D97="Serviço",AK$12&lt;&gt;0,$H97&gt;0,OR(AUTOEVENTO&lt;&gt;"manual",$M97&lt;&gt;$A$15)),
        IF(Import.TipoArredondamento&lt;&gt;"TransfereGOV",
              ROUND(OFFSET($P97,0,AK$13),15-13*ORÇAMENTO!$AF$7)/$H97*OFFSET(ORÇAMENTO!$X$15,ROW(AK97)-ROW(AK$15),0),
              ROUND(ROUND(OFFSET($P97,0,AK$13),15-13*ORÇAMENTO!$AF$7)*OFFSET(ORÇAMENTO!$W$15,ROW(AK97)-ROW(AK$15),0),15-13*ORÇAMENTO!$AF$11)),
         0)</f>
        <v>0</v>
      </c>
      <c r="AM97" s="172">
        <f ca="1">IF(OR($D97&lt;&gt;"Serviço",AND(AUTOEVENTO="Manual",$M97=$A$15)),0,
         IF(OFFSET(CRONOPLE!$F$15,$M97-$A$15,AM$13)=0,10^12,OFFSET(CRONOPLE!$F$15,$M97-$A$15,AM$13)))</f>
        <v>1</v>
      </c>
      <c r="AN97" s="172">
        <f ca="1">IF(OR($D97&lt;&gt;"Serviço",AND(AUTOEVENTO="Manual",$M97=$A$15)),0,
         IF(OFFSET(CRONOPLE!$F$15,$M97-$A$15,AN$13)=0,10^12,OFFSET(CRONOPLE!$F$15,$M97-$A$15,AN$13)))</f>
        <v>1000000000000</v>
      </c>
      <c r="AO97" s="172">
        <f ca="1">IF(OR($D97&lt;&gt;"Serviço",AND(AUTOEVENTO="Manual",$M97=$A$15)),0,
         IF(OFFSET(CRONOPLE!$F$15,$M97-$A$15,AO$13)=0,10^12,OFFSET(CRONOPLE!$F$15,$M97-$A$15,AO$13)))</f>
        <v>1000000000000</v>
      </c>
      <c r="AP97" s="172">
        <f ca="1">IF(OR($D97&lt;&gt;"Serviço",AND(AUTOEVENTO="Manual",$M97=$A$15)),0,
         IF(OFFSET(CRONOPLE!$F$15,$M97-$A$15,AP$13)=0,10^12,OFFSET(CRONOPLE!$F$15,$M97-$A$15,AP$13)))</f>
        <v>1000000000000</v>
      </c>
      <c r="AQ97" s="172">
        <f ca="1">IF(OR($D97&lt;&gt;"Serviço",AND(AUTOEVENTO="Manual",$M97=$A$15)),0,
         IF(OFFSET(CRONOPLE!$F$15,$M97-$A$15,AQ$13)=0,10^12,OFFSET(CRONOPLE!$F$15,$M97-$A$15,AQ$13)))</f>
        <v>1000000000000</v>
      </c>
      <c r="AR97" s="172">
        <f ca="1">IF(OR($D97&lt;&gt;"Serviço",AND(AUTOEVENTO="Manual",$M97=$A$15)),0,
         IF(OFFSET(CRONOPLE!$F$15,$M97-$A$15,AR$13)=0,10^12,OFFSET(CRONOPLE!$F$15,$M97-$A$15,AR$13)))</f>
        <v>1000000000000</v>
      </c>
      <c r="AS97" s="172">
        <f ca="1">IF(OR($D97&lt;&gt;"Serviço",AND(AUTOEVENTO="Manual",$M97=$A$15)),0,
         IF(OFFSET(CRONOPLE!$F$15,$M97-$A$15,AS$13)=0,10^12,OFFSET(CRONOPLE!$F$15,$M97-$A$15,AS$13)))</f>
        <v>1000000000000</v>
      </c>
      <c r="AT97" s="172">
        <f ca="1">IF(OR($D97&lt;&gt;"Serviço",AND(AUTOEVENTO="Manual",$M97=$A$15)),0,
         IF(OFFSET(CRONOPLE!$F$15,$M97-$A$15,AT$13)=0,10^12,OFFSET(CRONOPLE!$F$15,$M97-$A$15,AT$13)))</f>
        <v>1000000000000</v>
      </c>
      <c r="AU97" s="172">
        <f ca="1">IF(OR($D97&lt;&gt;"Serviço",AND(AUTOEVENTO="Manual",$M97=$A$15)),0,
         IF(OFFSET(CRONOPLE!$F$15,$M97-$A$15,AU$13)=0,10^12,OFFSET(CRONOPLE!$F$15,$M97-$A$15,AU$13)))</f>
        <v>1000000000000</v>
      </c>
      <c r="AV97" s="172">
        <f ca="1">IF(OR($D97&lt;&gt;"Serviço",AND(AUTOEVENTO="Manual",$M97=$A$15)),0,
         IF(OFFSET(CRONOPLE!$F$15,$M97-$A$15,AV$13)=0,10^12,OFFSET(CRONOPLE!$F$15,$M97-$A$15,AV$13)))</f>
        <v>1000000000000</v>
      </c>
      <c r="AX97" s="173">
        <f ca="1">IF(OR($D97&lt;&gt;"Serviço",AND(AUTOEVENTO="Manual",$M97=$A$15),$M97&gt;(ROW(PLE.lastrow)-ROW(PLE.firstrow))),0,
           IF(OFFSET(PLE!$G$15,$M97-$A$15,AX$13)="",10^12,OFFSET(PLE!$G$15,$M97-$A$15,AX$13)))</f>
        <v>1000000000000</v>
      </c>
      <c r="AY97" s="173">
        <f ca="1">IF(OR($D97&lt;&gt;"Serviço",AND(AUTOEVENTO="Manual",$M97=$A$15),$M97&gt;(ROW(PLE.lastrow)-ROW(PLE.firstrow))),0,
           IF(OFFSET(PLE!$G$15,$M97-$A$15,AY$13)="",10^12,OFFSET(PLE!$G$15,$M97-$A$15,AY$13)))</f>
        <v>1000000000000</v>
      </c>
      <c r="AZ97" s="173">
        <f ca="1">IF(OR($D97&lt;&gt;"Serviço",AND(AUTOEVENTO="Manual",$M97=$A$15),$M97&gt;(ROW(PLE.lastrow)-ROW(PLE.firstrow))),0,
           IF(OFFSET(PLE!$G$15,$M97-$A$15,AZ$13)="",10^12,OFFSET(PLE!$G$15,$M97-$A$15,AZ$13)))</f>
        <v>1000000000000</v>
      </c>
      <c r="BA97" s="173">
        <f ca="1">IF(OR($D97&lt;&gt;"Serviço",AND(AUTOEVENTO="Manual",$M97=$A$15),$M97&gt;(ROW(PLE.lastrow)-ROW(PLE.firstrow))),0,
           IF(OFFSET(PLE!$G$15,$M97-$A$15,BA$13)="",10^12,OFFSET(PLE!$G$15,$M97-$A$15,BA$13)))</f>
        <v>1000000000000</v>
      </c>
      <c r="BB97" s="173">
        <f ca="1">IF(OR($D97&lt;&gt;"Serviço",AND(AUTOEVENTO="Manual",$M97=$A$15),$M97&gt;(ROW(PLE.lastrow)-ROW(PLE.firstrow))),0,
           IF(OFFSET(PLE!$G$15,$M97-$A$15,BB$13)="",10^12,OFFSET(PLE!$G$15,$M97-$A$15,BB$13)))</f>
        <v>1000000000000</v>
      </c>
      <c r="BC97" s="173">
        <f ca="1">IF(OR($D97&lt;&gt;"Serviço",AND(AUTOEVENTO="Manual",$M97=$A$15),$M97&gt;(ROW(PLE.lastrow)-ROW(PLE.firstrow))),0,
           IF(OFFSET(PLE!$G$15,$M97-$A$15,BC$13)="",10^12,OFFSET(PLE!$G$15,$M97-$A$15,BC$13)))</f>
        <v>1000000000000</v>
      </c>
      <c r="BD97" s="173">
        <f ca="1">IF(OR($D97&lt;&gt;"Serviço",AND(AUTOEVENTO="Manual",$M97=$A$15),$M97&gt;(ROW(PLE.lastrow)-ROW(PLE.firstrow))),0,
           IF(OFFSET(PLE!$G$15,$M97-$A$15,BD$13)="",10^12,OFFSET(PLE!$G$15,$M97-$A$15,BD$13)))</f>
        <v>1000000000000</v>
      </c>
      <c r="BE97" s="173">
        <f ca="1">IF(OR($D97&lt;&gt;"Serviço",AND(AUTOEVENTO="Manual",$M97=$A$15),$M97&gt;(ROW(PLE.lastrow)-ROW(PLE.firstrow))),0,
           IF(OFFSET(PLE!$G$15,$M97-$A$15,BE$13)="",10^12,OFFSET(PLE!$G$15,$M97-$A$15,BE$13)))</f>
        <v>1000000000000</v>
      </c>
      <c r="BF97" s="173">
        <f ca="1">IF(OR($D97&lt;&gt;"Serviço",AND(AUTOEVENTO="Manual",$M97=$A$15),$M97&gt;(ROW(PLE.lastrow)-ROW(PLE.firstrow))),0,
           IF(OFFSET(PLE!$G$15,$M97-$A$15,BF$13)="",10^12,OFFSET(PLE!$G$15,$M97-$A$15,BF$13)))</f>
        <v>1000000000000</v>
      </c>
      <c r="BG97" s="173">
        <f ca="1">IF(OR($D97&lt;&gt;"Serviço",AND(AUTOEVENTO="Manual",$M97=$A$15),$M97&gt;(ROW(PLE.lastrow)-ROW(PLE.firstrow))),0,
           IF(OFFSET(PLE!$G$15,$M97-$A$15,BG$13)="",10^12,OFFSET(PLE!$G$15,$M97-$A$15,BG$13)))</f>
        <v>1000000000000</v>
      </c>
    </row>
    <row r="98" spans="1:59" ht="38.25" x14ac:dyDescent="0.2">
      <c r="A98" s="7" t="str">
        <f t="shared" ca="1" si="10"/>
        <v>72</v>
      </c>
      <c r="B98" s="7" t="str">
        <f ca="1">OFFSET(ORÇAMENTO!C$15,ROW(B98)-ROW(B$15),0)</f>
        <v>S</v>
      </c>
      <c r="C98" s="7" t="str">
        <f ca="1">OFFSET(ORÇAMENTO!L$15,ROW(C98)-ROW(C$15),0)</f>
        <v>F</v>
      </c>
      <c r="D98" s="117" t="str">
        <f ca="1">OFFSET(ORÇAMENTO!N$15,ROW(D98)-ROW(D$15),0)</f>
        <v>Serviço</v>
      </c>
      <c r="E98" s="118" t="str">
        <f ca="1">OFFSET(ORÇAMENTO!O$15,ROW(E98)-ROW(E$15),0)</f>
        <v>1.7.11.</v>
      </c>
      <c r="F98" s="164" t="str">
        <f ca="1">OFFSET(ORÇAMENTO!R$15,ROW(F98)-ROW(F$15),0)</f>
        <v>ARMAÇÃO DE SAPATA ISOLADA, VIGA BALDRAME E SAPATA CORRIDA UTILIZANDO AÇO CA-50 DE 8 MM - MONTAGEM. AF_01/2024</v>
      </c>
      <c r="G98" s="165" t="str">
        <f ca="1">IF($D98&lt;&gt;"Serviço","",OFFSET(ORÇAMENTO!S$15,ROW(G98)-ROW(G$15),0))</f>
        <v>KG</v>
      </c>
      <c r="H98" s="123">
        <f ca="1">IF($D98&lt;&gt;"Serviço",0,IF(ACOMPANHAMENTO="BM",ROUND(OFFSET(ORÇAMENTO!AJ$15,ROW(H98)-ROW(H$15),0),15-13*ORÇAMENTO!$AF$7),SUMPRODUCT(($Q$1:$AA$1=1)*ROUND($Q98:$AA98,15-13*ORÇAMENTO!$AF$7))))</f>
        <v>138.65</v>
      </c>
      <c r="I98" s="469" t="s">
        <v>1075</v>
      </c>
      <c r="J98" s="663" t="str">
        <f ca="1">IF(OR(B98&lt;&gt;"S",CÁLCULO.FrentesPreenchidas=0),"",IF(AND(ACOMPANHAMENTO="PLE",AUTOEVENTO="Manual",OR(H98&gt;0,ORÇAMENTO!AC98="QUANT."),OR(K98="",M98=0,N98="")),"►",IF(AND(ACOMPANHAMENTO="PLE",ORÇAMENTO!AC98="QUANT."),"►►",IF(AND(COUNTIF($P$11:$AA$11,"▼")=0,H98&gt;0,I98=""),"◄",""))))</f>
        <v/>
      </c>
      <c r="K98" s="664"/>
      <c r="L98" s="166" t="s">
        <v>765</v>
      </c>
      <c r="M98" s="167">
        <f ca="1">IF($D98&lt;&gt;"Serviço","",
          IF(AUTOEVENTO="manual",$A98,
                IF(ISERROR(MATCH($A98,$A$15:OFFSET($A98,-1,0),0)),MAX($M$15:OFFSET(M98,-1,0))+1,
                      INDEX($M$15:OFFSET(M98,-1,0),MATCH($A98,$A$15:OFFSET($A98,-1,0),0)))))</f>
        <v>7</v>
      </c>
      <c r="N98" s="168" t="str">
        <f ca="1">IF($D98&lt;&gt;"Serviço","",
         IF(AUTOEVENTO="Manual",
                IF($A98=0,"&lt;-- defina o número do agrupador",
                       OFFSET(EVENTOS!$D$15,$A98-$A$15,0)),
                OFFSET($F$15,$A98,0)))</f>
        <v>MURRO DE ARRIMO</v>
      </c>
      <c r="O98" s="169"/>
      <c r="Q98" s="169">
        <v>138.65</v>
      </c>
      <c r="R98" s="170"/>
      <c r="S98" s="170"/>
      <c r="T98" s="170"/>
      <c r="U98" s="170"/>
      <c r="V98" s="170"/>
      <c r="W98" s="170"/>
      <c r="X98" s="170"/>
      <c r="Y98" s="170"/>
      <c r="Z98" s="171"/>
      <c r="AB98" s="454">
        <f ca="1">IF(AND($D98="Serviço",AB$12&lt;&gt;0,$H98&gt;0,OR(AUTOEVENTO&lt;&gt;"manual",$M98&lt;&gt;$A$15)),
        IF(Import.TipoArredondamento&lt;&gt;"TransfereGOV",
              ROUND(OFFSET($P98,0,AB$13),15-13*ORÇAMENTO!$AF$7)/$H98*OFFSET(ORÇAMENTO!$X$15,ROW(AB98)-ROW(AB$15),0),
              ROUND(ROUND(OFFSET($P98,0,AB$13),15-13*ORÇAMENTO!$AF$7)*OFFSET(ORÇAMENTO!$W$15,ROW(AB98)-ROW(AB$15),0),15-13*ORÇAMENTO!$AF$11)),
         0)</f>
        <v>2135.21</v>
      </c>
      <c r="AC98" s="454">
        <f ca="1">IF(AND($D98="Serviço",AC$12&lt;&gt;0,$H98&gt;0,OR(AUTOEVENTO&lt;&gt;"manual",$M98&lt;&gt;$A$15)),
        IF(Import.TipoArredondamento&lt;&gt;"TransfereGOV",
              ROUND(OFFSET($P98,0,AC$13),15-13*ORÇAMENTO!$AF$7)/$H98*OFFSET(ORÇAMENTO!$X$15,ROW(AC98)-ROW(AC$15),0),
              ROUND(ROUND(OFFSET($P98,0,AC$13),15-13*ORÇAMENTO!$AF$7)*OFFSET(ORÇAMENTO!$W$15,ROW(AC98)-ROW(AC$15),0),15-13*ORÇAMENTO!$AF$11)),
         0)</f>
        <v>0</v>
      </c>
      <c r="AD98" s="454">
        <f ca="1">IF(AND($D98="Serviço",AD$12&lt;&gt;0,$H98&gt;0,OR(AUTOEVENTO&lt;&gt;"manual",$M98&lt;&gt;$A$15)),
        IF(Import.TipoArredondamento&lt;&gt;"TransfereGOV",
              ROUND(OFFSET($P98,0,AD$13),15-13*ORÇAMENTO!$AF$7)/$H98*OFFSET(ORÇAMENTO!$X$15,ROW(AD98)-ROW(AD$15),0),
              ROUND(ROUND(OFFSET($P98,0,AD$13),15-13*ORÇAMENTO!$AF$7)*OFFSET(ORÇAMENTO!$W$15,ROW(AD98)-ROW(AD$15),0),15-13*ORÇAMENTO!$AF$11)),
         0)</f>
        <v>0</v>
      </c>
      <c r="AE98" s="454">
        <f ca="1">IF(AND($D98="Serviço",AE$12&lt;&gt;0,$H98&gt;0,OR(AUTOEVENTO&lt;&gt;"manual",$M98&lt;&gt;$A$15)),
        IF(Import.TipoArredondamento&lt;&gt;"TransfereGOV",
              ROUND(OFFSET($P98,0,AE$13),15-13*ORÇAMENTO!$AF$7)/$H98*OFFSET(ORÇAMENTO!$X$15,ROW(AE98)-ROW(AE$15),0),
              ROUND(ROUND(OFFSET($P98,0,AE$13),15-13*ORÇAMENTO!$AF$7)*OFFSET(ORÇAMENTO!$W$15,ROW(AE98)-ROW(AE$15),0),15-13*ORÇAMENTO!$AF$11)),
         0)</f>
        <v>0</v>
      </c>
      <c r="AF98" s="454">
        <f ca="1">IF(AND($D98="Serviço",AF$12&lt;&gt;0,$H98&gt;0,OR(AUTOEVENTO&lt;&gt;"manual",$M98&lt;&gt;$A$15)),
        IF(Import.TipoArredondamento&lt;&gt;"TransfereGOV",
              ROUND(OFFSET($P98,0,AF$13),15-13*ORÇAMENTO!$AF$7)/$H98*OFFSET(ORÇAMENTO!$X$15,ROW(AF98)-ROW(AF$15),0),
              ROUND(ROUND(OFFSET($P98,0,AF$13),15-13*ORÇAMENTO!$AF$7)*OFFSET(ORÇAMENTO!$W$15,ROW(AF98)-ROW(AF$15),0),15-13*ORÇAMENTO!$AF$11)),
         0)</f>
        <v>0</v>
      </c>
      <c r="AG98" s="454">
        <f ca="1">IF(AND($D98="Serviço",AG$12&lt;&gt;0,$H98&gt;0,OR(AUTOEVENTO&lt;&gt;"manual",$M98&lt;&gt;$A$15)),
        IF(Import.TipoArredondamento&lt;&gt;"TransfereGOV",
              ROUND(OFFSET($P98,0,AG$13),15-13*ORÇAMENTO!$AF$7)/$H98*OFFSET(ORÇAMENTO!$X$15,ROW(AG98)-ROW(AG$15),0),
              ROUND(ROUND(OFFSET($P98,0,AG$13),15-13*ORÇAMENTO!$AF$7)*OFFSET(ORÇAMENTO!$W$15,ROW(AG98)-ROW(AG$15),0),15-13*ORÇAMENTO!$AF$11)),
         0)</f>
        <v>0</v>
      </c>
      <c r="AH98" s="454">
        <f ca="1">IF(AND($D98="Serviço",AH$12&lt;&gt;0,$H98&gt;0,OR(AUTOEVENTO&lt;&gt;"manual",$M98&lt;&gt;$A$15)),
        IF(Import.TipoArredondamento&lt;&gt;"TransfereGOV",
              ROUND(OFFSET($P98,0,AH$13),15-13*ORÇAMENTO!$AF$7)/$H98*OFFSET(ORÇAMENTO!$X$15,ROW(AH98)-ROW(AH$15),0),
              ROUND(ROUND(OFFSET($P98,0,AH$13),15-13*ORÇAMENTO!$AF$7)*OFFSET(ORÇAMENTO!$W$15,ROW(AH98)-ROW(AH$15),0),15-13*ORÇAMENTO!$AF$11)),
         0)</f>
        <v>0</v>
      </c>
      <c r="AI98" s="454">
        <f ca="1">IF(AND($D98="Serviço",AI$12&lt;&gt;0,$H98&gt;0,OR(AUTOEVENTO&lt;&gt;"manual",$M98&lt;&gt;$A$15)),
        IF(Import.TipoArredondamento&lt;&gt;"TransfereGOV",
              ROUND(OFFSET($P98,0,AI$13),15-13*ORÇAMENTO!$AF$7)/$H98*OFFSET(ORÇAMENTO!$X$15,ROW(AI98)-ROW(AI$15),0),
              ROUND(ROUND(OFFSET($P98,0,AI$13),15-13*ORÇAMENTO!$AF$7)*OFFSET(ORÇAMENTO!$W$15,ROW(AI98)-ROW(AI$15),0),15-13*ORÇAMENTO!$AF$11)),
         0)</f>
        <v>0</v>
      </c>
      <c r="AJ98" s="454">
        <f ca="1">IF(AND($D98="Serviço",AJ$12&lt;&gt;0,$H98&gt;0,OR(AUTOEVENTO&lt;&gt;"manual",$M98&lt;&gt;$A$15)),
        IF(Import.TipoArredondamento&lt;&gt;"TransfereGOV",
              ROUND(OFFSET($P98,0,AJ$13),15-13*ORÇAMENTO!$AF$7)/$H98*OFFSET(ORÇAMENTO!$X$15,ROW(AJ98)-ROW(AJ$15),0),
              ROUND(ROUND(OFFSET($P98,0,AJ$13),15-13*ORÇAMENTO!$AF$7)*OFFSET(ORÇAMENTO!$W$15,ROW(AJ98)-ROW(AJ$15),0),15-13*ORÇAMENTO!$AF$11)),
         0)</f>
        <v>0</v>
      </c>
      <c r="AK98" s="454">
        <f ca="1">IF(AND($D98="Serviço",AK$12&lt;&gt;0,$H98&gt;0,OR(AUTOEVENTO&lt;&gt;"manual",$M98&lt;&gt;$A$15)),
        IF(Import.TipoArredondamento&lt;&gt;"TransfereGOV",
              ROUND(OFFSET($P98,0,AK$13),15-13*ORÇAMENTO!$AF$7)/$H98*OFFSET(ORÇAMENTO!$X$15,ROW(AK98)-ROW(AK$15),0),
              ROUND(ROUND(OFFSET($P98,0,AK$13),15-13*ORÇAMENTO!$AF$7)*OFFSET(ORÇAMENTO!$W$15,ROW(AK98)-ROW(AK$15),0),15-13*ORÇAMENTO!$AF$11)),
         0)</f>
        <v>0</v>
      </c>
      <c r="AM98" s="172">
        <f ca="1">IF(OR($D98&lt;&gt;"Serviço",AND(AUTOEVENTO="Manual",$M98=$A$15)),0,
         IF(OFFSET(CRONOPLE!$F$15,$M98-$A$15,AM$13)=0,10^12,OFFSET(CRONOPLE!$F$15,$M98-$A$15,AM$13)))</f>
        <v>1</v>
      </c>
      <c r="AN98" s="172">
        <f ca="1">IF(OR($D98&lt;&gt;"Serviço",AND(AUTOEVENTO="Manual",$M98=$A$15)),0,
         IF(OFFSET(CRONOPLE!$F$15,$M98-$A$15,AN$13)=0,10^12,OFFSET(CRONOPLE!$F$15,$M98-$A$15,AN$13)))</f>
        <v>1000000000000</v>
      </c>
      <c r="AO98" s="172">
        <f ca="1">IF(OR($D98&lt;&gt;"Serviço",AND(AUTOEVENTO="Manual",$M98=$A$15)),0,
         IF(OFFSET(CRONOPLE!$F$15,$M98-$A$15,AO$13)=0,10^12,OFFSET(CRONOPLE!$F$15,$M98-$A$15,AO$13)))</f>
        <v>1000000000000</v>
      </c>
      <c r="AP98" s="172">
        <f ca="1">IF(OR($D98&lt;&gt;"Serviço",AND(AUTOEVENTO="Manual",$M98=$A$15)),0,
         IF(OFFSET(CRONOPLE!$F$15,$M98-$A$15,AP$13)=0,10^12,OFFSET(CRONOPLE!$F$15,$M98-$A$15,AP$13)))</f>
        <v>1000000000000</v>
      </c>
      <c r="AQ98" s="172">
        <f ca="1">IF(OR($D98&lt;&gt;"Serviço",AND(AUTOEVENTO="Manual",$M98=$A$15)),0,
         IF(OFFSET(CRONOPLE!$F$15,$M98-$A$15,AQ$13)=0,10^12,OFFSET(CRONOPLE!$F$15,$M98-$A$15,AQ$13)))</f>
        <v>1000000000000</v>
      </c>
      <c r="AR98" s="172">
        <f ca="1">IF(OR($D98&lt;&gt;"Serviço",AND(AUTOEVENTO="Manual",$M98=$A$15)),0,
         IF(OFFSET(CRONOPLE!$F$15,$M98-$A$15,AR$13)=0,10^12,OFFSET(CRONOPLE!$F$15,$M98-$A$15,AR$13)))</f>
        <v>1000000000000</v>
      </c>
      <c r="AS98" s="172">
        <f ca="1">IF(OR($D98&lt;&gt;"Serviço",AND(AUTOEVENTO="Manual",$M98=$A$15)),0,
         IF(OFFSET(CRONOPLE!$F$15,$M98-$A$15,AS$13)=0,10^12,OFFSET(CRONOPLE!$F$15,$M98-$A$15,AS$13)))</f>
        <v>1000000000000</v>
      </c>
      <c r="AT98" s="172">
        <f ca="1">IF(OR($D98&lt;&gt;"Serviço",AND(AUTOEVENTO="Manual",$M98=$A$15)),0,
         IF(OFFSET(CRONOPLE!$F$15,$M98-$A$15,AT$13)=0,10^12,OFFSET(CRONOPLE!$F$15,$M98-$A$15,AT$13)))</f>
        <v>1000000000000</v>
      </c>
      <c r="AU98" s="172">
        <f ca="1">IF(OR($D98&lt;&gt;"Serviço",AND(AUTOEVENTO="Manual",$M98=$A$15)),0,
         IF(OFFSET(CRONOPLE!$F$15,$M98-$A$15,AU$13)=0,10^12,OFFSET(CRONOPLE!$F$15,$M98-$A$15,AU$13)))</f>
        <v>1000000000000</v>
      </c>
      <c r="AV98" s="172">
        <f ca="1">IF(OR($D98&lt;&gt;"Serviço",AND(AUTOEVENTO="Manual",$M98=$A$15)),0,
         IF(OFFSET(CRONOPLE!$F$15,$M98-$A$15,AV$13)=0,10^12,OFFSET(CRONOPLE!$F$15,$M98-$A$15,AV$13)))</f>
        <v>1000000000000</v>
      </c>
      <c r="AX98" s="173">
        <f ca="1">IF(OR($D98&lt;&gt;"Serviço",AND(AUTOEVENTO="Manual",$M98=$A$15),$M98&gt;(ROW(PLE.lastrow)-ROW(PLE.firstrow))),0,
           IF(OFFSET(PLE!$G$15,$M98-$A$15,AX$13)="",10^12,OFFSET(PLE!$G$15,$M98-$A$15,AX$13)))</f>
        <v>1000000000000</v>
      </c>
      <c r="AY98" s="173">
        <f ca="1">IF(OR($D98&lt;&gt;"Serviço",AND(AUTOEVENTO="Manual",$M98=$A$15),$M98&gt;(ROW(PLE.lastrow)-ROW(PLE.firstrow))),0,
           IF(OFFSET(PLE!$G$15,$M98-$A$15,AY$13)="",10^12,OFFSET(PLE!$G$15,$M98-$A$15,AY$13)))</f>
        <v>1000000000000</v>
      </c>
      <c r="AZ98" s="173">
        <f ca="1">IF(OR($D98&lt;&gt;"Serviço",AND(AUTOEVENTO="Manual",$M98=$A$15),$M98&gt;(ROW(PLE.lastrow)-ROW(PLE.firstrow))),0,
           IF(OFFSET(PLE!$G$15,$M98-$A$15,AZ$13)="",10^12,OFFSET(PLE!$G$15,$M98-$A$15,AZ$13)))</f>
        <v>1000000000000</v>
      </c>
      <c r="BA98" s="173">
        <f ca="1">IF(OR($D98&lt;&gt;"Serviço",AND(AUTOEVENTO="Manual",$M98=$A$15),$M98&gt;(ROW(PLE.lastrow)-ROW(PLE.firstrow))),0,
           IF(OFFSET(PLE!$G$15,$M98-$A$15,BA$13)="",10^12,OFFSET(PLE!$G$15,$M98-$A$15,BA$13)))</f>
        <v>1000000000000</v>
      </c>
      <c r="BB98" s="173">
        <f ca="1">IF(OR($D98&lt;&gt;"Serviço",AND(AUTOEVENTO="Manual",$M98=$A$15),$M98&gt;(ROW(PLE.lastrow)-ROW(PLE.firstrow))),0,
           IF(OFFSET(PLE!$G$15,$M98-$A$15,BB$13)="",10^12,OFFSET(PLE!$G$15,$M98-$A$15,BB$13)))</f>
        <v>1000000000000</v>
      </c>
      <c r="BC98" s="173">
        <f ca="1">IF(OR($D98&lt;&gt;"Serviço",AND(AUTOEVENTO="Manual",$M98=$A$15),$M98&gt;(ROW(PLE.lastrow)-ROW(PLE.firstrow))),0,
           IF(OFFSET(PLE!$G$15,$M98-$A$15,BC$13)="",10^12,OFFSET(PLE!$G$15,$M98-$A$15,BC$13)))</f>
        <v>1000000000000</v>
      </c>
      <c r="BD98" s="173">
        <f ca="1">IF(OR($D98&lt;&gt;"Serviço",AND(AUTOEVENTO="Manual",$M98=$A$15),$M98&gt;(ROW(PLE.lastrow)-ROW(PLE.firstrow))),0,
           IF(OFFSET(PLE!$G$15,$M98-$A$15,BD$13)="",10^12,OFFSET(PLE!$G$15,$M98-$A$15,BD$13)))</f>
        <v>1000000000000</v>
      </c>
      <c r="BE98" s="173">
        <f ca="1">IF(OR($D98&lt;&gt;"Serviço",AND(AUTOEVENTO="Manual",$M98=$A$15),$M98&gt;(ROW(PLE.lastrow)-ROW(PLE.firstrow))),0,
           IF(OFFSET(PLE!$G$15,$M98-$A$15,BE$13)="",10^12,OFFSET(PLE!$G$15,$M98-$A$15,BE$13)))</f>
        <v>1000000000000</v>
      </c>
      <c r="BF98" s="173">
        <f ca="1">IF(OR($D98&lt;&gt;"Serviço",AND(AUTOEVENTO="Manual",$M98=$A$15),$M98&gt;(ROW(PLE.lastrow)-ROW(PLE.firstrow))),0,
           IF(OFFSET(PLE!$G$15,$M98-$A$15,BF$13)="",10^12,OFFSET(PLE!$G$15,$M98-$A$15,BF$13)))</f>
        <v>1000000000000</v>
      </c>
      <c r="BG98" s="173">
        <f ca="1">IF(OR($D98&lt;&gt;"Serviço",AND(AUTOEVENTO="Manual",$M98=$A$15),$M98&gt;(ROW(PLE.lastrow)-ROW(PLE.firstrow))),0,
           IF(OFFSET(PLE!$G$15,$M98-$A$15,BG$13)="",10^12,OFFSET(PLE!$G$15,$M98-$A$15,BG$13)))</f>
        <v>1000000000000</v>
      </c>
    </row>
    <row r="99" spans="1:59" ht="51" x14ac:dyDescent="0.2">
      <c r="A99" s="7" t="str">
        <f t="shared" ca="1" si="10"/>
        <v>72</v>
      </c>
      <c r="B99" s="7" t="str">
        <f ca="1">OFFSET(ORÇAMENTO!C$15,ROW(B99)-ROW(B$15),0)</f>
        <v>S</v>
      </c>
      <c r="C99" s="7" t="str">
        <f ca="1">OFFSET(ORÇAMENTO!L$15,ROW(C99)-ROW(C$15),0)</f>
        <v>F</v>
      </c>
      <c r="D99" s="117" t="str">
        <f ca="1">OFFSET(ORÇAMENTO!N$15,ROW(D99)-ROW(D$15),0)</f>
        <v>Serviço</v>
      </c>
      <c r="E99" s="118" t="str">
        <f ca="1">OFFSET(ORÇAMENTO!O$15,ROW(E99)-ROW(E$15),0)</f>
        <v>1.7.12.</v>
      </c>
      <c r="F99" s="164" t="str">
        <f ca="1">OFFSET(ORÇAMENTO!R$15,ROW(F99)-ROW(F$15),0)</f>
        <v>DRENO EM MURO DE CONTENÇÃO, EXECUTADO NO PÉ DO MURO, COM TUBO DE PEAD CORRUGADO FLEXÍVEL PERFURADO, ENCHIMENTO COM BRITA, ENVOLVIDO COM MANTA GEOTÊXTIL. AF_07/2021</v>
      </c>
      <c r="G99" s="165" t="str">
        <f ca="1">IF($D99&lt;&gt;"Serviço","",OFFSET(ORÇAMENTO!S$15,ROW(G99)-ROW(G$15),0))</f>
        <v>M</v>
      </c>
      <c r="H99" s="123">
        <f ca="1">IF($D99&lt;&gt;"Serviço",0,IF(ACOMPANHAMENTO="BM",ROUND(OFFSET(ORÇAMENTO!AJ$15,ROW(H99)-ROW(H$15),0),15-13*ORÇAMENTO!$AF$7),SUMPRODUCT(($Q$1:$AA$1=1)*ROUND($Q99:$AA99,15-13*ORÇAMENTO!$AF$7))))</f>
        <v>16</v>
      </c>
      <c r="I99" s="469" t="s">
        <v>1048</v>
      </c>
      <c r="J99" s="663" t="str">
        <f ca="1">IF(OR(B99&lt;&gt;"S",CÁLCULO.FrentesPreenchidas=0),"",IF(AND(ACOMPANHAMENTO="PLE",AUTOEVENTO="Manual",OR(H99&gt;0,ORÇAMENTO!AC99="QUANT."),OR(K99="",M99=0,N99="")),"►",IF(AND(ACOMPANHAMENTO="PLE",ORÇAMENTO!AC99="QUANT."),"►►",IF(AND(COUNTIF($P$11:$AA$11,"▼")=0,H99&gt;0,I99=""),"◄",""))))</f>
        <v/>
      </c>
      <c r="K99" s="664"/>
      <c r="L99" s="166" t="s">
        <v>765</v>
      </c>
      <c r="M99" s="167">
        <f ca="1">IF($D99&lt;&gt;"Serviço","",
          IF(AUTOEVENTO="manual",$A99,
                IF(ISERROR(MATCH($A99,$A$15:OFFSET($A99,-1,0),0)),MAX($M$15:OFFSET(M99,-1,0))+1,
                      INDEX($M$15:OFFSET(M99,-1,0),MATCH($A99,$A$15:OFFSET($A99,-1,0),0)))))</f>
        <v>7</v>
      </c>
      <c r="N99" s="168" t="str">
        <f ca="1">IF($D99&lt;&gt;"Serviço","",
         IF(AUTOEVENTO="Manual",
                IF($A99=0,"&lt;-- defina o número do agrupador",
                       OFFSET(EVENTOS!$D$15,$A99-$A$15,0)),
                OFFSET($F$15,$A99,0)))</f>
        <v>MURRO DE ARRIMO</v>
      </c>
      <c r="O99" s="169"/>
      <c r="Q99" s="169">
        <v>16</v>
      </c>
      <c r="R99" s="170"/>
      <c r="S99" s="170"/>
      <c r="T99" s="170"/>
      <c r="U99" s="170"/>
      <c r="V99" s="170"/>
      <c r="W99" s="170"/>
      <c r="X99" s="170"/>
      <c r="Y99" s="170"/>
      <c r="Z99" s="171"/>
      <c r="AB99" s="454">
        <f ca="1">IF(AND($D99="Serviço",AB$12&lt;&gt;0,$H99&gt;0,OR(AUTOEVENTO&lt;&gt;"manual",$M99&lt;&gt;$A$15)),
        IF(Import.TipoArredondamento&lt;&gt;"TransfereGOV",
              ROUND(OFFSET($P99,0,AB$13),15-13*ORÇAMENTO!$AF$7)/$H99*OFFSET(ORÇAMENTO!$X$15,ROW(AB99)-ROW(AB$15),0),
              ROUND(ROUND(OFFSET($P99,0,AB$13),15-13*ORÇAMENTO!$AF$7)*OFFSET(ORÇAMENTO!$W$15,ROW(AB99)-ROW(AB$15),0),15-13*ORÇAMENTO!$AF$11)),
         0)</f>
        <v>1036.32</v>
      </c>
      <c r="AC99" s="454">
        <f ca="1">IF(AND($D99="Serviço",AC$12&lt;&gt;0,$H99&gt;0,OR(AUTOEVENTO&lt;&gt;"manual",$M99&lt;&gt;$A$15)),
        IF(Import.TipoArredondamento&lt;&gt;"TransfereGOV",
              ROUND(OFFSET($P99,0,AC$13),15-13*ORÇAMENTO!$AF$7)/$H99*OFFSET(ORÇAMENTO!$X$15,ROW(AC99)-ROW(AC$15),0),
              ROUND(ROUND(OFFSET($P99,0,AC$13),15-13*ORÇAMENTO!$AF$7)*OFFSET(ORÇAMENTO!$W$15,ROW(AC99)-ROW(AC$15),0),15-13*ORÇAMENTO!$AF$11)),
         0)</f>
        <v>0</v>
      </c>
      <c r="AD99" s="454">
        <f ca="1">IF(AND($D99="Serviço",AD$12&lt;&gt;0,$H99&gt;0,OR(AUTOEVENTO&lt;&gt;"manual",$M99&lt;&gt;$A$15)),
        IF(Import.TipoArredondamento&lt;&gt;"TransfereGOV",
              ROUND(OFFSET($P99,0,AD$13),15-13*ORÇAMENTO!$AF$7)/$H99*OFFSET(ORÇAMENTO!$X$15,ROW(AD99)-ROW(AD$15),0),
              ROUND(ROUND(OFFSET($P99,0,AD$13),15-13*ORÇAMENTO!$AF$7)*OFFSET(ORÇAMENTO!$W$15,ROW(AD99)-ROW(AD$15),0),15-13*ORÇAMENTO!$AF$11)),
         0)</f>
        <v>0</v>
      </c>
      <c r="AE99" s="454">
        <f ca="1">IF(AND($D99="Serviço",AE$12&lt;&gt;0,$H99&gt;0,OR(AUTOEVENTO&lt;&gt;"manual",$M99&lt;&gt;$A$15)),
        IF(Import.TipoArredondamento&lt;&gt;"TransfereGOV",
              ROUND(OFFSET($P99,0,AE$13),15-13*ORÇAMENTO!$AF$7)/$H99*OFFSET(ORÇAMENTO!$X$15,ROW(AE99)-ROW(AE$15),0),
              ROUND(ROUND(OFFSET($P99,0,AE$13),15-13*ORÇAMENTO!$AF$7)*OFFSET(ORÇAMENTO!$W$15,ROW(AE99)-ROW(AE$15),0),15-13*ORÇAMENTO!$AF$11)),
         0)</f>
        <v>0</v>
      </c>
      <c r="AF99" s="454">
        <f ca="1">IF(AND($D99="Serviço",AF$12&lt;&gt;0,$H99&gt;0,OR(AUTOEVENTO&lt;&gt;"manual",$M99&lt;&gt;$A$15)),
        IF(Import.TipoArredondamento&lt;&gt;"TransfereGOV",
              ROUND(OFFSET($P99,0,AF$13),15-13*ORÇAMENTO!$AF$7)/$H99*OFFSET(ORÇAMENTO!$X$15,ROW(AF99)-ROW(AF$15),0),
              ROUND(ROUND(OFFSET($P99,0,AF$13),15-13*ORÇAMENTO!$AF$7)*OFFSET(ORÇAMENTO!$W$15,ROW(AF99)-ROW(AF$15),0),15-13*ORÇAMENTO!$AF$11)),
         0)</f>
        <v>0</v>
      </c>
      <c r="AG99" s="454">
        <f ca="1">IF(AND($D99="Serviço",AG$12&lt;&gt;0,$H99&gt;0,OR(AUTOEVENTO&lt;&gt;"manual",$M99&lt;&gt;$A$15)),
        IF(Import.TipoArredondamento&lt;&gt;"TransfereGOV",
              ROUND(OFFSET($P99,0,AG$13),15-13*ORÇAMENTO!$AF$7)/$H99*OFFSET(ORÇAMENTO!$X$15,ROW(AG99)-ROW(AG$15),0),
              ROUND(ROUND(OFFSET($P99,0,AG$13),15-13*ORÇAMENTO!$AF$7)*OFFSET(ORÇAMENTO!$W$15,ROW(AG99)-ROW(AG$15),0),15-13*ORÇAMENTO!$AF$11)),
         0)</f>
        <v>0</v>
      </c>
      <c r="AH99" s="454">
        <f ca="1">IF(AND($D99="Serviço",AH$12&lt;&gt;0,$H99&gt;0,OR(AUTOEVENTO&lt;&gt;"manual",$M99&lt;&gt;$A$15)),
        IF(Import.TipoArredondamento&lt;&gt;"TransfereGOV",
              ROUND(OFFSET($P99,0,AH$13),15-13*ORÇAMENTO!$AF$7)/$H99*OFFSET(ORÇAMENTO!$X$15,ROW(AH99)-ROW(AH$15),0),
              ROUND(ROUND(OFFSET($P99,0,AH$13),15-13*ORÇAMENTO!$AF$7)*OFFSET(ORÇAMENTO!$W$15,ROW(AH99)-ROW(AH$15),0),15-13*ORÇAMENTO!$AF$11)),
         0)</f>
        <v>0</v>
      </c>
      <c r="AI99" s="454">
        <f ca="1">IF(AND($D99="Serviço",AI$12&lt;&gt;0,$H99&gt;0,OR(AUTOEVENTO&lt;&gt;"manual",$M99&lt;&gt;$A$15)),
        IF(Import.TipoArredondamento&lt;&gt;"TransfereGOV",
              ROUND(OFFSET($P99,0,AI$13),15-13*ORÇAMENTO!$AF$7)/$H99*OFFSET(ORÇAMENTO!$X$15,ROW(AI99)-ROW(AI$15),0),
              ROUND(ROUND(OFFSET($P99,0,AI$13),15-13*ORÇAMENTO!$AF$7)*OFFSET(ORÇAMENTO!$W$15,ROW(AI99)-ROW(AI$15),0),15-13*ORÇAMENTO!$AF$11)),
         0)</f>
        <v>0</v>
      </c>
      <c r="AJ99" s="454">
        <f ca="1">IF(AND($D99="Serviço",AJ$12&lt;&gt;0,$H99&gt;0,OR(AUTOEVENTO&lt;&gt;"manual",$M99&lt;&gt;$A$15)),
        IF(Import.TipoArredondamento&lt;&gt;"TransfereGOV",
              ROUND(OFFSET($P99,0,AJ$13),15-13*ORÇAMENTO!$AF$7)/$H99*OFFSET(ORÇAMENTO!$X$15,ROW(AJ99)-ROW(AJ$15),0),
              ROUND(ROUND(OFFSET($P99,0,AJ$13),15-13*ORÇAMENTO!$AF$7)*OFFSET(ORÇAMENTO!$W$15,ROW(AJ99)-ROW(AJ$15),0),15-13*ORÇAMENTO!$AF$11)),
         0)</f>
        <v>0</v>
      </c>
      <c r="AK99" s="454">
        <f ca="1">IF(AND($D99="Serviço",AK$12&lt;&gt;0,$H99&gt;0,OR(AUTOEVENTO&lt;&gt;"manual",$M99&lt;&gt;$A$15)),
        IF(Import.TipoArredondamento&lt;&gt;"TransfereGOV",
              ROUND(OFFSET($P99,0,AK$13),15-13*ORÇAMENTO!$AF$7)/$H99*OFFSET(ORÇAMENTO!$X$15,ROW(AK99)-ROW(AK$15),0),
              ROUND(ROUND(OFFSET($P99,0,AK$13),15-13*ORÇAMENTO!$AF$7)*OFFSET(ORÇAMENTO!$W$15,ROW(AK99)-ROW(AK$15),0),15-13*ORÇAMENTO!$AF$11)),
         0)</f>
        <v>0</v>
      </c>
      <c r="AM99" s="172">
        <f ca="1">IF(OR($D99&lt;&gt;"Serviço",AND(AUTOEVENTO="Manual",$M99=$A$15)),0,
         IF(OFFSET(CRONOPLE!$F$15,$M99-$A$15,AM$13)=0,10^12,OFFSET(CRONOPLE!$F$15,$M99-$A$15,AM$13)))</f>
        <v>1</v>
      </c>
      <c r="AN99" s="172">
        <f ca="1">IF(OR($D99&lt;&gt;"Serviço",AND(AUTOEVENTO="Manual",$M99=$A$15)),0,
         IF(OFFSET(CRONOPLE!$F$15,$M99-$A$15,AN$13)=0,10^12,OFFSET(CRONOPLE!$F$15,$M99-$A$15,AN$13)))</f>
        <v>1000000000000</v>
      </c>
      <c r="AO99" s="172">
        <f ca="1">IF(OR($D99&lt;&gt;"Serviço",AND(AUTOEVENTO="Manual",$M99=$A$15)),0,
         IF(OFFSET(CRONOPLE!$F$15,$M99-$A$15,AO$13)=0,10^12,OFFSET(CRONOPLE!$F$15,$M99-$A$15,AO$13)))</f>
        <v>1000000000000</v>
      </c>
      <c r="AP99" s="172">
        <f ca="1">IF(OR($D99&lt;&gt;"Serviço",AND(AUTOEVENTO="Manual",$M99=$A$15)),0,
         IF(OFFSET(CRONOPLE!$F$15,$M99-$A$15,AP$13)=0,10^12,OFFSET(CRONOPLE!$F$15,$M99-$A$15,AP$13)))</f>
        <v>1000000000000</v>
      </c>
      <c r="AQ99" s="172">
        <f ca="1">IF(OR($D99&lt;&gt;"Serviço",AND(AUTOEVENTO="Manual",$M99=$A$15)),0,
         IF(OFFSET(CRONOPLE!$F$15,$M99-$A$15,AQ$13)=0,10^12,OFFSET(CRONOPLE!$F$15,$M99-$A$15,AQ$13)))</f>
        <v>1000000000000</v>
      </c>
      <c r="AR99" s="172">
        <f ca="1">IF(OR($D99&lt;&gt;"Serviço",AND(AUTOEVENTO="Manual",$M99=$A$15)),0,
         IF(OFFSET(CRONOPLE!$F$15,$M99-$A$15,AR$13)=0,10^12,OFFSET(CRONOPLE!$F$15,$M99-$A$15,AR$13)))</f>
        <v>1000000000000</v>
      </c>
      <c r="AS99" s="172">
        <f ca="1">IF(OR($D99&lt;&gt;"Serviço",AND(AUTOEVENTO="Manual",$M99=$A$15)),0,
         IF(OFFSET(CRONOPLE!$F$15,$M99-$A$15,AS$13)=0,10^12,OFFSET(CRONOPLE!$F$15,$M99-$A$15,AS$13)))</f>
        <v>1000000000000</v>
      </c>
      <c r="AT99" s="172">
        <f ca="1">IF(OR($D99&lt;&gt;"Serviço",AND(AUTOEVENTO="Manual",$M99=$A$15)),0,
         IF(OFFSET(CRONOPLE!$F$15,$M99-$A$15,AT$13)=0,10^12,OFFSET(CRONOPLE!$F$15,$M99-$A$15,AT$13)))</f>
        <v>1000000000000</v>
      </c>
      <c r="AU99" s="172">
        <f ca="1">IF(OR($D99&lt;&gt;"Serviço",AND(AUTOEVENTO="Manual",$M99=$A$15)),0,
         IF(OFFSET(CRONOPLE!$F$15,$M99-$A$15,AU$13)=0,10^12,OFFSET(CRONOPLE!$F$15,$M99-$A$15,AU$13)))</f>
        <v>1000000000000</v>
      </c>
      <c r="AV99" s="172">
        <f ca="1">IF(OR($D99&lt;&gt;"Serviço",AND(AUTOEVENTO="Manual",$M99=$A$15)),0,
         IF(OFFSET(CRONOPLE!$F$15,$M99-$A$15,AV$13)=0,10^12,OFFSET(CRONOPLE!$F$15,$M99-$A$15,AV$13)))</f>
        <v>1000000000000</v>
      </c>
      <c r="AX99" s="173">
        <f ca="1">IF(OR($D99&lt;&gt;"Serviço",AND(AUTOEVENTO="Manual",$M99=$A$15),$M99&gt;(ROW(PLE.lastrow)-ROW(PLE.firstrow))),0,
           IF(OFFSET(PLE!$G$15,$M99-$A$15,AX$13)="",10^12,OFFSET(PLE!$G$15,$M99-$A$15,AX$13)))</f>
        <v>1000000000000</v>
      </c>
      <c r="AY99" s="173">
        <f ca="1">IF(OR($D99&lt;&gt;"Serviço",AND(AUTOEVENTO="Manual",$M99=$A$15),$M99&gt;(ROW(PLE.lastrow)-ROW(PLE.firstrow))),0,
           IF(OFFSET(PLE!$G$15,$M99-$A$15,AY$13)="",10^12,OFFSET(PLE!$G$15,$M99-$A$15,AY$13)))</f>
        <v>1000000000000</v>
      </c>
      <c r="AZ99" s="173">
        <f ca="1">IF(OR($D99&lt;&gt;"Serviço",AND(AUTOEVENTO="Manual",$M99=$A$15),$M99&gt;(ROW(PLE.lastrow)-ROW(PLE.firstrow))),0,
           IF(OFFSET(PLE!$G$15,$M99-$A$15,AZ$13)="",10^12,OFFSET(PLE!$G$15,$M99-$A$15,AZ$13)))</f>
        <v>1000000000000</v>
      </c>
      <c r="BA99" s="173">
        <f ca="1">IF(OR($D99&lt;&gt;"Serviço",AND(AUTOEVENTO="Manual",$M99=$A$15),$M99&gt;(ROW(PLE.lastrow)-ROW(PLE.firstrow))),0,
           IF(OFFSET(PLE!$G$15,$M99-$A$15,BA$13)="",10^12,OFFSET(PLE!$G$15,$M99-$A$15,BA$13)))</f>
        <v>1000000000000</v>
      </c>
      <c r="BB99" s="173">
        <f ca="1">IF(OR($D99&lt;&gt;"Serviço",AND(AUTOEVENTO="Manual",$M99=$A$15),$M99&gt;(ROW(PLE.lastrow)-ROW(PLE.firstrow))),0,
           IF(OFFSET(PLE!$G$15,$M99-$A$15,BB$13)="",10^12,OFFSET(PLE!$G$15,$M99-$A$15,BB$13)))</f>
        <v>1000000000000</v>
      </c>
      <c r="BC99" s="173">
        <f ca="1">IF(OR($D99&lt;&gt;"Serviço",AND(AUTOEVENTO="Manual",$M99=$A$15),$M99&gt;(ROW(PLE.lastrow)-ROW(PLE.firstrow))),0,
           IF(OFFSET(PLE!$G$15,$M99-$A$15,BC$13)="",10^12,OFFSET(PLE!$G$15,$M99-$A$15,BC$13)))</f>
        <v>1000000000000</v>
      </c>
      <c r="BD99" s="173">
        <f ca="1">IF(OR($D99&lt;&gt;"Serviço",AND(AUTOEVENTO="Manual",$M99=$A$15),$M99&gt;(ROW(PLE.lastrow)-ROW(PLE.firstrow))),0,
           IF(OFFSET(PLE!$G$15,$M99-$A$15,BD$13)="",10^12,OFFSET(PLE!$G$15,$M99-$A$15,BD$13)))</f>
        <v>1000000000000</v>
      </c>
      <c r="BE99" s="173">
        <f ca="1">IF(OR($D99&lt;&gt;"Serviço",AND(AUTOEVENTO="Manual",$M99=$A$15),$M99&gt;(ROW(PLE.lastrow)-ROW(PLE.firstrow))),0,
           IF(OFFSET(PLE!$G$15,$M99-$A$15,BE$13)="",10^12,OFFSET(PLE!$G$15,$M99-$A$15,BE$13)))</f>
        <v>1000000000000</v>
      </c>
      <c r="BF99" s="173">
        <f ca="1">IF(OR($D99&lt;&gt;"Serviço",AND(AUTOEVENTO="Manual",$M99=$A$15),$M99&gt;(ROW(PLE.lastrow)-ROW(PLE.firstrow))),0,
           IF(OFFSET(PLE!$G$15,$M99-$A$15,BF$13)="",10^12,OFFSET(PLE!$G$15,$M99-$A$15,BF$13)))</f>
        <v>1000000000000</v>
      </c>
      <c r="BG99" s="173">
        <f ca="1">IF(OR($D99&lt;&gt;"Serviço",AND(AUTOEVENTO="Manual",$M99=$A$15),$M99&gt;(ROW(PLE.lastrow)-ROW(PLE.firstrow))),0,
           IF(OFFSET(PLE!$G$15,$M99-$A$15,BG$13)="",10^12,OFFSET(PLE!$G$15,$M99-$A$15,BG$13)))</f>
        <v>1000000000000</v>
      </c>
    </row>
    <row r="100" spans="1:59" ht="38.25" x14ac:dyDescent="0.2">
      <c r="A100" s="7" t="str">
        <f t="shared" ca="1" si="10"/>
        <v>72</v>
      </c>
      <c r="B100" s="7" t="str">
        <f ca="1">OFFSET(ORÇAMENTO!C$15,ROW(B100)-ROW(B$15),0)</f>
        <v>S</v>
      </c>
      <c r="C100" s="7" t="str">
        <f ca="1">OFFSET(ORÇAMENTO!L$15,ROW(C100)-ROW(C$15),0)</f>
        <v>F</v>
      </c>
      <c r="D100" s="117" t="str">
        <f ca="1">OFFSET(ORÇAMENTO!N$15,ROW(D100)-ROW(D$15),0)</f>
        <v>Serviço</v>
      </c>
      <c r="E100" s="118" t="str">
        <f ca="1">OFFSET(ORÇAMENTO!O$15,ROW(E100)-ROW(E$15),0)</f>
        <v>1.7.13.</v>
      </c>
      <c r="F100" s="164" t="str">
        <f ca="1">OFFSET(ORÇAMENTO!R$15,ROW(F100)-ROW(F$15),0)</f>
        <v>ESCAVAÇÃO MECANIZADA PARA VIGA BALDRAME OU SAPATA CORRIDA COM MINI-ESCAVADEIRA (INCLUINDO ESCAVAÇÃO PARA COLOCAÇÃO DE FÔRMAS). AF_01/2024</v>
      </c>
      <c r="G100" s="165" t="str">
        <f ca="1">IF($D100&lt;&gt;"Serviço","",OFFSET(ORÇAMENTO!S$15,ROW(G100)-ROW(G$15),0))</f>
        <v>M3</v>
      </c>
      <c r="H100" s="123">
        <f ca="1">IF($D100&lt;&gt;"Serviço",0,IF(ACOMPANHAMENTO="BM",ROUND(OFFSET(ORÇAMENTO!AJ$15,ROW(H100)-ROW(H$15),0),15-13*ORÇAMENTO!$AF$7),SUMPRODUCT(($Q$1:$AA$1=1)*ROUND($Q100:$AA100,15-13*ORÇAMENTO!$AF$7))))</f>
        <v>5.75</v>
      </c>
      <c r="I100" s="469" t="s">
        <v>1076</v>
      </c>
      <c r="J100" s="663" t="str">
        <f ca="1">IF(OR(B100&lt;&gt;"S",CÁLCULO.FrentesPreenchidas=0),"",IF(AND(ACOMPANHAMENTO="PLE",AUTOEVENTO="Manual",OR(H100&gt;0,ORÇAMENTO!AC100="QUANT."),OR(K100="",M100=0,N100="")),"►",IF(AND(ACOMPANHAMENTO="PLE",ORÇAMENTO!AC100="QUANT."),"►►",IF(AND(COUNTIF($P$11:$AA$11,"▼")=0,H100&gt;0,I100=""),"◄",""))))</f>
        <v/>
      </c>
      <c r="K100" s="664"/>
      <c r="L100" s="166" t="s">
        <v>765</v>
      </c>
      <c r="M100" s="167">
        <f ca="1">IF($D100&lt;&gt;"Serviço","",
          IF(AUTOEVENTO="manual",$A100,
                IF(ISERROR(MATCH($A100,$A$15:OFFSET($A100,-1,0),0)),MAX($M$15:OFFSET(M100,-1,0))+1,
                      INDEX($M$15:OFFSET(M100,-1,0),MATCH($A100,$A$15:OFFSET($A100,-1,0),0)))))</f>
        <v>7</v>
      </c>
      <c r="N100" s="168" t="str">
        <f ca="1">IF($D100&lt;&gt;"Serviço","",
         IF(AUTOEVENTO="Manual",
                IF($A100=0,"&lt;-- defina o número do agrupador",
                       OFFSET(EVENTOS!$D$15,$A100-$A$15,0)),
                OFFSET($F$15,$A100,0)))</f>
        <v>MURRO DE ARRIMO</v>
      </c>
      <c r="O100" s="169"/>
      <c r="Q100" s="169">
        <v>5.75</v>
      </c>
      <c r="R100" s="170"/>
      <c r="S100" s="170"/>
      <c r="T100" s="170"/>
      <c r="U100" s="170"/>
      <c r="V100" s="170"/>
      <c r="W100" s="170"/>
      <c r="X100" s="170"/>
      <c r="Y100" s="170"/>
      <c r="Z100" s="171"/>
      <c r="AB100" s="454">
        <f ca="1">IF(AND($D100="Serviço",AB$12&lt;&gt;0,$H100&gt;0,OR(AUTOEVENTO&lt;&gt;"manual",$M100&lt;&gt;$A$15)),
        IF(Import.TipoArredondamento&lt;&gt;"TransfereGOV",
              ROUND(OFFSET($P100,0,AB$13),15-13*ORÇAMENTO!$AF$7)/$H100*OFFSET(ORÇAMENTO!$X$15,ROW(AB100)-ROW(AB$15),0),
              ROUND(ROUND(OFFSET($P100,0,AB$13),15-13*ORÇAMENTO!$AF$7)*OFFSET(ORÇAMENTO!$W$15,ROW(AB100)-ROW(AB$15),0),15-13*ORÇAMENTO!$AF$11)),
         0)</f>
        <v>366.22</v>
      </c>
      <c r="AC100" s="454">
        <f ca="1">IF(AND($D100="Serviço",AC$12&lt;&gt;0,$H100&gt;0,OR(AUTOEVENTO&lt;&gt;"manual",$M100&lt;&gt;$A$15)),
        IF(Import.TipoArredondamento&lt;&gt;"TransfereGOV",
              ROUND(OFFSET($P100,0,AC$13),15-13*ORÇAMENTO!$AF$7)/$H100*OFFSET(ORÇAMENTO!$X$15,ROW(AC100)-ROW(AC$15),0),
              ROUND(ROUND(OFFSET($P100,0,AC$13),15-13*ORÇAMENTO!$AF$7)*OFFSET(ORÇAMENTO!$W$15,ROW(AC100)-ROW(AC$15),0),15-13*ORÇAMENTO!$AF$11)),
         0)</f>
        <v>0</v>
      </c>
      <c r="AD100" s="454">
        <f ca="1">IF(AND($D100="Serviço",AD$12&lt;&gt;0,$H100&gt;0,OR(AUTOEVENTO&lt;&gt;"manual",$M100&lt;&gt;$A$15)),
        IF(Import.TipoArredondamento&lt;&gt;"TransfereGOV",
              ROUND(OFFSET($P100,0,AD$13),15-13*ORÇAMENTO!$AF$7)/$H100*OFFSET(ORÇAMENTO!$X$15,ROW(AD100)-ROW(AD$15),0),
              ROUND(ROUND(OFFSET($P100,0,AD$13),15-13*ORÇAMENTO!$AF$7)*OFFSET(ORÇAMENTO!$W$15,ROW(AD100)-ROW(AD$15),0),15-13*ORÇAMENTO!$AF$11)),
         0)</f>
        <v>0</v>
      </c>
      <c r="AE100" s="454">
        <f ca="1">IF(AND($D100="Serviço",AE$12&lt;&gt;0,$H100&gt;0,OR(AUTOEVENTO&lt;&gt;"manual",$M100&lt;&gt;$A$15)),
        IF(Import.TipoArredondamento&lt;&gt;"TransfereGOV",
              ROUND(OFFSET($P100,0,AE$13),15-13*ORÇAMENTO!$AF$7)/$H100*OFFSET(ORÇAMENTO!$X$15,ROW(AE100)-ROW(AE$15),0),
              ROUND(ROUND(OFFSET($P100,0,AE$13),15-13*ORÇAMENTO!$AF$7)*OFFSET(ORÇAMENTO!$W$15,ROW(AE100)-ROW(AE$15),0),15-13*ORÇAMENTO!$AF$11)),
         0)</f>
        <v>0</v>
      </c>
      <c r="AF100" s="454">
        <f ca="1">IF(AND($D100="Serviço",AF$12&lt;&gt;0,$H100&gt;0,OR(AUTOEVENTO&lt;&gt;"manual",$M100&lt;&gt;$A$15)),
        IF(Import.TipoArredondamento&lt;&gt;"TransfereGOV",
              ROUND(OFFSET($P100,0,AF$13),15-13*ORÇAMENTO!$AF$7)/$H100*OFFSET(ORÇAMENTO!$X$15,ROW(AF100)-ROW(AF$15),0),
              ROUND(ROUND(OFFSET($P100,0,AF$13),15-13*ORÇAMENTO!$AF$7)*OFFSET(ORÇAMENTO!$W$15,ROW(AF100)-ROW(AF$15),0),15-13*ORÇAMENTO!$AF$11)),
         0)</f>
        <v>0</v>
      </c>
      <c r="AG100" s="454">
        <f ca="1">IF(AND($D100="Serviço",AG$12&lt;&gt;0,$H100&gt;0,OR(AUTOEVENTO&lt;&gt;"manual",$M100&lt;&gt;$A$15)),
        IF(Import.TipoArredondamento&lt;&gt;"TransfereGOV",
              ROUND(OFFSET($P100,0,AG$13),15-13*ORÇAMENTO!$AF$7)/$H100*OFFSET(ORÇAMENTO!$X$15,ROW(AG100)-ROW(AG$15),0),
              ROUND(ROUND(OFFSET($P100,0,AG$13),15-13*ORÇAMENTO!$AF$7)*OFFSET(ORÇAMENTO!$W$15,ROW(AG100)-ROW(AG$15),0),15-13*ORÇAMENTO!$AF$11)),
         0)</f>
        <v>0</v>
      </c>
      <c r="AH100" s="454">
        <f ca="1">IF(AND($D100="Serviço",AH$12&lt;&gt;0,$H100&gt;0,OR(AUTOEVENTO&lt;&gt;"manual",$M100&lt;&gt;$A$15)),
        IF(Import.TipoArredondamento&lt;&gt;"TransfereGOV",
              ROUND(OFFSET($P100,0,AH$13),15-13*ORÇAMENTO!$AF$7)/$H100*OFFSET(ORÇAMENTO!$X$15,ROW(AH100)-ROW(AH$15),0),
              ROUND(ROUND(OFFSET($P100,0,AH$13),15-13*ORÇAMENTO!$AF$7)*OFFSET(ORÇAMENTO!$W$15,ROW(AH100)-ROW(AH$15),0),15-13*ORÇAMENTO!$AF$11)),
         0)</f>
        <v>0</v>
      </c>
      <c r="AI100" s="454">
        <f ca="1">IF(AND($D100="Serviço",AI$12&lt;&gt;0,$H100&gt;0,OR(AUTOEVENTO&lt;&gt;"manual",$M100&lt;&gt;$A$15)),
        IF(Import.TipoArredondamento&lt;&gt;"TransfereGOV",
              ROUND(OFFSET($P100,0,AI$13),15-13*ORÇAMENTO!$AF$7)/$H100*OFFSET(ORÇAMENTO!$X$15,ROW(AI100)-ROW(AI$15),0),
              ROUND(ROUND(OFFSET($P100,0,AI$13),15-13*ORÇAMENTO!$AF$7)*OFFSET(ORÇAMENTO!$W$15,ROW(AI100)-ROW(AI$15),0),15-13*ORÇAMENTO!$AF$11)),
         0)</f>
        <v>0</v>
      </c>
      <c r="AJ100" s="454">
        <f ca="1">IF(AND($D100="Serviço",AJ$12&lt;&gt;0,$H100&gt;0,OR(AUTOEVENTO&lt;&gt;"manual",$M100&lt;&gt;$A$15)),
        IF(Import.TipoArredondamento&lt;&gt;"TransfereGOV",
              ROUND(OFFSET($P100,0,AJ$13),15-13*ORÇAMENTO!$AF$7)/$H100*OFFSET(ORÇAMENTO!$X$15,ROW(AJ100)-ROW(AJ$15),0),
              ROUND(ROUND(OFFSET($P100,0,AJ$13),15-13*ORÇAMENTO!$AF$7)*OFFSET(ORÇAMENTO!$W$15,ROW(AJ100)-ROW(AJ$15),0),15-13*ORÇAMENTO!$AF$11)),
         0)</f>
        <v>0</v>
      </c>
      <c r="AK100" s="454">
        <f ca="1">IF(AND($D100="Serviço",AK$12&lt;&gt;0,$H100&gt;0,OR(AUTOEVENTO&lt;&gt;"manual",$M100&lt;&gt;$A$15)),
        IF(Import.TipoArredondamento&lt;&gt;"TransfereGOV",
              ROUND(OFFSET($P100,0,AK$13),15-13*ORÇAMENTO!$AF$7)/$H100*OFFSET(ORÇAMENTO!$X$15,ROW(AK100)-ROW(AK$15),0),
              ROUND(ROUND(OFFSET($P100,0,AK$13),15-13*ORÇAMENTO!$AF$7)*OFFSET(ORÇAMENTO!$W$15,ROW(AK100)-ROW(AK$15),0),15-13*ORÇAMENTO!$AF$11)),
         0)</f>
        <v>0</v>
      </c>
      <c r="AM100" s="172">
        <f ca="1">IF(OR($D100&lt;&gt;"Serviço",AND(AUTOEVENTO="Manual",$M100=$A$15)),0,
         IF(OFFSET(CRONOPLE!$F$15,$M100-$A$15,AM$13)=0,10^12,OFFSET(CRONOPLE!$F$15,$M100-$A$15,AM$13)))</f>
        <v>1</v>
      </c>
      <c r="AN100" s="172">
        <f ca="1">IF(OR($D100&lt;&gt;"Serviço",AND(AUTOEVENTO="Manual",$M100=$A$15)),0,
         IF(OFFSET(CRONOPLE!$F$15,$M100-$A$15,AN$13)=0,10^12,OFFSET(CRONOPLE!$F$15,$M100-$A$15,AN$13)))</f>
        <v>1000000000000</v>
      </c>
      <c r="AO100" s="172">
        <f ca="1">IF(OR($D100&lt;&gt;"Serviço",AND(AUTOEVENTO="Manual",$M100=$A$15)),0,
         IF(OFFSET(CRONOPLE!$F$15,$M100-$A$15,AO$13)=0,10^12,OFFSET(CRONOPLE!$F$15,$M100-$A$15,AO$13)))</f>
        <v>1000000000000</v>
      </c>
      <c r="AP100" s="172">
        <f ca="1">IF(OR($D100&lt;&gt;"Serviço",AND(AUTOEVENTO="Manual",$M100=$A$15)),0,
         IF(OFFSET(CRONOPLE!$F$15,$M100-$A$15,AP$13)=0,10^12,OFFSET(CRONOPLE!$F$15,$M100-$A$15,AP$13)))</f>
        <v>1000000000000</v>
      </c>
      <c r="AQ100" s="172">
        <f ca="1">IF(OR($D100&lt;&gt;"Serviço",AND(AUTOEVENTO="Manual",$M100=$A$15)),0,
         IF(OFFSET(CRONOPLE!$F$15,$M100-$A$15,AQ$13)=0,10^12,OFFSET(CRONOPLE!$F$15,$M100-$A$15,AQ$13)))</f>
        <v>1000000000000</v>
      </c>
      <c r="AR100" s="172">
        <f ca="1">IF(OR($D100&lt;&gt;"Serviço",AND(AUTOEVENTO="Manual",$M100=$A$15)),0,
         IF(OFFSET(CRONOPLE!$F$15,$M100-$A$15,AR$13)=0,10^12,OFFSET(CRONOPLE!$F$15,$M100-$A$15,AR$13)))</f>
        <v>1000000000000</v>
      </c>
      <c r="AS100" s="172">
        <f ca="1">IF(OR($D100&lt;&gt;"Serviço",AND(AUTOEVENTO="Manual",$M100=$A$15)),0,
         IF(OFFSET(CRONOPLE!$F$15,$M100-$A$15,AS$13)=0,10^12,OFFSET(CRONOPLE!$F$15,$M100-$A$15,AS$13)))</f>
        <v>1000000000000</v>
      </c>
      <c r="AT100" s="172">
        <f ca="1">IF(OR($D100&lt;&gt;"Serviço",AND(AUTOEVENTO="Manual",$M100=$A$15)),0,
         IF(OFFSET(CRONOPLE!$F$15,$M100-$A$15,AT$13)=0,10^12,OFFSET(CRONOPLE!$F$15,$M100-$A$15,AT$13)))</f>
        <v>1000000000000</v>
      </c>
      <c r="AU100" s="172">
        <f ca="1">IF(OR($D100&lt;&gt;"Serviço",AND(AUTOEVENTO="Manual",$M100=$A$15)),0,
         IF(OFFSET(CRONOPLE!$F$15,$M100-$A$15,AU$13)=0,10^12,OFFSET(CRONOPLE!$F$15,$M100-$A$15,AU$13)))</f>
        <v>1000000000000</v>
      </c>
      <c r="AV100" s="172">
        <f ca="1">IF(OR($D100&lt;&gt;"Serviço",AND(AUTOEVENTO="Manual",$M100=$A$15)),0,
         IF(OFFSET(CRONOPLE!$F$15,$M100-$A$15,AV$13)=0,10^12,OFFSET(CRONOPLE!$F$15,$M100-$A$15,AV$13)))</f>
        <v>1000000000000</v>
      </c>
      <c r="AX100" s="173">
        <f ca="1">IF(OR($D100&lt;&gt;"Serviço",AND(AUTOEVENTO="Manual",$M100=$A$15),$M100&gt;(ROW(PLE.lastrow)-ROW(PLE.firstrow))),0,
           IF(OFFSET(PLE!$G$15,$M100-$A$15,AX$13)="",10^12,OFFSET(PLE!$G$15,$M100-$A$15,AX$13)))</f>
        <v>1000000000000</v>
      </c>
      <c r="AY100" s="173">
        <f ca="1">IF(OR($D100&lt;&gt;"Serviço",AND(AUTOEVENTO="Manual",$M100=$A$15),$M100&gt;(ROW(PLE.lastrow)-ROW(PLE.firstrow))),0,
           IF(OFFSET(PLE!$G$15,$M100-$A$15,AY$13)="",10^12,OFFSET(PLE!$G$15,$M100-$A$15,AY$13)))</f>
        <v>1000000000000</v>
      </c>
      <c r="AZ100" s="173">
        <f ca="1">IF(OR($D100&lt;&gt;"Serviço",AND(AUTOEVENTO="Manual",$M100=$A$15),$M100&gt;(ROW(PLE.lastrow)-ROW(PLE.firstrow))),0,
           IF(OFFSET(PLE!$G$15,$M100-$A$15,AZ$13)="",10^12,OFFSET(PLE!$G$15,$M100-$A$15,AZ$13)))</f>
        <v>1000000000000</v>
      </c>
      <c r="BA100" s="173">
        <f ca="1">IF(OR($D100&lt;&gt;"Serviço",AND(AUTOEVENTO="Manual",$M100=$A$15),$M100&gt;(ROW(PLE.lastrow)-ROW(PLE.firstrow))),0,
           IF(OFFSET(PLE!$G$15,$M100-$A$15,BA$13)="",10^12,OFFSET(PLE!$G$15,$M100-$A$15,BA$13)))</f>
        <v>1000000000000</v>
      </c>
      <c r="BB100" s="173">
        <f ca="1">IF(OR($D100&lt;&gt;"Serviço",AND(AUTOEVENTO="Manual",$M100=$A$15),$M100&gt;(ROW(PLE.lastrow)-ROW(PLE.firstrow))),0,
           IF(OFFSET(PLE!$G$15,$M100-$A$15,BB$13)="",10^12,OFFSET(PLE!$G$15,$M100-$A$15,BB$13)))</f>
        <v>1000000000000</v>
      </c>
      <c r="BC100" s="173">
        <f ca="1">IF(OR($D100&lt;&gt;"Serviço",AND(AUTOEVENTO="Manual",$M100=$A$15),$M100&gt;(ROW(PLE.lastrow)-ROW(PLE.firstrow))),0,
           IF(OFFSET(PLE!$G$15,$M100-$A$15,BC$13)="",10^12,OFFSET(PLE!$G$15,$M100-$A$15,BC$13)))</f>
        <v>1000000000000</v>
      </c>
      <c r="BD100" s="173">
        <f ca="1">IF(OR($D100&lt;&gt;"Serviço",AND(AUTOEVENTO="Manual",$M100=$A$15),$M100&gt;(ROW(PLE.lastrow)-ROW(PLE.firstrow))),0,
           IF(OFFSET(PLE!$G$15,$M100-$A$15,BD$13)="",10^12,OFFSET(PLE!$G$15,$M100-$A$15,BD$13)))</f>
        <v>1000000000000</v>
      </c>
      <c r="BE100" s="173">
        <f ca="1">IF(OR($D100&lt;&gt;"Serviço",AND(AUTOEVENTO="Manual",$M100=$A$15),$M100&gt;(ROW(PLE.lastrow)-ROW(PLE.firstrow))),0,
           IF(OFFSET(PLE!$G$15,$M100-$A$15,BE$13)="",10^12,OFFSET(PLE!$G$15,$M100-$A$15,BE$13)))</f>
        <v>1000000000000</v>
      </c>
      <c r="BF100" s="173">
        <f ca="1">IF(OR($D100&lt;&gt;"Serviço",AND(AUTOEVENTO="Manual",$M100=$A$15),$M100&gt;(ROW(PLE.lastrow)-ROW(PLE.firstrow))),0,
           IF(OFFSET(PLE!$G$15,$M100-$A$15,BF$13)="",10^12,OFFSET(PLE!$G$15,$M100-$A$15,BF$13)))</f>
        <v>1000000000000</v>
      </c>
      <c r="BG100" s="173">
        <f ca="1">IF(OR($D100&lt;&gt;"Serviço",AND(AUTOEVENTO="Manual",$M100=$A$15),$M100&gt;(ROW(PLE.lastrow)-ROW(PLE.firstrow))),0,
           IF(OFFSET(PLE!$G$15,$M100-$A$15,BG$13)="",10^12,OFFSET(PLE!$G$15,$M100-$A$15,BG$13)))</f>
        <v>1000000000000</v>
      </c>
    </row>
    <row r="101" spans="1:59" ht="12.75" x14ac:dyDescent="0.2">
      <c r="A101" s="7" t="str">
        <f t="shared" ca="1" si="10"/>
        <v>72</v>
      </c>
      <c r="B101" s="7" t="str">
        <f ca="1">OFFSET(ORÇAMENTO!C$15,ROW(B101)-ROW(B$15),0)</f>
        <v>S</v>
      </c>
      <c r="C101" s="7" t="str">
        <f ca="1">OFFSET(ORÇAMENTO!L$15,ROW(C101)-ROW(C$15),0)</f>
        <v>F</v>
      </c>
      <c r="D101" s="117" t="str">
        <f ca="1">OFFSET(ORÇAMENTO!N$15,ROW(D101)-ROW(D$15),0)</f>
        <v>Serviço</v>
      </c>
      <c r="E101" s="118" t="str">
        <f ca="1">OFFSET(ORÇAMENTO!O$15,ROW(E101)-ROW(E$15),0)</f>
        <v>1.7.14.</v>
      </c>
      <c r="F101" s="164" t="str">
        <f ca="1">OFFSET(ORÇAMENTO!R$15,ROW(F101)-ROW(F$15),0)</f>
        <v>PEDREIRO COM ENCARGOS COMPLEMENTARES</v>
      </c>
      <c r="G101" s="165" t="str">
        <f ca="1">IF($D101&lt;&gt;"Serviço","",OFFSET(ORÇAMENTO!S$15,ROW(G101)-ROW(G$15),0))</f>
        <v>H</v>
      </c>
      <c r="H101" s="123">
        <f ca="1">IF($D101&lt;&gt;"Serviço",0,IF(ACOMPANHAMENTO="BM",ROUND(OFFSET(ORÇAMENTO!AJ$15,ROW(H101)-ROW(H$15),0),15-13*ORÇAMENTO!$AF$7),SUMPRODUCT(($Q$1:$AA$1=1)*ROUND($Q101:$AA101,15-13*ORÇAMENTO!$AF$7))))</f>
        <v>180</v>
      </c>
      <c r="I101" s="469" t="s">
        <v>1062</v>
      </c>
      <c r="J101" s="663" t="str">
        <f ca="1">IF(OR(B101&lt;&gt;"S",CÁLCULO.FrentesPreenchidas=0),"",IF(AND(ACOMPANHAMENTO="PLE",AUTOEVENTO="Manual",OR(H101&gt;0,ORÇAMENTO!AC101="QUANT."),OR(K101="",M101=0,N101="")),"►",IF(AND(ACOMPANHAMENTO="PLE",ORÇAMENTO!AC101="QUANT."),"►►",IF(AND(COUNTIF($P$11:$AA$11,"▼")=0,H101&gt;0,I101=""),"◄",""))))</f>
        <v/>
      </c>
      <c r="K101" s="664"/>
      <c r="L101" s="166" t="s">
        <v>765</v>
      </c>
      <c r="M101" s="167">
        <f ca="1">IF($D101&lt;&gt;"Serviço","",
          IF(AUTOEVENTO="manual",$A101,
                IF(ISERROR(MATCH($A101,$A$15:OFFSET($A101,-1,0),0)),MAX($M$15:OFFSET(M101,-1,0))+1,
                      INDEX($M$15:OFFSET(M101,-1,0),MATCH($A101,$A$15:OFFSET($A101,-1,0),0)))))</f>
        <v>7</v>
      </c>
      <c r="N101" s="168" t="str">
        <f ca="1">IF($D101&lt;&gt;"Serviço","",
         IF(AUTOEVENTO="Manual",
                IF($A101=0,"&lt;-- defina o número do agrupador",
                       OFFSET(EVENTOS!$D$15,$A101-$A$15,0)),
                OFFSET($F$15,$A101,0)))</f>
        <v>MURRO DE ARRIMO</v>
      </c>
      <c r="O101" s="169"/>
      <c r="Q101" s="169">
        <v>180</v>
      </c>
      <c r="R101" s="170"/>
      <c r="S101" s="170"/>
      <c r="T101" s="170"/>
      <c r="U101" s="170"/>
      <c r="V101" s="170"/>
      <c r="W101" s="170"/>
      <c r="X101" s="170"/>
      <c r="Y101" s="170"/>
      <c r="Z101" s="171"/>
      <c r="AB101" s="454">
        <f ca="1">IF(AND($D101="Serviço",AB$12&lt;&gt;0,$H101&gt;0,OR(AUTOEVENTO&lt;&gt;"manual",$M101&lt;&gt;$A$15)),
        IF(Import.TipoArredondamento&lt;&gt;"TransfereGOV",
              ROUND(OFFSET($P101,0,AB$13),15-13*ORÇAMENTO!$AF$7)/$H101*OFFSET(ORÇAMENTO!$X$15,ROW(AB101)-ROW(AB$15),0),
              ROUND(ROUND(OFFSET($P101,0,AB$13),15-13*ORÇAMENTO!$AF$7)*OFFSET(ORÇAMENTO!$W$15,ROW(AB101)-ROW(AB$15),0),15-13*ORÇAMENTO!$AF$11)),
         0)</f>
        <v>6035.4</v>
      </c>
      <c r="AC101" s="454">
        <f ca="1">IF(AND($D101="Serviço",AC$12&lt;&gt;0,$H101&gt;0,OR(AUTOEVENTO&lt;&gt;"manual",$M101&lt;&gt;$A$15)),
        IF(Import.TipoArredondamento&lt;&gt;"TransfereGOV",
              ROUND(OFFSET($P101,0,AC$13),15-13*ORÇAMENTO!$AF$7)/$H101*OFFSET(ORÇAMENTO!$X$15,ROW(AC101)-ROW(AC$15),0),
              ROUND(ROUND(OFFSET($P101,0,AC$13),15-13*ORÇAMENTO!$AF$7)*OFFSET(ORÇAMENTO!$W$15,ROW(AC101)-ROW(AC$15),0),15-13*ORÇAMENTO!$AF$11)),
         0)</f>
        <v>0</v>
      </c>
      <c r="AD101" s="454">
        <f ca="1">IF(AND($D101="Serviço",AD$12&lt;&gt;0,$H101&gt;0,OR(AUTOEVENTO&lt;&gt;"manual",$M101&lt;&gt;$A$15)),
        IF(Import.TipoArredondamento&lt;&gt;"TransfereGOV",
              ROUND(OFFSET($P101,0,AD$13),15-13*ORÇAMENTO!$AF$7)/$H101*OFFSET(ORÇAMENTO!$X$15,ROW(AD101)-ROW(AD$15),0),
              ROUND(ROUND(OFFSET($P101,0,AD$13),15-13*ORÇAMENTO!$AF$7)*OFFSET(ORÇAMENTO!$W$15,ROW(AD101)-ROW(AD$15),0),15-13*ORÇAMENTO!$AF$11)),
         0)</f>
        <v>0</v>
      </c>
      <c r="AE101" s="454">
        <f ca="1">IF(AND($D101="Serviço",AE$12&lt;&gt;0,$H101&gt;0,OR(AUTOEVENTO&lt;&gt;"manual",$M101&lt;&gt;$A$15)),
        IF(Import.TipoArredondamento&lt;&gt;"TransfereGOV",
              ROUND(OFFSET($P101,0,AE$13),15-13*ORÇAMENTO!$AF$7)/$H101*OFFSET(ORÇAMENTO!$X$15,ROW(AE101)-ROW(AE$15),0),
              ROUND(ROUND(OFFSET($P101,0,AE$13),15-13*ORÇAMENTO!$AF$7)*OFFSET(ORÇAMENTO!$W$15,ROW(AE101)-ROW(AE$15),0),15-13*ORÇAMENTO!$AF$11)),
         0)</f>
        <v>0</v>
      </c>
      <c r="AF101" s="454">
        <f ca="1">IF(AND($D101="Serviço",AF$12&lt;&gt;0,$H101&gt;0,OR(AUTOEVENTO&lt;&gt;"manual",$M101&lt;&gt;$A$15)),
        IF(Import.TipoArredondamento&lt;&gt;"TransfereGOV",
              ROUND(OFFSET($P101,0,AF$13),15-13*ORÇAMENTO!$AF$7)/$H101*OFFSET(ORÇAMENTO!$X$15,ROW(AF101)-ROW(AF$15),0),
              ROUND(ROUND(OFFSET($P101,0,AF$13),15-13*ORÇAMENTO!$AF$7)*OFFSET(ORÇAMENTO!$W$15,ROW(AF101)-ROW(AF$15),0),15-13*ORÇAMENTO!$AF$11)),
         0)</f>
        <v>0</v>
      </c>
      <c r="AG101" s="454">
        <f ca="1">IF(AND($D101="Serviço",AG$12&lt;&gt;0,$H101&gt;0,OR(AUTOEVENTO&lt;&gt;"manual",$M101&lt;&gt;$A$15)),
        IF(Import.TipoArredondamento&lt;&gt;"TransfereGOV",
              ROUND(OFFSET($P101,0,AG$13),15-13*ORÇAMENTO!$AF$7)/$H101*OFFSET(ORÇAMENTO!$X$15,ROW(AG101)-ROW(AG$15),0),
              ROUND(ROUND(OFFSET($P101,0,AG$13),15-13*ORÇAMENTO!$AF$7)*OFFSET(ORÇAMENTO!$W$15,ROW(AG101)-ROW(AG$15),0),15-13*ORÇAMENTO!$AF$11)),
         0)</f>
        <v>0</v>
      </c>
      <c r="AH101" s="454">
        <f ca="1">IF(AND($D101="Serviço",AH$12&lt;&gt;0,$H101&gt;0,OR(AUTOEVENTO&lt;&gt;"manual",$M101&lt;&gt;$A$15)),
        IF(Import.TipoArredondamento&lt;&gt;"TransfereGOV",
              ROUND(OFFSET($P101,0,AH$13),15-13*ORÇAMENTO!$AF$7)/$H101*OFFSET(ORÇAMENTO!$X$15,ROW(AH101)-ROW(AH$15),0),
              ROUND(ROUND(OFFSET($P101,0,AH$13),15-13*ORÇAMENTO!$AF$7)*OFFSET(ORÇAMENTO!$W$15,ROW(AH101)-ROW(AH$15),0),15-13*ORÇAMENTO!$AF$11)),
         0)</f>
        <v>0</v>
      </c>
      <c r="AI101" s="454">
        <f ca="1">IF(AND($D101="Serviço",AI$12&lt;&gt;0,$H101&gt;0,OR(AUTOEVENTO&lt;&gt;"manual",$M101&lt;&gt;$A$15)),
        IF(Import.TipoArredondamento&lt;&gt;"TransfereGOV",
              ROUND(OFFSET($P101,0,AI$13),15-13*ORÇAMENTO!$AF$7)/$H101*OFFSET(ORÇAMENTO!$X$15,ROW(AI101)-ROW(AI$15),0),
              ROUND(ROUND(OFFSET($P101,0,AI$13),15-13*ORÇAMENTO!$AF$7)*OFFSET(ORÇAMENTO!$W$15,ROW(AI101)-ROW(AI$15),0),15-13*ORÇAMENTO!$AF$11)),
         0)</f>
        <v>0</v>
      </c>
      <c r="AJ101" s="454">
        <f ca="1">IF(AND($D101="Serviço",AJ$12&lt;&gt;0,$H101&gt;0,OR(AUTOEVENTO&lt;&gt;"manual",$M101&lt;&gt;$A$15)),
        IF(Import.TipoArredondamento&lt;&gt;"TransfereGOV",
              ROUND(OFFSET($P101,0,AJ$13),15-13*ORÇAMENTO!$AF$7)/$H101*OFFSET(ORÇAMENTO!$X$15,ROW(AJ101)-ROW(AJ$15),0),
              ROUND(ROUND(OFFSET($P101,0,AJ$13),15-13*ORÇAMENTO!$AF$7)*OFFSET(ORÇAMENTO!$W$15,ROW(AJ101)-ROW(AJ$15),0),15-13*ORÇAMENTO!$AF$11)),
         0)</f>
        <v>0</v>
      </c>
      <c r="AK101" s="454">
        <f ca="1">IF(AND($D101="Serviço",AK$12&lt;&gt;0,$H101&gt;0,OR(AUTOEVENTO&lt;&gt;"manual",$M101&lt;&gt;$A$15)),
        IF(Import.TipoArredondamento&lt;&gt;"TransfereGOV",
              ROUND(OFFSET($P101,0,AK$13),15-13*ORÇAMENTO!$AF$7)/$H101*OFFSET(ORÇAMENTO!$X$15,ROW(AK101)-ROW(AK$15),0),
              ROUND(ROUND(OFFSET($P101,0,AK$13),15-13*ORÇAMENTO!$AF$7)*OFFSET(ORÇAMENTO!$W$15,ROW(AK101)-ROW(AK$15),0),15-13*ORÇAMENTO!$AF$11)),
         0)</f>
        <v>0</v>
      </c>
      <c r="AM101" s="172">
        <f ca="1">IF(OR($D101&lt;&gt;"Serviço",AND(AUTOEVENTO="Manual",$M101=$A$15)),0,
         IF(OFFSET(CRONOPLE!$F$15,$M101-$A$15,AM$13)=0,10^12,OFFSET(CRONOPLE!$F$15,$M101-$A$15,AM$13)))</f>
        <v>1</v>
      </c>
      <c r="AN101" s="172">
        <f ca="1">IF(OR($D101&lt;&gt;"Serviço",AND(AUTOEVENTO="Manual",$M101=$A$15)),0,
         IF(OFFSET(CRONOPLE!$F$15,$M101-$A$15,AN$13)=0,10^12,OFFSET(CRONOPLE!$F$15,$M101-$A$15,AN$13)))</f>
        <v>1000000000000</v>
      </c>
      <c r="AO101" s="172">
        <f ca="1">IF(OR($D101&lt;&gt;"Serviço",AND(AUTOEVENTO="Manual",$M101=$A$15)),0,
         IF(OFFSET(CRONOPLE!$F$15,$M101-$A$15,AO$13)=0,10^12,OFFSET(CRONOPLE!$F$15,$M101-$A$15,AO$13)))</f>
        <v>1000000000000</v>
      </c>
      <c r="AP101" s="172">
        <f ca="1">IF(OR($D101&lt;&gt;"Serviço",AND(AUTOEVENTO="Manual",$M101=$A$15)),0,
         IF(OFFSET(CRONOPLE!$F$15,$M101-$A$15,AP$13)=0,10^12,OFFSET(CRONOPLE!$F$15,$M101-$A$15,AP$13)))</f>
        <v>1000000000000</v>
      </c>
      <c r="AQ101" s="172">
        <f ca="1">IF(OR($D101&lt;&gt;"Serviço",AND(AUTOEVENTO="Manual",$M101=$A$15)),0,
         IF(OFFSET(CRONOPLE!$F$15,$M101-$A$15,AQ$13)=0,10^12,OFFSET(CRONOPLE!$F$15,$M101-$A$15,AQ$13)))</f>
        <v>1000000000000</v>
      </c>
      <c r="AR101" s="172">
        <f ca="1">IF(OR($D101&lt;&gt;"Serviço",AND(AUTOEVENTO="Manual",$M101=$A$15)),0,
         IF(OFFSET(CRONOPLE!$F$15,$M101-$A$15,AR$13)=0,10^12,OFFSET(CRONOPLE!$F$15,$M101-$A$15,AR$13)))</f>
        <v>1000000000000</v>
      </c>
      <c r="AS101" s="172">
        <f ca="1">IF(OR($D101&lt;&gt;"Serviço",AND(AUTOEVENTO="Manual",$M101=$A$15)),0,
         IF(OFFSET(CRONOPLE!$F$15,$M101-$A$15,AS$13)=0,10^12,OFFSET(CRONOPLE!$F$15,$M101-$A$15,AS$13)))</f>
        <v>1000000000000</v>
      </c>
      <c r="AT101" s="172">
        <f ca="1">IF(OR($D101&lt;&gt;"Serviço",AND(AUTOEVENTO="Manual",$M101=$A$15)),0,
         IF(OFFSET(CRONOPLE!$F$15,$M101-$A$15,AT$13)=0,10^12,OFFSET(CRONOPLE!$F$15,$M101-$A$15,AT$13)))</f>
        <v>1000000000000</v>
      </c>
      <c r="AU101" s="172">
        <f ca="1">IF(OR($D101&lt;&gt;"Serviço",AND(AUTOEVENTO="Manual",$M101=$A$15)),0,
         IF(OFFSET(CRONOPLE!$F$15,$M101-$A$15,AU$13)=0,10^12,OFFSET(CRONOPLE!$F$15,$M101-$A$15,AU$13)))</f>
        <v>1000000000000</v>
      </c>
      <c r="AV101" s="172">
        <f ca="1">IF(OR($D101&lt;&gt;"Serviço",AND(AUTOEVENTO="Manual",$M101=$A$15)),0,
         IF(OFFSET(CRONOPLE!$F$15,$M101-$A$15,AV$13)=0,10^12,OFFSET(CRONOPLE!$F$15,$M101-$A$15,AV$13)))</f>
        <v>1000000000000</v>
      </c>
      <c r="AX101" s="173">
        <f ca="1">IF(OR($D101&lt;&gt;"Serviço",AND(AUTOEVENTO="Manual",$M101=$A$15),$M101&gt;(ROW(PLE.lastrow)-ROW(PLE.firstrow))),0,
           IF(OFFSET(PLE!$G$15,$M101-$A$15,AX$13)="",10^12,OFFSET(PLE!$G$15,$M101-$A$15,AX$13)))</f>
        <v>1000000000000</v>
      </c>
      <c r="AY101" s="173">
        <f ca="1">IF(OR($D101&lt;&gt;"Serviço",AND(AUTOEVENTO="Manual",$M101=$A$15),$M101&gt;(ROW(PLE.lastrow)-ROW(PLE.firstrow))),0,
           IF(OFFSET(PLE!$G$15,$M101-$A$15,AY$13)="",10^12,OFFSET(PLE!$G$15,$M101-$A$15,AY$13)))</f>
        <v>1000000000000</v>
      </c>
      <c r="AZ101" s="173">
        <f ca="1">IF(OR($D101&lt;&gt;"Serviço",AND(AUTOEVENTO="Manual",$M101=$A$15),$M101&gt;(ROW(PLE.lastrow)-ROW(PLE.firstrow))),0,
           IF(OFFSET(PLE!$G$15,$M101-$A$15,AZ$13)="",10^12,OFFSET(PLE!$G$15,$M101-$A$15,AZ$13)))</f>
        <v>1000000000000</v>
      </c>
      <c r="BA101" s="173">
        <f ca="1">IF(OR($D101&lt;&gt;"Serviço",AND(AUTOEVENTO="Manual",$M101=$A$15),$M101&gt;(ROW(PLE.lastrow)-ROW(PLE.firstrow))),0,
           IF(OFFSET(PLE!$G$15,$M101-$A$15,BA$13)="",10^12,OFFSET(PLE!$G$15,$M101-$A$15,BA$13)))</f>
        <v>1000000000000</v>
      </c>
      <c r="BB101" s="173">
        <f ca="1">IF(OR($D101&lt;&gt;"Serviço",AND(AUTOEVENTO="Manual",$M101=$A$15),$M101&gt;(ROW(PLE.lastrow)-ROW(PLE.firstrow))),0,
           IF(OFFSET(PLE!$G$15,$M101-$A$15,BB$13)="",10^12,OFFSET(PLE!$G$15,$M101-$A$15,BB$13)))</f>
        <v>1000000000000</v>
      </c>
      <c r="BC101" s="173">
        <f ca="1">IF(OR($D101&lt;&gt;"Serviço",AND(AUTOEVENTO="Manual",$M101=$A$15),$M101&gt;(ROW(PLE.lastrow)-ROW(PLE.firstrow))),0,
           IF(OFFSET(PLE!$G$15,$M101-$A$15,BC$13)="",10^12,OFFSET(PLE!$G$15,$M101-$A$15,BC$13)))</f>
        <v>1000000000000</v>
      </c>
      <c r="BD101" s="173">
        <f ca="1">IF(OR($D101&lt;&gt;"Serviço",AND(AUTOEVENTO="Manual",$M101=$A$15),$M101&gt;(ROW(PLE.lastrow)-ROW(PLE.firstrow))),0,
           IF(OFFSET(PLE!$G$15,$M101-$A$15,BD$13)="",10^12,OFFSET(PLE!$G$15,$M101-$A$15,BD$13)))</f>
        <v>1000000000000</v>
      </c>
      <c r="BE101" s="173">
        <f ca="1">IF(OR($D101&lt;&gt;"Serviço",AND(AUTOEVENTO="Manual",$M101=$A$15),$M101&gt;(ROW(PLE.lastrow)-ROW(PLE.firstrow))),0,
           IF(OFFSET(PLE!$G$15,$M101-$A$15,BE$13)="",10^12,OFFSET(PLE!$G$15,$M101-$A$15,BE$13)))</f>
        <v>1000000000000</v>
      </c>
      <c r="BF101" s="173">
        <f ca="1">IF(OR($D101&lt;&gt;"Serviço",AND(AUTOEVENTO="Manual",$M101=$A$15),$M101&gt;(ROW(PLE.lastrow)-ROW(PLE.firstrow))),0,
           IF(OFFSET(PLE!$G$15,$M101-$A$15,BF$13)="",10^12,OFFSET(PLE!$G$15,$M101-$A$15,BF$13)))</f>
        <v>1000000000000</v>
      </c>
      <c r="BG101" s="173">
        <f ca="1">IF(OR($D101&lt;&gt;"Serviço",AND(AUTOEVENTO="Manual",$M101=$A$15),$M101&gt;(ROW(PLE.lastrow)-ROW(PLE.firstrow))),0,
           IF(OFFSET(PLE!$G$15,$M101-$A$15,BG$13)="",10^12,OFFSET(PLE!$G$15,$M101-$A$15,BG$13)))</f>
        <v>1000000000000</v>
      </c>
    </row>
    <row r="102" spans="1:59" ht="12.75" x14ac:dyDescent="0.2">
      <c r="A102" s="7" t="str">
        <f t="shared" ca="1" si="10"/>
        <v>72</v>
      </c>
      <c r="B102" s="7" t="str">
        <f ca="1">OFFSET(ORÇAMENTO!C$15,ROW(B102)-ROW(B$15),0)</f>
        <v>S</v>
      </c>
      <c r="C102" s="7" t="str">
        <f ca="1">OFFSET(ORÇAMENTO!L$15,ROW(C102)-ROW(C$15),0)</f>
        <v>F</v>
      </c>
      <c r="D102" s="117" t="str">
        <f ca="1">OFFSET(ORÇAMENTO!N$15,ROW(D102)-ROW(D$15),0)</f>
        <v>Serviço</v>
      </c>
      <c r="E102" s="118" t="str">
        <f ca="1">OFFSET(ORÇAMENTO!O$15,ROW(E102)-ROW(E$15),0)</f>
        <v>1.7.15.</v>
      </c>
      <c r="F102" s="164" t="str">
        <f ca="1">OFFSET(ORÇAMENTO!R$15,ROW(F102)-ROW(F$15),0)</f>
        <v>AJUDANTE DE PEDREIRO COM ENCARGOS COMPLEMENTARES</v>
      </c>
      <c r="G102" s="165" t="str">
        <f ca="1">IF($D102&lt;&gt;"Serviço","",OFFSET(ORÇAMENTO!S$15,ROW(G102)-ROW(G$15),0))</f>
        <v>H</v>
      </c>
      <c r="H102" s="123">
        <f ca="1">IF($D102&lt;&gt;"Serviço",0,IF(ACOMPANHAMENTO="BM",ROUND(OFFSET(ORÇAMENTO!AJ$15,ROW(H102)-ROW(H$15),0),15-13*ORÇAMENTO!$AF$7),SUMPRODUCT(($Q$1:$AA$1=1)*ROUND($Q102:$AA102,15-13*ORÇAMENTO!$AF$7))))</f>
        <v>180</v>
      </c>
      <c r="I102" s="469" t="s">
        <v>1062</v>
      </c>
      <c r="J102" s="663" t="str">
        <f ca="1">IF(OR(B102&lt;&gt;"S",CÁLCULO.FrentesPreenchidas=0),"",IF(AND(ACOMPANHAMENTO="PLE",AUTOEVENTO="Manual",OR(H102&gt;0,ORÇAMENTO!AC102="QUANT."),OR(K102="",M102=0,N102="")),"►",IF(AND(ACOMPANHAMENTO="PLE",ORÇAMENTO!AC102="QUANT."),"►►",IF(AND(COUNTIF($P$11:$AA$11,"▼")=0,H102&gt;0,I102=""),"◄",""))))</f>
        <v/>
      </c>
      <c r="K102" s="664"/>
      <c r="L102" s="166" t="s">
        <v>765</v>
      </c>
      <c r="M102" s="167">
        <f ca="1">IF($D102&lt;&gt;"Serviço","",
          IF(AUTOEVENTO="manual",$A102,
                IF(ISERROR(MATCH($A102,$A$15:OFFSET($A102,-1,0),0)),MAX($M$15:OFFSET(M102,-1,0))+1,
                      INDEX($M$15:OFFSET(M102,-1,0),MATCH($A102,$A$15:OFFSET($A102,-1,0),0)))))</f>
        <v>7</v>
      </c>
      <c r="N102" s="168" t="str">
        <f ca="1">IF($D102&lt;&gt;"Serviço","",
         IF(AUTOEVENTO="Manual",
                IF($A102=0,"&lt;-- defina o número do agrupador",
                       OFFSET(EVENTOS!$D$15,$A102-$A$15,0)),
                OFFSET($F$15,$A102,0)))</f>
        <v>MURRO DE ARRIMO</v>
      </c>
      <c r="O102" s="169"/>
      <c r="Q102" s="169">
        <v>180</v>
      </c>
      <c r="R102" s="170"/>
      <c r="S102" s="170"/>
      <c r="T102" s="170"/>
      <c r="U102" s="170"/>
      <c r="V102" s="170"/>
      <c r="W102" s="170"/>
      <c r="X102" s="170"/>
      <c r="Y102" s="170"/>
      <c r="Z102" s="171"/>
      <c r="AB102" s="454">
        <f ca="1">IF(AND($D102="Serviço",AB$12&lt;&gt;0,$H102&gt;0,OR(AUTOEVENTO&lt;&gt;"manual",$M102&lt;&gt;$A$15)),
        IF(Import.TipoArredondamento&lt;&gt;"TransfereGOV",
              ROUND(OFFSET($P102,0,AB$13),15-13*ORÇAMENTO!$AF$7)/$H102*OFFSET(ORÇAMENTO!$X$15,ROW(AB102)-ROW(AB$15),0),
              ROUND(ROUND(OFFSET($P102,0,AB$13),15-13*ORÇAMENTO!$AF$7)*OFFSET(ORÇAMENTO!$W$15,ROW(AB102)-ROW(AB$15),0),15-13*ORÇAMENTO!$AF$11)),
         0)</f>
        <v>5279.4</v>
      </c>
      <c r="AC102" s="454">
        <f ca="1">IF(AND($D102="Serviço",AC$12&lt;&gt;0,$H102&gt;0,OR(AUTOEVENTO&lt;&gt;"manual",$M102&lt;&gt;$A$15)),
        IF(Import.TipoArredondamento&lt;&gt;"TransfereGOV",
              ROUND(OFFSET($P102,0,AC$13),15-13*ORÇAMENTO!$AF$7)/$H102*OFFSET(ORÇAMENTO!$X$15,ROW(AC102)-ROW(AC$15),0),
              ROUND(ROUND(OFFSET($P102,0,AC$13),15-13*ORÇAMENTO!$AF$7)*OFFSET(ORÇAMENTO!$W$15,ROW(AC102)-ROW(AC$15),0),15-13*ORÇAMENTO!$AF$11)),
         0)</f>
        <v>0</v>
      </c>
      <c r="AD102" s="454">
        <f ca="1">IF(AND($D102="Serviço",AD$12&lt;&gt;0,$H102&gt;0,OR(AUTOEVENTO&lt;&gt;"manual",$M102&lt;&gt;$A$15)),
        IF(Import.TipoArredondamento&lt;&gt;"TransfereGOV",
              ROUND(OFFSET($P102,0,AD$13),15-13*ORÇAMENTO!$AF$7)/$H102*OFFSET(ORÇAMENTO!$X$15,ROW(AD102)-ROW(AD$15),0),
              ROUND(ROUND(OFFSET($P102,0,AD$13),15-13*ORÇAMENTO!$AF$7)*OFFSET(ORÇAMENTO!$W$15,ROW(AD102)-ROW(AD$15),0),15-13*ORÇAMENTO!$AF$11)),
         0)</f>
        <v>0</v>
      </c>
      <c r="AE102" s="454">
        <f ca="1">IF(AND($D102="Serviço",AE$12&lt;&gt;0,$H102&gt;0,OR(AUTOEVENTO&lt;&gt;"manual",$M102&lt;&gt;$A$15)),
        IF(Import.TipoArredondamento&lt;&gt;"TransfereGOV",
              ROUND(OFFSET($P102,0,AE$13),15-13*ORÇAMENTO!$AF$7)/$H102*OFFSET(ORÇAMENTO!$X$15,ROW(AE102)-ROW(AE$15),0),
              ROUND(ROUND(OFFSET($P102,0,AE$13),15-13*ORÇAMENTO!$AF$7)*OFFSET(ORÇAMENTO!$W$15,ROW(AE102)-ROW(AE$15),0),15-13*ORÇAMENTO!$AF$11)),
         0)</f>
        <v>0</v>
      </c>
      <c r="AF102" s="454">
        <f ca="1">IF(AND($D102="Serviço",AF$12&lt;&gt;0,$H102&gt;0,OR(AUTOEVENTO&lt;&gt;"manual",$M102&lt;&gt;$A$15)),
        IF(Import.TipoArredondamento&lt;&gt;"TransfereGOV",
              ROUND(OFFSET($P102,0,AF$13),15-13*ORÇAMENTO!$AF$7)/$H102*OFFSET(ORÇAMENTO!$X$15,ROW(AF102)-ROW(AF$15),0),
              ROUND(ROUND(OFFSET($P102,0,AF$13),15-13*ORÇAMENTO!$AF$7)*OFFSET(ORÇAMENTO!$W$15,ROW(AF102)-ROW(AF$15),0),15-13*ORÇAMENTO!$AF$11)),
         0)</f>
        <v>0</v>
      </c>
      <c r="AG102" s="454">
        <f ca="1">IF(AND($D102="Serviço",AG$12&lt;&gt;0,$H102&gt;0,OR(AUTOEVENTO&lt;&gt;"manual",$M102&lt;&gt;$A$15)),
        IF(Import.TipoArredondamento&lt;&gt;"TransfereGOV",
              ROUND(OFFSET($P102,0,AG$13),15-13*ORÇAMENTO!$AF$7)/$H102*OFFSET(ORÇAMENTO!$X$15,ROW(AG102)-ROW(AG$15),0),
              ROUND(ROUND(OFFSET($P102,0,AG$13),15-13*ORÇAMENTO!$AF$7)*OFFSET(ORÇAMENTO!$W$15,ROW(AG102)-ROW(AG$15),0),15-13*ORÇAMENTO!$AF$11)),
         0)</f>
        <v>0</v>
      </c>
      <c r="AH102" s="454">
        <f ca="1">IF(AND($D102="Serviço",AH$12&lt;&gt;0,$H102&gt;0,OR(AUTOEVENTO&lt;&gt;"manual",$M102&lt;&gt;$A$15)),
        IF(Import.TipoArredondamento&lt;&gt;"TransfereGOV",
              ROUND(OFFSET($P102,0,AH$13),15-13*ORÇAMENTO!$AF$7)/$H102*OFFSET(ORÇAMENTO!$X$15,ROW(AH102)-ROW(AH$15),0),
              ROUND(ROUND(OFFSET($P102,0,AH$13),15-13*ORÇAMENTO!$AF$7)*OFFSET(ORÇAMENTO!$W$15,ROW(AH102)-ROW(AH$15),0),15-13*ORÇAMENTO!$AF$11)),
         0)</f>
        <v>0</v>
      </c>
      <c r="AI102" s="454">
        <f ca="1">IF(AND($D102="Serviço",AI$12&lt;&gt;0,$H102&gt;0,OR(AUTOEVENTO&lt;&gt;"manual",$M102&lt;&gt;$A$15)),
        IF(Import.TipoArredondamento&lt;&gt;"TransfereGOV",
              ROUND(OFFSET($P102,0,AI$13),15-13*ORÇAMENTO!$AF$7)/$H102*OFFSET(ORÇAMENTO!$X$15,ROW(AI102)-ROW(AI$15),0),
              ROUND(ROUND(OFFSET($P102,0,AI$13),15-13*ORÇAMENTO!$AF$7)*OFFSET(ORÇAMENTO!$W$15,ROW(AI102)-ROW(AI$15),0),15-13*ORÇAMENTO!$AF$11)),
         0)</f>
        <v>0</v>
      </c>
      <c r="AJ102" s="454">
        <f ca="1">IF(AND($D102="Serviço",AJ$12&lt;&gt;0,$H102&gt;0,OR(AUTOEVENTO&lt;&gt;"manual",$M102&lt;&gt;$A$15)),
        IF(Import.TipoArredondamento&lt;&gt;"TransfereGOV",
              ROUND(OFFSET($P102,0,AJ$13),15-13*ORÇAMENTO!$AF$7)/$H102*OFFSET(ORÇAMENTO!$X$15,ROW(AJ102)-ROW(AJ$15),0),
              ROUND(ROUND(OFFSET($P102,0,AJ$13),15-13*ORÇAMENTO!$AF$7)*OFFSET(ORÇAMENTO!$W$15,ROW(AJ102)-ROW(AJ$15),0),15-13*ORÇAMENTO!$AF$11)),
         0)</f>
        <v>0</v>
      </c>
      <c r="AK102" s="454">
        <f ca="1">IF(AND($D102="Serviço",AK$12&lt;&gt;0,$H102&gt;0,OR(AUTOEVENTO&lt;&gt;"manual",$M102&lt;&gt;$A$15)),
        IF(Import.TipoArredondamento&lt;&gt;"TransfereGOV",
              ROUND(OFFSET($P102,0,AK$13),15-13*ORÇAMENTO!$AF$7)/$H102*OFFSET(ORÇAMENTO!$X$15,ROW(AK102)-ROW(AK$15),0),
              ROUND(ROUND(OFFSET($P102,0,AK$13),15-13*ORÇAMENTO!$AF$7)*OFFSET(ORÇAMENTO!$W$15,ROW(AK102)-ROW(AK$15),0),15-13*ORÇAMENTO!$AF$11)),
         0)</f>
        <v>0</v>
      </c>
      <c r="AM102" s="172">
        <f ca="1">IF(OR($D102&lt;&gt;"Serviço",AND(AUTOEVENTO="Manual",$M102=$A$15)),0,
         IF(OFFSET(CRONOPLE!$F$15,$M102-$A$15,AM$13)=0,10^12,OFFSET(CRONOPLE!$F$15,$M102-$A$15,AM$13)))</f>
        <v>1</v>
      </c>
      <c r="AN102" s="172">
        <f ca="1">IF(OR($D102&lt;&gt;"Serviço",AND(AUTOEVENTO="Manual",$M102=$A$15)),0,
         IF(OFFSET(CRONOPLE!$F$15,$M102-$A$15,AN$13)=0,10^12,OFFSET(CRONOPLE!$F$15,$M102-$A$15,AN$13)))</f>
        <v>1000000000000</v>
      </c>
      <c r="AO102" s="172">
        <f ca="1">IF(OR($D102&lt;&gt;"Serviço",AND(AUTOEVENTO="Manual",$M102=$A$15)),0,
         IF(OFFSET(CRONOPLE!$F$15,$M102-$A$15,AO$13)=0,10^12,OFFSET(CRONOPLE!$F$15,$M102-$A$15,AO$13)))</f>
        <v>1000000000000</v>
      </c>
      <c r="AP102" s="172">
        <f ca="1">IF(OR($D102&lt;&gt;"Serviço",AND(AUTOEVENTO="Manual",$M102=$A$15)),0,
         IF(OFFSET(CRONOPLE!$F$15,$M102-$A$15,AP$13)=0,10^12,OFFSET(CRONOPLE!$F$15,$M102-$A$15,AP$13)))</f>
        <v>1000000000000</v>
      </c>
      <c r="AQ102" s="172">
        <f ca="1">IF(OR($D102&lt;&gt;"Serviço",AND(AUTOEVENTO="Manual",$M102=$A$15)),0,
         IF(OFFSET(CRONOPLE!$F$15,$M102-$A$15,AQ$13)=0,10^12,OFFSET(CRONOPLE!$F$15,$M102-$A$15,AQ$13)))</f>
        <v>1000000000000</v>
      </c>
      <c r="AR102" s="172">
        <f ca="1">IF(OR($D102&lt;&gt;"Serviço",AND(AUTOEVENTO="Manual",$M102=$A$15)),0,
         IF(OFFSET(CRONOPLE!$F$15,$M102-$A$15,AR$13)=0,10^12,OFFSET(CRONOPLE!$F$15,$M102-$A$15,AR$13)))</f>
        <v>1000000000000</v>
      </c>
      <c r="AS102" s="172">
        <f ca="1">IF(OR($D102&lt;&gt;"Serviço",AND(AUTOEVENTO="Manual",$M102=$A$15)),0,
         IF(OFFSET(CRONOPLE!$F$15,$M102-$A$15,AS$13)=0,10^12,OFFSET(CRONOPLE!$F$15,$M102-$A$15,AS$13)))</f>
        <v>1000000000000</v>
      </c>
      <c r="AT102" s="172">
        <f ca="1">IF(OR($D102&lt;&gt;"Serviço",AND(AUTOEVENTO="Manual",$M102=$A$15)),0,
         IF(OFFSET(CRONOPLE!$F$15,$M102-$A$15,AT$13)=0,10^12,OFFSET(CRONOPLE!$F$15,$M102-$A$15,AT$13)))</f>
        <v>1000000000000</v>
      </c>
      <c r="AU102" s="172">
        <f ca="1">IF(OR($D102&lt;&gt;"Serviço",AND(AUTOEVENTO="Manual",$M102=$A$15)),0,
         IF(OFFSET(CRONOPLE!$F$15,$M102-$A$15,AU$13)=0,10^12,OFFSET(CRONOPLE!$F$15,$M102-$A$15,AU$13)))</f>
        <v>1000000000000</v>
      </c>
      <c r="AV102" s="172">
        <f ca="1">IF(OR($D102&lt;&gt;"Serviço",AND(AUTOEVENTO="Manual",$M102=$A$15)),0,
         IF(OFFSET(CRONOPLE!$F$15,$M102-$A$15,AV$13)=0,10^12,OFFSET(CRONOPLE!$F$15,$M102-$A$15,AV$13)))</f>
        <v>1000000000000</v>
      </c>
      <c r="AX102" s="173">
        <f ca="1">IF(OR($D102&lt;&gt;"Serviço",AND(AUTOEVENTO="Manual",$M102=$A$15),$M102&gt;(ROW(PLE.lastrow)-ROW(PLE.firstrow))),0,
           IF(OFFSET(PLE!$G$15,$M102-$A$15,AX$13)="",10^12,OFFSET(PLE!$G$15,$M102-$A$15,AX$13)))</f>
        <v>1000000000000</v>
      </c>
      <c r="AY102" s="173">
        <f ca="1">IF(OR($D102&lt;&gt;"Serviço",AND(AUTOEVENTO="Manual",$M102=$A$15),$M102&gt;(ROW(PLE.lastrow)-ROW(PLE.firstrow))),0,
           IF(OFFSET(PLE!$G$15,$M102-$A$15,AY$13)="",10^12,OFFSET(PLE!$G$15,$M102-$A$15,AY$13)))</f>
        <v>1000000000000</v>
      </c>
      <c r="AZ102" s="173">
        <f ca="1">IF(OR($D102&lt;&gt;"Serviço",AND(AUTOEVENTO="Manual",$M102=$A$15),$M102&gt;(ROW(PLE.lastrow)-ROW(PLE.firstrow))),0,
           IF(OFFSET(PLE!$G$15,$M102-$A$15,AZ$13)="",10^12,OFFSET(PLE!$G$15,$M102-$A$15,AZ$13)))</f>
        <v>1000000000000</v>
      </c>
      <c r="BA102" s="173">
        <f ca="1">IF(OR($D102&lt;&gt;"Serviço",AND(AUTOEVENTO="Manual",$M102=$A$15),$M102&gt;(ROW(PLE.lastrow)-ROW(PLE.firstrow))),0,
           IF(OFFSET(PLE!$G$15,$M102-$A$15,BA$13)="",10^12,OFFSET(PLE!$G$15,$M102-$A$15,BA$13)))</f>
        <v>1000000000000</v>
      </c>
      <c r="BB102" s="173">
        <f ca="1">IF(OR($D102&lt;&gt;"Serviço",AND(AUTOEVENTO="Manual",$M102=$A$15),$M102&gt;(ROW(PLE.lastrow)-ROW(PLE.firstrow))),0,
           IF(OFFSET(PLE!$G$15,$M102-$A$15,BB$13)="",10^12,OFFSET(PLE!$G$15,$M102-$A$15,BB$13)))</f>
        <v>1000000000000</v>
      </c>
      <c r="BC102" s="173">
        <f ca="1">IF(OR($D102&lt;&gt;"Serviço",AND(AUTOEVENTO="Manual",$M102=$A$15),$M102&gt;(ROW(PLE.lastrow)-ROW(PLE.firstrow))),0,
           IF(OFFSET(PLE!$G$15,$M102-$A$15,BC$13)="",10^12,OFFSET(PLE!$G$15,$M102-$A$15,BC$13)))</f>
        <v>1000000000000</v>
      </c>
      <c r="BD102" s="173">
        <f ca="1">IF(OR($D102&lt;&gt;"Serviço",AND(AUTOEVENTO="Manual",$M102=$A$15),$M102&gt;(ROW(PLE.lastrow)-ROW(PLE.firstrow))),0,
           IF(OFFSET(PLE!$G$15,$M102-$A$15,BD$13)="",10^12,OFFSET(PLE!$G$15,$M102-$A$15,BD$13)))</f>
        <v>1000000000000</v>
      </c>
      <c r="BE102" s="173">
        <f ca="1">IF(OR($D102&lt;&gt;"Serviço",AND(AUTOEVENTO="Manual",$M102=$A$15),$M102&gt;(ROW(PLE.lastrow)-ROW(PLE.firstrow))),0,
           IF(OFFSET(PLE!$G$15,$M102-$A$15,BE$13)="",10^12,OFFSET(PLE!$G$15,$M102-$A$15,BE$13)))</f>
        <v>1000000000000</v>
      </c>
      <c r="BF102" s="173">
        <f ca="1">IF(OR($D102&lt;&gt;"Serviço",AND(AUTOEVENTO="Manual",$M102=$A$15),$M102&gt;(ROW(PLE.lastrow)-ROW(PLE.firstrow))),0,
           IF(OFFSET(PLE!$G$15,$M102-$A$15,BF$13)="",10^12,OFFSET(PLE!$G$15,$M102-$A$15,BF$13)))</f>
        <v>1000000000000</v>
      </c>
      <c r="BG102" s="173">
        <f ca="1">IF(OR($D102&lt;&gt;"Serviço",AND(AUTOEVENTO="Manual",$M102=$A$15),$M102&gt;(ROW(PLE.lastrow)-ROW(PLE.firstrow))),0,
           IF(OFFSET(PLE!$G$15,$M102-$A$15,BG$13)="",10^12,OFFSET(PLE!$G$15,$M102-$A$15,BG$13)))</f>
        <v>1000000000000</v>
      </c>
    </row>
    <row r="103" spans="1:59" ht="25.5" x14ac:dyDescent="0.2">
      <c r="A103" s="7" t="str">
        <f t="shared" ca="1" si="10"/>
        <v>72</v>
      </c>
      <c r="B103" s="7" t="str">
        <f ca="1">OFFSET(ORÇAMENTO!C$15,ROW(B103)-ROW(B$15),0)</f>
        <v>S</v>
      </c>
      <c r="C103" s="7" t="str">
        <f ca="1">OFFSET(ORÇAMENTO!L$15,ROW(C103)-ROW(C$15),0)</f>
        <v>F</v>
      </c>
      <c r="D103" s="117" t="str">
        <f ca="1">OFFSET(ORÇAMENTO!N$15,ROW(D103)-ROW(D$15),0)</f>
        <v>Serviço</v>
      </c>
      <c r="E103" s="118" t="str">
        <f ca="1">OFFSET(ORÇAMENTO!O$15,ROW(E103)-ROW(E$15),0)</f>
        <v>1.7.16.</v>
      </c>
      <c r="F103" s="164" t="str">
        <f ca="1">OFFSET(ORÇAMENTO!R$15,ROW(F103)-ROW(F$15),0)</f>
        <v>MANTA TERMOPLASTICA, PEAD, GEOMEMBRANA LISA, E = 0,50 MM (NBR 15352)</v>
      </c>
      <c r="G103" s="165" t="str">
        <f ca="1">IF($D103&lt;&gt;"Serviço","",OFFSET(ORÇAMENTO!S$15,ROW(G103)-ROW(G$15),0))</f>
        <v>M2</v>
      </c>
      <c r="H103" s="123">
        <f ca="1">IF($D103&lt;&gt;"Serviço",0,IF(ACOMPANHAMENTO="BM",ROUND(OFFSET(ORÇAMENTO!AJ$15,ROW(H103)-ROW(H$15),0),15-13*ORÇAMENTO!$AF$7),SUMPRODUCT(($Q$1:$AA$1=1)*ROUND($Q103:$AA103,15-13*ORÇAMENTO!$AF$7))))</f>
        <v>75</v>
      </c>
      <c r="I103" s="469" t="s">
        <v>1077</v>
      </c>
      <c r="J103" s="663" t="str">
        <f ca="1">IF(OR(B103&lt;&gt;"S",CÁLCULO.FrentesPreenchidas=0),"",IF(AND(ACOMPANHAMENTO="PLE",AUTOEVENTO="Manual",OR(H103&gt;0,ORÇAMENTO!AC103="QUANT."),OR(K103="",M103=0,N103="")),"►",IF(AND(ACOMPANHAMENTO="PLE",ORÇAMENTO!AC103="QUANT."),"►►",IF(AND(COUNTIF($P$11:$AA$11,"▼")=0,H103&gt;0,I103=""),"◄",""))))</f>
        <v/>
      </c>
      <c r="K103" s="664"/>
      <c r="L103" s="166" t="s">
        <v>765</v>
      </c>
      <c r="M103" s="167">
        <f ca="1">IF($D103&lt;&gt;"Serviço","",
          IF(AUTOEVENTO="manual",$A103,
                IF(ISERROR(MATCH($A103,$A$15:OFFSET($A103,-1,0),0)),MAX($M$15:OFFSET(M103,-1,0))+1,
                      INDEX($M$15:OFFSET(M103,-1,0),MATCH($A103,$A$15:OFFSET($A103,-1,0),0)))))</f>
        <v>7</v>
      </c>
      <c r="N103" s="168" t="str">
        <f ca="1">IF($D103&lt;&gt;"Serviço","",
         IF(AUTOEVENTO="Manual",
                IF($A103=0,"&lt;-- defina o número do agrupador",
                       OFFSET(EVENTOS!$D$15,$A103-$A$15,0)),
                OFFSET($F$15,$A103,0)))</f>
        <v>MURRO DE ARRIMO</v>
      </c>
      <c r="O103" s="169"/>
      <c r="Q103" s="169">
        <v>75</v>
      </c>
      <c r="R103" s="170"/>
      <c r="S103" s="170"/>
      <c r="T103" s="170"/>
      <c r="U103" s="170"/>
      <c r="V103" s="170"/>
      <c r="W103" s="170"/>
      <c r="X103" s="170"/>
      <c r="Y103" s="170"/>
      <c r="Z103" s="171"/>
      <c r="AB103" s="454">
        <f ca="1">IF(AND($D103="Serviço",AB$12&lt;&gt;0,$H103&gt;0,OR(AUTOEVENTO&lt;&gt;"manual",$M103&lt;&gt;$A$15)),
        IF(Import.TipoArredondamento&lt;&gt;"TransfereGOV",
              ROUND(OFFSET($P103,0,AB$13),15-13*ORÇAMENTO!$AF$7)/$H103*OFFSET(ORÇAMENTO!$X$15,ROW(AB103)-ROW(AB$15),0),
              ROUND(ROUND(OFFSET($P103,0,AB$13),15-13*ORÇAMENTO!$AF$7)*OFFSET(ORÇAMENTO!$W$15,ROW(AB103)-ROW(AB$15),0),15-13*ORÇAMENTO!$AF$11)),
         0)</f>
        <v>1264.5</v>
      </c>
      <c r="AC103" s="454">
        <f ca="1">IF(AND($D103="Serviço",AC$12&lt;&gt;0,$H103&gt;0,OR(AUTOEVENTO&lt;&gt;"manual",$M103&lt;&gt;$A$15)),
        IF(Import.TipoArredondamento&lt;&gt;"TransfereGOV",
              ROUND(OFFSET($P103,0,AC$13),15-13*ORÇAMENTO!$AF$7)/$H103*OFFSET(ORÇAMENTO!$X$15,ROW(AC103)-ROW(AC$15),0),
              ROUND(ROUND(OFFSET($P103,0,AC$13),15-13*ORÇAMENTO!$AF$7)*OFFSET(ORÇAMENTO!$W$15,ROW(AC103)-ROW(AC$15),0),15-13*ORÇAMENTO!$AF$11)),
         0)</f>
        <v>0</v>
      </c>
      <c r="AD103" s="454">
        <f ca="1">IF(AND($D103="Serviço",AD$12&lt;&gt;0,$H103&gt;0,OR(AUTOEVENTO&lt;&gt;"manual",$M103&lt;&gt;$A$15)),
        IF(Import.TipoArredondamento&lt;&gt;"TransfereGOV",
              ROUND(OFFSET($P103,0,AD$13),15-13*ORÇAMENTO!$AF$7)/$H103*OFFSET(ORÇAMENTO!$X$15,ROW(AD103)-ROW(AD$15),0),
              ROUND(ROUND(OFFSET($P103,0,AD$13),15-13*ORÇAMENTO!$AF$7)*OFFSET(ORÇAMENTO!$W$15,ROW(AD103)-ROW(AD$15),0),15-13*ORÇAMENTO!$AF$11)),
         0)</f>
        <v>0</v>
      </c>
      <c r="AE103" s="454">
        <f ca="1">IF(AND($D103="Serviço",AE$12&lt;&gt;0,$H103&gt;0,OR(AUTOEVENTO&lt;&gt;"manual",$M103&lt;&gt;$A$15)),
        IF(Import.TipoArredondamento&lt;&gt;"TransfereGOV",
              ROUND(OFFSET($P103,0,AE$13),15-13*ORÇAMENTO!$AF$7)/$H103*OFFSET(ORÇAMENTO!$X$15,ROW(AE103)-ROW(AE$15),0),
              ROUND(ROUND(OFFSET($P103,0,AE$13),15-13*ORÇAMENTO!$AF$7)*OFFSET(ORÇAMENTO!$W$15,ROW(AE103)-ROW(AE$15),0),15-13*ORÇAMENTO!$AF$11)),
         0)</f>
        <v>0</v>
      </c>
      <c r="AF103" s="454">
        <f ca="1">IF(AND($D103="Serviço",AF$12&lt;&gt;0,$H103&gt;0,OR(AUTOEVENTO&lt;&gt;"manual",$M103&lt;&gt;$A$15)),
        IF(Import.TipoArredondamento&lt;&gt;"TransfereGOV",
              ROUND(OFFSET($P103,0,AF$13),15-13*ORÇAMENTO!$AF$7)/$H103*OFFSET(ORÇAMENTO!$X$15,ROW(AF103)-ROW(AF$15),0),
              ROUND(ROUND(OFFSET($P103,0,AF$13),15-13*ORÇAMENTO!$AF$7)*OFFSET(ORÇAMENTO!$W$15,ROW(AF103)-ROW(AF$15),0),15-13*ORÇAMENTO!$AF$11)),
         0)</f>
        <v>0</v>
      </c>
      <c r="AG103" s="454">
        <f ca="1">IF(AND($D103="Serviço",AG$12&lt;&gt;0,$H103&gt;0,OR(AUTOEVENTO&lt;&gt;"manual",$M103&lt;&gt;$A$15)),
        IF(Import.TipoArredondamento&lt;&gt;"TransfereGOV",
              ROUND(OFFSET($P103,0,AG$13),15-13*ORÇAMENTO!$AF$7)/$H103*OFFSET(ORÇAMENTO!$X$15,ROW(AG103)-ROW(AG$15),0),
              ROUND(ROUND(OFFSET($P103,0,AG$13),15-13*ORÇAMENTO!$AF$7)*OFFSET(ORÇAMENTO!$W$15,ROW(AG103)-ROW(AG$15),0),15-13*ORÇAMENTO!$AF$11)),
         0)</f>
        <v>0</v>
      </c>
      <c r="AH103" s="454">
        <f ca="1">IF(AND($D103="Serviço",AH$12&lt;&gt;0,$H103&gt;0,OR(AUTOEVENTO&lt;&gt;"manual",$M103&lt;&gt;$A$15)),
        IF(Import.TipoArredondamento&lt;&gt;"TransfereGOV",
              ROUND(OFFSET($P103,0,AH$13),15-13*ORÇAMENTO!$AF$7)/$H103*OFFSET(ORÇAMENTO!$X$15,ROW(AH103)-ROW(AH$15),0),
              ROUND(ROUND(OFFSET($P103,0,AH$13),15-13*ORÇAMENTO!$AF$7)*OFFSET(ORÇAMENTO!$W$15,ROW(AH103)-ROW(AH$15),0),15-13*ORÇAMENTO!$AF$11)),
         0)</f>
        <v>0</v>
      </c>
      <c r="AI103" s="454">
        <f ca="1">IF(AND($D103="Serviço",AI$12&lt;&gt;0,$H103&gt;0,OR(AUTOEVENTO&lt;&gt;"manual",$M103&lt;&gt;$A$15)),
        IF(Import.TipoArredondamento&lt;&gt;"TransfereGOV",
              ROUND(OFFSET($P103,0,AI$13),15-13*ORÇAMENTO!$AF$7)/$H103*OFFSET(ORÇAMENTO!$X$15,ROW(AI103)-ROW(AI$15),0),
              ROUND(ROUND(OFFSET($P103,0,AI$13),15-13*ORÇAMENTO!$AF$7)*OFFSET(ORÇAMENTO!$W$15,ROW(AI103)-ROW(AI$15),0),15-13*ORÇAMENTO!$AF$11)),
         0)</f>
        <v>0</v>
      </c>
      <c r="AJ103" s="454">
        <f ca="1">IF(AND($D103="Serviço",AJ$12&lt;&gt;0,$H103&gt;0,OR(AUTOEVENTO&lt;&gt;"manual",$M103&lt;&gt;$A$15)),
        IF(Import.TipoArredondamento&lt;&gt;"TransfereGOV",
              ROUND(OFFSET($P103,0,AJ$13),15-13*ORÇAMENTO!$AF$7)/$H103*OFFSET(ORÇAMENTO!$X$15,ROW(AJ103)-ROW(AJ$15),0),
              ROUND(ROUND(OFFSET($P103,0,AJ$13),15-13*ORÇAMENTO!$AF$7)*OFFSET(ORÇAMENTO!$W$15,ROW(AJ103)-ROW(AJ$15),0),15-13*ORÇAMENTO!$AF$11)),
         0)</f>
        <v>0</v>
      </c>
      <c r="AK103" s="454">
        <f ca="1">IF(AND($D103="Serviço",AK$12&lt;&gt;0,$H103&gt;0,OR(AUTOEVENTO&lt;&gt;"manual",$M103&lt;&gt;$A$15)),
        IF(Import.TipoArredondamento&lt;&gt;"TransfereGOV",
              ROUND(OFFSET($P103,0,AK$13),15-13*ORÇAMENTO!$AF$7)/$H103*OFFSET(ORÇAMENTO!$X$15,ROW(AK103)-ROW(AK$15),0),
              ROUND(ROUND(OFFSET($P103,0,AK$13),15-13*ORÇAMENTO!$AF$7)*OFFSET(ORÇAMENTO!$W$15,ROW(AK103)-ROW(AK$15),0),15-13*ORÇAMENTO!$AF$11)),
         0)</f>
        <v>0</v>
      </c>
      <c r="AM103" s="172">
        <f ca="1">IF(OR($D103&lt;&gt;"Serviço",AND(AUTOEVENTO="Manual",$M103=$A$15)),0,
         IF(OFFSET(CRONOPLE!$F$15,$M103-$A$15,AM$13)=0,10^12,OFFSET(CRONOPLE!$F$15,$M103-$A$15,AM$13)))</f>
        <v>1</v>
      </c>
      <c r="AN103" s="172">
        <f ca="1">IF(OR($D103&lt;&gt;"Serviço",AND(AUTOEVENTO="Manual",$M103=$A$15)),0,
         IF(OFFSET(CRONOPLE!$F$15,$M103-$A$15,AN$13)=0,10^12,OFFSET(CRONOPLE!$F$15,$M103-$A$15,AN$13)))</f>
        <v>1000000000000</v>
      </c>
      <c r="AO103" s="172">
        <f ca="1">IF(OR($D103&lt;&gt;"Serviço",AND(AUTOEVENTO="Manual",$M103=$A$15)),0,
         IF(OFFSET(CRONOPLE!$F$15,$M103-$A$15,AO$13)=0,10^12,OFFSET(CRONOPLE!$F$15,$M103-$A$15,AO$13)))</f>
        <v>1000000000000</v>
      </c>
      <c r="AP103" s="172">
        <f ca="1">IF(OR($D103&lt;&gt;"Serviço",AND(AUTOEVENTO="Manual",$M103=$A$15)),0,
         IF(OFFSET(CRONOPLE!$F$15,$M103-$A$15,AP$13)=0,10^12,OFFSET(CRONOPLE!$F$15,$M103-$A$15,AP$13)))</f>
        <v>1000000000000</v>
      </c>
      <c r="AQ103" s="172">
        <f ca="1">IF(OR($D103&lt;&gt;"Serviço",AND(AUTOEVENTO="Manual",$M103=$A$15)),0,
         IF(OFFSET(CRONOPLE!$F$15,$M103-$A$15,AQ$13)=0,10^12,OFFSET(CRONOPLE!$F$15,$M103-$A$15,AQ$13)))</f>
        <v>1000000000000</v>
      </c>
      <c r="AR103" s="172">
        <f ca="1">IF(OR($D103&lt;&gt;"Serviço",AND(AUTOEVENTO="Manual",$M103=$A$15)),0,
         IF(OFFSET(CRONOPLE!$F$15,$M103-$A$15,AR$13)=0,10^12,OFFSET(CRONOPLE!$F$15,$M103-$A$15,AR$13)))</f>
        <v>1000000000000</v>
      </c>
      <c r="AS103" s="172">
        <f ca="1">IF(OR($D103&lt;&gt;"Serviço",AND(AUTOEVENTO="Manual",$M103=$A$15)),0,
         IF(OFFSET(CRONOPLE!$F$15,$M103-$A$15,AS$13)=0,10^12,OFFSET(CRONOPLE!$F$15,$M103-$A$15,AS$13)))</f>
        <v>1000000000000</v>
      </c>
      <c r="AT103" s="172">
        <f ca="1">IF(OR($D103&lt;&gt;"Serviço",AND(AUTOEVENTO="Manual",$M103=$A$15)),0,
         IF(OFFSET(CRONOPLE!$F$15,$M103-$A$15,AT$13)=0,10^12,OFFSET(CRONOPLE!$F$15,$M103-$A$15,AT$13)))</f>
        <v>1000000000000</v>
      </c>
      <c r="AU103" s="172">
        <f ca="1">IF(OR($D103&lt;&gt;"Serviço",AND(AUTOEVENTO="Manual",$M103=$A$15)),0,
         IF(OFFSET(CRONOPLE!$F$15,$M103-$A$15,AU$13)=0,10^12,OFFSET(CRONOPLE!$F$15,$M103-$A$15,AU$13)))</f>
        <v>1000000000000</v>
      </c>
      <c r="AV103" s="172">
        <f ca="1">IF(OR($D103&lt;&gt;"Serviço",AND(AUTOEVENTO="Manual",$M103=$A$15)),0,
         IF(OFFSET(CRONOPLE!$F$15,$M103-$A$15,AV$13)=0,10^12,OFFSET(CRONOPLE!$F$15,$M103-$A$15,AV$13)))</f>
        <v>1000000000000</v>
      </c>
      <c r="AX103" s="173">
        <f ca="1">IF(OR($D103&lt;&gt;"Serviço",AND(AUTOEVENTO="Manual",$M103=$A$15),$M103&gt;(ROW(PLE.lastrow)-ROW(PLE.firstrow))),0,
           IF(OFFSET(PLE!$G$15,$M103-$A$15,AX$13)="",10^12,OFFSET(PLE!$G$15,$M103-$A$15,AX$13)))</f>
        <v>1000000000000</v>
      </c>
      <c r="AY103" s="173">
        <f ca="1">IF(OR($D103&lt;&gt;"Serviço",AND(AUTOEVENTO="Manual",$M103=$A$15),$M103&gt;(ROW(PLE.lastrow)-ROW(PLE.firstrow))),0,
           IF(OFFSET(PLE!$G$15,$M103-$A$15,AY$13)="",10^12,OFFSET(PLE!$G$15,$M103-$A$15,AY$13)))</f>
        <v>1000000000000</v>
      </c>
      <c r="AZ103" s="173">
        <f ca="1">IF(OR($D103&lt;&gt;"Serviço",AND(AUTOEVENTO="Manual",$M103=$A$15),$M103&gt;(ROW(PLE.lastrow)-ROW(PLE.firstrow))),0,
           IF(OFFSET(PLE!$G$15,$M103-$A$15,AZ$13)="",10^12,OFFSET(PLE!$G$15,$M103-$A$15,AZ$13)))</f>
        <v>1000000000000</v>
      </c>
      <c r="BA103" s="173">
        <f ca="1">IF(OR($D103&lt;&gt;"Serviço",AND(AUTOEVENTO="Manual",$M103=$A$15),$M103&gt;(ROW(PLE.lastrow)-ROW(PLE.firstrow))),0,
           IF(OFFSET(PLE!$G$15,$M103-$A$15,BA$13)="",10^12,OFFSET(PLE!$G$15,$M103-$A$15,BA$13)))</f>
        <v>1000000000000</v>
      </c>
      <c r="BB103" s="173">
        <f ca="1">IF(OR($D103&lt;&gt;"Serviço",AND(AUTOEVENTO="Manual",$M103=$A$15),$M103&gt;(ROW(PLE.lastrow)-ROW(PLE.firstrow))),0,
           IF(OFFSET(PLE!$G$15,$M103-$A$15,BB$13)="",10^12,OFFSET(PLE!$G$15,$M103-$A$15,BB$13)))</f>
        <v>1000000000000</v>
      </c>
      <c r="BC103" s="173">
        <f ca="1">IF(OR($D103&lt;&gt;"Serviço",AND(AUTOEVENTO="Manual",$M103=$A$15),$M103&gt;(ROW(PLE.lastrow)-ROW(PLE.firstrow))),0,
           IF(OFFSET(PLE!$G$15,$M103-$A$15,BC$13)="",10^12,OFFSET(PLE!$G$15,$M103-$A$15,BC$13)))</f>
        <v>1000000000000</v>
      </c>
      <c r="BD103" s="173">
        <f ca="1">IF(OR($D103&lt;&gt;"Serviço",AND(AUTOEVENTO="Manual",$M103=$A$15),$M103&gt;(ROW(PLE.lastrow)-ROW(PLE.firstrow))),0,
           IF(OFFSET(PLE!$G$15,$M103-$A$15,BD$13)="",10^12,OFFSET(PLE!$G$15,$M103-$A$15,BD$13)))</f>
        <v>1000000000000</v>
      </c>
      <c r="BE103" s="173">
        <f ca="1">IF(OR($D103&lt;&gt;"Serviço",AND(AUTOEVENTO="Manual",$M103=$A$15),$M103&gt;(ROW(PLE.lastrow)-ROW(PLE.firstrow))),0,
           IF(OFFSET(PLE!$G$15,$M103-$A$15,BE$13)="",10^12,OFFSET(PLE!$G$15,$M103-$A$15,BE$13)))</f>
        <v>1000000000000</v>
      </c>
      <c r="BF103" s="173">
        <f ca="1">IF(OR($D103&lt;&gt;"Serviço",AND(AUTOEVENTO="Manual",$M103=$A$15),$M103&gt;(ROW(PLE.lastrow)-ROW(PLE.firstrow))),0,
           IF(OFFSET(PLE!$G$15,$M103-$A$15,BF$13)="",10^12,OFFSET(PLE!$G$15,$M103-$A$15,BF$13)))</f>
        <v>1000000000000</v>
      </c>
      <c r="BG103" s="173">
        <f ca="1">IF(OR($D103&lt;&gt;"Serviço",AND(AUTOEVENTO="Manual",$M103=$A$15),$M103&gt;(ROW(PLE.lastrow)-ROW(PLE.firstrow))),0,
           IF(OFFSET(PLE!$G$15,$M103-$A$15,BG$13)="",10^12,OFFSET(PLE!$G$15,$M103-$A$15,BG$13)))</f>
        <v>1000000000000</v>
      </c>
    </row>
    <row r="104" spans="1:59" ht="51" x14ac:dyDescent="0.2">
      <c r="A104" s="7" t="str">
        <f t="shared" ca="1" si="10"/>
        <v>72</v>
      </c>
      <c r="B104" s="7" t="str">
        <f ca="1">OFFSET(ORÇAMENTO!C$15,ROW(B104)-ROW(B$15),0)</f>
        <v>S</v>
      </c>
      <c r="C104" s="7" t="str">
        <f ca="1">OFFSET(ORÇAMENTO!L$15,ROW(C104)-ROW(C$15),0)</f>
        <v>F</v>
      </c>
      <c r="D104" s="117" t="str">
        <f ca="1">OFFSET(ORÇAMENTO!N$15,ROW(D104)-ROW(D$15),0)</f>
        <v>Serviço</v>
      </c>
      <c r="E104" s="118" t="str">
        <f ca="1">OFFSET(ORÇAMENTO!O$15,ROW(E104)-ROW(E$15),0)</f>
        <v>1.7.17.</v>
      </c>
      <c r="F104" s="164" t="str">
        <f ca="1">OFFSET(ORÇAMENTO!R$15,ROW(F104)-ROW(F$15),0)</f>
        <v>ATERRO MECANIZADO DE VALA COM ESCAVADEIRA HIDRÁULICA (CAPACIDADE DA CAÇAMBA: 0,8 M³ / POTÊNCIA: 111 HP), LARGURA ATÉ 2,5 M, PROFUNDIDADE DE 1,5 A 3,0 M, COM SOLO ARGILO-ARENOSO. AF_08/2023</v>
      </c>
      <c r="G104" s="165" t="str">
        <f ca="1">IF($D104&lt;&gt;"Serviço","",OFFSET(ORÇAMENTO!S$15,ROW(G104)-ROW(G$15),0))</f>
        <v>M3</v>
      </c>
      <c r="H104" s="123">
        <f ca="1">IF($D104&lt;&gt;"Serviço",0,IF(ACOMPANHAMENTO="BM",ROUND(OFFSET(ORÇAMENTO!AJ$15,ROW(H104)-ROW(H$15),0),15-13*ORÇAMENTO!$AF$7),SUMPRODUCT(($Q$1:$AA$1=1)*ROUND($Q104:$AA104,15-13*ORÇAMENTO!$AF$7))))</f>
        <v>192</v>
      </c>
      <c r="I104" s="469" t="s">
        <v>1078</v>
      </c>
      <c r="J104" s="663" t="str">
        <f ca="1">IF(OR(B104&lt;&gt;"S",CÁLCULO.FrentesPreenchidas=0),"",IF(AND(ACOMPANHAMENTO="PLE",AUTOEVENTO="Manual",OR(H104&gt;0,ORÇAMENTO!AC104="QUANT."),OR(K104="",M104=0,N104="")),"►",IF(AND(ACOMPANHAMENTO="PLE",ORÇAMENTO!AC104="QUANT."),"►►",IF(AND(COUNTIF($P$11:$AA$11,"▼")=0,H104&gt;0,I104=""),"◄",""))))</f>
        <v/>
      </c>
      <c r="K104" s="664"/>
      <c r="L104" s="166" t="s">
        <v>765</v>
      </c>
      <c r="M104" s="167">
        <f ca="1">IF($D104&lt;&gt;"Serviço","",
          IF(AUTOEVENTO="manual",$A104,
                IF(ISERROR(MATCH($A104,$A$15:OFFSET($A104,-1,0),0)),MAX($M$15:OFFSET(M104,-1,0))+1,
                      INDEX($M$15:OFFSET(M104,-1,0),MATCH($A104,$A$15:OFFSET($A104,-1,0),0)))))</f>
        <v>7</v>
      </c>
      <c r="N104" s="168" t="str">
        <f ca="1">IF($D104&lt;&gt;"Serviço","",
         IF(AUTOEVENTO="Manual",
                IF($A104=0,"&lt;-- defina o número do agrupador",
                       OFFSET(EVENTOS!$D$15,$A104-$A$15,0)),
                OFFSET($F$15,$A104,0)))</f>
        <v>MURRO DE ARRIMO</v>
      </c>
      <c r="O104" s="169"/>
      <c r="Q104" s="169">
        <v>192</v>
      </c>
      <c r="R104" s="170"/>
      <c r="S104" s="170"/>
      <c r="T104" s="170"/>
      <c r="U104" s="170"/>
      <c r="V104" s="170"/>
      <c r="W104" s="170"/>
      <c r="X104" s="170"/>
      <c r="Y104" s="170"/>
      <c r="Z104" s="171"/>
      <c r="AB104" s="454">
        <f ca="1">IF(AND($D104="Serviço",AB$12&lt;&gt;0,$H104&gt;0,OR(AUTOEVENTO&lt;&gt;"manual",$M104&lt;&gt;$A$15)),
        IF(Import.TipoArredondamento&lt;&gt;"TransfereGOV",
              ROUND(OFFSET($P104,0,AB$13),15-13*ORÇAMENTO!$AF$7)/$H104*OFFSET(ORÇAMENTO!$X$15,ROW(AB104)-ROW(AB$15),0),
              ROUND(ROUND(OFFSET($P104,0,AB$13),15-13*ORÇAMENTO!$AF$7)*OFFSET(ORÇAMENTO!$W$15,ROW(AB104)-ROW(AB$15),0),15-13*ORÇAMENTO!$AF$11)),
         0)</f>
        <v>16064.64</v>
      </c>
      <c r="AC104" s="454">
        <f ca="1">IF(AND($D104="Serviço",AC$12&lt;&gt;0,$H104&gt;0,OR(AUTOEVENTO&lt;&gt;"manual",$M104&lt;&gt;$A$15)),
        IF(Import.TipoArredondamento&lt;&gt;"TransfereGOV",
              ROUND(OFFSET($P104,0,AC$13),15-13*ORÇAMENTO!$AF$7)/$H104*OFFSET(ORÇAMENTO!$X$15,ROW(AC104)-ROW(AC$15),0),
              ROUND(ROUND(OFFSET($P104,0,AC$13),15-13*ORÇAMENTO!$AF$7)*OFFSET(ORÇAMENTO!$W$15,ROW(AC104)-ROW(AC$15),0),15-13*ORÇAMENTO!$AF$11)),
         0)</f>
        <v>0</v>
      </c>
      <c r="AD104" s="454">
        <f ca="1">IF(AND($D104="Serviço",AD$12&lt;&gt;0,$H104&gt;0,OR(AUTOEVENTO&lt;&gt;"manual",$M104&lt;&gt;$A$15)),
        IF(Import.TipoArredondamento&lt;&gt;"TransfereGOV",
              ROUND(OFFSET($P104,0,AD$13),15-13*ORÇAMENTO!$AF$7)/$H104*OFFSET(ORÇAMENTO!$X$15,ROW(AD104)-ROW(AD$15),0),
              ROUND(ROUND(OFFSET($P104,0,AD$13),15-13*ORÇAMENTO!$AF$7)*OFFSET(ORÇAMENTO!$W$15,ROW(AD104)-ROW(AD$15),0),15-13*ORÇAMENTO!$AF$11)),
         0)</f>
        <v>0</v>
      </c>
      <c r="AE104" s="454">
        <f ca="1">IF(AND($D104="Serviço",AE$12&lt;&gt;0,$H104&gt;0,OR(AUTOEVENTO&lt;&gt;"manual",$M104&lt;&gt;$A$15)),
        IF(Import.TipoArredondamento&lt;&gt;"TransfereGOV",
              ROUND(OFFSET($P104,0,AE$13),15-13*ORÇAMENTO!$AF$7)/$H104*OFFSET(ORÇAMENTO!$X$15,ROW(AE104)-ROW(AE$15),0),
              ROUND(ROUND(OFFSET($P104,0,AE$13),15-13*ORÇAMENTO!$AF$7)*OFFSET(ORÇAMENTO!$W$15,ROW(AE104)-ROW(AE$15),0),15-13*ORÇAMENTO!$AF$11)),
         0)</f>
        <v>0</v>
      </c>
      <c r="AF104" s="454">
        <f ca="1">IF(AND($D104="Serviço",AF$12&lt;&gt;0,$H104&gt;0,OR(AUTOEVENTO&lt;&gt;"manual",$M104&lt;&gt;$A$15)),
        IF(Import.TipoArredondamento&lt;&gt;"TransfereGOV",
              ROUND(OFFSET($P104,0,AF$13),15-13*ORÇAMENTO!$AF$7)/$H104*OFFSET(ORÇAMENTO!$X$15,ROW(AF104)-ROW(AF$15),0),
              ROUND(ROUND(OFFSET($P104,0,AF$13),15-13*ORÇAMENTO!$AF$7)*OFFSET(ORÇAMENTO!$W$15,ROW(AF104)-ROW(AF$15),0),15-13*ORÇAMENTO!$AF$11)),
         0)</f>
        <v>0</v>
      </c>
      <c r="AG104" s="454">
        <f ca="1">IF(AND($D104="Serviço",AG$12&lt;&gt;0,$H104&gt;0,OR(AUTOEVENTO&lt;&gt;"manual",$M104&lt;&gt;$A$15)),
        IF(Import.TipoArredondamento&lt;&gt;"TransfereGOV",
              ROUND(OFFSET($P104,0,AG$13),15-13*ORÇAMENTO!$AF$7)/$H104*OFFSET(ORÇAMENTO!$X$15,ROW(AG104)-ROW(AG$15),0),
              ROUND(ROUND(OFFSET($P104,0,AG$13),15-13*ORÇAMENTO!$AF$7)*OFFSET(ORÇAMENTO!$W$15,ROW(AG104)-ROW(AG$15),0),15-13*ORÇAMENTO!$AF$11)),
         0)</f>
        <v>0</v>
      </c>
      <c r="AH104" s="454">
        <f ca="1">IF(AND($D104="Serviço",AH$12&lt;&gt;0,$H104&gt;0,OR(AUTOEVENTO&lt;&gt;"manual",$M104&lt;&gt;$A$15)),
        IF(Import.TipoArredondamento&lt;&gt;"TransfereGOV",
              ROUND(OFFSET($P104,0,AH$13),15-13*ORÇAMENTO!$AF$7)/$H104*OFFSET(ORÇAMENTO!$X$15,ROW(AH104)-ROW(AH$15),0),
              ROUND(ROUND(OFFSET($P104,0,AH$13),15-13*ORÇAMENTO!$AF$7)*OFFSET(ORÇAMENTO!$W$15,ROW(AH104)-ROW(AH$15),0),15-13*ORÇAMENTO!$AF$11)),
         0)</f>
        <v>0</v>
      </c>
      <c r="AI104" s="454">
        <f ca="1">IF(AND($D104="Serviço",AI$12&lt;&gt;0,$H104&gt;0,OR(AUTOEVENTO&lt;&gt;"manual",$M104&lt;&gt;$A$15)),
        IF(Import.TipoArredondamento&lt;&gt;"TransfereGOV",
              ROUND(OFFSET($P104,0,AI$13),15-13*ORÇAMENTO!$AF$7)/$H104*OFFSET(ORÇAMENTO!$X$15,ROW(AI104)-ROW(AI$15),0),
              ROUND(ROUND(OFFSET($P104,0,AI$13),15-13*ORÇAMENTO!$AF$7)*OFFSET(ORÇAMENTO!$W$15,ROW(AI104)-ROW(AI$15),0),15-13*ORÇAMENTO!$AF$11)),
         0)</f>
        <v>0</v>
      </c>
      <c r="AJ104" s="454">
        <f ca="1">IF(AND($D104="Serviço",AJ$12&lt;&gt;0,$H104&gt;0,OR(AUTOEVENTO&lt;&gt;"manual",$M104&lt;&gt;$A$15)),
        IF(Import.TipoArredondamento&lt;&gt;"TransfereGOV",
              ROUND(OFFSET($P104,0,AJ$13),15-13*ORÇAMENTO!$AF$7)/$H104*OFFSET(ORÇAMENTO!$X$15,ROW(AJ104)-ROW(AJ$15),0),
              ROUND(ROUND(OFFSET($P104,0,AJ$13),15-13*ORÇAMENTO!$AF$7)*OFFSET(ORÇAMENTO!$W$15,ROW(AJ104)-ROW(AJ$15),0),15-13*ORÇAMENTO!$AF$11)),
         0)</f>
        <v>0</v>
      </c>
      <c r="AK104" s="454">
        <f ca="1">IF(AND($D104="Serviço",AK$12&lt;&gt;0,$H104&gt;0,OR(AUTOEVENTO&lt;&gt;"manual",$M104&lt;&gt;$A$15)),
        IF(Import.TipoArredondamento&lt;&gt;"TransfereGOV",
              ROUND(OFFSET($P104,0,AK$13),15-13*ORÇAMENTO!$AF$7)/$H104*OFFSET(ORÇAMENTO!$X$15,ROW(AK104)-ROW(AK$15),0),
              ROUND(ROUND(OFFSET($P104,0,AK$13),15-13*ORÇAMENTO!$AF$7)*OFFSET(ORÇAMENTO!$W$15,ROW(AK104)-ROW(AK$15),0),15-13*ORÇAMENTO!$AF$11)),
         0)</f>
        <v>0</v>
      </c>
      <c r="AM104" s="172">
        <f ca="1">IF(OR($D104&lt;&gt;"Serviço",AND(AUTOEVENTO="Manual",$M104=$A$15)),0,
         IF(OFFSET(CRONOPLE!$F$15,$M104-$A$15,AM$13)=0,10^12,OFFSET(CRONOPLE!$F$15,$M104-$A$15,AM$13)))</f>
        <v>1</v>
      </c>
      <c r="AN104" s="172">
        <f ca="1">IF(OR($D104&lt;&gt;"Serviço",AND(AUTOEVENTO="Manual",$M104=$A$15)),0,
         IF(OFFSET(CRONOPLE!$F$15,$M104-$A$15,AN$13)=0,10^12,OFFSET(CRONOPLE!$F$15,$M104-$A$15,AN$13)))</f>
        <v>1000000000000</v>
      </c>
      <c r="AO104" s="172">
        <f ca="1">IF(OR($D104&lt;&gt;"Serviço",AND(AUTOEVENTO="Manual",$M104=$A$15)),0,
         IF(OFFSET(CRONOPLE!$F$15,$M104-$A$15,AO$13)=0,10^12,OFFSET(CRONOPLE!$F$15,$M104-$A$15,AO$13)))</f>
        <v>1000000000000</v>
      </c>
      <c r="AP104" s="172">
        <f ca="1">IF(OR($D104&lt;&gt;"Serviço",AND(AUTOEVENTO="Manual",$M104=$A$15)),0,
         IF(OFFSET(CRONOPLE!$F$15,$M104-$A$15,AP$13)=0,10^12,OFFSET(CRONOPLE!$F$15,$M104-$A$15,AP$13)))</f>
        <v>1000000000000</v>
      </c>
      <c r="AQ104" s="172">
        <f ca="1">IF(OR($D104&lt;&gt;"Serviço",AND(AUTOEVENTO="Manual",$M104=$A$15)),0,
         IF(OFFSET(CRONOPLE!$F$15,$M104-$A$15,AQ$13)=0,10^12,OFFSET(CRONOPLE!$F$15,$M104-$A$15,AQ$13)))</f>
        <v>1000000000000</v>
      </c>
      <c r="AR104" s="172">
        <f ca="1">IF(OR($D104&lt;&gt;"Serviço",AND(AUTOEVENTO="Manual",$M104=$A$15)),0,
         IF(OFFSET(CRONOPLE!$F$15,$M104-$A$15,AR$13)=0,10^12,OFFSET(CRONOPLE!$F$15,$M104-$A$15,AR$13)))</f>
        <v>1000000000000</v>
      </c>
      <c r="AS104" s="172">
        <f ca="1">IF(OR($D104&lt;&gt;"Serviço",AND(AUTOEVENTO="Manual",$M104=$A$15)),0,
         IF(OFFSET(CRONOPLE!$F$15,$M104-$A$15,AS$13)=0,10^12,OFFSET(CRONOPLE!$F$15,$M104-$A$15,AS$13)))</f>
        <v>1000000000000</v>
      </c>
      <c r="AT104" s="172">
        <f ca="1">IF(OR($D104&lt;&gt;"Serviço",AND(AUTOEVENTO="Manual",$M104=$A$15)),0,
         IF(OFFSET(CRONOPLE!$F$15,$M104-$A$15,AT$13)=0,10^12,OFFSET(CRONOPLE!$F$15,$M104-$A$15,AT$13)))</f>
        <v>1000000000000</v>
      </c>
      <c r="AU104" s="172">
        <f ca="1">IF(OR($D104&lt;&gt;"Serviço",AND(AUTOEVENTO="Manual",$M104=$A$15)),0,
         IF(OFFSET(CRONOPLE!$F$15,$M104-$A$15,AU$13)=0,10^12,OFFSET(CRONOPLE!$F$15,$M104-$A$15,AU$13)))</f>
        <v>1000000000000</v>
      </c>
      <c r="AV104" s="172">
        <f ca="1">IF(OR($D104&lt;&gt;"Serviço",AND(AUTOEVENTO="Manual",$M104=$A$15)),0,
         IF(OFFSET(CRONOPLE!$F$15,$M104-$A$15,AV$13)=0,10^12,OFFSET(CRONOPLE!$F$15,$M104-$A$15,AV$13)))</f>
        <v>1000000000000</v>
      </c>
      <c r="AX104" s="173">
        <f ca="1">IF(OR($D104&lt;&gt;"Serviço",AND(AUTOEVENTO="Manual",$M104=$A$15),$M104&gt;(ROW(PLE.lastrow)-ROW(PLE.firstrow))),0,
           IF(OFFSET(PLE!$G$15,$M104-$A$15,AX$13)="",10^12,OFFSET(PLE!$G$15,$M104-$A$15,AX$13)))</f>
        <v>1000000000000</v>
      </c>
      <c r="AY104" s="173">
        <f ca="1">IF(OR($D104&lt;&gt;"Serviço",AND(AUTOEVENTO="Manual",$M104=$A$15),$M104&gt;(ROW(PLE.lastrow)-ROW(PLE.firstrow))),0,
           IF(OFFSET(PLE!$G$15,$M104-$A$15,AY$13)="",10^12,OFFSET(PLE!$G$15,$M104-$A$15,AY$13)))</f>
        <v>1000000000000</v>
      </c>
      <c r="AZ104" s="173">
        <f ca="1">IF(OR($D104&lt;&gt;"Serviço",AND(AUTOEVENTO="Manual",$M104=$A$15),$M104&gt;(ROW(PLE.lastrow)-ROW(PLE.firstrow))),0,
           IF(OFFSET(PLE!$G$15,$M104-$A$15,AZ$13)="",10^12,OFFSET(PLE!$G$15,$M104-$A$15,AZ$13)))</f>
        <v>1000000000000</v>
      </c>
      <c r="BA104" s="173">
        <f ca="1">IF(OR($D104&lt;&gt;"Serviço",AND(AUTOEVENTO="Manual",$M104=$A$15),$M104&gt;(ROW(PLE.lastrow)-ROW(PLE.firstrow))),0,
           IF(OFFSET(PLE!$G$15,$M104-$A$15,BA$13)="",10^12,OFFSET(PLE!$G$15,$M104-$A$15,BA$13)))</f>
        <v>1000000000000</v>
      </c>
      <c r="BB104" s="173">
        <f ca="1">IF(OR($D104&lt;&gt;"Serviço",AND(AUTOEVENTO="Manual",$M104=$A$15),$M104&gt;(ROW(PLE.lastrow)-ROW(PLE.firstrow))),0,
           IF(OFFSET(PLE!$G$15,$M104-$A$15,BB$13)="",10^12,OFFSET(PLE!$G$15,$M104-$A$15,BB$13)))</f>
        <v>1000000000000</v>
      </c>
      <c r="BC104" s="173">
        <f ca="1">IF(OR($D104&lt;&gt;"Serviço",AND(AUTOEVENTO="Manual",$M104=$A$15),$M104&gt;(ROW(PLE.lastrow)-ROW(PLE.firstrow))),0,
           IF(OFFSET(PLE!$G$15,$M104-$A$15,BC$13)="",10^12,OFFSET(PLE!$G$15,$M104-$A$15,BC$13)))</f>
        <v>1000000000000</v>
      </c>
      <c r="BD104" s="173">
        <f ca="1">IF(OR($D104&lt;&gt;"Serviço",AND(AUTOEVENTO="Manual",$M104=$A$15),$M104&gt;(ROW(PLE.lastrow)-ROW(PLE.firstrow))),0,
           IF(OFFSET(PLE!$G$15,$M104-$A$15,BD$13)="",10^12,OFFSET(PLE!$G$15,$M104-$A$15,BD$13)))</f>
        <v>1000000000000</v>
      </c>
      <c r="BE104" s="173">
        <f ca="1">IF(OR($D104&lt;&gt;"Serviço",AND(AUTOEVENTO="Manual",$M104=$A$15),$M104&gt;(ROW(PLE.lastrow)-ROW(PLE.firstrow))),0,
           IF(OFFSET(PLE!$G$15,$M104-$A$15,BE$13)="",10^12,OFFSET(PLE!$G$15,$M104-$A$15,BE$13)))</f>
        <v>1000000000000</v>
      </c>
      <c r="BF104" s="173">
        <f ca="1">IF(OR($D104&lt;&gt;"Serviço",AND(AUTOEVENTO="Manual",$M104=$A$15),$M104&gt;(ROW(PLE.lastrow)-ROW(PLE.firstrow))),0,
           IF(OFFSET(PLE!$G$15,$M104-$A$15,BF$13)="",10^12,OFFSET(PLE!$G$15,$M104-$A$15,BF$13)))</f>
        <v>1000000000000</v>
      </c>
      <c r="BG104" s="173">
        <f ca="1">IF(OR($D104&lt;&gt;"Serviço",AND(AUTOEVENTO="Manual",$M104=$A$15),$M104&gt;(ROW(PLE.lastrow)-ROW(PLE.firstrow))),0,
           IF(OFFSET(PLE!$G$15,$M104-$A$15,BG$13)="",10^12,OFFSET(PLE!$G$15,$M104-$A$15,BG$13)))</f>
        <v>1000000000000</v>
      </c>
    </row>
    <row r="105" spans="1:59" ht="5.0999999999999996" customHeight="1" x14ac:dyDescent="0.2">
      <c r="B105" s="7">
        <f ca="1">OFFSET(ORÇAMENTO!C$15,ROW(B105)-ROW(B$15),0)</f>
        <v>-1</v>
      </c>
      <c r="C105" s="7" t="str">
        <f ca="1">OFFSET(ORÇAMENTO!L$15,ROW(C105)-ROW(C$15),0)</f>
        <v>F</v>
      </c>
      <c r="D105" s="635" t="s">
        <v>701</v>
      </c>
      <c r="E105" s="619"/>
      <c r="F105" s="620"/>
      <c r="G105" s="620"/>
      <c r="H105" s="620"/>
      <c r="I105" s="420"/>
      <c r="K105" s="570"/>
      <c r="L105" s="166" t="s">
        <v>765</v>
      </c>
      <c r="M105" s="422"/>
      <c r="N105" s="421"/>
      <c r="O105" s="636"/>
      <c r="Q105" s="619"/>
      <c r="R105" s="620"/>
      <c r="S105" s="620"/>
      <c r="T105" s="620"/>
      <c r="U105" s="620"/>
      <c r="V105" s="620"/>
      <c r="W105" s="620"/>
      <c r="X105" s="620"/>
      <c r="Y105" s="620"/>
      <c r="Z105" s="420"/>
      <c r="AB105" s="637"/>
      <c r="AC105" s="638"/>
      <c r="AD105" s="638"/>
      <c r="AE105" s="638"/>
      <c r="AF105" s="638"/>
      <c r="AG105" s="638"/>
      <c r="AH105" s="638"/>
      <c r="AI105" s="638"/>
      <c r="AJ105" s="638"/>
      <c r="AK105" s="134"/>
      <c r="AM105" s="637"/>
      <c r="AN105" s="638"/>
      <c r="AO105" s="638"/>
      <c r="AP105" s="638"/>
      <c r="AQ105" s="638"/>
      <c r="AR105" s="638"/>
      <c r="AS105" s="638"/>
      <c r="AT105" s="638"/>
      <c r="AU105" s="638"/>
      <c r="AV105" s="134"/>
      <c r="AX105" s="637"/>
      <c r="AY105" s="638"/>
      <c r="AZ105" s="638"/>
      <c r="BA105" s="638"/>
      <c r="BB105" s="638"/>
      <c r="BC105" s="638"/>
      <c r="BD105" s="638"/>
      <c r="BE105" s="638"/>
      <c r="BF105" s="638"/>
      <c r="BG105" s="134"/>
    </row>
    <row r="106" spans="1:59" ht="12.75" customHeight="1" x14ac:dyDescent="0.2"/>
    <row r="107" spans="1:59" ht="12.75" customHeight="1" x14ac:dyDescent="0.2"/>
    <row r="108" spans="1:59" ht="12.75" customHeight="1" x14ac:dyDescent="0.2"/>
    <row r="109" spans="1:59" ht="15" customHeight="1" x14ac:dyDescent="0.2">
      <c r="F109" s="180" t="str">
        <f>Import.Município</f>
        <v>RODEIO BONITO/RS</v>
      </c>
      <c r="I109" s="461"/>
      <c r="J109" s="461"/>
      <c r="K109" s="461"/>
      <c r="L109" s="461"/>
      <c r="M109" s="462"/>
      <c r="N109" s="418"/>
      <c r="T109" s="140"/>
      <c r="U109" s="140"/>
      <c r="V109" s="181"/>
      <c r="W109" s="181"/>
      <c r="X109" s="181"/>
      <c r="Y109" s="181"/>
    </row>
    <row r="110" spans="1:59" ht="12.75" customHeight="1" x14ac:dyDescent="0.2">
      <c r="F110" s="9" t="s">
        <v>694</v>
      </c>
      <c r="I110" s="182" t="s">
        <v>697</v>
      </c>
      <c r="J110" s="182"/>
      <c r="K110" s="182"/>
      <c r="L110" s="182"/>
      <c r="T110" s="182" t="s">
        <v>697</v>
      </c>
      <c r="U110" s="182"/>
    </row>
    <row r="111" spans="1:59" ht="12.75" customHeight="1" x14ac:dyDescent="0.2">
      <c r="I111" s="399" t="str">
        <f t="array" aca="1" ref="I111:I113" ca="1">OFFSET(Import.RespOrçamento,0,-1) &amp; " " &amp; Import.RespOrçamento</f>
        <v>Nome: VIVIANE CARBONI TAFFAREL LUCAS</v>
      </c>
      <c r="K111" s="79"/>
      <c r="L111" s="79"/>
      <c r="T111" s="399" t="str">
        <f t="array" aca="1" ref="T111:T113" ca="1">OFFSET(Import.RespOrçamento,0,-1) &amp; " " &amp; Import.RespOrçamento</f>
        <v>Nome: VIVIANE CARBONI TAFFAREL LUCAS</v>
      </c>
      <c r="U111" s="78"/>
    </row>
    <row r="112" spans="1:59" ht="12.75" customHeight="1" x14ac:dyDescent="0.2">
      <c r="F112" s="460">
        <f>DADOS!$C$25</f>
        <v>46254</v>
      </c>
      <c r="I112" s="399" t="str">
        <f ca="1"/>
        <v>CREA/CAU: 247947</v>
      </c>
      <c r="K112" s="79"/>
      <c r="L112" s="79"/>
      <c r="T112" s="399" t="str">
        <f ca="1"/>
        <v>CREA/CAU: 247947</v>
      </c>
      <c r="U112" s="78"/>
    </row>
    <row r="113" spans="3:21" ht="12.75" customHeight="1" x14ac:dyDescent="0.2">
      <c r="F113" s="141" t="s">
        <v>695</v>
      </c>
      <c r="I113" s="399" t="str">
        <f ca="1"/>
        <v>ART/RRT: 0</v>
      </c>
      <c r="K113" s="79"/>
      <c r="L113" s="79"/>
      <c r="T113" s="399" t="str">
        <f ca="1"/>
        <v>ART/RRT: 0</v>
      </c>
      <c r="U113" s="78"/>
    </row>
    <row r="114" spans="3:21" ht="12.75" customHeight="1" x14ac:dyDescent="0.2">
      <c r="C114"/>
      <c r="M114"/>
    </row>
    <row r="115" spans="3:21" ht="12.75" customHeight="1" x14ac:dyDescent="0.2">
      <c r="C115"/>
      <c r="M115"/>
    </row>
    <row r="116" spans="3:21" ht="12.75" customHeight="1" x14ac:dyDescent="0.2">
      <c r="C116"/>
      <c r="M116"/>
    </row>
    <row r="117" spans="3:21" ht="12.75" customHeight="1" x14ac:dyDescent="0.2">
      <c r="C117"/>
      <c r="M117"/>
    </row>
    <row r="118" spans="3:21" ht="12.75" customHeight="1" x14ac:dyDescent="0.2">
      <c r="C118"/>
      <c r="M118"/>
    </row>
    <row r="119" spans="3:21" ht="12.75" customHeight="1" x14ac:dyDescent="0.2">
      <c r="C119"/>
      <c r="M119"/>
    </row>
    <row r="120" spans="3:21" ht="12.75" customHeight="1" x14ac:dyDescent="0.2">
      <c r="C120"/>
      <c r="M120"/>
    </row>
    <row r="121" spans="3:21" ht="12.75" customHeight="1" x14ac:dyDescent="0.2">
      <c r="C121"/>
      <c r="M121"/>
    </row>
    <row r="122" spans="3:21" ht="12.75" customHeight="1" x14ac:dyDescent="0.2">
      <c r="C122"/>
      <c r="M122"/>
    </row>
    <row r="123" spans="3:21" ht="12.75" customHeight="1" x14ac:dyDescent="0.2">
      <c r="C123"/>
      <c r="M123"/>
    </row>
    <row r="124" spans="3:21" ht="12.75" customHeight="1" x14ac:dyDescent="0.2">
      <c r="C124"/>
      <c r="M124"/>
    </row>
    <row r="125" spans="3:21" ht="12.75" customHeight="1" x14ac:dyDescent="0.2">
      <c r="C125"/>
      <c r="M125"/>
    </row>
    <row r="126" spans="3:21" ht="12.75" customHeight="1" x14ac:dyDescent="0.2">
      <c r="C126"/>
      <c r="M126"/>
    </row>
    <row r="127" spans="3:21" ht="12.75" customHeight="1" x14ac:dyDescent="0.2">
      <c r="C127"/>
      <c r="M127"/>
    </row>
    <row r="128" spans="3:21"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31" spans="3:13" ht="12.75" customHeight="1" x14ac:dyDescent="0.2">
      <c r="C4331"/>
      <c r="M4331"/>
    </row>
    <row r="4332" spans="3:13" ht="12.75" customHeight="1" x14ac:dyDescent="0.2">
      <c r="C4332"/>
      <c r="M4332"/>
    </row>
    <row r="4333" spans="3:13" ht="12.75" customHeight="1" x14ac:dyDescent="0.2">
      <c r="C4333"/>
      <c r="M4333"/>
    </row>
    <row r="4334" spans="3:13" ht="12.75" customHeight="1" x14ac:dyDescent="0.2">
      <c r="C4334"/>
      <c r="M4334"/>
    </row>
    <row r="4335" spans="3:13" ht="12.75" customHeight="1" x14ac:dyDescent="0.2">
      <c r="C4335"/>
      <c r="M4335"/>
    </row>
    <row r="4336" spans="3:13" ht="12.75" customHeight="1" x14ac:dyDescent="0.2">
      <c r="C4336"/>
      <c r="M4336"/>
    </row>
    <row r="4337" spans="3:13" ht="12.75" customHeight="1" x14ac:dyDescent="0.2">
      <c r="C4337"/>
      <c r="M4337"/>
    </row>
    <row r="4338" spans="3:13" ht="12.75" customHeight="1" x14ac:dyDescent="0.2">
      <c r="C4338"/>
      <c r="M4338"/>
    </row>
    <row r="4339" spans="3:13" ht="12.75" customHeight="1" x14ac:dyDescent="0.2">
      <c r="C4339"/>
      <c r="M4339"/>
    </row>
    <row r="4340" spans="3:13" ht="12.75" customHeight="1" x14ac:dyDescent="0.2">
      <c r="C4340"/>
      <c r="M4340"/>
    </row>
    <row r="4341" spans="3:13" ht="12.75" customHeight="1" x14ac:dyDescent="0.2">
      <c r="C4341"/>
      <c r="M4341"/>
    </row>
    <row r="4342" spans="3:13" ht="12.75" customHeight="1" x14ac:dyDescent="0.2">
      <c r="C4342"/>
      <c r="M4342"/>
    </row>
    <row r="4343" spans="3:13" ht="12.75" customHeight="1" x14ac:dyDescent="0.2">
      <c r="C4343"/>
      <c r="M4343"/>
    </row>
    <row r="4344" spans="3:13" ht="12.75" customHeight="1" x14ac:dyDescent="0.2">
      <c r="C4344"/>
      <c r="M4344"/>
    </row>
    <row r="4345" spans="3:13" ht="12.75" customHeight="1" x14ac:dyDescent="0.2">
      <c r="C4345"/>
      <c r="M4345"/>
    </row>
    <row r="4346" spans="3:13" ht="12.75" customHeight="1" x14ac:dyDescent="0.2">
      <c r="C4346"/>
      <c r="M4346"/>
    </row>
    <row r="4356" spans="3:13" ht="12.75" customHeight="1" x14ac:dyDescent="0.2">
      <c r="C4356"/>
      <c r="M4356"/>
    </row>
    <row r="4357" spans="3:13" ht="12.75" customHeight="1" x14ac:dyDescent="0.2">
      <c r="C4357"/>
      <c r="M4357"/>
    </row>
    <row r="4358" spans="3:13" ht="12.75" customHeight="1" x14ac:dyDescent="0.2">
      <c r="C4358"/>
      <c r="M4358"/>
    </row>
    <row r="4359" spans="3:13" ht="12.75" customHeight="1" x14ac:dyDescent="0.2">
      <c r="C4359"/>
      <c r="M4359"/>
    </row>
    <row r="61017" spans="3:13" ht="12.75" customHeight="1" x14ac:dyDescent="0.2">
      <c r="C61017"/>
      <c r="M61017"/>
    </row>
    <row r="61033" spans="3:13" ht="12.75" customHeight="1" x14ac:dyDescent="0.2">
      <c r="C61033"/>
      <c r="M61033"/>
    </row>
    <row r="61049" spans="3:13" ht="12.75" customHeight="1" x14ac:dyDescent="0.2">
      <c r="C61049"/>
      <c r="M61049"/>
    </row>
    <row r="61065" spans="3:13" ht="12.75" customHeight="1" x14ac:dyDescent="0.2">
      <c r="C61065"/>
      <c r="M61065"/>
    </row>
    <row r="61078" spans="3:13" ht="12.75" customHeight="1" x14ac:dyDescent="0.2">
      <c r="C61078"/>
      <c r="M61078"/>
    </row>
    <row r="61079" spans="3:13" ht="12.75" customHeight="1" x14ac:dyDescent="0.2">
      <c r="C61079"/>
      <c r="M61079"/>
    </row>
    <row r="61081" spans="3:13" ht="12.75" customHeight="1" x14ac:dyDescent="0.2">
      <c r="C61081"/>
      <c r="M61081"/>
    </row>
    <row r="61092" spans="3:13" ht="12.75" customHeight="1" x14ac:dyDescent="0.2">
      <c r="C61092"/>
      <c r="M61092"/>
    </row>
    <row r="61093" spans="3:13" ht="12.75" customHeight="1" x14ac:dyDescent="0.2">
      <c r="C61093"/>
      <c r="M61093"/>
    </row>
    <row r="61094" spans="3:13" ht="12.75" customHeight="1" x14ac:dyDescent="0.2">
      <c r="C61094"/>
      <c r="M61094"/>
    </row>
    <row r="61095" spans="3:13" ht="12.75" customHeight="1" x14ac:dyDescent="0.2">
      <c r="C61095"/>
      <c r="M61095"/>
    </row>
    <row r="61097" spans="3:13" ht="12.75" customHeight="1" x14ac:dyDescent="0.2">
      <c r="C61097"/>
      <c r="M61097"/>
    </row>
    <row r="61108" spans="3:13" ht="12.75" customHeight="1" x14ac:dyDescent="0.2">
      <c r="C61108"/>
      <c r="M61108"/>
    </row>
    <row r="61109" spans="3:13" ht="12.75" customHeight="1" x14ac:dyDescent="0.2">
      <c r="C61109"/>
      <c r="M61109"/>
    </row>
    <row r="61110" spans="3:13" ht="12.75" customHeight="1" x14ac:dyDescent="0.2">
      <c r="C61110"/>
      <c r="M61110"/>
    </row>
    <row r="61111" spans="3:13" ht="12.75" customHeight="1" x14ac:dyDescent="0.2">
      <c r="C61111"/>
      <c r="M61111"/>
    </row>
    <row r="61113" spans="3:13" ht="12.75" customHeight="1" x14ac:dyDescent="0.2">
      <c r="C61113"/>
      <c r="M61113"/>
    </row>
    <row r="61124" spans="3:13" ht="12.75" customHeight="1" x14ac:dyDescent="0.2">
      <c r="C61124"/>
      <c r="M61124"/>
    </row>
    <row r="61125" spans="3:13" ht="12.75" customHeight="1" x14ac:dyDescent="0.2">
      <c r="C61125"/>
      <c r="M61125"/>
    </row>
    <row r="61126" spans="3:13" ht="12.75" customHeight="1" x14ac:dyDescent="0.2">
      <c r="C61126"/>
      <c r="M61126"/>
    </row>
    <row r="61127" spans="3:13" ht="12.75" customHeight="1" x14ac:dyDescent="0.2">
      <c r="C61127"/>
      <c r="M61127"/>
    </row>
    <row r="61129" spans="3:13" ht="12.75" customHeight="1" x14ac:dyDescent="0.2">
      <c r="C61129"/>
      <c r="M61129"/>
    </row>
    <row r="61140" spans="3:13" ht="12.75" customHeight="1" x14ac:dyDescent="0.2">
      <c r="C61140"/>
      <c r="M61140"/>
    </row>
    <row r="61141" spans="3:13" ht="12.75" customHeight="1" x14ac:dyDescent="0.2">
      <c r="C61141"/>
      <c r="M61141"/>
    </row>
    <row r="61142" spans="3:13" ht="12.75" customHeight="1" x14ac:dyDescent="0.2">
      <c r="C61142"/>
      <c r="M61142"/>
    </row>
    <row r="61143" spans="3:13" ht="12.75" customHeight="1" x14ac:dyDescent="0.2">
      <c r="C61143"/>
      <c r="M61143"/>
    </row>
    <row r="61145" spans="3:13" ht="12.75" customHeight="1" x14ac:dyDescent="0.2">
      <c r="C61145"/>
      <c r="M61145"/>
    </row>
    <row r="61156" spans="3:13" ht="12.75" customHeight="1" x14ac:dyDescent="0.2">
      <c r="C61156"/>
      <c r="M61156"/>
    </row>
    <row r="61157" spans="3:13" ht="12.75" customHeight="1" x14ac:dyDescent="0.2">
      <c r="C61157"/>
      <c r="M61157"/>
    </row>
    <row r="61158" spans="3:13" ht="12.75" customHeight="1" x14ac:dyDescent="0.2">
      <c r="C61158"/>
      <c r="M61158"/>
    </row>
    <row r="61159" spans="3:13" ht="12.75" customHeight="1" x14ac:dyDescent="0.2">
      <c r="C61159"/>
      <c r="M61159"/>
    </row>
    <row r="61161" spans="3:13" ht="12.75" customHeight="1" x14ac:dyDescent="0.2">
      <c r="C61161"/>
      <c r="M61161"/>
    </row>
    <row r="61172" spans="3:13" ht="12.75" customHeight="1" x14ac:dyDescent="0.2">
      <c r="C61172"/>
      <c r="M61172"/>
    </row>
    <row r="61173" spans="3:13" ht="12.75" customHeight="1" x14ac:dyDescent="0.2">
      <c r="C61173"/>
      <c r="M61173"/>
    </row>
    <row r="61174" spans="3:13" ht="12.75" customHeight="1" x14ac:dyDescent="0.2">
      <c r="C61174"/>
      <c r="M61174"/>
    </row>
    <row r="61175" spans="3:13" ht="12.75" customHeight="1" x14ac:dyDescent="0.2">
      <c r="C61175"/>
      <c r="M61175"/>
    </row>
    <row r="61177" spans="3:13" ht="12.75" customHeight="1" x14ac:dyDescent="0.2">
      <c r="C61177"/>
      <c r="M61177"/>
    </row>
    <row r="61188" spans="3:13" ht="12.75" customHeight="1" x14ac:dyDescent="0.2">
      <c r="C61188"/>
      <c r="M61188"/>
    </row>
    <row r="61189" spans="3:13" ht="12.75" customHeight="1" x14ac:dyDescent="0.2">
      <c r="C61189"/>
      <c r="M61189"/>
    </row>
    <row r="61190" spans="3:13" ht="12.75" customHeight="1" x14ac:dyDescent="0.2">
      <c r="C61190"/>
      <c r="M61190"/>
    </row>
    <row r="61191" spans="3:13" ht="12.75" customHeight="1" x14ac:dyDescent="0.2">
      <c r="C61191"/>
      <c r="M61191"/>
    </row>
    <row r="61193" spans="3:13" ht="12.75" customHeight="1" x14ac:dyDescent="0.2">
      <c r="C61193"/>
      <c r="M61193"/>
    </row>
    <row r="61204" spans="3:13" ht="12.75" customHeight="1" x14ac:dyDescent="0.2">
      <c r="C61204"/>
      <c r="M61204"/>
    </row>
    <row r="61205" spans="3:13" ht="12.75" customHeight="1" x14ac:dyDescent="0.2">
      <c r="C61205"/>
      <c r="M61205"/>
    </row>
    <row r="61206" spans="3:13" ht="12.75" customHeight="1" x14ac:dyDescent="0.2">
      <c r="C61206"/>
      <c r="M61206"/>
    </row>
    <row r="61207" spans="3:13" ht="12.75" customHeight="1" x14ac:dyDescent="0.2">
      <c r="C61207"/>
      <c r="M61207"/>
    </row>
    <row r="61209" spans="3:13" ht="12.75" customHeight="1" x14ac:dyDescent="0.2">
      <c r="C61209"/>
      <c r="M61209"/>
    </row>
    <row r="61217" spans="3:13" ht="12.75" customHeight="1" x14ac:dyDescent="0.2">
      <c r="C61217"/>
      <c r="M61217"/>
    </row>
    <row r="61220" spans="3:13" ht="12.75" customHeight="1" x14ac:dyDescent="0.2">
      <c r="C61220"/>
      <c r="M61220"/>
    </row>
    <row r="61221" spans="3:13" ht="12.75" customHeight="1" x14ac:dyDescent="0.2">
      <c r="C61221"/>
      <c r="M61221"/>
    </row>
    <row r="61222" spans="3:13" ht="12.75" customHeight="1" x14ac:dyDescent="0.2">
      <c r="C61222"/>
      <c r="M61222"/>
    </row>
    <row r="61223" spans="3:13" ht="12.75" customHeight="1" x14ac:dyDescent="0.2">
      <c r="C61223"/>
      <c r="M61223"/>
    </row>
    <row r="61225" spans="3:13" ht="12.75" customHeight="1" x14ac:dyDescent="0.2">
      <c r="C61225"/>
      <c r="M61225"/>
    </row>
    <row r="61233" spans="3:13" ht="12.75" customHeight="1" x14ac:dyDescent="0.2">
      <c r="C61233"/>
      <c r="M61233"/>
    </row>
    <row r="61236" spans="3:13" ht="12.75" customHeight="1" x14ac:dyDescent="0.2">
      <c r="C61236"/>
      <c r="M61236"/>
    </row>
    <row r="61237" spans="3:13" ht="12.75" customHeight="1" x14ac:dyDescent="0.2">
      <c r="C61237"/>
      <c r="M61237"/>
    </row>
    <row r="61238" spans="3:13" ht="12.75" customHeight="1" x14ac:dyDescent="0.2">
      <c r="C61238"/>
      <c r="M61238"/>
    </row>
    <row r="61239" spans="3:13" ht="12.75" customHeight="1" x14ac:dyDescent="0.2">
      <c r="C61239"/>
      <c r="M61239"/>
    </row>
    <row r="61241" spans="3:13" ht="12.75" customHeight="1" x14ac:dyDescent="0.2">
      <c r="C61241"/>
      <c r="M61241"/>
    </row>
    <row r="61249" spans="3:13" ht="12.75" customHeight="1" x14ac:dyDescent="0.2">
      <c r="C61249"/>
      <c r="M61249"/>
    </row>
    <row r="61250" spans="3:13" ht="12.75" customHeight="1" x14ac:dyDescent="0.2">
      <c r="C61250"/>
      <c r="M61250"/>
    </row>
    <row r="61252" spans="3:13" ht="12.75" customHeight="1" x14ac:dyDescent="0.2">
      <c r="C61252"/>
      <c r="M61252"/>
    </row>
    <row r="61253" spans="3:13" ht="12.75" customHeight="1" x14ac:dyDescent="0.2">
      <c r="C61253"/>
      <c r="M61253"/>
    </row>
    <row r="61254" spans="3:13" ht="12.75" customHeight="1" x14ac:dyDescent="0.2">
      <c r="C61254"/>
      <c r="M61254"/>
    </row>
    <row r="61255" spans="3:13" ht="12.75" customHeight="1" x14ac:dyDescent="0.2">
      <c r="C61255"/>
      <c r="M61255"/>
    </row>
    <row r="61257" spans="3:13" ht="12.75" customHeight="1" x14ac:dyDescent="0.2">
      <c r="C61257"/>
      <c r="M61257"/>
    </row>
    <row r="61265" spans="3:13" ht="12.75" customHeight="1" x14ac:dyDescent="0.2">
      <c r="C61265"/>
      <c r="M61265"/>
    </row>
    <row r="61266" spans="3:13" ht="12.75" customHeight="1" x14ac:dyDescent="0.2">
      <c r="C61266"/>
      <c r="M61266"/>
    </row>
    <row r="61267" spans="3:13" ht="12.75" customHeight="1" x14ac:dyDescent="0.2">
      <c r="C61267"/>
      <c r="M61267"/>
    </row>
    <row r="61268" spans="3:13" ht="12.75" customHeight="1" x14ac:dyDescent="0.2">
      <c r="C61268"/>
      <c r="M61268"/>
    </row>
    <row r="61269" spans="3:13" ht="12.75" customHeight="1" x14ac:dyDescent="0.2">
      <c r="C61269"/>
      <c r="M61269"/>
    </row>
    <row r="61270" spans="3:13" ht="12.75" customHeight="1" x14ac:dyDescent="0.2">
      <c r="C61270"/>
      <c r="M61270"/>
    </row>
    <row r="61271" spans="3:13" ht="12.75" customHeight="1" x14ac:dyDescent="0.2">
      <c r="C61271"/>
      <c r="M61271"/>
    </row>
    <row r="61273" spans="3:13" ht="12.75" customHeight="1" x14ac:dyDescent="0.2">
      <c r="C61273"/>
      <c r="M61273"/>
    </row>
    <row r="61281" spans="3:13" ht="12.75" customHeight="1" x14ac:dyDescent="0.2">
      <c r="C61281"/>
      <c r="M61281"/>
    </row>
    <row r="61282" spans="3:13" ht="12.75" customHeight="1" x14ac:dyDescent="0.2">
      <c r="C61282"/>
      <c r="M61282"/>
    </row>
    <row r="61283" spans="3:13" ht="12.75" customHeight="1" x14ac:dyDescent="0.2">
      <c r="C61283"/>
      <c r="M61283"/>
    </row>
    <row r="61284" spans="3:13" ht="12.75" customHeight="1" x14ac:dyDescent="0.2">
      <c r="C61284"/>
      <c r="M61284"/>
    </row>
    <row r="61285" spans="3:13" ht="12.75" customHeight="1" x14ac:dyDescent="0.2">
      <c r="C61285"/>
      <c r="M61285"/>
    </row>
    <row r="61286" spans="3:13" ht="12.75" customHeight="1" x14ac:dyDescent="0.2">
      <c r="C61286"/>
      <c r="M61286"/>
    </row>
    <row r="61287" spans="3:13" ht="12.75" customHeight="1" x14ac:dyDescent="0.2">
      <c r="C61287"/>
      <c r="M61287"/>
    </row>
    <row r="61289" spans="3:13" ht="12.75" customHeight="1" x14ac:dyDescent="0.2">
      <c r="C61289"/>
      <c r="M61289"/>
    </row>
    <row r="61295" spans="3:13" ht="12.75" customHeight="1" x14ac:dyDescent="0.2">
      <c r="C61295"/>
      <c r="M61295"/>
    </row>
    <row r="61296" spans="3:13" ht="12.75" customHeight="1" x14ac:dyDescent="0.2">
      <c r="C61296"/>
      <c r="M61296"/>
    </row>
    <row r="61297" spans="3:13" ht="12.75" customHeight="1" x14ac:dyDescent="0.2">
      <c r="C61297"/>
      <c r="M61297"/>
    </row>
    <row r="61298" spans="3:13" ht="12.75" customHeight="1" x14ac:dyDescent="0.2">
      <c r="C61298"/>
      <c r="M61298"/>
    </row>
    <row r="61299" spans="3:13" ht="12.75" customHeight="1" x14ac:dyDescent="0.2">
      <c r="C61299"/>
      <c r="M61299"/>
    </row>
    <row r="61300" spans="3:13" ht="12.75" customHeight="1" x14ac:dyDescent="0.2">
      <c r="C61300"/>
      <c r="M61300"/>
    </row>
    <row r="61301" spans="3:13" ht="12.75" customHeight="1" x14ac:dyDescent="0.2">
      <c r="C61301"/>
      <c r="M61301"/>
    </row>
    <row r="61302" spans="3:13" ht="12.75" customHeight="1" x14ac:dyDescent="0.2">
      <c r="C61302"/>
      <c r="M61302"/>
    </row>
    <row r="61303" spans="3:13" ht="12.75" customHeight="1" x14ac:dyDescent="0.2">
      <c r="C61303"/>
      <c r="M61303"/>
    </row>
    <row r="61304" spans="3:13" ht="12.75" customHeight="1" x14ac:dyDescent="0.2">
      <c r="C61304"/>
      <c r="M61304"/>
    </row>
    <row r="61305" spans="3:13" ht="12.75" customHeight="1" x14ac:dyDescent="0.2">
      <c r="C61305"/>
      <c r="M61305"/>
    </row>
    <row r="61306" spans="3:13" ht="12.75" customHeight="1" x14ac:dyDescent="0.2">
      <c r="C61306"/>
      <c r="M61306"/>
    </row>
    <row r="61311" spans="3:13" ht="12.75" customHeight="1" x14ac:dyDescent="0.2">
      <c r="C61311"/>
      <c r="M61311"/>
    </row>
    <row r="61312" spans="3:13" ht="12.75" customHeight="1" x14ac:dyDescent="0.2">
      <c r="C61312"/>
      <c r="M61312"/>
    </row>
    <row r="61313" spans="3:13" ht="12.75" customHeight="1" x14ac:dyDescent="0.2">
      <c r="C61313"/>
      <c r="M61313"/>
    </row>
    <row r="61314" spans="3:13" ht="12.75" customHeight="1" x14ac:dyDescent="0.2">
      <c r="C61314"/>
      <c r="M61314"/>
    </row>
    <row r="61315" spans="3:13" ht="12.75" customHeight="1" x14ac:dyDescent="0.2">
      <c r="C61315"/>
      <c r="M61315"/>
    </row>
    <row r="61316" spans="3:13" ht="12.75" customHeight="1" x14ac:dyDescent="0.2">
      <c r="C61316"/>
      <c r="M61316"/>
    </row>
    <row r="61317" spans="3:13" ht="12.75" customHeight="1" x14ac:dyDescent="0.2">
      <c r="C61317"/>
      <c r="M61317"/>
    </row>
    <row r="61318" spans="3:13" ht="12.75" customHeight="1" x14ac:dyDescent="0.2">
      <c r="C61318"/>
      <c r="M61318"/>
    </row>
    <row r="61319" spans="3:13" ht="12.75" customHeight="1" x14ac:dyDescent="0.2">
      <c r="C61319"/>
      <c r="M61319"/>
    </row>
    <row r="61320" spans="3:13" ht="12.75" customHeight="1" x14ac:dyDescent="0.2">
      <c r="C61320"/>
      <c r="M61320"/>
    </row>
    <row r="61321" spans="3:13" ht="12.75" customHeight="1" x14ac:dyDescent="0.2">
      <c r="C61321"/>
      <c r="M61321"/>
    </row>
    <row r="61322" spans="3:13" ht="12.75" customHeight="1" x14ac:dyDescent="0.2">
      <c r="C61322"/>
      <c r="M61322"/>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38" spans="3:13" ht="12.75" customHeight="1" x14ac:dyDescent="0.2">
      <c r="C61338"/>
      <c r="M61338"/>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row r="65358" spans="3:13" ht="12.75" customHeight="1" x14ac:dyDescent="0.2">
      <c r="C65358"/>
      <c r="M65358"/>
    </row>
    <row r="65359" spans="3:13" ht="12.75" customHeight="1" x14ac:dyDescent="0.2">
      <c r="C65359"/>
      <c r="M65359"/>
    </row>
    <row r="65360" spans="3:13" ht="12.75" customHeight="1" x14ac:dyDescent="0.2">
      <c r="C65360"/>
      <c r="M65360"/>
    </row>
    <row r="65361" spans="3:13" ht="12.75" customHeight="1" x14ac:dyDescent="0.2">
      <c r="C65361"/>
      <c r="M65361"/>
    </row>
    <row r="65362" spans="3:13" ht="12.75" customHeight="1" x14ac:dyDescent="0.2">
      <c r="C65362"/>
      <c r="M65362"/>
    </row>
    <row r="65363" spans="3:13" ht="12.75" customHeight="1" x14ac:dyDescent="0.2">
      <c r="C65363"/>
      <c r="M65363"/>
    </row>
    <row r="65364" spans="3:13" ht="12.75" customHeight="1" x14ac:dyDescent="0.2">
      <c r="C65364"/>
      <c r="M65364"/>
    </row>
    <row r="65365" spans="3:13" ht="12.75" customHeight="1" x14ac:dyDescent="0.2">
      <c r="C65365"/>
      <c r="M65365"/>
    </row>
    <row r="65366" spans="3:13" ht="12.75" customHeight="1" x14ac:dyDescent="0.2">
      <c r="C65366"/>
      <c r="M65366"/>
    </row>
    <row r="65367" spans="3:13" ht="12.75" customHeight="1" x14ac:dyDescent="0.2">
      <c r="C65367"/>
      <c r="M65367"/>
    </row>
    <row r="65368" spans="3:13" ht="12.75" customHeight="1" x14ac:dyDescent="0.2">
      <c r="C65368"/>
      <c r="M65368"/>
    </row>
    <row r="65369" spans="3:13" ht="12.75" customHeight="1" x14ac:dyDescent="0.2">
      <c r="C65369"/>
      <c r="M65369"/>
    </row>
    <row r="65370" spans="3:13" ht="12.75" customHeight="1" x14ac:dyDescent="0.2">
      <c r="C65370"/>
      <c r="M65370"/>
    </row>
    <row r="65371" spans="3:13" ht="12.75" customHeight="1" x14ac:dyDescent="0.2">
      <c r="C65371"/>
      <c r="M65371"/>
    </row>
    <row r="65372" spans="3:13" ht="12.75" customHeight="1" x14ac:dyDescent="0.2">
      <c r="C65372"/>
      <c r="M65372"/>
    </row>
    <row r="65373" spans="3:13" ht="12.75" customHeight="1" x14ac:dyDescent="0.2">
      <c r="C65373"/>
      <c r="M65373"/>
    </row>
  </sheetData>
  <sheetProtection algorithmName="SHA-512" hashValue="xbfvgLsBIWayEXg6Mp1pYgGJyKSgLvM1lgRKp6ZR6wWAkckqQt2Kp8jnAHGkyXhXHqQsOX+AaI3bU8jUeHU21A==" saltValue="8gLxxRZ3UBwQo1C26NFZ0w==" spinCount="100000" sheet="1" objects="1" scenarios="1" autoFilter="0"/>
  <autoFilter ref="C15:C105" xr:uid="{00000000-0009-0000-0000-000006000000}"/>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I14 D16:I16 D18:I18 D30:H32 D48:I104">
    <cfRule type="expression" dxfId="392" priority="10761" stopIfTrue="1">
      <formula>$B14=1</formula>
    </cfRule>
    <cfRule type="expression" dxfId="391" priority="10762" stopIfTrue="1">
      <formula>OR($B14=0,$B14=2,$B14=3,$B14=4)</formula>
    </cfRule>
  </conditionalFormatting>
  <conditionalFormatting sqref="M12:N19 M30:N32 M48:N105">
    <cfRule type="expression" dxfId="390" priority="10763" stopIfTrue="1">
      <formula>ACOMPANHAMENTO="BM"</formula>
    </cfRule>
    <cfRule type="expression" dxfId="389" priority="10764" stopIfTrue="1">
      <formula>OR($B12=0,$B12=2,$B12=3,$B12=4)</formula>
    </cfRule>
    <cfRule type="expression" dxfId="388" priority="10765" stopIfTrue="1">
      <formula>$B12=1</formula>
    </cfRule>
  </conditionalFormatting>
  <conditionalFormatting sqref="K30:K36 K12:K23 K39:K43 K46:K105">
    <cfRule type="expression" dxfId="387" priority="10766" stopIfTrue="1">
      <formula>OR(ACOMPANHAMENTO="BM",$A$12&lt;&gt;"Manual")</formula>
    </cfRule>
    <cfRule type="expression" dxfId="386" priority="10767" stopIfTrue="1">
      <formula>$B12=1</formula>
    </cfRule>
    <cfRule type="expression" dxfId="385" priority="10768" stopIfTrue="1">
      <formula>OR($B12=2,$B12=3,$B12=4,$B12=0)</formula>
    </cfRule>
  </conditionalFormatting>
  <conditionalFormatting sqref="O30:AA36 O41:AA43 O12:AA23 O46:AA105">
    <cfRule type="expression" dxfId="384" priority="4352" stopIfTrue="1">
      <formula>ACOMPANHAMENTO="BM"</formula>
    </cfRule>
    <cfRule type="expression" dxfId="383" priority="10770" stopIfTrue="1">
      <formula>AND(O$12&lt;&gt;".",OR($B12=0,$B12=2,$B12=3,$B12=4,AND(O$12="",$B12&lt;&gt;"Empty"),OFFSET(O$1,0,-1)=0))</formula>
    </cfRule>
    <cfRule type="expression" dxfId="382" priority="10771" stopIfTrue="1">
      <formula>AND($B12=1,O$1=1)</formula>
    </cfRule>
  </conditionalFormatting>
  <conditionalFormatting sqref="Q15:Z15">
    <cfRule type="expression" dxfId="381" priority="10769">
      <formula>Q$11="▼"</formula>
    </cfRule>
  </conditionalFormatting>
  <conditionalFormatting sqref="O15">
    <cfRule type="expression" dxfId="380" priority="4351">
      <formula>O$11="▼"</formula>
    </cfRule>
  </conditionalFormatting>
  <conditionalFormatting sqref="N14 N16 N18:N19 N30:N32 N48:N104">
    <cfRule type="expression" dxfId="379" priority="1386">
      <formula>$J14="►"</formula>
    </cfRule>
  </conditionalFormatting>
  <conditionalFormatting sqref="N12">
    <cfRule type="cellIs" dxfId="378" priority="1384" operator="notEqual">
      <formula>"FRENTES DE OBRA:"</formula>
    </cfRule>
  </conditionalFormatting>
  <conditionalFormatting sqref="D17:I17">
    <cfRule type="expression" dxfId="377" priority="1016" stopIfTrue="1">
      <formula>$B17=1</formula>
    </cfRule>
    <cfRule type="expression" dxfId="376" priority="1017" stopIfTrue="1">
      <formula>OR($B17=0,$B17=2,$B17=3,$B17=4)</formula>
    </cfRule>
  </conditionalFormatting>
  <conditionalFormatting sqref="N17">
    <cfRule type="expression" dxfId="375" priority="1015">
      <formula>$J17="►"</formula>
    </cfRule>
  </conditionalFormatting>
  <conditionalFormatting sqref="D19:H19">
    <cfRule type="expression" dxfId="374" priority="898" stopIfTrue="1">
      <formula>$B19=1</formula>
    </cfRule>
    <cfRule type="expression" dxfId="373" priority="899" stopIfTrue="1">
      <formula>OR($B19=0,$B19=2,$B19=3,$B19=4)</formula>
    </cfRule>
  </conditionalFormatting>
  <conditionalFormatting sqref="I19:I20 I30:I31">
    <cfRule type="expression" dxfId="372" priority="894" stopIfTrue="1">
      <formula>$B19=1</formula>
    </cfRule>
    <cfRule type="expression" dxfId="371" priority="895" stopIfTrue="1">
      <formula>OR($B19=0,$B19=2,$B19=3,$B19=4)</formula>
    </cfRule>
  </conditionalFormatting>
  <conditionalFormatting sqref="D33:I33 D36:H36 D34:H34">
    <cfRule type="expression" dxfId="370" priority="280" stopIfTrue="1">
      <formula>$B33=1</formula>
    </cfRule>
    <cfRule type="expression" dxfId="369" priority="281" stopIfTrue="1">
      <formula>OR($B33=0,$B33=2,$B33=3,$B33=4)</formula>
    </cfRule>
  </conditionalFormatting>
  <conditionalFormatting sqref="M33:N34 M36:N36">
    <cfRule type="expression" dxfId="368" priority="282" stopIfTrue="1">
      <formula>ACOMPANHAMENTO="BM"</formula>
    </cfRule>
    <cfRule type="expression" dxfId="367" priority="283" stopIfTrue="1">
      <formula>OR($B33=0,$B33=2,$B33=3,$B33=4)</formula>
    </cfRule>
    <cfRule type="expression" dxfId="366" priority="284" stopIfTrue="1">
      <formula>$B33=1</formula>
    </cfRule>
  </conditionalFormatting>
  <conditionalFormatting sqref="N33:N34 N36">
    <cfRule type="expression" dxfId="365" priority="278">
      <formula>$J33="►"</formula>
    </cfRule>
  </conditionalFormatting>
  <conditionalFormatting sqref="D20:H20">
    <cfRule type="expression" dxfId="364" priority="268" stopIfTrue="1">
      <formula>$B20=1</formula>
    </cfRule>
    <cfRule type="expression" dxfId="363" priority="269" stopIfTrue="1">
      <formula>OR($B20=0,$B20=2,$B20=3,$B20=4)</formula>
    </cfRule>
  </conditionalFormatting>
  <conditionalFormatting sqref="M20:N20">
    <cfRule type="expression" dxfId="362" priority="270" stopIfTrue="1">
      <formula>ACOMPANHAMENTO="BM"</formula>
    </cfRule>
    <cfRule type="expression" dxfId="361" priority="271" stopIfTrue="1">
      <formula>OR($B20=0,$B20=2,$B20=3,$B20=4)</formula>
    </cfRule>
    <cfRule type="expression" dxfId="360" priority="272" stopIfTrue="1">
      <formula>$B20=1</formula>
    </cfRule>
  </conditionalFormatting>
  <conditionalFormatting sqref="N20">
    <cfRule type="expression" dxfId="359" priority="266">
      <formula>$J20="►"</formula>
    </cfRule>
  </conditionalFormatting>
  <conditionalFormatting sqref="I32">
    <cfRule type="expression" dxfId="358" priority="264" stopIfTrue="1">
      <formula>$B32=1</formula>
    </cfRule>
    <cfRule type="expression" dxfId="357" priority="265" stopIfTrue="1">
      <formula>OR($B32=0,$B32=2,$B32=3,$B32=4)</formula>
    </cfRule>
  </conditionalFormatting>
  <conditionalFormatting sqref="D41:H41">
    <cfRule type="expression" dxfId="356" priority="252" stopIfTrue="1">
      <formula>$B41=1</formula>
    </cfRule>
    <cfRule type="expression" dxfId="355" priority="253" stopIfTrue="1">
      <formula>OR($B41=0,$B41=2,$B41=3,$B41=4)</formula>
    </cfRule>
  </conditionalFormatting>
  <conditionalFormatting sqref="M41:N41">
    <cfRule type="expression" dxfId="354" priority="254" stopIfTrue="1">
      <formula>ACOMPANHAMENTO="BM"</formula>
    </cfRule>
    <cfRule type="expression" dxfId="353" priority="255" stopIfTrue="1">
      <formula>OR($B41=0,$B41=2,$B41=3,$B41=4)</formula>
    </cfRule>
    <cfRule type="expression" dxfId="352" priority="256" stopIfTrue="1">
      <formula>$B41=1</formula>
    </cfRule>
  </conditionalFormatting>
  <conditionalFormatting sqref="N41">
    <cfRule type="expression" dxfId="351" priority="250">
      <formula>$J41="►"</formula>
    </cfRule>
  </conditionalFormatting>
  <conditionalFormatting sqref="D42:I42 D43:H43">
    <cfRule type="expression" dxfId="350" priority="240" stopIfTrue="1">
      <formula>$B42=1</formula>
    </cfRule>
    <cfRule type="expression" dxfId="349" priority="241" stopIfTrue="1">
      <formula>OR($B42=0,$B42=2,$B42=3,$B42=4)</formula>
    </cfRule>
  </conditionalFormatting>
  <conditionalFormatting sqref="M42:N43">
    <cfRule type="expression" dxfId="348" priority="242" stopIfTrue="1">
      <formula>ACOMPANHAMENTO="BM"</formula>
    </cfRule>
    <cfRule type="expression" dxfId="347" priority="243" stopIfTrue="1">
      <formula>OR($B42=0,$B42=2,$B42=3,$B42=4)</formula>
    </cfRule>
    <cfRule type="expression" dxfId="346" priority="244" stopIfTrue="1">
      <formula>$B42=1</formula>
    </cfRule>
  </conditionalFormatting>
  <conditionalFormatting sqref="N42:N43">
    <cfRule type="expression" dxfId="345" priority="238">
      <formula>$J42="►"</formula>
    </cfRule>
  </conditionalFormatting>
  <conditionalFormatting sqref="D46:H47">
    <cfRule type="expression" dxfId="344" priority="228" stopIfTrue="1">
      <formula>$B46=1</formula>
    </cfRule>
    <cfRule type="expression" dxfId="343" priority="229" stopIfTrue="1">
      <formula>OR($B46=0,$B46=2,$B46=3,$B46=4)</formula>
    </cfRule>
  </conditionalFormatting>
  <conditionalFormatting sqref="M46:N47">
    <cfRule type="expression" dxfId="342" priority="230" stopIfTrue="1">
      <formula>ACOMPANHAMENTO="BM"</formula>
    </cfRule>
    <cfRule type="expression" dxfId="341" priority="231" stopIfTrue="1">
      <formula>OR($B46=0,$B46=2,$B46=3,$B46=4)</formula>
    </cfRule>
    <cfRule type="expression" dxfId="340" priority="232" stopIfTrue="1">
      <formula>$B46=1</formula>
    </cfRule>
  </conditionalFormatting>
  <conditionalFormatting sqref="N46:N47">
    <cfRule type="expression" dxfId="339" priority="226">
      <formula>$J46="►"</formula>
    </cfRule>
  </conditionalFormatting>
  <conditionalFormatting sqref="I41">
    <cfRule type="expression" dxfId="338" priority="200" stopIfTrue="1">
      <formula>$B41=1</formula>
    </cfRule>
    <cfRule type="expression" dxfId="337" priority="201" stopIfTrue="1">
      <formula>OR($B41=0,$B41=2,$B41=3,$B41=4)</formula>
    </cfRule>
  </conditionalFormatting>
  <conditionalFormatting sqref="I46">
    <cfRule type="expression" dxfId="336" priority="198" stopIfTrue="1">
      <formula>$B46=1</formula>
    </cfRule>
    <cfRule type="expression" dxfId="335" priority="199" stopIfTrue="1">
      <formula>OR($B46=0,$B46=2,$B46=3,$B46=4)</formula>
    </cfRule>
  </conditionalFormatting>
  <conditionalFormatting sqref="I47">
    <cfRule type="expression" dxfId="334" priority="196" stopIfTrue="1">
      <formula>$B47=1</formula>
    </cfRule>
    <cfRule type="expression" dxfId="333" priority="197" stopIfTrue="1">
      <formula>OR($B47=0,$B47=2,$B47=3,$B47=4)</formula>
    </cfRule>
  </conditionalFormatting>
  <conditionalFormatting sqref="D22:I23">
    <cfRule type="expression" dxfId="332" priority="184" stopIfTrue="1">
      <formula>$B22=1</formula>
    </cfRule>
    <cfRule type="expression" dxfId="331" priority="185" stopIfTrue="1">
      <formula>OR($B22=0,$B22=2,$B22=3,$B22=4)</formula>
    </cfRule>
  </conditionalFormatting>
  <conditionalFormatting sqref="M22:N23">
    <cfRule type="expression" dxfId="330" priority="186" stopIfTrue="1">
      <formula>ACOMPANHAMENTO="BM"</formula>
    </cfRule>
    <cfRule type="expression" dxfId="329" priority="187" stopIfTrue="1">
      <formula>OR($B22=0,$B22=2,$B22=3,$B22=4)</formula>
    </cfRule>
    <cfRule type="expression" dxfId="328" priority="188" stopIfTrue="1">
      <formula>$B22=1</formula>
    </cfRule>
  </conditionalFormatting>
  <conditionalFormatting sqref="N22:N23">
    <cfRule type="expression" dxfId="327" priority="182">
      <formula>$J22="►"</formula>
    </cfRule>
  </conditionalFormatting>
  <conditionalFormatting sqref="D35:H35">
    <cfRule type="expression" dxfId="326" priority="160" stopIfTrue="1">
      <formula>$B35=1</formula>
    </cfRule>
    <cfRule type="expression" dxfId="325" priority="161" stopIfTrue="1">
      <formula>OR($B35=0,$B35=2,$B35=3,$B35=4)</formula>
    </cfRule>
  </conditionalFormatting>
  <conditionalFormatting sqref="M35:N35">
    <cfRule type="expression" dxfId="324" priority="162" stopIfTrue="1">
      <formula>ACOMPANHAMENTO="BM"</formula>
    </cfRule>
    <cfRule type="expression" dxfId="323" priority="163" stopIfTrue="1">
      <formula>OR($B35=0,$B35=2,$B35=3,$B35=4)</formula>
    </cfRule>
    <cfRule type="expression" dxfId="322" priority="164" stopIfTrue="1">
      <formula>$B35=1</formula>
    </cfRule>
  </conditionalFormatting>
  <conditionalFormatting sqref="N35">
    <cfRule type="expression" dxfId="321" priority="158">
      <formula>$J35="►"</formula>
    </cfRule>
  </conditionalFormatting>
  <conditionalFormatting sqref="I34">
    <cfRule type="expression" dxfId="320" priority="156" stopIfTrue="1">
      <formula>$B34=1</formula>
    </cfRule>
    <cfRule type="expression" dxfId="319" priority="157" stopIfTrue="1">
      <formula>OR($B34=0,$B34=2,$B34=3,$B34=4)</formula>
    </cfRule>
  </conditionalFormatting>
  <conditionalFormatting sqref="I43">
    <cfRule type="expression" dxfId="318" priority="150" stopIfTrue="1">
      <formula>$B43=1</formula>
    </cfRule>
    <cfRule type="expression" dxfId="317" priority="151" stopIfTrue="1">
      <formula>OR($B43=0,$B43=2,$B43=3,$B43=4)</formula>
    </cfRule>
  </conditionalFormatting>
  <conditionalFormatting sqref="D44:I44">
    <cfRule type="expression" dxfId="316" priority="140" stopIfTrue="1">
      <formula>$B44=1</formula>
    </cfRule>
    <cfRule type="expression" dxfId="315" priority="141" stopIfTrue="1">
      <formula>OR($B44=0,$B44=2,$B44=3,$B44=4)</formula>
    </cfRule>
  </conditionalFormatting>
  <conditionalFormatting sqref="M44:N44">
    <cfRule type="expression" dxfId="314" priority="142" stopIfTrue="1">
      <formula>ACOMPANHAMENTO="BM"</formula>
    </cfRule>
    <cfRule type="expression" dxfId="313" priority="143" stopIfTrue="1">
      <formula>OR($B44=0,$B44=2,$B44=3,$B44=4)</formula>
    </cfRule>
    <cfRule type="expression" dxfId="312" priority="144" stopIfTrue="1">
      <formula>$B44=1</formula>
    </cfRule>
  </conditionalFormatting>
  <conditionalFormatting sqref="K44">
    <cfRule type="expression" dxfId="311" priority="145" stopIfTrue="1">
      <formula>OR(ACOMPANHAMENTO="BM",$A$12&lt;&gt;"Manual")</formula>
    </cfRule>
    <cfRule type="expression" dxfId="310" priority="146" stopIfTrue="1">
      <formula>$B44=1</formula>
    </cfRule>
    <cfRule type="expression" dxfId="309" priority="147" stopIfTrue="1">
      <formula>OR($B44=2,$B44=3,$B44=4,$B44=0)</formula>
    </cfRule>
  </conditionalFormatting>
  <conditionalFormatting sqref="O44:AA44">
    <cfRule type="expression" dxfId="308" priority="139" stopIfTrue="1">
      <formula>ACOMPANHAMENTO="BM"</formula>
    </cfRule>
    <cfRule type="expression" dxfId="307" priority="148" stopIfTrue="1">
      <formula>AND(O$12&lt;&gt;".",OR($B44=0,$B44=2,$B44=3,$B44=4,AND(O$12="",$B44&lt;&gt;"Empty"),OFFSET(O$1,0,-1)=0))</formula>
    </cfRule>
    <cfRule type="expression" dxfId="306" priority="149" stopIfTrue="1">
      <formula>AND($B44=1,O$1=1)</formula>
    </cfRule>
  </conditionalFormatting>
  <conditionalFormatting sqref="N44">
    <cfRule type="expression" dxfId="305" priority="138">
      <formula>$J44="►"</formula>
    </cfRule>
  </conditionalFormatting>
  <conditionalFormatting sqref="D45:I45">
    <cfRule type="expression" dxfId="304" priority="128" stopIfTrue="1">
      <formula>$B45=1</formula>
    </cfRule>
    <cfRule type="expression" dxfId="303" priority="129" stopIfTrue="1">
      <formula>OR($B45=0,$B45=2,$B45=3,$B45=4)</formula>
    </cfRule>
  </conditionalFormatting>
  <conditionalFormatting sqref="M45:N45">
    <cfRule type="expression" dxfId="302" priority="130" stopIfTrue="1">
      <formula>ACOMPANHAMENTO="BM"</formula>
    </cfRule>
    <cfRule type="expression" dxfId="301" priority="131" stopIfTrue="1">
      <formula>OR($B45=0,$B45=2,$B45=3,$B45=4)</formula>
    </cfRule>
    <cfRule type="expression" dxfId="300" priority="132" stopIfTrue="1">
      <formula>$B45=1</formula>
    </cfRule>
  </conditionalFormatting>
  <conditionalFormatting sqref="K45">
    <cfRule type="expression" dxfId="299" priority="133" stopIfTrue="1">
      <formula>OR(ACOMPANHAMENTO="BM",$A$12&lt;&gt;"Manual")</formula>
    </cfRule>
    <cfRule type="expression" dxfId="298" priority="134" stopIfTrue="1">
      <formula>$B45=1</formula>
    </cfRule>
    <cfRule type="expression" dxfId="297" priority="135" stopIfTrue="1">
      <formula>OR($B45=2,$B45=3,$B45=4,$B45=0)</formula>
    </cfRule>
  </conditionalFormatting>
  <conditionalFormatting sqref="O45:AA45">
    <cfRule type="expression" dxfId="296" priority="127" stopIfTrue="1">
      <formula>ACOMPANHAMENTO="BM"</formula>
    </cfRule>
    <cfRule type="expression" dxfId="295" priority="136" stopIfTrue="1">
      <formula>AND(O$12&lt;&gt;".",OR($B45=0,$B45=2,$B45=3,$B45=4,AND(O$12="",$B45&lt;&gt;"Empty"),OFFSET(O$1,0,-1)=0))</formula>
    </cfRule>
    <cfRule type="expression" dxfId="294" priority="137" stopIfTrue="1">
      <formula>AND($B45=1,O$1=1)</formula>
    </cfRule>
  </conditionalFormatting>
  <conditionalFormatting sqref="N45">
    <cfRule type="expression" dxfId="293" priority="126">
      <formula>$J45="►"</formula>
    </cfRule>
  </conditionalFormatting>
  <conditionalFormatting sqref="D25:I25">
    <cfRule type="expression" dxfId="292" priority="116" stopIfTrue="1">
      <formula>$B25=1</formula>
    </cfRule>
    <cfRule type="expression" dxfId="291" priority="117" stopIfTrue="1">
      <formula>OR($B25=0,$B25=2,$B25=3,$B25=4)</formula>
    </cfRule>
  </conditionalFormatting>
  <conditionalFormatting sqref="M25:N25">
    <cfRule type="expression" dxfId="290" priority="118" stopIfTrue="1">
      <formula>ACOMPANHAMENTO="BM"</formula>
    </cfRule>
    <cfRule type="expression" dxfId="289" priority="119" stopIfTrue="1">
      <formula>OR($B25=0,$B25=2,$B25=3,$B25=4)</formula>
    </cfRule>
    <cfRule type="expression" dxfId="288" priority="120" stopIfTrue="1">
      <formula>$B25=1</formula>
    </cfRule>
  </conditionalFormatting>
  <conditionalFormatting sqref="K25">
    <cfRule type="expression" dxfId="287" priority="121" stopIfTrue="1">
      <formula>OR(ACOMPANHAMENTO="BM",$A$12&lt;&gt;"Manual")</formula>
    </cfRule>
    <cfRule type="expression" dxfId="286" priority="122" stopIfTrue="1">
      <formula>$B25=1</formula>
    </cfRule>
    <cfRule type="expression" dxfId="285" priority="123" stopIfTrue="1">
      <formula>OR($B25=2,$B25=3,$B25=4,$B25=0)</formula>
    </cfRule>
  </conditionalFormatting>
  <conditionalFormatting sqref="O25:AA25">
    <cfRule type="expression" dxfId="284" priority="115" stopIfTrue="1">
      <formula>ACOMPANHAMENTO="BM"</formula>
    </cfRule>
    <cfRule type="expression" dxfId="283" priority="124" stopIfTrue="1">
      <formula>AND(O$12&lt;&gt;".",OR($B25=0,$B25=2,$B25=3,$B25=4,AND(O$12="",$B25&lt;&gt;"Empty"),OFFSET(O$1,0,-1)=0))</formula>
    </cfRule>
    <cfRule type="expression" dxfId="282" priority="125" stopIfTrue="1">
      <formula>AND($B25=1,O$1=1)</formula>
    </cfRule>
  </conditionalFormatting>
  <conditionalFormatting sqref="N25">
    <cfRule type="expression" dxfId="281" priority="114">
      <formula>$J25="►"</formula>
    </cfRule>
  </conditionalFormatting>
  <conditionalFormatting sqref="D26:I27">
    <cfRule type="expression" dxfId="280" priority="104" stopIfTrue="1">
      <formula>$B26=1</formula>
    </cfRule>
    <cfRule type="expression" dxfId="279" priority="105" stopIfTrue="1">
      <formula>OR($B26=0,$B26=2,$B26=3,$B26=4)</formula>
    </cfRule>
  </conditionalFormatting>
  <conditionalFormatting sqref="M26:N27">
    <cfRule type="expression" dxfId="278" priority="106" stopIfTrue="1">
      <formula>ACOMPANHAMENTO="BM"</formula>
    </cfRule>
    <cfRule type="expression" dxfId="277" priority="107" stopIfTrue="1">
      <formula>OR($B26=0,$B26=2,$B26=3,$B26=4)</formula>
    </cfRule>
    <cfRule type="expression" dxfId="276" priority="108" stopIfTrue="1">
      <formula>$B26=1</formula>
    </cfRule>
  </conditionalFormatting>
  <conditionalFormatting sqref="K26:K27">
    <cfRule type="expression" dxfId="275" priority="109" stopIfTrue="1">
      <formula>OR(ACOMPANHAMENTO="BM",$A$12&lt;&gt;"Manual")</formula>
    </cfRule>
    <cfRule type="expression" dxfId="274" priority="110" stopIfTrue="1">
      <formula>$B26=1</formula>
    </cfRule>
    <cfRule type="expression" dxfId="273" priority="111" stopIfTrue="1">
      <formula>OR($B26=2,$B26=3,$B26=4,$B26=0)</formula>
    </cfRule>
  </conditionalFormatting>
  <conditionalFormatting sqref="O26:AA27">
    <cfRule type="expression" dxfId="272" priority="103" stopIfTrue="1">
      <formula>ACOMPANHAMENTO="BM"</formula>
    </cfRule>
    <cfRule type="expression" dxfId="271" priority="112" stopIfTrue="1">
      <formula>AND(O$12&lt;&gt;".",OR($B26=0,$B26=2,$B26=3,$B26=4,AND(O$12="",$B26&lt;&gt;"Empty"),OFFSET(O$1,0,-1)=0))</formula>
    </cfRule>
    <cfRule type="expression" dxfId="270" priority="113" stopIfTrue="1">
      <formula>AND($B26=1,O$1=1)</formula>
    </cfRule>
  </conditionalFormatting>
  <conditionalFormatting sqref="N26:N27">
    <cfRule type="expression" dxfId="269" priority="102">
      <formula>$J26="►"</formula>
    </cfRule>
  </conditionalFormatting>
  <conditionalFormatting sqref="D24:I24">
    <cfRule type="expression" dxfId="268" priority="92" stopIfTrue="1">
      <formula>$B24=1</formula>
    </cfRule>
    <cfRule type="expression" dxfId="267" priority="93" stopIfTrue="1">
      <formula>OR($B24=0,$B24=2,$B24=3,$B24=4)</formula>
    </cfRule>
  </conditionalFormatting>
  <conditionalFormatting sqref="M24:N24">
    <cfRule type="expression" dxfId="266" priority="94" stopIfTrue="1">
      <formula>ACOMPANHAMENTO="BM"</formula>
    </cfRule>
    <cfRule type="expression" dxfId="265" priority="95" stopIfTrue="1">
      <formula>OR($B24=0,$B24=2,$B24=3,$B24=4)</formula>
    </cfRule>
    <cfRule type="expression" dxfId="264" priority="96" stopIfTrue="1">
      <formula>$B24=1</formula>
    </cfRule>
  </conditionalFormatting>
  <conditionalFormatting sqref="K24">
    <cfRule type="expression" dxfId="263" priority="97" stopIfTrue="1">
      <formula>OR(ACOMPANHAMENTO="BM",$A$12&lt;&gt;"Manual")</formula>
    </cfRule>
    <cfRule type="expression" dxfId="262" priority="98" stopIfTrue="1">
      <formula>$B24=1</formula>
    </cfRule>
    <cfRule type="expression" dxfId="261" priority="99" stopIfTrue="1">
      <formula>OR($B24=2,$B24=3,$B24=4,$B24=0)</formula>
    </cfRule>
  </conditionalFormatting>
  <conditionalFormatting sqref="O24:AA24">
    <cfRule type="expression" dxfId="260" priority="91" stopIfTrue="1">
      <formula>ACOMPANHAMENTO="BM"</formula>
    </cfRule>
    <cfRule type="expression" dxfId="259" priority="100" stopIfTrue="1">
      <formula>AND(O$12&lt;&gt;".",OR($B24=0,$B24=2,$B24=3,$B24=4,AND(O$12="",$B24&lt;&gt;"Empty"),OFFSET(O$1,0,-1)=0))</formula>
    </cfRule>
    <cfRule type="expression" dxfId="258" priority="101" stopIfTrue="1">
      <formula>AND($B24=1,O$1=1)</formula>
    </cfRule>
  </conditionalFormatting>
  <conditionalFormatting sqref="N24">
    <cfRule type="expression" dxfId="257" priority="90">
      <formula>$J24="►"</formula>
    </cfRule>
  </conditionalFormatting>
  <conditionalFormatting sqref="D28:I29">
    <cfRule type="expression" dxfId="256" priority="80" stopIfTrue="1">
      <formula>$B28=1</formula>
    </cfRule>
    <cfRule type="expression" dxfId="255" priority="81" stopIfTrue="1">
      <formula>OR($B28=0,$B28=2,$B28=3,$B28=4)</formula>
    </cfRule>
  </conditionalFormatting>
  <conditionalFormatting sqref="M28:N29">
    <cfRule type="expression" dxfId="254" priority="82" stopIfTrue="1">
      <formula>ACOMPANHAMENTO="BM"</formula>
    </cfRule>
    <cfRule type="expression" dxfId="253" priority="83" stopIfTrue="1">
      <formula>OR($B28=0,$B28=2,$B28=3,$B28=4)</formula>
    </cfRule>
    <cfRule type="expression" dxfId="252" priority="84" stopIfTrue="1">
      <formula>$B28=1</formula>
    </cfRule>
  </conditionalFormatting>
  <conditionalFormatting sqref="K28:K29">
    <cfRule type="expression" dxfId="251" priority="85" stopIfTrue="1">
      <formula>OR(ACOMPANHAMENTO="BM",$A$12&lt;&gt;"Manual")</formula>
    </cfRule>
    <cfRule type="expression" dxfId="250" priority="86" stopIfTrue="1">
      <formula>$B28=1</formula>
    </cfRule>
    <cfRule type="expression" dxfId="249" priority="87" stopIfTrue="1">
      <formula>OR($B28=2,$B28=3,$B28=4,$B28=0)</formula>
    </cfRule>
  </conditionalFormatting>
  <conditionalFormatting sqref="O28:AA29">
    <cfRule type="expression" dxfId="248" priority="79" stopIfTrue="1">
      <formula>ACOMPANHAMENTO="BM"</formula>
    </cfRule>
    <cfRule type="expression" dxfId="247" priority="88" stopIfTrue="1">
      <formula>AND(O$12&lt;&gt;".",OR($B28=0,$B28=2,$B28=3,$B28=4,AND(O$12="",$B28&lt;&gt;"Empty"),OFFSET(O$1,0,-1)=0))</formula>
    </cfRule>
    <cfRule type="expression" dxfId="246" priority="89" stopIfTrue="1">
      <formula>AND($B28=1,O$1=1)</formula>
    </cfRule>
  </conditionalFormatting>
  <conditionalFormatting sqref="N28:N29">
    <cfRule type="expression" dxfId="245" priority="78">
      <formula>$J28="►"</formula>
    </cfRule>
  </conditionalFormatting>
  <conditionalFormatting sqref="I36">
    <cfRule type="expression" dxfId="244" priority="58" stopIfTrue="1">
      <formula>$B36=1</formula>
    </cfRule>
    <cfRule type="expression" dxfId="243" priority="59" stopIfTrue="1">
      <formula>OR($B36=0,$B36=2,$B36=3,$B36=4)</formula>
    </cfRule>
  </conditionalFormatting>
  <conditionalFormatting sqref="I35">
    <cfRule type="expression" dxfId="242" priority="62" stopIfTrue="1">
      <formula>$B35=1</formula>
    </cfRule>
    <cfRule type="expression" dxfId="241" priority="63" stopIfTrue="1">
      <formula>OR($B35=0,$B35=2,$B35=3,$B35=4)</formula>
    </cfRule>
  </conditionalFormatting>
  <conditionalFormatting sqref="D37:I37">
    <cfRule type="expression" dxfId="240" priority="48" stopIfTrue="1">
      <formula>$B37=1</formula>
    </cfRule>
    <cfRule type="expression" dxfId="239" priority="49" stopIfTrue="1">
      <formula>OR($B37=0,$B37=2,$B37=3,$B37=4)</formula>
    </cfRule>
  </conditionalFormatting>
  <conditionalFormatting sqref="M37:N37">
    <cfRule type="expression" dxfId="238" priority="50" stopIfTrue="1">
      <formula>ACOMPANHAMENTO="BM"</formula>
    </cfRule>
    <cfRule type="expression" dxfId="237" priority="51" stopIfTrue="1">
      <formula>OR($B37=0,$B37=2,$B37=3,$B37=4)</formula>
    </cfRule>
    <cfRule type="expression" dxfId="236" priority="52" stopIfTrue="1">
      <formula>$B37=1</formula>
    </cfRule>
  </conditionalFormatting>
  <conditionalFormatting sqref="K37">
    <cfRule type="expression" dxfId="235" priority="53" stopIfTrue="1">
      <formula>OR(ACOMPANHAMENTO="BM",$A$12&lt;&gt;"Manual")</formula>
    </cfRule>
    <cfRule type="expression" dxfId="234" priority="54" stopIfTrue="1">
      <formula>$B37=1</formula>
    </cfRule>
    <cfRule type="expression" dxfId="233" priority="55" stopIfTrue="1">
      <formula>OR($B37=2,$B37=3,$B37=4,$B37=0)</formula>
    </cfRule>
  </conditionalFormatting>
  <conditionalFormatting sqref="O37:AA37">
    <cfRule type="expression" dxfId="232" priority="47" stopIfTrue="1">
      <formula>ACOMPANHAMENTO="BM"</formula>
    </cfRule>
    <cfRule type="expression" dxfId="231" priority="56" stopIfTrue="1">
      <formula>AND(O$12&lt;&gt;".",OR($B37=0,$B37=2,$B37=3,$B37=4,AND(O$12="",$B37&lt;&gt;"Empty"),OFFSET(O$1,0,-1)=0))</formula>
    </cfRule>
    <cfRule type="expression" dxfId="230" priority="57" stopIfTrue="1">
      <formula>AND($B37=1,O$1=1)</formula>
    </cfRule>
  </conditionalFormatting>
  <conditionalFormatting sqref="N37">
    <cfRule type="expression" dxfId="229" priority="46">
      <formula>$J37="►"</formula>
    </cfRule>
  </conditionalFormatting>
  <conditionalFormatting sqref="D38:I38">
    <cfRule type="expression" dxfId="228" priority="36" stopIfTrue="1">
      <formula>$B38=1</formula>
    </cfRule>
    <cfRule type="expression" dxfId="227" priority="37" stopIfTrue="1">
      <formula>OR($B38=0,$B38=2,$B38=3,$B38=4)</formula>
    </cfRule>
  </conditionalFormatting>
  <conditionalFormatting sqref="M38:N38">
    <cfRule type="expression" dxfId="226" priority="38" stopIfTrue="1">
      <formula>ACOMPANHAMENTO="BM"</formula>
    </cfRule>
    <cfRule type="expression" dxfId="225" priority="39" stopIfTrue="1">
      <formula>OR($B38=0,$B38=2,$B38=3,$B38=4)</formula>
    </cfRule>
    <cfRule type="expression" dxfId="224" priority="40" stopIfTrue="1">
      <formula>$B38=1</formula>
    </cfRule>
  </conditionalFormatting>
  <conditionalFormatting sqref="K38">
    <cfRule type="expression" dxfId="223" priority="41" stopIfTrue="1">
      <formula>OR(ACOMPANHAMENTO="BM",$A$12&lt;&gt;"Manual")</formula>
    </cfRule>
    <cfRule type="expression" dxfId="222" priority="42" stopIfTrue="1">
      <formula>$B38=1</formula>
    </cfRule>
    <cfRule type="expression" dxfId="221" priority="43" stopIfTrue="1">
      <formula>OR($B38=2,$B38=3,$B38=4,$B38=0)</formula>
    </cfRule>
  </conditionalFormatting>
  <conditionalFormatting sqref="O38:AA38">
    <cfRule type="expression" dxfId="220" priority="35" stopIfTrue="1">
      <formula>ACOMPANHAMENTO="BM"</formula>
    </cfRule>
    <cfRule type="expression" dxfId="219" priority="44" stopIfTrue="1">
      <formula>AND(O$12&lt;&gt;".",OR($B38=0,$B38=2,$B38=3,$B38=4,AND(O$12="",$B38&lt;&gt;"Empty"),OFFSET(O$1,0,-1)=0))</formula>
    </cfRule>
    <cfRule type="expression" dxfId="218" priority="45" stopIfTrue="1">
      <formula>AND($B38=1,O$1=1)</formula>
    </cfRule>
  </conditionalFormatting>
  <conditionalFormatting sqref="N38">
    <cfRule type="expression" dxfId="217" priority="34">
      <formula>$J38="►"</formula>
    </cfRule>
  </conditionalFormatting>
  <conditionalFormatting sqref="D21:I21">
    <cfRule type="expression" dxfId="216" priority="29" stopIfTrue="1">
      <formula>$B21=1</formula>
    </cfRule>
    <cfRule type="expression" dxfId="215" priority="30" stopIfTrue="1">
      <formula>OR($B21=0,$B21=2,$B21=3,$B21=4)</formula>
    </cfRule>
  </conditionalFormatting>
  <conditionalFormatting sqref="M21:N21">
    <cfRule type="expression" dxfId="214" priority="31" stopIfTrue="1">
      <formula>ACOMPANHAMENTO="BM"</formula>
    </cfRule>
    <cfRule type="expression" dxfId="213" priority="32" stopIfTrue="1">
      <formula>OR($B21=0,$B21=2,$B21=3,$B21=4)</formula>
    </cfRule>
    <cfRule type="expression" dxfId="212" priority="33" stopIfTrue="1">
      <formula>$B21=1</formula>
    </cfRule>
  </conditionalFormatting>
  <conditionalFormatting sqref="N21">
    <cfRule type="expression" dxfId="211" priority="28">
      <formula>$J21="►"</formula>
    </cfRule>
  </conditionalFormatting>
  <conditionalFormatting sqref="D39:I40">
    <cfRule type="expression" dxfId="210" priority="15" stopIfTrue="1">
      <formula>$B39=1</formula>
    </cfRule>
    <cfRule type="expression" dxfId="209" priority="16" stopIfTrue="1">
      <formula>OR($B39=0,$B39=2,$B39=3,$B39=4)</formula>
    </cfRule>
  </conditionalFormatting>
  <conditionalFormatting sqref="M39:N40">
    <cfRule type="expression" dxfId="208" priority="17" stopIfTrue="1">
      <formula>ACOMPANHAMENTO="BM"</formula>
    </cfRule>
    <cfRule type="expression" dxfId="207" priority="18" stopIfTrue="1">
      <formula>OR($B39=0,$B39=2,$B39=3,$B39=4)</formula>
    </cfRule>
    <cfRule type="expression" dxfId="206" priority="19" stopIfTrue="1">
      <formula>$B39=1</formula>
    </cfRule>
  </conditionalFormatting>
  <conditionalFormatting sqref="O39:AA40">
    <cfRule type="expression" dxfId="205" priority="14" stopIfTrue="1">
      <formula>ACOMPANHAMENTO="BM"</formula>
    </cfRule>
    <cfRule type="expression" dxfId="204" priority="20" stopIfTrue="1">
      <formula>AND(O$12&lt;&gt;".",OR($B39=0,$B39=2,$B39=3,$B39=4,AND(O$12="",$B39&lt;&gt;"Empty"),OFFSET(O$1,0,-1)=0))</formula>
    </cfRule>
    <cfRule type="expression" dxfId="203" priority="21" stopIfTrue="1">
      <formula>AND($B39=1,O$1=1)</formula>
    </cfRule>
  </conditionalFormatting>
  <conditionalFormatting sqref="N39:N40">
    <cfRule type="expression" dxfId="202" priority="13">
      <formula>$J39="►"</formula>
    </cfRule>
  </conditionalFormatting>
  <dataValidations count="4">
    <dataValidation type="decimal" operator="greaterThan" allowBlank="1" showErrorMessage="1" error="Apenas números decimais maiores que zero." sqref="O14 Q14:Z14 O16:O104 Q16:Z104" xr:uid="{00000000-0002-0000-0600-000000000000}">
      <formula1>0</formula1>
      <formula2>0</formula2>
    </dataValidation>
    <dataValidation allowBlank="1" showInputMessage="1" showErrorMessage="1" prompt="A quantidade é digitada nas colunas Q em diante, após preencher o nome das frentes de obra na célula Q12 em diante" sqref="H14 H16:H104" xr:uid="{00000000-0002-0000-0600-000001000000}"/>
    <dataValidation allowBlank="1" showInputMessage="1" showErrorMessage="1" prompt="A frente de obra é uma porção física da obra. Exemplos: Única; Rua A; Rua B; Trecho 01; Trecho 02; 1º Andar; 2º Andar; Copa; Banheiro" sqref="Q12" xr:uid="{00000000-0002-0000-0600-000002000000}"/>
    <dataValidation type="list" allowBlank="1" showInputMessage="1" showErrorMessage="1" errorTitle="Erro:" error="Selecione um dos eventos da lista suspensa." prompt="Selecione um dos eventos da lista suspensa._x000a_" sqref="K14 K16:K104" xr:uid="{00000000-0002-0000-0600-000003000000}">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&amp;LPMv3.12&amp;R&amp;P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10">
    <pageSetUpPr fitToPage="1"/>
  </sheetPr>
  <dimension ref="A1:AF37"/>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activeCell="AG18" sqref="AG18"/>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IF(AUTOEVENTO="Manual",IF(EVENTOS!$F1&gt;0,"F",""),IF(AND(B1&gt;0,B1&lt;=MAX(CÁLCULO!$M$15:$M$105)),"F",""))</f>
        <v>#REF!</v>
      </c>
      <c r="B1" s="248" t="e">
        <f ca="1">OFFSET(B1,-1,0)+1</f>
        <v>#REF!</v>
      </c>
      <c r="C1" s="515" t="e">
        <f ca="1">IF(AUTOEVENTO="Manual",IF($B1&gt;0,OFFSET(EVENTOS!$D$15,$B1-$B$15,0),0),IF(B1&lt;=MAX(CÁLCULO!$M$15:$M$105),VLOOKUP($B1,CÁLCULO!$M$15:$N$105,2,FALSE),0))</f>
        <v>#REF!</v>
      </c>
      <c r="D1" s="555"/>
      <c r="E1" s="249"/>
      <c r="F1" t="e">
        <f ca="1">IF($C1=0,"",CONCATENATE($B1,". ",$C1))</f>
        <v>#REF!</v>
      </c>
      <c r="G1" s="554"/>
      <c r="H1" s="554"/>
      <c r="I1" s="554"/>
      <c r="J1" s="554"/>
      <c r="K1" s="554"/>
      <c r="L1" s="554"/>
      <c r="M1" s="554"/>
      <c r="N1" s="554"/>
      <c r="O1" s="554"/>
      <c r="P1" s="554"/>
      <c r="Q1" s="554"/>
      <c r="R1" s="554"/>
      <c r="S1" s="554"/>
      <c r="T1" s="554"/>
      <c r="U1" s="554"/>
      <c r="V1" s="554"/>
      <c r="W1" s="554"/>
      <c r="X1" s="554"/>
      <c r="Y1" s="554"/>
      <c r="Z1" s="554"/>
      <c r="AA1" s="554"/>
      <c r="AB1" s="554"/>
      <c r="AC1" s="554"/>
      <c r="AD1" s="554"/>
      <c r="AE1" s="554"/>
    </row>
    <row r="2" spans="1:31" ht="30" customHeight="1" x14ac:dyDescent="0.2">
      <c r="G2" s="82" t="s">
        <v>778</v>
      </c>
      <c r="AC2" s="754" t="s">
        <v>758</v>
      </c>
      <c r="AD2" s="755"/>
      <c r="AE2" s="756"/>
    </row>
    <row r="3" spans="1:31" ht="12.75" customHeight="1" x14ac:dyDescent="0.2">
      <c r="G3" s="82"/>
      <c r="AD3" s="484"/>
      <c r="AE3" s="484"/>
    </row>
    <row r="4" spans="1:31" ht="12.75" customHeight="1" x14ac:dyDescent="0.2">
      <c r="B4" s="708" t="s">
        <v>653</v>
      </c>
      <c r="C4" s="708"/>
      <c r="D4" s="708"/>
      <c r="G4" s="717" t="s">
        <v>651</v>
      </c>
      <c r="H4" s="717"/>
      <c r="I4" s="717"/>
      <c r="J4" s="717" t="s">
        <v>708</v>
      </c>
      <c r="K4" s="717"/>
      <c r="L4" s="717"/>
      <c r="M4" s="209" t="s">
        <v>759</v>
      </c>
      <c r="N4" s="213"/>
      <c r="P4" s="187"/>
      <c r="Q4" s="187"/>
      <c r="R4" s="187"/>
      <c r="U4" s="485"/>
      <c r="V4" s="187"/>
      <c r="W4" s="187"/>
      <c r="X4" s="187"/>
      <c r="Y4" s="187"/>
      <c r="AD4" s="484"/>
      <c r="AE4" s="486"/>
    </row>
    <row r="5" spans="1:31" ht="12.75" customHeight="1" x14ac:dyDescent="0.2">
      <c r="B5" s="711" t="str">
        <f>Import.Proponente</f>
        <v>CONSÓRCIO INTERMUNICIPAL DO MÉDIO ALTO URUGUAI - CIMAU</v>
      </c>
      <c r="C5" s="711"/>
      <c r="D5" s="711"/>
      <c r="G5" s="722" t="str">
        <f>Import.CR</f>
        <v>0</v>
      </c>
      <c r="H5" s="722"/>
      <c r="I5" s="722"/>
      <c r="J5" s="722" t="str">
        <f>Import.SICONV</f>
        <v>0</v>
      </c>
      <c r="K5" s="722"/>
      <c r="L5" s="722"/>
      <c r="M5" s="730" t="str">
        <f>Import.Apelido</f>
        <v>REFORMA CASA DA CRIANÇA</v>
      </c>
      <c r="N5" s="731"/>
      <c r="O5" s="731"/>
      <c r="P5" s="731"/>
      <c r="Q5" s="731"/>
      <c r="R5" s="731"/>
      <c r="S5" s="731"/>
      <c r="T5" s="731"/>
      <c r="U5" s="731"/>
      <c r="V5" s="731"/>
      <c r="W5" s="731"/>
      <c r="X5" s="731"/>
      <c r="Y5" s="731"/>
      <c r="Z5" s="731"/>
      <c r="AA5" s="731"/>
      <c r="AB5" s="731"/>
      <c r="AC5" s="731"/>
      <c r="AD5" s="731"/>
      <c r="AE5" s="757"/>
    </row>
    <row r="6" spans="1:31" ht="14.25" customHeight="1" x14ac:dyDescent="0.25">
      <c r="B6" s="250" t="str" cm="1">
        <f t="array" aca="1" ref="B6" ca="1">IF(ACOMPANHAMENTO="BM","NO ACOMPANHAMENTO POR BM, UTILIZE A ABA CRONO",
  IF(MAX($B$14:$B$23)&lt;MAX(CÁLCULO!$M$15:$M$105),"ERRO: NÚMERO DE EVENTOS INSUFICIENTE, CLIQUE EM ATUALIZAR LINHAS",
  IF(ROUND(OFFSET(CRONO!$AG$48,0,-1),2)&lt;&gt;CRONO!$R$39,"ERRO: CRONOGRAMA NÃO FECHA 100%","")))</f>
        <v/>
      </c>
    </row>
    <row r="7" spans="1:31" ht="15" customHeight="1" thickBot="1" x14ac:dyDescent="0.25">
      <c r="B7" s="523" t="str" cm="1">
        <f t="array" ref="B7">IF(AdmLocal="Automática","","1. Selecione o Título do Evento da Administração Local:")</f>
        <v>1. Selecione o Título do Evento da Administração Local:</v>
      </c>
    </row>
    <row r="8" spans="1:31" ht="13.5" thickBot="1" x14ac:dyDescent="0.25">
      <c r="A8" s="549" t="str">
        <f>MID(Import.EventoAdmLocal,1,SEARCH(".",Import.EventoAdmLocal)-1)</f>
        <v>1</v>
      </c>
      <c r="B8" s="676" t="s">
        <v>958</v>
      </c>
      <c r="C8" s="678"/>
      <c r="D8" s="572" t="str">
        <f ca="1">IF($B$7="","",IF(AND($B$15=0,$B$8=""),"◄ Não foi indicado o Evento de Administração Local",IF(ISERROR(MATCH(Import.EventoAdmLocal,$F$15:$F$23,0)),"◄ Selecione um Título de Evento válido para a Administração Local","")))</f>
        <v>◄ Selecione um Título de Evento válido para a Administração Local</v>
      </c>
    </row>
    <row r="9" spans="1:31" ht="3.95" customHeight="1" x14ac:dyDescent="0.2">
      <c r="A9" s="549"/>
    </row>
    <row r="10" spans="1:31" ht="15" customHeight="1" x14ac:dyDescent="0.2">
      <c r="A10" s="549">
        <f ca="1">MATCH(VALUE(A8),CÁLCULO!$M$15:$M$105,0)-2</f>
        <v>2</v>
      </c>
      <c r="B10" s="523"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90" t="s">
        <v>656</v>
      </c>
      <c r="C11" s="252"/>
      <c r="E11" s="253" t="str">
        <f ca="1">IF(E$12&gt;CÁLCULO.FrentesPreenchidas,"",OFFSET(CÁLCULO!$P$12,0,E$12))</f>
        <v>Iluminação Publica</v>
      </c>
      <c r="G11" s="253" t="str">
        <f ca="1">IF(G$12&gt;CÁLCULO.FrentesPreenchidas,"",OFFSET(CÁLCULO!$P$12,0,G$12))</f>
        <v>Iluminação Publica</v>
      </c>
      <c r="H11" s="253" t="str">
        <f ca="1">IF(H$12&gt;CÁLCULO.FrentesPreenchidas,"",OFFSET(CÁLCULO!$P$12,0,H$12))</f>
        <v/>
      </c>
      <c r="I11" s="253" t="str">
        <f ca="1">IF(I$12&gt;CÁLCULO.FrentesPreenchidas,"",OFFSET(CÁLCULO!$P$12,0,I$12))</f>
        <v/>
      </c>
      <c r="J11" s="253" t="str">
        <f ca="1">IF(J$12&gt;CÁLCULO.FrentesPreenchidas,"",OFFSET(CÁLCULO!$P$12,0,J$12))</f>
        <v/>
      </c>
      <c r="K11" s="253" t="str">
        <f ca="1">IF(K$12&gt;CÁLCULO.FrentesPreenchidas,"",OFFSET(CÁLCULO!$P$12,0,K$12))</f>
        <v/>
      </c>
      <c r="L11" s="253" t="str">
        <f ca="1">IF(L$12&gt;CÁLCULO.FrentesPreenchidas,"",OFFSET(CÁLCULO!$P$12,0,L$12))</f>
        <v/>
      </c>
      <c r="M11" s="253" t="str">
        <f ca="1">IF(M$12&gt;CÁLCULO.FrentesPreenchidas,"",OFFSET(CÁLCULO!$P$12,0,M$12))</f>
        <v/>
      </c>
      <c r="N11" s="253" t="str">
        <f ca="1">IF(N$12&gt;CÁLCULO.FrentesPreenchidas,"",OFFSET(CÁLCULO!$P$12,0,N$12))</f>
        <v/>
      </c>
      <c r="O11" s="253" t="str">
        <f ca="1">IF(O$12&gt;CÁLCULO.FrentesPreenchidas,"",OFFSET(CÁLCULO!$P$12,0,O$12))</f>
        <v/>
      </c>
      <c r="P11" s="253" t="str">
        <f ca="1">IF(P$12&gt;CÁLCULO.FrentesPreenchidas,"",OFFSET(CÁLCULO!$P$12,0,P$12))</f>
        <v/>
      </c>
      <c r="Q11" s="253" t="str">
        <f ca="1">IF(Q$12&gt;CÁLCULO.FrentesPreenchidas,"",OFFSET(CÁLCULO!$P$12,0,Q$12))</f>
        <v/>
      </c>
      <c r="R11" s="253" t="str">
        <f ca="1">IF(R$12&gt;CÁLCULO.FrentesPreenchidas,"",OFFSET(CÁLCULO!$P$12,0,R$12))</f>
        <v/>
      </c>
      <c r="S11" s="253" t="str">
        <f ca="1">IF(S$12&gt;CÁLCULO.FrentesPreenchidas,"",OFFSET(CÁLCULO!$P$12,0,S$12))</f>
        <v/>
      </c>
      <c r="T11" s="253" t="str">
        <f ca="1">IF(T$12&gt;CÁLCULO.FrentesPreenchidas,"",OFFSET(CÁLCULO!$P$12,0,T$12))</f>
        <v/>
      </c>
      <c r="U11" s="253" t="str">
        <f ca="1">IF(U$12&gt;CÁLCULO.FrentesPreenchidas,"",OFFSET(CÁLCULO!$P$12,0,U$12))</f>
        <v/>
      </c>
      <c r="V11" s="253" t="str">
        <f ca="1">IF(V$12&gt;CÁLCULO.FrentesPreenchidas,"",OFFSET(CÁLCULO!$P$12,0,V$12))</f>
        <v/>
      </c>
      <c r="W11" s="253" t="str">
        <f ca="1">IF(W$12&gt;CÁLCULO.FrentesPreenchidas,"",OFFSET(CÁLCULO!$P$12,0,W$12))</f>
        <v/>
      </c>
      <c r="X11" s="253" t="str">
        <f ca="1">IF(X$12&gt;CÁLCULO.FrentesPreenchidas,"",OFFSET(CÁLCULO!$P$12,0,X$12))</f>
        <v/>
      </c>
      <c r="Y11" s="253" t="str">
        <f ca="1">IF(Y$12&gt;CÁLCULO.FrentesPreenchidas,"",OFFSET(CÁLCULO!$P$12,0,Y$12))</f>
        <v/>
      </c>
      <c r="Z11" s="253" t="str">
        <f ca="1">IF(Z$12&gt;CÁLCULO.FrentesPreenchidas,"",OFFSET(CÁLCULO!$P$12,0,Z$12))</f>
        <v/>
      </c>
      <c r="AA11" s="253" t="str">
        <f ca="1">IF(AA$12&gt;CÁLCULO.FrentesPreenchidas,"",OFFSET(CÁLCULO!$P$12,0,AA$12))</f>
        <v/>
      </c>
      <c r="AB11" s="253" t="str">
        <f ca="1">IF(AB$12&gt;CÁLCULO.FrentesPreenchidas,"",OFFSET(CÁLCULO!$P$12,0,AB$12))</f>
        <v/>
      </c>
      <c r="AC11" s="253" t="str">
        <f ca="1">IF(AC$12&gt;CÁLCULO.FrentesPreenchidas,"",OFFSET(CÁLCULO!$P$12,0,AC$12))</f>
        <v/>
      </c>
      <c r="AD11" s="253" t="str">
        <f ca="1">IF(AD$12&gt;CÁLCULO.FrentesPreenchidas,"",OFFSET(CÁLCULO!$P$12,0,AD$12))</f>
        <v/>
      </c>
      <c r="AE11" s="253" t="str">
        <f ca="1">IF(AE$12&gt;CÁLCULO.FrentesPreenchidas,"",OFFSET(CÁLCULO!$P$12,0,AE$12))</f>
        <v/>
      </c>
    </row>
    <row r="12" spans="1:31" ht="12.75" customHeight="1" x14ac:dyDescent="0.2">
      <c r="A12" s="491" t="s">
        <v>661</v>
      </c>
      <c r="B12" s="761" t="s">
        <v>761</v>
      </c>
      <c r="C12" s="761" t="s">
        <v>779</v>
      </c>
      <c r="E12" s="254">
        <f ca="1">OFFSET(E12,0,-1)+1</f>
        <v>1</v>
      </c>
      <c r="G12" s="254">
        <f ca="1">OFFSET(G12,0,-1)+1</f>
        <v>1</v>
      </c>
      <c r="H12" s="254">
        <f ca="1">OFFSET(H12,0,-1)+1</f>
        <v>2</v>
      </c>
      <c r="I12" s="254">
        <f t="shared" ref="I12:AE12" ca="1" si="0">OFFSET(I12,0,-1)+1</f>
        <v>3</v>
      </c>
      <c r="J12" s="254">
        <f t="shared" ca="1" si="0"/>
        <v>4</v>
      </c>
      <c r="K12" s="254">
        <f t="shared" ca="1" si="0"/>
        <v>5</v>
      </c>
      <c r="L12" s="254">
        <f t="shared" ca="1" si="0"/>
        <v>6</v>
      </c>
      <c r="M12" s="254">
        <f t="shared" ca="1" si="0"/>
        <v>7</v>
      </c>
      <c r="N12" s="254">
        <f t="shared" ca="1" si="0"/>
        <v>8</v>
      </c>
      <c r="O12" s="254">
        <f t="shared" ca="1" si="0"/>
        <v>9</v>
      </c>
      <c r="P12" s="254">
        <f t="shared" ca="1" si="0"/>
        <v>10</v>
      </c>
      <c r="Q12" s="254">
        <f t="shared" ca="1" si="0"/>
        <v>11</v>
      </c>
      <c r="R12" s="254">
        <f t="shared" ca="1" si="0"/>
        <v>12</v>
      </c>
      <c r="S12" s="254">
        <f t="shared" ca="1" si="0"/>
        <v>13</v>
      </c>
      <c r="T12" s="254">
        <f t="shared" ca="1" si="0"/>
        <v>14</v>
      </c>
      <c r="U12" s="254">
        <f t="shared" ca="1" si="0"/>
        <v>15</v>
      </c>
      <c r="V12" s="254">
        <f t="shared" ca="1" si="0"/>
        <v>16</v>
      </c>
      <c r="W12" s="254">
        <f t="shared" ca="1" si="0"/>
        <v>17</v>
      </c>
      <c r="X12" s="254">
        <f t="shared" ca="1" si="0"/>
        <v>18</v>
      </c>
      <c r="Y12" s="254">
        <f t="shared" ca="1" si="0"/>
        <v>19</v>
      </c>
      <c r="Z12" s="254">
        <f t="shared" ca="1" si="0"/>
        <v>20</v>
      </c>
      <c r="AA12" s="254">
        <f t="shared" ca="1" si="0"/>
        <v>21</v>
      </c>
      <c r="AB12" s="254">
        <f t="shared" ca="1" si="0"/>
        <v>22</v>
      </c>
      <c r="AC12" s="254">
        <f t="shared" ca="1" si="0"/>
        <v>23</v>
      </c>
      <c r="AD12" s="254">
        <f t="shared" ca="1" si="0"/>
        <v>24</v>
      </c>
      <c r="AE12" s="254">
        <f t="shared" ca="1" si="0"/>
        <v>25</v>
      </c>
    </row>
    <row r="13" spans="1:31" x14ac:dyDescent="0.2">
      <c r="A13" t="s">
        <v>656</v>
      </c>
      <c r="B13" s="761"/>
      <c r="C13" s="761"/>
      <c r="E13" s="255"/>
      <c r="G13" s="256"/>
      <c r="H13" s="255"/>
      <c r="I13" s="255"/>
      <c r="J13" s="255"/>
      <c r="K13" s="255"/>
      <c r="L13" s="255"/>
      <c r="M13" s="577" t="str">
        <f ca="1">IF(CRONOPLE.Erro="ERRO: CRONOGRAMA NÃO FECHA 100%","Informe abaixo o NÚMERO DO PERÍODO em que os eventos serão concluídos","")</f>
        <v/>
      </c>
      <c r="N13" s="255"/>
      <c r="O13" s="255"/>
      <c r="P13" s="255"/>
      <c r="Q13" s="255"/>
      <c r="R13" s="255"/>
      <c r="S13" s="255"/>
      <c r="T13" s="255"/>
      <c r="U13" s="255"/>
      <c r="V13" s="255"/>
      <c r="W13" s="255"/>
      <c r="X13" s="255"/>
      <c r="Y13" s="255"/>
      <c r="Z13" s="255"/>
      <c r="AA13" s="255"/>
      <c r="AB13" s="255"/>
      <c r="AC13" s="255"/>
      <c r="AD13" s="255"/>
      <c r="AE13" s="257"/>
    </row>
    <row r="14" spans="1:31" ht="5.0999999999999996" customHeight="1" x14ac:dyDescent="0.2">
      <c r="A14" s="7" t="s">
        <v>537</v>
      </c>
    </row>
    <row r="15" spans="1:31" x14ac:dyDescent="0.2">
      <c r="A15" s="7" t="str">
        <f ca="1">IF(AUTOEVENTO="Manual",IF(EVENTOS!$F15&gt;0,"F",""),IF(AND(B15&gt;0,B15&lt;=MAX(CÁLCULO!$M$15:$M$105)),"F",""))</f>
        <v/>
      </c>
      <c r="B15" s="258">
        <f>EVENTOS!$C$15</f>
        <v>0</v>
      </c>
      <c r="C15" s="259" t="str">
        <f>EVENTOS!$D$15</f>
        <v/>
      </c>
      <c r="D15" s="555"/>
      <c r="E15" s="260"/>
      <c r="F15" t="str">
        <f>IF($C15="","",CONCATENATE($B15,". ",$C15))</f>
        <v/>
      </c>
      <c r="G15" s="261"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60"/>
      <c r="I15" s="260"/>
      <c r="J15" s="260"/>
      <c r="K15" s="260"/>
      <c r="L15" s="260"/>
      <c r="M15" s="260"/>
      <c r="N15" s="260"/>
      <c r="O15" s="260"/>
      <c r="P15" s="260"/>
      <c r="Q15" s="260"/>
      <c r="R15" s="260"/>
      <c r="S15" s="260"/>
      <c r="T15" s="260"/>
      <c r="U15" s="260"/>
      <c r="V15" s="260"/>
      <c r="W15" s="260"/>
      <c r="X15" s="260"/>
      <c r="Y15" s="260"/>
      <c r="Z15" s="260"/>
      <c r="AA15" s="260"/>
      <c r="AB15" s="260"/>
      <c r="AC15" s="260"/>
      <c r="AD15" s="260"/>
      <c r="AE15" s="262"/>
    </row>
    <row r="16" spans="1:31" x14ac:dyDescent="0.2">
      <c r="A16" s="7" t="str">
        <f ca="1">IF(AUTOEVENTO="Manual",IF(EVENTOS!$F16&gt;0,"F",""),IF(AND(B16&gt;0,B16&lt;=MAX(CÁLCULO!$M$15:$M$105)),"F",""))</f>
        <v>F</v>
      </c>
      <c r="B16" s="248">
        <f t="shared" ref="B16:B22" ca="1" si="1">OFFSET(B16,-1,0)+1</f>
        <v>1</v>
      </c>
      <c r="C16" s="515" t="str">
        <f ca="1">IF(AUTOEVENTO="Manual",IF($B16&gt;0,OFFSET(EVENTOS!$D$15,$B16-$B$15,0),0),IF(B16&lt;=MAX(CÁLCULO!$M$15:$M$105),VLOOKUP($B16,CÁLCULO!$M$15:$N$105,2,FALSE),0))</f>
        <v>TROCA DE ESQUADRIAS</v>
      </c>
      <c r="D16" s="555"/>
      <c r="E16" s="249"/>
      <c r="F16" t="str">
        <f t="shared" ref="F16:F22" ca="1" si="2">IF($C16=0,"",CONCATENATE($B16,". ",$C16))</f>
        <v>1. TROCA DE ESQUADRIAS</v>
      </c>
      <c r="G16" s="554">
        <v>2</v>
      </c>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row>
    <row r="17" spans="1:31" x14ac:dyDescent="0.2">
      <c r="A17" s="7" t="str">
        <f ca="1">IF(AUTOEVENTO="Manual",IF(EVENTOS!$F17&gt;0,"F",""),IF(AND(B17&gt;0,B17&lt;=MAX(CÁLCULO!$M$15:$M$105)),"F",""))</f>
        <v>F</v>
      </c>
      <c r="B17" s="248">
        <f t="shared" ca="1" si="1"/>
        <v>2</v>
      </c>
      <c r="C17" s="515" t="str">
        <f ca="1">IF(AUTOEVENTO="Manual",IF($B17&gt;0,OFFSET(EVENTOS!$D$15,$B17-$B$15,0),0),IF(B17&lt;=MAX(CÁLCULO!$M$15:$M$105),VLOOKUP($B17,CÁLCULO!$M$15:$N$105,2,FALSE),0))</f>
        <v xml:space="preserve">LIMPEZA E MANUTENÇÃO DE TELHADO </v>
      </c>
      <c r="D17" s="555"/>
      <c r="E17" s="249"/>
      <c r="F17" t="str">
        <f t="shared" ca="1" si="2"/>
        <v xml:space="preserve">2. LIMPEZA E MANUTENÇÃO DE TELHADO </v>
      </c>
      <c r="G17" s="554">
        <v>4</v>
      </c>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row>
    <row r="18" spans="1:31" x14ac:dyDescent="0.2">
      <c r="A18" s="7" t="str">
        <f ca="1">IF(AUTOEVENTO="Manual",IF(EVENTOS!$F18&gt;0,"F",""),IF(AND(B18&gt;0,B18&lt;=MAX(CÁLCULO!$M$15:$M$105)),"F",""))</f>
        <v>F</v>
      </c>
      <c r="B18" s="248">
        <f t="shared" ca="1" si="1"/>
        <v>3</v>
      </c>
      <c r="C18" s="515" t="str">
        <f ca="1">IF(AUTOEVENTO="Manual",IF($B18&gt;0,OFFSET(EVENTOS!$D$15,$B18-$B$15,0),0),IF(B18&lt;=MAX(CÁLCULO!$M$15:$M$105),VLOOKUP($B18,CÁLCULO!$M$15:$N$105,2,FALSE),0))</f>
        <v>PISOS E DRENAGEM</v>
      </c>
      <c r="D18" s="555"/>
      <c r="E18" s="249"/>
      <c r="F18" t="str">
        <f t="shared" ca="1" si="2"/>
        <v>3. PISOS E DRENAGEM</v>
      </c>
      <c r="G18" s="554">
        <v>1</v>
      </c>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row>
    <row r="19" spans="1:31" x14ac:dyDescent="0.2">
      <c r="A19" s="7" t="str">
        <f ca="1">IF(AUTOEVENTO="Manual",IF(EVENTOS!$F19&gt;0,"F",""),IF(AND(B19&gt;0,B19&lt;=MAX(CÁLCULO!$M$15:$M$105)),"F",""))</f>
        <v>F</v>
      </c>
      <c r="B19" s="248">
        <f t="shared" ca="1" si="1"/>
        <v>4</v>
      </c>
      <c r="C19" s="515" t="str">
        <f ca="1">IF(AUTOEVENTO="Manual",IF($B19&gt;0,OFFSET(EVENTOS!$D$15,$B19-$B$15,0),0),IF(B19&lt;=MAX(CÁLCULO!$M$15:$M$105),VLOOKUP($B19,CÁLCULO!$M$15:$N$105,2,FALSE),0))</f>
        <v xml:space="preserve">PAREDES E MURROS </v>
      </c>
      <c r="D19" s="555"/>
      <c r="E19" s="249"/>
      <c r="F19" t="str">
        <f t="shared" ca="1" si="2"/>
        <v xml:space="preserve">4. PAREDES E MURROS </v>
      </c>
      <c r="G19" s="554">
        <v>3</v>
      </c>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row>
    <row r="20" spans="1:31" x14ac:dyDescent="0.2">
      <c r="A20" s="7" t="str">
        <f ca="1">IF(AUTOEVENTO="Manual",IF(EVENTOS!$F20&gt;0,"F",""),IF(AND(B20&gt;0,B20&lt;=MAX(CÁLCULO!$M$15:$M$105)),"F",""))</f>
        <v>F</v>
      </c>
      <c r="B20" s="248">
        <f t="shared" ca="1" si="1"/>
        <v>5</v>
      </c>
      <c r="C20" s="515" t="str">
        <f ca="1">IF(AUTOEVENTO="Manual",IF($B20&gt;0,OFFSET(EVENTOS!$D$15,$B20-$B$15,0),0),IF(B20&lt;=MAX(CÁLCULO!$M$15:$M$105),VLOOKUP($B20,CÁLCULO!$M$15:$N$105,2,FALSE),0))</f>
        <v>CORRIMÕES E GRADES - PINTURA</v>
      </c>
      <c r="D20" s="555"/>
      <c r="E20" s="249"/>
      <c r="F20" t="str">
        <f t="shared" ca="1" si="2"/>
        <v>5. CORRIMÕES E GRADES - PINTURA</v>
      </c>
      <c r="G20" s="554">
        <v>3</v>
      </c>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row>
    <row r="21" spans="1:31" x14ac:dyDescent="0.2">
      <c r="A21" s="7" t="str">
        <f ca="1">IF(AUTOEVENTO="Manual",IF(EVENTOS!$F21&gt;0,"F",""),IF(AND(B21&gt;0,B21&lt;=MAX(CÁLCULO!$M$15:$M$105)),"F",""))</f>
        <v>F</v>
      </c>
      <c r="B21" s="248">
        <f t="shared" ca="1" si="1"/>
        <v>6</v>
      </c>
      <c r="C21" s="515" t="str">
        <f ca="1">IF(AUTOEVENTO="Manual",IF($B21&gt;0,OFFSET(EVENTOS!$D$15,$B21-$B$15,0),0),IF(B21&lt;=MAX(CÁLCULO!$M$15:$M$105),VLOOKUP($B21,CÁLCULO!$M$15:$N$105,2,FALSE),0))</f>
        <v>READEQUAÇÃO DA FACHADA PRINCIPAL</v>
      </c>
      <c r="D21" s="555"/>
      <c r="E21" s="249"/>
      <c r="F21" t="str">
        <f t="shared" ca="1" si="2"/>
        <v>6. READEQUAÇÃO DA FACHADA PRINCIPAL</v>
      </c>
      <c r="G21" s="554">
        <v>1</v>
      </c>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row>
    <row r="22" spans="1:31" x14ac:dyDescent="0.2">
      <c r="A22" s="7" t="str">
        <f ca="1">IF(AUTOEVENTO="Manual",IF(EVENTOS!$F22&gt;0,"F",""),IF(AND(B22&gt;0,B22&lt;=MAX(CÁLCULO!$M$15:$M$105)),"F",""))</f>
        <v>F</v>
      </c>
      <c r="B22" s="248">
        <f t="shared" ca="1" si="1"/>
        <v>7</v>
      </c>
      <c r="C22" s="515" t="str">
        <f ca="1">IF(AUTOEVENTO="Manual",IF($B22&gt;0,OFFSET(EVENTOS!$D$15,$B22-$B$15,0),0),IF(B22&lt;=MAX(CÁLCULO!$M$15:$M$105),VLOOKUP($B22,CÁLCULO!$M$15:$N$105,2,FALSE),0))</f>
        <v>MURRO DE ARRIMO</v>
      </c>
      <c r="D22" s="555"/>
      <c r="E22" s="249"/>
      <c r="F22" t="str">
        <f t="shared" ca="1" si="2"/>
        <v>7. MURRO DE ARRIMO</v>
      </c>
      <c r="G22" s="554">
        <v>1</v>
      </c>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row>
    <row r="23" spans="1:31" ht="5.0999999999999996" customHeight="1" x14ac:dyDescent="0.2">
      <c r="A23" t="s">
        <v>537</v>
      </c>
      <c r="B23" s="639"/>
      <c r="C23" s="434"/>
      <c r="D23" s="556"/>
      <c r="E23" s="263"/>
      <c r="F23" s="263"/>
      <c r="G23" s="639"/>
      <c r="H23" s="640"/>
      <c r="I23" s="640"/>
      <c r="J23" s="640"/>
      <c r="K23" s="640"/>
      <c r="L23" s="640"/>
      <c r="M23" s="640"/>
      <c r="N23" s="640"/>
      <c r="O23" s="640"/>
      <c r="P23" s="640"/>
      <c r="Q23" s="640"/>
      <c r="R23" s="640"/>
      <c r="S23" s="640"/>
      <c r="T23" s="640"/>
      <c r="U23" s="640"/>
      <c r="V23" s="640"/>
      <c r="W23" s="640"/>
      <c r="X23" s="640"/>
      <c r="Y23" s="640"/>
      <c r="Z23" s="640"/>
      <c r="AA23" s="640"/>
      <c r="AB23" s="640"/>
      <c r="AC23" s="640"/>
      <c r="AD23" s="640"/>
      <c r="AE23" s="434"/>
    </row>
    <row r="24" spans="1:31" ht="6" customHeight="1" x14ac:dyDescent="0.2">
      <c r="A24" s="7" t="s">
        <v>537</v>
      </c>
    </row>
    <row r="25" spans="1:31" ht="15" x14ac:dyDescent="0.2">
      <c r="A25" s="7" t="s">
        <v>537</v>
      </c>
      <c r="C25" s="487" t="s">
        <v>780</v>
      </c>
      <c r="H25" s="760">
        <f>(ROW($G25)-ROW($G$25))/8*12+1</f>
        <v>1</v>
      </c>
      <c r="I25" s="760"/>
      <c r="J25" s="760">
        <f>H25+1</f>
        <v>2</v>
      </c>
      <c r="K25" s="760"/>
      <c r="L25" s="760">
        <f>J25+1</f>
        <v>3</v>
      </c>
      <c r="M25" s="760"/>
      <c r="N25" s="760">
        <f>L25+1</f>
        <v>4</v>
      </c>
      <c r="O25" s="760"/>
      <c r="P25" s="760">
        <f>N25+1</f>
        <v>5</v>
      </c>
      <c r="Q25" s="760"/>
      <c r="R25" s="760">
        <f>P25+1</f>
        <v>6</v>
      </c>
      <c r="S25" s="760"/>
      <c r="T25" s="760">
        <f>R25+1</f>
        <v>7</v>
      </c>
      <c r="U25" s="760"/>
      <c r="V25" s="760">
        <f>T25+1</f>
        <v>8</v>
      </c>
      <c r="W25" s="760"/>
      <c r="X25" s="760">
        <f>V25+1</f>
        <v>9</v>
      </c>
      <c r="Y25" s="760"/>
      <c r="Z25" s="760">
        <f>X25+1</f>
        <v>10</v>
      </c>
      <c r="AA25" s="760"/>
      <c r="AB25" s="760">
        <f>Z25+1</f>
        <v>11</v>
      </c>
      <c r="AC25" s="760"/>
      <c r="AD25" s="760">
        <f>AB25+1</f>
        <v>12</v>
      </c>
      <c r="AE25" s="760"/>
    </row>
    <row r="26" spans="1:31" ht="12.75" customHeight="1" x14ac:dyDescent="0.2">
      <c r="A26" s="7" t="s">
        <v>537</v>
      </c>
      <c r="C26" s="745" t="s">
        <v>781</v>
      </c>
      <c r="G26" s="552" t="s">
        <v>782</v>
      </c>
      <c r="H26" s="747">
        <f ca="1">OFFSET(CRONO!$T$39,0,CRONOPLE!H25)</f>
        <v>0.62254255573377737</v>
      </c>
      <c r="I26" s="747"/>
      <c r="J26" s="747">
        <f ca="1">OFFSET(CRONO!$T$39,0,CRONOPLE!J25)</f>
        <v>0.30124439110638301</v>
      </c>
      <c r="K26" s="747"/>
      <c r="L26" s="747">
        <f ca="1">OFFSET(CRONO!$T$39,0,CRONOPLE!L25)</f>
        <v>6.3860960283334128E-2</v>
      </c>
      <c r="M26" s="747"/>
      <c r="N26" s="747">
        <f ca="1">OFFSET(CRONO!$T$39,0,CRONOPLE!N25)</f>
        <v>1.2352092876505502E-2</v>
      </c>
      <c r="O26" s="747"/>
      <c r="P26" s="747">
        <f ca="1">OFFSET(CRONO!$T$39,0,CRONOPLE!P25)</f>
        <v>0</v>
      </c>
      <c r="Q26" s="747"/>
      <c r="R26" s="747">
        <f ca="1">OFFSET(CRONO!$T$39,0,CRONOPLE!R25)</f>
        <v>0</v>
      </c>
      <c r="S26" s="747"/>
      <c r="T26" s="747">
        <f ca="1">OFFSET(CRONO!$T$39,0,CRONOPLE!T25)</f>
        <v>0</v>
      </c>
      <c r="U26" s="747"/>
      <c r="V26" s="747">
        <f ca="1">OFFSET(CRONO!$T$39,0,CRONOPLE!V25)</f>
        <v>0</v>
      </c>
      <c r="W26" s="747"/>
      <c r="X26" s="747">
        <f ca="1">OFFSET(CRONO!$T$39,0,CRONOPLE!X25)</f>
        <v>0</v>
      </c>
      <c r="Y26" s="747"/>
      <c r="Z26" s="747">
        <f ca="1">OFFSET(CRONO!$T$39,0,CRONOPLE!Z25)</f>
        <v>0</v>
      </c>
      <c r="AA26" s="747"/>
      <c r="AB26" s="747">
        <f ca="1">OFFSET(CRONO!$T$39,0,CRONOPLE!AB25)</f>
        <v>0</v>
      </c>
      <c r="AC26" s="747"/>
      <c r="AD26" s="747">
        <f ca="1">OFFSET(CRONO!$T$39,0,CRONOPLE!AD25)</f>
        <v>0</v>
      </c>
      <c r="AE26" s="747"/>
    </row>
    <row r="27" spans="1:31" ht="12.75" customHeight="1" x14ac:dyDescent="0.2">
      <c r="A27" s="7" t="s">
        <v>537</v>
      </c>
      <c r="C27" s="764"/>
      <c r="G27" s="488" t="s">
        <v>783</v>
      </c>
      <c r="H27" s="765">
        <f ca="1">OFFSET(CRONO!$T$43,0,CRONOPLE!H25)</f>
        <v>180894.83</v>
      </c>
      <c r="I27" s="765"/>
      <c r="J27" s="762">
        <f ca="1">OFFSET(CRONO!$T$43,0,CRONOPLE!J25)</f>
        <v>87533.860000000015</v>
      </c>
      <c r="K27" s="763"/>
      <c r="L27" s="762">
        <f ca="1">OFFSET(CRONO!$T$43,0,CRONOPLE!L25)</f>
        <v>18556.349999999977</v>
      </c>
      <c r="M27" s="763"/>
      <c r="N27" s="762">
        <f ca="1">OFFSET(CRONO!$T$43,0,CRONOPLE!N25)</f>
        <v>3589.2000000000116</v>
      </c>
      <c r="O27" s="763"/>
      <c r="P27" s="762">
        <f ca="1">OFFSET(CRONO!$T$43,0,CRONOPLE!P25)</f>
        <v>0</v>
      </c>
      <c r="Q27" s="763"/>
      <c r="R27" s="762">
        <f ca="1">OFFSET(CRONO!$T$43,0,CRONOPLE!R25)</f>
        <v>0</v>
      </c>
      <c r="S27" s="763"/>
      <c r="T27" s="762">
        <f ca="1">OFFSET(CRONO!$T$43,0,CRONOPLE!T25)</f>
        <v>0</v>
      </c>
      <c r="U27" s="763"/>
      <c r="V27" s="762">
        <f ca="1">OFFSET(CRONO!$T$43,0,CRONOPLE!V25)</f>
        <v>0</v>
      </c>
      <c r="W27" s="763"/>
      <c r="X27" s="762">
        <f ca="1">OFFSET(CRONO!$T$43,0,CRONOPLE!X25)</f>
        <v>0</v>
      </c>
      <c r="Y27" s="763"/>
      <c r="Z27" s="762">
        <f ca="1">OFFSET(CRONO!$T$43,0,CRONOPLE!Z25)</f>
        <v>0</v>
      </c>
      <c r="AA27" s="763"/>
      <c r="AB27" s="762">
        <f ca="1">OFFSET(CRONO!$T$43,0,CRONOPLE!AB25)</f>
        <v>0</v>
      </c>
      <c r="AC27" s="763"/>
      <c r="AD27" s="762">
        <f ca="1">OFFSET(CRONO!$T$43,0,CRONOPLE!AD25)</f>
        <v>0</v>
      </c>
      <c r="AE27" s="763"/>
    </row>
    <row r="28" spans="1:31" ht="12.75" customHeight="1" x14ac:dyDescent="0.2">
      <c r="A28" s="7" t="s">
        <v>537</v>
      </c>
      <c r="C28" s="745" t="s">
        <v>784</v>
      </c>
      <c r="G28" s="552" t="s">
        <v>782</v>
      </c>
      <c r="H28" s="747">
        <f ca="1">OFFSET(CRONO!$T$44,0,CRONOPLE!H25)</f>
        <v>0.62250000000000005</v>
      </c>
      <c r="I28" s="747"/>
      <c r="J28" s="750">
        <f ca="1">OFFSET(CRONO!$T$44,0,CRONOPLE!J25)</f>
        <v>0.92379999999999995</v>
      </c>
      <c r="K28" s="751"/>
      <c r="L28" s="750">
        <f ca="1">OFFSET(CRONO!$T$44,0,CRONOPLE!L25)</f>
        <v>0.98760000000000003</v>
      </c>
      <c r="M28" s="751"/>
      <c r="N28" s="750">
        <f ca="1">OFFSET(CRONO!$T$44,0,CRONOPLE!N25)</f>
        <v>1</v>
      </c>
      <c r="O28" s="751"/>
      <c r="P28" s="750">
        <f ca="1">OFFSET(CRONO!$T$44,0,CRONOPLE!P25)</f>
        <v>1</v>
      </c>
      <c r="Q28" s="751"/>
      <c r="R28" s="750">
        <f ca="1">OFFSET(CRONO!$T$44,0,CRONOPLE!R25)</f>
        <v>1</v>
      </c>
      <c r="S28" s="751"/>
      <c r="T28" s="750">
        <f ca="1">OFFSET(CRONO!$T$44,0,CRONOPLE!T25)</f>
        <v>1</v>
      </c>
      <c r="U28" s="751"/>
      <c r="V28" s="750">
        <f ca="1">OFFSET(CRONO!$T$44,0,CRONOPLE!V25)</f>
        <v>1</v>
      </c>
      <c r="W28" s="751"/>
      <c r="X28" s="750">
        <f ca="1">OFFSET(CRONO!$T$44,0,CRONOPLE!X25)</f>
        <v>1</v>
      </c>
      <c r="Y28" s="751"/>
      <c r="Z28" s="750">
        <f ca="1">OFFSET(CRONO!$T$44,0,CRONOPLE!Z25)</f>
        <v>1</v>
      </c>
      <c r="AA28" s="751"/>
      <c r="AB28" s="750">
        <f ca="1">OFFSET(CRONO!$T$44,0,CRONOPLE!AB25)</f>
        <v>1</v>
      </c>
      <c r="AC28" s="751"/>
      <c r="AD28" s="750">
        <f ca="1">OFFSET(CRONO!$T$44,0,CRONOPLE!AD25)</f>
        <v>1</v>
      </c>
      <c r="AE28" s="751"/>
    </row>
    <row r="29" spans="1:31" ht="12.75" customHeight="1" x14ac:dyDescent="0.2">
      <c r="A29" s="7" t="s">
        <v>537</v>
      </c>
      <c r="C29" s="746"/>
      <c r="G29" s="488" t="s">
        <v>783</v>
      </c>
      <c r="H29" s="759">
        <f ca="1">OFFSET(CRONO!$T$48,0,CRONOPLE!H25)</f>
        <v>180894.82999999996</v>
      </c>
      <c r="I29" s="759"/>
      <c r="J29" s="752">
        <f ca="1">OFFSET(CRONO!$T$48,0,CRONOPLE!J25)</f>
        <v>268428.68999999994</v>
      </c>
      <c r="K29" s="753"/>
      <c r="L29" s="752">
        <f ca="1">OFFSET(CRONO!$T$48,0,CRONOPLE!L25)</f>
        <v>286985.03999999992</v>
      </c>
      <c r="M29" s="753"/>
      <c r="N29" s="752">
        <f ca="1">OFFSET(CRONO!$T$48,0,CRONOPLE!N25)</f>
        <v>290574.23999999993</v>
      </c>
      <c r="O29" s="753"/>
      <c r="P29" s="752">
        <f ca="1">OFFSET(CRONO!$T$48,0,CRONOPLE!P25)</f>
        <v>290574.23999999993</v>
      </c>
      <c r="Q29" s="753"/>
      <c r="R29" s="752">
        <f ca="1">OFFSET(CRONO!$T$48,0,CRONOPLE!R25)</f>
        <v>290574.23999999993</v>
      </c>
      <c r="S29" s="753"/>
      <c r="T29" s="752">
        <f ca="1">OFFSET(CRONO!$T$48,0,CRONOPLE!T25)</f>
        <v>290574.23999999993</v>
      </c>
      <c r="U29" s="753"/>
      <c r="V29" s="752">
        <f ca="1">OFFSET(CRONO!$T$48,0,CRONOPLE!V25)</f>
        <v>290574.23999999993</v>
      </c>
      <c r="W29" s="753"/>
      <c r="X29" s="752">
        <f ca="1">OFFSET(CRONO!$T$48,0,CRONOPLE!X25)</f>
        <v>290574.23999999993</v>
      </c>
      <c r="Y29" s="753"/>
      <c r="Z29" s="752">
        <f ca="1">OFFSET(CRONO!$T$48,0,CRONOPLE!Z25)</f>
        <v>290574.23999999993</v>
      </c>
      <c r="AA29" s="753"/>
      <c r="AB29" s="752">
        <f ca="1">OFFSET(CRONO!$T$48,0,CRONOPLE!AB25)</f>
        <v>290574.23999999993</v>
      </c>
      <c r="AC29" s="753"/>
      <c r="AD29" s="752">
        <f ca="1">OFFSET(CRONO!$T$48,0,CRONOPLE!AD25)</f>
        <v>290574.23999999993</v>
      </c>
      <c r="AE29" s="753"/>
    </row>
    <row r="30" spans="1:31" ht="12.75" customHeight="1" x14ac:dyDescent="0.2">
      <c r="A30" s="7" t="s">
        <v>537</v>
      </c>
      <c r="C30" s="553" t="s">
        <v>785</v>
      </c>
      <c r="D30" s="551"/>
      <c r="G30" s="552" t="s">
        <v>782</v>
      </c>
      <c r="H30" s="747" t="str">
        <f ca="1">OFFSET(CRONO!$T$49,0,CRONOPLE!H25)</f>
        <v/>
      </c>
      <c r="I30" s="747"/>
      <c r="J30" s="748" t="str">
        <f ca="1">OFFSET(CRONO!$T$49,0,CRONOPLE!J25)</f>
        <v/>
      </c>
      <c r="K30" s="749"/>
      <c r="L30" s="748" t="str">
        <f ca="1">OFFSET(CRONO!$T$49,0,CRONOPLE!L25)</f>
        <v/>
      </c>
      <c r="M30" s="749"/>
      <c r="N30" s="748" t="str">
        <f ca="1">OFFSET(CRONO!$T$49,0,CRONOPLE!N25)</f>
        <v/>
      </c>
      <c r="O30" s="749"/>
      <c r="P30" s="748" t="str">
        <f ca="1">OFFSET(CRONO!$T$49,0,CRONOPLE!P25)</f>
        <v/>
      </c>
      <c r="Q30" s="749"/>
      <c r="R30" s="748" t="str">
        <f ca="1">OFFSET(CRONO!$T$49,0,CRONOPLE!R25)</f>
        <v/>
      </c>
      <c r="S30" s="749"/>
      <c r="T30" s="748" t="str">
        <f ca="1">OFFSET(CRONO!$T$49,0,CRONOPLE!T25)</f>
        <v/>
      </c>
      <c r="U30" s="749"/>
      <c r="V30" s="748" t="str">
        <f ca="1">OFFSET(CRONO!$T$49,0,CRONOPLE!V25)</f>
        <v/>
      </c>
      <c r="W30" s="749"/>
      <c r="X30" s="748" t="str">
        <f ca="1">OFFSET(CRONO!$T$49,0,CRONOPLE!X25)</f>
        <v/>
      </c>
      <c r="Y30" s="749"/>
      <c r="Z30" s="748" t="str">
        <f ca="1">OFFSET(CRONO!$T$49,0,CRONOPLE!Z25)</f>
        <v/>
      </c>
      <c r="AA30" s="749"/>
      <c r="AB30" s="748" t="str">
        <f ca="1">OFFSET(CRONO!$T$49,0,CRONOPLE!AB25)</f>
        <v/>
      </c>
      <c r="AC30" s="749"/>
      <c r="AD30" s="748" t="str">
        <f ca="1">OFFSET(CRONO!$T$49,0,CRONOPLE!AD25)</f>
        <v/>
      </c>
      <c r="AE30" s="749"/>
    </row>
    <row r="31" spans="1:31" ht="15" customHeight="1" x14ac:dyDescent="0.25">
      <c r="A31" s="7" t="s">
        <v>537</v>
      </c>
      <c r="C31" s="550"/>
      <c r="G31" s="584" t="str">
        <f ca="1">IF(COUNTIF(H31:AF31,"%Adm&gt;%Global")&gt;0,"Verificar proporcionalidade da Administração Local","")</f>
        <v/>
      </c>
      <c r="H31" s="536" t="str">
        <f ca="1">IF(H30="","",IF(ROUND(H30,4)&gt;ROUND(H28,4),"%Adm&gt;%Global",""))</f>
        <v/>
      </c>
      <c r="J31" s="536" t="str">
        <f t="shared" ref="J31" ca="1" si="3">IF(J30="","",IF(ROUND(J30,4)&gt;ROUND(J28,4),"%Adm&gt;%Global",""))</f>
        <v/>
      </c>
      <c r="L31" s="536" t="str">
        <f t="shared" ref="L31" ca="1" si="4">IF(L30="","",IF(ROUND(L30,4)&gt;ROUND(L28,4),"%Adm&gt;%Global",""))</f>
        <v/>
      </c>
      <c r="N31" s="536" t="str">
        <f t="shared" ref="N31" ca="1" si="5">IF(N30="","",IF(ROUND(N30,4)&gt;ROUND(N28,4),"%Adm&gt;%Global",""))</f>
        <v/>
      </c>
      <c r="P31" s="536" t="str">
        <f t="shared" ref="P31" ca="1" si="6">IF(P30="","",IF(ROUND(P30,4)&gt;ROUND(P28,4),"%Adm&gt;%Global",""))</f>
        <v/>
      </c>
      <c r="R31" s="536" t="str">
        <f t="shared" ref="R31" ca="1" si="7">IF(R30="","",IF(ROUND(R30,4)&gt;ROUND(R28,4),"%Adm&gt;%Global",""))</f>
        <v/>
      </c>
      <c r="T31" s="536" t="str">
        <f t="shared" ref="T31" ca="1" si="8">IF(T30="","",IF(ROUND(T30,4)&gt;ROUND(T28,4),"%Adm&gt;%Global",""))</f>
        <v/>
      </c>
      <c r="V31" s="536" t="str">
        <f t="shared" ref="V31" ca="1" si="9">IF(V30="","",IF(ROUND(V30,4)&gt;ROUND(V28,4),"%Adm&gt;%Global",""))</f>
        <v/>
      </c>
      <c r="X31" s="536" t="str">
        <f t="shared" ref="X31" ca="1" si="10">IF(X30="","",IF(ROUND(X30,4)&gt;ROUND(X28,4),"%Adm&gt;%Global",""))</f>
        <v/>
      </c>
      <c r="Z31" s="536" t="str">
        <f t="shared" ref="Z31" ca="1" si="11">IF(Z30="","",IF(ROUND(Z30,4)&gt;ROUND(Z28,4),"%Adm&gt;%Global",""))</f>
        <v/>
      </c>
      <c r="AB31" s="536" t="str">
        <f t="shared" ref="AB31" ca="1" si="12">IF(AB30="","",IF(ROUND(AB30,4)&gt;ROUND(AB28,4),"%Adm&gt;%Global",""))</f>
        <v/>
      </c>
      <c r="AD31" s="536" t="str">
        <f t="shared" ref="AD31" ca="1" si="13">IF(AD30="","",IF(ROUND(AD30,4)&gt;ROUND(AD28,4),"%Adm&gt;%Global",""))</f>
        <v/>
      </c>
    </row>
    <row r="32" spans="1:31" x14ac:dyDescent="0.2">
      <c r="A32" s="7" t="s">
        <v>537</v>
      </c>
    </row>
    <row r="33" spans="1:31" ht="15" x14ac:dyDescent="0.2">
      <c r="A33" s="7" t="s">
        <v>537</v>
      </c>
      <c r="B33" s="139" t="str">
        <f>Import.Município</f>
        <v>RODEIO BONITO/RS</v>
      </c>
      <c r="C33" s="139"/>
      <c r="E33" s="489"/>
      <c r="F33" s="489"/>
      <c r="G33" s="489"/>
      <c r="H33" s="489"/>
      <c r="I33" s="489"/>
      <c r="J33" s="489"/>
      <c r="K33" s="489"/>
      <c r="L33" s="489"/>
      <c r="V33" s="461"/>
      <c r="W33" s="418"/>
      <c r="X33" s="418"/>
      <c r="Y33" s="418"/>
      <c r="Z33" s="418"/>
      <c r="AA33" s="418"/>
      <c r="AB33" s="418"/>
      <c r="AC33" s="418"/>
      <c r="AD33" s="418"/>
      <c r="AE33" s="418"/>
    </row>
    <row r="34" spans="1:31" x14ac:dyDescent="0.2">
      <c r="A34" s="7" t="s">
        <v>537</v>
      </c>
      <c r="B34" s="9" t="s">
        <v>694</v>
      </c>
      <c r="F34" s="186"/>
      <c r="G34" s="186"/>
      <c r="H34" s="186"/>
      <c r="I34" s="186"/>
      <c r="J34" s="186"/>
      <c r="K34" s="186"/>
      <c r="L34" s="188"/>
      <c r="V34" s="182" t="s">
        <v>697</v>
      </c>
    </row>
    <row r="35" spans="1:31" x14ac:dyDescent="0.2">
      <c r="A35" s="7" t="s">
        <v>537</v>
      </c>
      <c r="F35" s="186"/>
      <c r="G35" s="186"/>
      <c r="H35" s="186"/>
      <c r="I35" s="186"/>
      <c r="J35" s="186"/>
      <c r="K35" s="186"/>
      <c r="L35" s="188"/>
      <c r="V35" s="399" t="str">
        <f t="array" aca="1" ref="V35:V37" ca="1">OFFSET(Import.RespOrçamento,0,-1) &amp; " " &amp; Import.RespOrçamento</f>
        <v>Nome: VIVIANE CARBONI TAFFAREL LUCAS</v>
      </c>
    </row>
    <row r="36" spans="1:31" ht="16.5" x14ac:dyDescent="0.3">
      <c r="A36" s="7" t="s">
        <v>537</v>
      </c>
      <c r="B36" s="758">
        <f>DADOS!$C$25</f>
        <v>46254</v>
      </c>
      <c r="C36" s="758"/>
      <c r="F36" s="186"/>
      <c r="G36" s="186"/>
      <c r="H36" s="186"/>
      <c r="I36" s="186"/>
      <c r="J36" s="186"/>
      <c r="K36" s="186"/>
      <c r="L36" s="188"/>
      <c r="V36" s="399" t="str">
        <f ca="1"/>
        <v>CREA/CAU: 247947</v>
      </c>
    </row>
    <row r="37" spans="1:31" x14ac:dyDescent="0.2">
      <c r="A37" s="7" t="s">
        <v>537</v>
      </c>
      <c r="B37" s="9" t="s">
        <v>695</v>
      </c>
      <c r="F37" s="186"/>
      <c r="G37" s="186"/>
      <c r="H37" s="186"/>
      <c r="I37" s="186"/>
      <c r="J37" s="186"/>
      <c r="K37" s="186"/>
      <c r="L37" s="188"/>
      <c r="V37" s="399" t="str">
        <f ca="1"/>
        <v>ART/RRT: 0</v>
      </c>
    </row>
  </sheetData>
  <sheetProtection algorithmName="SHA-512" hashValue="uu4y01X83wHiQSLSy03pGbn6K7qXmkk/XaZt7NqyuA3FvsnW92PQHBWirFYAUpZCGt1Dc9nl63xtoZDcdL04Jg==" saltValue="nfVSrDg3puJyV9j/Eg7JHw==" spinCount="100000" sheet="1" objects="1" scenarios="1" autoFilter="0"/>
  <autoFilter ref="A13:A37" xr:uid="{00000000-0009-0000-0000-000007000000}"/>
  <mergeCells count="86">
    <mergeCell ref="AD28:AE28"/>
    <mergeCell ref="L30:M30"/>
    <mergeCell ref="N30:O30"/>
    <mergeCell ref="P30:Q30"/>
    <mergeCell ref="AD29:AE29"/>
    <mergeCell ref="L29:M29"/>
    <mergeCell ref="AD30:AE30"/>
    <mergeCell ref="R30:S30"/>
    <mergeCell ref="T30:U30"/>
    <mergeCell ref="V30:W30"/>
    <mergeCell ref="X30:Y30"/>
    <mergeCell ref="Z30:AA30"/>
    <mergeCell ref="C26:C27"/>
    <mergeCell ref="H26:I26"/>
    <mergeCell ref="J26:K26"/>
    <mergeCell ref="H27:I27"/>
    <mergeCell ref="J27:K27"/>
    <mergeCell ref="L26:M26"/>
    <mergeCell ref="N26:O26"/>
    <mergeCell ref="P27:Q27"/>
    <mergeCell ref="R27:S27"/>
    <mergeCell ref="P26:Q26"/>
    <mergeCell ref="R26:S26"/>
    <mergeCell ref="L27:M27"/>
    <mergeCell ref="N27:O27"/>
    <mergeCell ref="AD25:AE25"/>
    <mergeCell ref="X26:Y26"/>
    <mergeCell ref="Z26:AA26"/>
    <mergeCell ref="V26:W26"/>
    <mergeCell ref="AB27:AC27"/>
    <mergeCell ref="AB26:AC26"/>
    <mergeCell ref="AD26:AE26"/>
    <mergeCell ref="AD27:AE27"/>
    <mergeCell ref="Z27:AA27"/>
    <mergeCell ref="T27:U27"/>
    <mergeCell ref="V27:W27"/>
    <mergeCell ref="X27:Y27"/>
    <mergeCell ref="X25:Y25"/>
    <mergeCell ref="Z25:AA25"/>
    <mergeCell ref="T26:U26"/>
    <mergeCell ref="B8:C8"/>
    <mergeCell ref="AB25:AC25"/>
    <mergeCell ref="N25:O25"/>
    <mergeCell ref="P25:Q25"/>
    <mergeCell ref="B12:B13"/>
    <mergeCell ref="C12:C13"/>
    <mergeCell ref="R25:S25"/>
    <mergeCell ref="H25:I25"/>
    <mergeCell ref="J25:K25"/>
    <mergeCell ref="L25:M25"/>
    <mergeCell ref="T25:U25"/>
    <mergeCell ref="V25:W25"/>
    <mergeCell ref="B36:C36"/>
    <mergeCell ref="V29:W29"/>
    <mergeCell ref="X29:Y29"/>
    <mergeCell ref="Z29:AA29"/>
    <mergeCell ref="H28:I28"/>
    <mergeCell ref="J28:K28"/>
    <mergeCell ref="L28:M28"/>
    <mergeCell ref="N28:O28"/>
    <mergeCell ref="H29:I29"/>
    <mergeCell ref="J29:K29"/>
    <mergeCell ref="N29:O29"/>
    <mergeCell ref="P29:Q29"/>
    <mergeCell ref="R29:S29"/>
    <mergeCell ref="T29:U29"/>
    <mergeCell ref="P28:Q28"/>
    <mergeCell ref="R28:S28"/>
    <mergeCell ref="AC2:AE2"/>
    <mergeCell ref="B4:D4"/>
    <mergeCell ref="G4:I4"/>
    <mergeCell ref="J4:L4"/>
    <mergeCell ref="B5:D5"/>
    <mergeCell ref="G5:I5"/>
    <mergeCell ref="J5:L5"/>
    <mergeCell ref="M5:AE5"/>
    <mergeCell ref="C28:C29"/>
    <mergeCell ref="H30:I30"/>
    <mergeCell ref="J30:K30"/>
    <mergeCell ref="X28:Y28"/>
    <mergeCell ref="AB29:AC29"/>
    <mergeCell ref="Z28:AA28"/>
    <mergeCell ref="AB28:AC28"/>
    <mergeCell ref="T28:U28"/>
    <mergeCell ref="V28:W28"/>
    <mergeCell ref="AB30:AC30"/>
  </mergeCells>
  <phoneticPr fontId="38" type="noConversion"/>
  <conditionalFormatting sqref="E1 G1:AE1 E19:E20 G16:AE20">
    <cfRule type="expression" dxfId="201" priority="627" stopIfTrue="1">
      <formula>IF(OR(E$12&gt;CÁLCULO.NúmeroDeFrentes,ACOMPANHAMENTO="BM"),TRUE,CRONOPLE.ValorDoEvento=0)</formula>
    </cfRule>
  </conditionalFormatting>
  <conditionalFormatting sqref="U4:Y4">
    <cfRule type="expression" dxfId="200" priority="517" stopIfTrue="1">
      <formula>QCI.ExisteManual</formula>
    </cfRule>
  </conditionalFormatting>
  <conditionalFormatting sqref="J25:AE25">
    <cfRule type="expression" dxfId="199" priority="516" stopIfTrue="1">
      <formula>OFFSET(J25,3,-2)=1</formula>
    </cfRule>
  </conditionalFormatting>
  <conditionalFormatting sqref="J26:AE26">
    <cfRule type="expression" dxfId="198" priority="511" stopIfTrue="1">
      <formula>OFFSET(J26,2,-2)=1</formula>
    </cfRule>
  </conditionalFormatting>
  <conditionalFormatting sqref="J27:AE27">
    <cfRule type="expression" dxfId="197" priority="510" stopIfTrue="1">
      <formula>OFFSET(J27,1,-2)=1</formula>
    </cfRule>
  </conditionalFormatting>
  <conditionalFormatting sqref="J28:AE28">
    <cfRule type="expression" dxfId="196" priority="509" stopIfTrue="1">
      <formula>OFFSET(J28,0,-2)=1</formula>
    </cfRule>
  </conditionalFormatting>
  <conditionalFormatting sqref="J29:AE29">
    <cfRule type="expression" dxfId="195" priority="508" stopIfTrue="1">
      <formula>OFFSET(J29,-1,-2)=1</formula>
    </cfRule>
  </conditionalFormatting>
  <conditionalFormatting sqref="B15:C15 E15 G15:AF15">
    <cfRule type="expression" dxfId="194" priority="332">
      <formula>$B$15=0</formula>
    </cfRule>
  </conditionalFormatting>
  <conditionalFormatting sqref="B8:C8">
    <cfRule type="expression" dxfId="193" priority="331">
      <formula>$B$7=""</formula>
    </cfRule>
  </conditionalFormatting>
  <conditionalFormatting sqref="J30:AE30">
    <cfRule type="expression" dxfId="192" priority="330">
      <formula>OFFSET(J30,-2,-2)=1</formula>
    </cfRule>
  </conditionalFormatting>
  <conditionalFormatting sqref="H30:AE30">
    <cfRule type="expression" dxfId="191" priority="329">
      <formula>ROUND(H30,4)&gt;ROUND(H28,4)</formula>
    </cfRule>
  </conditionalFormatting>
  <conditionalFormatting sqref="E16:E18">
    <cfRule type="expression" dxfId="190" priority="7" stopIfTrue="1">
      <formula>IF(OR(E$12&gt;CÁLCULO.NúmeroDeFrentes,ACOMPANHAMENTO="BM"),TRUE,CRONOPLE.ValorDoEvento=0)</formula>
    </cfRule>
  </conditionalFormatting>
  <conditionalFormatting sqref="E21:E22 G21:AE22">
    <cfRule type="expression" dxfId="189"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22 G16:AE22" xr:uid="{00000000-0002-0000-0700-000000000000}">
      <formula1>0</formula1>
      <formula2>0</formula2>
    </dataValidation>
    <dataValidation type="list" allowBlank="1" showErrorMessage="1" errorTitle="Atenção" error="Selecione uma opção da lista." sqref="B8:C8" xr:uid="{00000000-0002-0000-0700-000001000000}">
      <formula1>$F$15:$F$23</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&amp;LPMv3.12&amp;R&amp;P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9" filterMode="1"/>
  <dimension ref="A1:AG55"/>
  <sheetViews>
    <sheetView showGridLines="0" tabSelected="1" zoomScaleNormal="100" zoomScaleSheetLayoutView="90" workbookViewId="0">
      <pane xSplit="20" ySplit="13" topLeftCell="U14" activePane="bottomRight" state="frozen"/>
      <selection pane="topRight" activeCell="T4" sqref="T4"/>
      <selection pane="bottomLeft" activeCell="F14" sqref="F14"/>
      <selection pane="bottomRight" activeCell="AH29" sqref="AH29"/>
    </sheetView>
  </sheetViews>
  <sheetFormatPr defaultColWidth="9.140625" defaultRowHeight="12.75" x14ac:dyDescent="0.2"/>
  <cols>
    <col min="1" max="1" width="9.140625" style="187" hidden="1" customWidth="1"/>
    <col min="2" max="4" width="9.140625" style="186" hidden="1" customWidth="1"/>
    <col min="5" max="5" width="11" style="187" hidden="1" customWidth="1"/>
    <col min="6" max="6" width="19" style="186" hidden="1" customWidth="1"/>
    <col min="7" max="7" width="3.5703125" style="187" customWidth="1"/>
    <col min="8" max="8" width="12.5703125" style="186" customWidth="1"/>
    <col min="9" max="9" width="7.140625" style="187" customWidth="1"/>
    <col min="10" max="10" width="11.5703125" style="187" customWidth="1"/>
    <col min="11" max="11" width="12" style="187" customWidth="1"/>
    <col min="12" max="12" width="11" style="187" customWidth="1"/>
    <col min="13" max="18" width="9.140625" style="186" hidden="1" customWidth="1"/>
    <col min="19" max="19" width="11.42578125" style="188" customWidth="1"/>
    <col min="20" max="20" width="9.5703125" style="188" customWidth="1"/>
    <col min="21" max="32" width="11" style="187" customWidth="1"/>
    <col min="33" max="33" width="5.5703125" style="187" hidden="1" customWidth="1"/>
    <col min="34" max="16384" width="9.140625" style="187"/>
  </cols>
  <sheetData>
    <row r="1" spans="1:33" hidden="1" x14ac:dyDescent="0.2">
      <c r="A1" s="187" t="e">
        <f ca="1">IF($M1&gt;1,_xlfn.CONCAT($I1," ",$J1),"")</f>
        <v>#REF!</v>
      </c>
      <c r="B1" s="186" t="e">
        <f ca="1">OFFSET(B1,-3,0)+1</f>
        <v>#REF!</v>
      </c>
      <c r="C1" s="186" t="e">
        <f ca="1">IF($R1&lt;&gt;2,0,IF($S1=0,1,IF(F2&gt;0,OFFSET(QCI!$M$13,SUBSTITUTE(F2,".",""),0),OFFSET(ORÇAMENTO!$AA$15,CRONO!$F1,0))/$S1))</f>
        <v>#REF!</v>
      </c>
      <c r="D1" s="186" t="e">
        <f ca="1">IF($R1&lt;&gt;2,0,IF($S1=0,1,IF(F2&gt;0,OFFSET(QCI!$N$13,SUBSTITUTE(F2,".",""),0),OFFSET(ORÇAMENTO!$AB$15,CRONO!$F1,0))/$S1))</f>
        <v>#REF!</v>
      </c>
      <c r="E1" s="189" t="e" cm="1">
        <f t="array" aca="1" ref="E1" ca="1">IF(AND($R1=2,ACOMPANHAMENTO="BM"),ROUND(E2,4),E3/$S1)</f>
        <v>#REF!</v>
      </c>
      <c r="F1" s="186" t="e">
        <f ca="1">IF(B1&lt;=ORÇAMENTO.MáximoListaCrono,MATCH(B1,ORÇAMENTO.ListaCrono,0),NA())</f>
        <v>#REF!</v>
      </c>
      <c r="G1" s="186" t="e">
        <f ca="1">IF(AND($F2&lt;&gt;-1,$S1&gt;0),"F","")</f>
        <v>#REF!</v>
      </c>
      <c r="H1" s="190" t="e" cm="1">
        <f t="array" aca="1" ref="H1" ca="1">IF(OR(S1=0,S1=""),"Linha",IF(AND(OR(ACOMPANHAMENTO="PLE",$R1&lt;&gt;2),$F2=0),"Linha",ROUND(1-SUM(U1:AG1),4)))</f>
        <v>#REF!</v>
      </c>
      <c r="I1" s="191" t="e">
        <f ca="1">IF($F2=0,OFFSET(ORÇAMENTO!O$15,$F1,0),IF($F2&lt;&gt;-1,OFFSET(QCI!$D$13,$F2,0),""))</f>
        <v>#REF!</v>
      </c>
      <c r="J1" s="192" t="e">
        <f ca="1">IF($F2=0,OFFSET(ORÇAMENTO!R$15,$F1,0),IF($F2&lt;&gt;-1,OFFSET(QCI!$G$13,$F2,0),""))</f>
        <v>#REF!</v>
      </c>
      <c r="K1" s="192"/>
      <c r="L1" s="192"/>
      <c r="M1" s="193" t="e">
        <f ca="1">IF($F2=0,OFFSET(ORÇAMENTO!C$15,$F1,0),1)</f>
        <v>#REF!</v>
      </c>
      <c r="N1" s="194" t="e">
        <f ca="1">IF($F2=-1,0,IF(N$13&lt;=$M1,IF(ISERROR(MATCH(N$13,OFFSET($M1,1,0,ROW($M$38)-ROW($M1)-1),0)),ROW($M$38)-ROW($M1)-1,MATCH(N$13,OFFSET($M1,1,0,ROW($M$38)-ROW($M1)-1),0)-1),0))</f>
        <v>#REF!</v>
      </c>
      <c r="O1" s="194" t="e">
        <f ca="1">IF($F2=-1,0,IF(O$13&lt;=$M1,IF(ISERROR(MATCH(O$13,OFFSET($M1,1,0,ROW($M$38)-ROW($M1)-1),0)),ROW($M$38)-ROW($M1)-1,MATCH(O$13,OFFSET($M1,1,0,ROW($M$38)-ROW($M1)-1),0)-1),0))</f>
        <v>#REF!</v>
      </c>
      <c r="P1" s="194" t="e">
        <f ca="1">IF($F2=-1,0,IF(P$13&lt;=$M1,IF(ISERROR(MATCH(P$13,OFFSET($M1,1,0,ROW($M$38)-ROW($M1)-1),0)),ROW($M$38)-ROW($M1)-1,MATCH(P$13,OFFSET($M1,1,0,ROW($M$38)-ROW($M1)-1),0)-1),0))</f>
        <v>#REF!</v>
      </c>
      <c r="Q1" s="194" t="e">
        <f ca="1">IF($F2=-1,0,IF(Q$13&lt;=$M1,IF(ISERROR(MATCH(Q$13,OFFSET($M1,1,0,ROW($M$38)-ROW($M1)-1),0)),ROW($M$38)-ROW($M1)-1,MATCH(Q$13,OFFSET($M1,1,0,ROW($M$38)-ROW($M1)-1),0)-1),0))</f>
        <v>#REF!</v>
      </c>
      <c r="R1" s="194" t="e">
        <f ca="1">MIN(OFFSET(M1,0,1,,M1))</f>
        <v>#REF!</v>
      </c>
      <c r="S1" s="195" t="e">
        <f ca="1">IF($F2=0,OFFSET(ORÇAMENTO!X$15,$F1,0),IF($F2&lt;&gt;-1,OFFSET(QCI!$O$13,$F2,0),""))</f>
        <v>#REF!</v>
      </c>
      <c r="T1" s="196" t="s">
        <v>786</v>
      </c>
      <c r="U1" s="189" t="e" cm="1">
        <f t="array" aca="1" ref="U1" ca="1">IF(AND($R1=2,ACOMPANHAMENTO="BM"),ROUND(U2,4),U3/$S1)</f>
        <v>#REF!</v>
      </c>
      <c r="V1" s="189" t="e" cm="1">
        <f t="array" aca="1" ref="V1" ca="1">IF(AND($R1=2,ACOMPANHAMENTO="BM"),ROUND(V2,4),V3/$S1)</f>
        <v>#REF!</v>
      </c>
      <c r="W1" s="189" t="e" cm="1">
        <f t="array" aca="1" ref="W1" ca="1">IF(AND($R1=2,ACOMPANHAMENTO="BM"),ROUND(W2,4),W3/$S1)</f>
        <v>#REF!</v>
      </c>
      <c r="X1" s="189" t="e" cm="1">
        <f t="array" aca="1" ref="X1" ca="1">IF(AND($R1=2,ACOMPANHAMENTO="BM"),ROUND(X2,4),X3/$S1)</f>
        <v>#REF!</v>
      </c>
      <c r="Y1" s="189" t="e" cm="1">
        <f t="array" aca="1" ref="Y1" ca="1">IF(AND($R1=2,ACOMPANHAMENTO="BM"),ROUND(Y2,4),Y3/$S1)</f>
        <v>#REF!</v>
      </c>
      <c r="Z1" s="189" t="e" cm="1">
        <f t="array" aca="1" ref="Z1" ca="1">IF(AND($R1=2,ACOMPANHAMENTO="BM"),ROUND(Z2,4),Z3/$S1)</f>
        <v>#REF!</v>
      </c>
      <c r="AA1" s="189" t="e" cm="1">
        <f t="array" aca="1" ref="AA1" ca="1">IF(AND($R1=2,ACOMPANHAMENTO="BM"),ROUND(AA2,4),AA3/$S1)</f>
        <v>#REF!</v>
      </c>
      <c r="AB1" s="189" t="e" cm="1">
        <f t="array" aca="1" ref="AB1" ca="1">IF(AND($R1=2,ACOMPANHAMENTO="BM"),ROUND(AB2,4),AB3/$S1)</f>
        <v>#REF!</v>
      </c>
      <c r="AC1" s="189" t="e" cm="1">
        <f t="array" aca="1" ref="AC1" ca="1">IF(AND($R1=2,ACOMPANHAMENTO="BM"),ROUND(AC2,4),AC3/$S1)</f>
        <v>#REF!</v>
      </c>
      <c r="AD1" s="189" t="e" cm="1">
        <f t="array" aca="1" ref="AD1" ca="1">IF(AND($R1=2,ACOMPANHAMENTO="BM"),ROUND(AD2,4),AD3/$S1)</f>
        <v>#REF!</v>
      </c>
      <c r="AE1" s="189" t="e" cm="1">
        <f t="array" aca="1" ref="AE1" ca="1">IF(AND($R1=2,ACOMPANHAMENTO="BM"),ROUND(AE2,4),AE3/$S1)</f>
        <v>#REF!</v>
      </c>
      <c r="AF1" s="189" t="e" cm="1">
        <f t="array" aca="1" ref="AF1" ca="1">IF(AND($R1=2,ACOMPANHAMENTO="BM"),ROUND(AF2,4),AF3/$S1)</f>
        <v>#REF!</v>
      </c>
      <c r="AG1" s="535"/>
    </row>
    <row r="2" spans="1:33" ht="12.75" hidden="1" customHeight="1" x14ac:dyDescent="0.2">
      <c r="E2" s="588"/>
      <c r="F2" s="186" t="e">
        <f ca="1">IF(ISERROR(F1),IF(1+COUNTIF($M$13:OFFSET(M1,-1,0),1)&lt;=MAX(QCI!$D$13:$D$24),1+COUNTIF($M$13:OFFSET(M1,-1,0),1),-1),0)</f>
        <v>#REF!</v>
      </c>
      <c r="G2" s="186" t="str" cm="1">
        <f t="array" aca="1" ref="G2" ca="1">IF(ACOMPANHAMENTO="BM",OFFSET(G2,-1,0),"")</f>
        <v/>
      </c>
      <c r="H2" s="197" t="e" cm="1">
        <f t="array" aca="1" ref="H2" ca="1">IF(OR(S1=0,S1=""),"vazia",IF(AND(OR(ACOMPANHAMENTO="PLE",$R1&lt;&gt;2),$F2=0),"calculada","--&gt;"))</f>
        <v>#REF!</v>
      </c>
      <c r="I2" s="198"/>
      <c r="J2" s="199" t="e">
        <f ca="1">IF(AND(H1&lt;&gt;0,ISNUMBER(H1)),"PREENCHA ESTA LINHA --&gt;","")</f>
        <v>#REF!</v>
      </c>
      <c r="K2" s="199"/>
      <c r="L2" s="199"/>
      <c r="M2" s="200"/>
      <c r="N2" s="200"/>
      <c r="O2" s="200"/>
      <c r="P2" s="200"/>
      <c r="Q2" s="200"/>
      <c r="R2" s="200"/>
      <c r="S2" s="201"/>
      <c r="T2" s="202"/>
      <c r="U2" s="588"/>
      <c r="V2" s="588"/>
      <c r="W2" s="588"/>
      <c r="X2" s="588"/>
      <c r="Y2" s="588"/>
      <c r="Z2" s="588"/>
      <c r="AA2" s="588"/>
      <c r="AB2" s="588"/>
      <c r="AC2" s="588"/>
      <c r="AD2" s="588"/>
      <c r="AE2" s="588"/>
      <c r="AF2" s="588"/>
      <c r="AG2" s="535"/>
    </row>
    <row r="3" spans="1:33" ht="12.75" hidden="1" customHeight="1" x14ac:dyDescent="0.2">
      <c r="D3" s="534"/>
      <c r="E3" s="203" t="e" cm="1">
        <f t="array" aca="1" ref="E3" ca="1">IF($R1=2,
         IF(AND(ACOMPANHAMENTO="PLE",ISNUMBER($F1)),
                SUMIF((OFFSET(CÁLCULO!$AM$15:$AW$15,$F1,0,OFFSET(ORÇAMENTO!$D$15,CRONO!$F1,0))),CRONO!E$12,OFFSET(CÁLCULO!$AB$15:$AL$15,$F1,0,OFFSET(ORÇAMENTO!$D$15,CRONO!$F1,0)))
                +IF(AND($F3&lt;&gt;"",$F3&lt;&gt;0),
                        SUMIF(CÁLCULO!$AM$15:$AW$105,CRONO!E$12,CÁLCULO!$AB$15:$AL$105)/(ORÇAMENTO!$X$15-_xlfn.SINGLE(CÁLCULO.TotalAdmLocal))*CRONO!$F3,
                        0),
                 E2*$S1),
          SUMIF(OFFSET($S3,1,0,$R1-2),($M1+1)&amp;"$",OFFSET(E3,1,0,$R1-2)))</f>
        <v>#REF!</v>
      </c>
      <c r="F3" s="186" t="e">
        <f ca="1">IF(OR($R1&lt;&gt;2,AUTOEVENTO&lt;&gt;"manual",$F2&gt;0),"",
        IF(Import.TipoArredondamento="Tradicional",
              SUMIF(OFFSET(CÁLCULO!$M$15,CRONO!$F1,0,OFFSET(ORÇAMENTO!$D$15,CRONO!$F1,0)),1,OFFSET(ORÇAMENTO!$X$15,CRONO!$F1,0,OFFSET(ORÇAMENTO!$D$15,CRONO!$F1,0))),
              0))</f>
        <v>#REF!</v>
      </c>
      <c r="H3" s="204"/>
      <c r="S3" s="205" t="e">
        <f ca="1">M1&amp;"$"</f>
        <v>#REF!</v>
      </c>
      <c r="T3" s="206"/>
      <c r="U3" s="203" t="e" cm="1">
        <f t="array" aca="1" ref="U3" ca="1">IF($R1=2,
         IF(AND(ACOMPANHAMENTO="PLE",ISNUMBER($F1)),
                SUMIF((OFFSET(CÁLCULO!$AM$15:$AW$15,$F1,0,OFFSET(ORÇAMENTO!$D$15,CRONO!$F1,0))),CRONO!U$12,OFFSET(CÁLCULO!$AB$15:$AL$15,$F1,0,OFFSET(ORÇAMENTO!$D$15,CRONO!$F1,0)))
                +IF(AND($F3&lt;&gt;"",$F3&lt;&gt;0),
                        SUMIF(CÁLCULO!$AM$15:$AW$105,CRONO!U$12,CÁLCULO!$AB$15:$AL$105)/(ORÇAMENTO!$X$15-_xlfn.SINGLE(CÁLCULO.TotalAdmLocal))*CRONO!$F3,
                        0),
                 U2*$S1),
          SUMIF(OFFSET($S3,1,0,$R1-2),($M1+1)&amp;"$",OFFSET(U3,1,0,$R1-2)))</f>
        <v>#REF!</v>
      </c>
      <c r="V3" s="203" t="e" cm="1">
        <f t="array" aca="1" ref="V3" ca="1">IF($R1=2,
         IF(AND(ACOMPANHAMENTO="PLE",ISNUMBER($F1)),
                SUMIF((OFFSET(CÁLCULO!$AM$15:$AW$15,$F1,0,OFFSET(ORÇAMENTO!$D$15,CRONO!$F1,0))),CRONO!V$12,OFFSET(CÁLCULO!$AB$15:$AL$15,$F1,0,OFFSET(ORÇAMENTO!$D$15,CRONO!$F1,0)))
                +IF(AND($F3&lt;&gt;"",$F3&lt;&gt;0),
                        SUMIF(CÁLCULO!$AM$15:$AW$105,CRONO!V$12,CÁLCULO!$AB$15:$AL$105)/(ORÇAMENTO!$X$15-_xlfn.SINGLE(CÁLCULO.TotalAdmLocal))*CRONO!$F3,
                        0),
                 V2*$S1),
          SUMIF(OFFSET($S3,1,0,$R1-2),($M1+1)&amp;"$",OFFSET(V3,1,0,$R1-2)))</f>
        <v>#REF!</v>
      </c>
      <c r="W3" s="203" t="e" cm="1">
        <f t="array" aca="1" ref="W3" ca="1">IF($R1=2,
         IF(AND(ACOMPANHAMENTO="PLE",ISNUMBER($F1)),
                SUMIF((OFFSET(CÁLCULO!$AM$15:$AW$15,$F1,0,OFFSET(ORÇAMENTO!$D$15,CRONO!$F1,0))),CRONO!W$12,OFFSET(CÁLCULO!$AB$15:$AL$15,$F1,0,OFFSET(ORÇAMENTO!$D$15,CRONO!$F1,0)))
                +IF(AND($F3&lt;&gt;"",$F3&lt;&gt;0),
                        SUMIF(CÁLCULO!$AM$15:$AW$105,CRONO!W$12,CÁLCULO!$AB$15:$AL$105)/(ORÇAMENTO!$X$15-_xlfn.SINGLE(CÁLCULO.TotalAdmLocal))*CRONO!$F3,
                        0),
                 W2*$S1),
          SUMIF(OFFSET($S3,1,0,$R1-2),($M1+1)&amp;"$",OFFSET(W3,1,0,$R1-2)))</f>
        <v>#REF!</v>
      </c>
      <c r="X3" s="203" t="e" cm="1">
        <f t="array" aca="1" ref="X3" ca="1">IF($R1=2,
         IF(AND(ACOMPANHAMENTO="PLE",ISNUMBER($F1)),
                SUMIF((OFFSET(CÁLCULO!$AM$15:$AW$15,$F1,0,OFFSET(ORÇAMENTO!$D$15,CRONO!$F1,0))),CRONO!X$12,OFFSET(CÁLCULO!$AB$15:$AL$15,$F1,0,OFFSET(ORÇAMENTO!$D$15,CRONO!$F1,0)))
                +IF(AND($F3&lt;&gt;"",$F3&lt;&gt;0),
                        SUMIF(CÁLCULO!$AM$15:$AW$105,CRONO!X$12,CÁLCULO!$AB$15:$AL$105)/(ORÇAMENTO!$X$15-_xlfn.SINGLE(CÁLCULO.TotalAdmLocal))*CRONO!$F3,
                        0),
                 X2*$S1),
          SUMIF(OFFSET($S3,1,0,$R1-2),($M1+1)&amp;"$",OFFSET(X3,1,0,$R1-2)))</f>
        <v>#REF!</v>
      </c>
      <c r="Y3" s="203" t="e" cm="1">
        <f t="array" aca="1" ref="Y3" ca="1">IF($R1=2,
         IF(AND(ACOMPANHAMENTO="PLE",ISNUMBER($F1)),
                SUMIF((OFFSET(CÁLCULO!$AM$15:$AW$15,$F1,0,OFFSET(ORÇAMENTO!$D$15,CRONO!$F1,0))),CRONO!Y$12,OFFSET(CÁLCULO!$AB$15:$AL$15,$F1,0,OFFSET(ORÇAMENTO!$D$15,CRONO!$F1,0)))
                +IF(AND($F3&lt;&gt;"",$F3&lt;&gt;0),
                        SUMIF(CÁLCULO!$AM$15:$AW$105,CRONO!Y$12,CÁLCULO!$AB$15:$AL$105)/(ORÇAMENTO!$X$15-_xlfn.SINGLE(CÁLCULO.TotalAdmLocal))*CRONO!$F3,
                        0),
                 Y2*$S1),
          SUMIF(OFFSET($S3,1,0,$R1-2),($M1+1)&amp;"$",OFFSET(Y3,1,0,$R1-2)))</f>
        <v>#REF!</v>
      </c>
      <c r="Z3" s="203" t="e" cm="1">
        <f t="array" aca="1" ref="Z3" ca="1">IF($R1=2,
         IF(AND(ACOMPANHAMENTO="PLE",ISNUMBER($F1)),
                SUMIF((OFFSET(CÁLCULO!$AM$15:$AW$15,$F1,0,OFFSET(ORÇAMENTO!$D$15,CRONO!$F1,0))),CRONO!Z$12,OFFSET(CÁLCULO!$AB$15:$AL$15,$F1,0,OFFSET(ORÇAMENTO!$D$15,CRONO!$F1,0)))
                +IF(AND($F3&lt;&gt;"",$F3&lt;&gt;0),
                        SUMIF(CÁLCULO!$AM$15:$AW$105,CRONO!Z$12,CÁLCULO!$AB$15:$AL$105)/(ORÇAMENTO!$X$15-_xlfn.SINGLE(CÁLCULO.TotalAdmLocal))*CRONO!$F3,
                        0),
                 Z2*$S1),
          SUMIF(OFFSET($S3,1,0,$R1-2),($M1+1)&amp;"$",OFFSET(Z3,1,0,$R1-2)))</f>
        <v>#REF!</v>
      </c>
      <c r="AA3" s="203" t="e" cm="1">
        <f t="array" aca="1" ref="AA3" ca="1">IF($R1=2,
         IF(AND(ACOMPANHAMENTO="PLE",ISNUMBER($F1)),
                SUMIF((OFFSET(CÁLCULO!$AM$15:$AW$15,$F1,0,OFFSET(ORÇAMENTO!$D$15,CRONO!$F1,0))),CRONO!AA$12,OFFSET(CÁLCULO!$AB$15:$AL$15,$F1,0,OFFSET(ORÇAMENTO!$D$15,CRONO!$F1,0)))
                +IF(AND($F3&lt;&gt;"",$F3&lt;&gt;0),
                        SUMIF(CÁLCULO!$AM$15:$AW$105,CRONO!AA$12,CÁLCULO!$AB$15:$AL$105)/(ORÇAMENTO!$X$15-_xlfn.SINGLE(CÁLCULO.TotalAdmLocal))*CRONO!$F3,
                        0),
                 AA2*$S1),
          SUMIF(OFFSET($S3,1,0,$R1-2),($M1+1)&amp;"$",OFFSET(AA3,1,0,$R1-2)))</f>
        <v>#REF!</v>
      </c>
      <c r="AB3" s="203" t="e" cm="1">
        <f t="array" aca="1" ref="AB3" ca="1">IF($R1=2,
         IF(AND(ACOMPANHAMENTO="PLE",ISNUMBER($F1)),
                SUMIF((OFFSET(CÁLCULO!$AM$15:$AW$15,$F1,0,OFFSET(ORÇAMENTO!$D$15,CRONO!$F1,0))),CRONO!AB$12,OFFSET(CÁLCULO!$AB$15:$AL$15,$F1,0,OFFSET(ORÇAMENTO!$D$15,CRONO!$F1,0)))
                +IF(AND($F3&lt;&gt;"",$F3&lt;&gt;0),
                        SUMIF(CÁLCULO!$AM$15:$AW$105,CRONO!AB$12,CÁLCULO!$AB$15:$AL$105)/(ORÇAMENTO!$X$15-_xlfn.SINGLE(CÁLCULO.TotalAdmLocal))*CRONO!$F3,
                        0),
                 AB2*$S1),
          SUMIF(OFFSET($S3,1,0,$R1-2),($M1+1)&amp;"$",OFFSET(AB3,1,0,$R1-2)))</f>
        <v>#REF!</v>
      </c>
      <c r="AC3" s="203" t="e" cm="1">
        <f t="array" aca="1" ref="AC3" ca="1">IF($R1=2,
         IF(AND(ACOMPANHAMENTO="PLE",ISNUMBER($F1)),
                SUMIF((OFFSET(CÁLCULO!$AM$15:$AW$15,$F1,0,OFFSET(ORÇAMENTO!$D$15,CRONO!$F1,0))),CRONO!AC$12,OFFSET(CÁLCULO!$AB$15:$AL$15,$F1,0,OFFSET(ORÇAMENTO!$D$15,CRONO!$F1,0)))
                +IF(AND($F3&lt;&gt;"",$F3&lt;&gt;0),
                        SUMIF(CÁLCULO!$AM$15:$AW$105,CRONO!AC$12,CÁLCULO!$AB$15:$AL$105)/(ORÇAMENTO!$X$15-_xlfn.SINGLE(CÁLCULO.TotalAdmLocal))*CRONO!$F3,
                        0),
                 AC2*$S1),
          SUMIF(OFFSET($S3,1,0,$R1-2),($M1+1)&amp;"$",OFFSET(AC3,1,0,$R1-2)))</f>
        <v>#REF!</v>
      </c>
      <c r="AD3" s="203" t="e" cm="1">
        <f t="array" aca="1" ref="AD3" ca="1">IF($R1=2,
         IF(AND(ACOMPANHAMENTO="PLE",ISNUMBER($F1)),
                SUMIF((OFFSET(CÁLCULO!$AM$15:$AW$15,$F1,0,OFFSET(ORÇAMENTO!$D$15,CRONO!$F1,0))),CRONO!AD$12,OFFSET(CÁLCULO!$AB$15:$AL$15,$F1,0,OFFSET(ORÇAMENTO!$D$15,CRONO!$F1,0)))
                +IF(AND($F3&lt;&gt;"",$F3&lt;&gt;0),
                        SUMIF(CÁLCULO!$AM$15:$AW$105,CRONO!AD$12,CÁLCULO!$AB$15:$AL$105)/(ORÇAMENTO!$X$15-_xlfn.SINGLE(CÁLCULO.TotalAdmLocal))*CRONO!$F3,
                        0),
                 AD2*$S1),
          SUMIF(OFFSET($S3,1,0,$R1-2),($M1+1)&amp;"$",OFFSET(AD3,1,0,$R1-2)))</f>
        <v>#REF!</v>
      </c>
      <c r="AE3" s="203" t="e" cm="1">
        <f t="array" aca="1" ref="AE3" ca="1">IF($R1=2,
         IF(AND(ACOMPANHAMENTO="PLE",ISNUMBER($F1)),
                SUMIF((OFFSET(CÁLCULO!$AM$15:$AW$15,$F1,0,OFFSET(ORÇAMENTO!$D$15,CRONO!$F1,0))),CRONO!AE$12,OFFSET(CÁLCULO!$AB$15:$AL$15,$F1,0,OFFSET(ORÇAMENTO!$D$15,CRONO!$F1,0)))
                +IF(AND($F3&lt;&gt;"",$F3&lt;&gt;0),
                        SUMIF(CÁLCULO!$AM$15:$AW$105,CRONO!AE$12,CÁLCULO!$AB$15:$AL$105)/(ORÇAMENTO!$X$15-_xlfn.SINGLE(CÁLCULO.TotalAdmLocal))*CRONO!$F3,
                        0),
                 AE2*$S1),
          SUMIF(OFFSET($S3,1,0,$R1-2),($M1+1)&amp;"$",OFFSET(AE3,1,0,$R1-2)))</f>
        <v>#REF!</v>
      </c>
      <c r="AF3" s="203" t="e" cm="1">
        <f t="array" aca="1" ref="AF3" ca="1">IF($R1=2,
         IF(AND(ACOMPANHAMENTO="PLE",ISNUMBER($F1)),
                SUMIF((OFFSET(CÁLCULO!$AM$15:$AW$15,$F1,0,OFFSET(ORÇAMENTO!$D$15,CRONO!$F1,0))),CRONO!AF$12,OFFSET(CÁLCULO!$AB$15:$AL$15,$F1,0,OFFSET(ORÇAMENTO!$D$15,CRONO!$F1,0)))
                +IF(AND($F3&lt;&gt;"",$F3&lt;&gt;0),
                        SUMIF(CÁLCULO!$AM$15:$AW$105,CRONO!AF$12,CÁLCULO!$AB$15:$AL$105)/(ORÇAMENTO!$X$15-_xlfn.SINGLE(CÁLCULO.TotalAdmLocal))*CRONO!$F3,
                        0),
                 AF2*$S1),
          SUMIF(OFFSET($S3,1,0,$R1-2),($M1+1)&amp;"$",OFFSET(AF3,1,0,$R1-2)))</f>
        <v>#REF!</v>
      </c>
      <c r="AG3" s="535"/>
    </row>
    <row r="4" spans="1:33" ht="15" customHeight="1" x14ac:dyDescent="0.25">
      <c r="S4" s="207" t="str">
        <f>IF(TIPOORCAMENTO="licitado","CFF - CRONOGRAMA FÍSICO-FINANCEIRO LICITADO","CFF - CRONOGRAMA FÍSICO-FINANCEIRO")</f>
        <v>CFF - CRONOGRAMA FÍSICO-FINANCEIRO</v>
      </c>
      <c r="AE4" s="682" t="s">
        <v>645</v>
      </c>
      <c r="AF4" s="682"/>
    </row>
    <row r="5" spans="1:33" ht="15" x14ac:dyDescent="0.2">
      <c r="S5" s="83" t="str">
        <f>import.recurso</f>
        <v>OGU</v>
      </c>
      <c r="AE5" s="683" t="s">
        <v>648</v>
      </c>
      <c r="AF5" s="683"/>
    </row>
    <row r="6" spans="1:33" ht="12.75" customHeight="1" x14ac:dyDescent="0.2"/>
    <row r="7" spans="1:33" ht="12.75" customHeight="1" x14ac:dyDescent="0.2">
      <c r="F7" s="208"/>
      <c r="H7" s="681" t="s">
        <v>787</v>
      </c>
      <c r="I7" s="209" t="s">
        <v>651</v>
      </c>
      <c r="J7" s="210"/>
      <c r="K7" s="211" t="s">
        <v>788</v>
      </c>
      <c r="L7" s="212" t="s">
        <v>789</v>
      </c>
      <c r="M7" s="187"/>
      <c r="N7" s="187"/>
      <c r="O7" s="187"/>
      <c r="T7" s="213"/>
      <c r="U7" s="209" t="s">
        <v>759</v>
      </c>
      <c r="Y7" s="210"/>
      <c r="Z7" s="209" t="str">
        <f>IF(TIPOORCAMENTO="Licitado","NOME DA EMPRESA","DESCRIÇÃO DO LOTE")</f>
        <v>DESCRIÇÃO DO LOTE</v>
      </c>
      <c r="AF7" s="214" t="str">
        <f>IF(TIPOORCAMENTO="Licitado","Nº CTEF","")</f>
        <v/>
      </c>
    </row>
    <row r="8" spans="1:33" x14ac:dyDescent="0.2">
      <c r="E8" s="186"/>
      <c r="F8" s="115"/>
      <c r="G8" s="680" t="s">
        <v>656</v>
      </c>
      <c r="H8" s="681"/>
      <c r="I8" s="668" t="str">
        <f>Import.CR</f>
        <v>0</v>
      </c>
      <c r="J8" s="668"/>
      <c r="K8" s="215" t="str">
        <f>Import.TransfereGOV</f>
        <v>0</v>
      </c>
      <c r="L8" s="667" t="str">
        <f>Import.Proponente</f>
        <v>CONSÓRCIO INTERMUNICIPAL DO MÉDIO ALTO URUGUAI - CIMAU</v>
      </c>
      <c r="M8" s="667"/>
      <c r="N8" s="667"/>
      <c r="O8" s="667"/>
      <c r="P8" s="667"/>
      <c r="Q8" s="667"/>
      <c r="R8" s="667"/>
      <c r="S8" s="667"/>
      <c r="T8" s="667"/>
      <c r="U8" s="668" t="str">
        <f>Import.Apelido</f>
        <v>REFORMA CASA DA CRIANÇA</v>
      </c>
      <c r="V8" s="668"/>
      <c r="W8" s="668"/>
      <c r="X8" s="668"/>
      <c r="Y8" s="668"/>
      <c r="Z8" s="684" t="str">
        <f>IF(TIPOORCAMENTO="Licitado",Import.empresa,Import.DescLote)</f>
        <v>REFORMA CASA DA CRIANÇA</v>
      </c>
      <c r="AA8" s="684"/>
      <c r="AB8" s="684"/>
      <c r="AC8" s="684"/>
      <c r="AD8" s="684"/>
      <c r="AE8" s="684"/>
      <c r="AF8" s="204" t="str">
        <f>IF(TIPOORCAMENTO="Licitado",Import.CTEF,"")</f>
        <v/>
      </c>
    </row>
    <row r="9" spans="1:33" x14ac:dyDescent="0.2">
      <c r="F9" s="115"/>
      <c r="G9" s="680"/>
      <c r="H9" s="681"/>
    </row>
    <row r="10" spans="1:33" x14ac:dyDescent="0.2">
      <c r="F10" s="186" cm="1">
        <f t="array" aca="1" ref="F10" ca="1">CRONO.LinhasNecessarias</f>
        <v>8</v>
      </c>
      <c r="G10" s="680"/>
      <c r="H10" s="216">
        <v>4</v>
      </c>
      <c r="K10" s="669" t="str" cm="1">
        <f t="array" aca="1" ref="K10" ca="1">IF(MAX($B$13:$B$38)&lt;CRONO.LinhasNecessarias,"ERRO: NÚMERO DE LINHAS DO CRONOGRAMA INSUFICIENTE. CLIQUE EM ATUALIZAR LINHAS.",IF(AND(ACOMPANHAMENTO="PLE",ROUND(OFFSET($AG$48,0,-1),2)=0),"CRONOGRAMA DEVE SER PREENCHIDO POR EVENTOS",IF(ROUND(OFFSET($AG$48,0,-1),2)&lt;&gt;$R$39,"ERRO: CRONOGRAMA NÃO FECHA 100%","")))</f>
        <v/>
      </c>
      <c r="L10" s="669"/>
      <c r="M10" s="669"/>
      <c r="N10" s="669"/>
      <c r="O10" s="669"/>
      <c r="P10" s="669"/>
      <c r="Q10" s="669"/>
      <c r="R10" s="669"/>
      <c r="S10" s="669"/>
      <c r="T10" s="669"/>
    </row>
    <row r="11" spans="1:33" ht="12.75" customHeight="1" x14ac:dyDescent="0.2">
      <c r="F11" s="186" cm="1">
        <f t="array" aca="1" ref="F11" ca="1">CRONO.ParcelaFinal</f>
        <v>4</v>
      </c>
      <c r="G11" s="680"/>
      <c r="I11" s="217"/>
      <c r="J11" s="217"/>
      <c r="K11" s="669"/>
      <c r="L11" s="669"/>
      <c r="M11" s="669"/>
      <c r="N11" s="669"/>
      <c r="O11" s="669"/>
      <c r="P11" s="669"/>
      <c r="Q11" s="669"/>
      <c r="R11" s="669"/>
      <c r="S11" s="669"/>
      <c r="T11" s="669"/>
    </row>
    <row r="12" spans="1:33" ht="12.75" customHeight="1" x14ac:dyDescent="0.2">
      <c r="A12" s="187" t="s">
        <v>790</v>
      </c>
      <c r="E12" s="218">
        <f ca="1">OFFSET(E12,0,-1)+1</f>
        <v>1</v>
      </c>
      <c r="G12" s="107" t="s">
        <v>661</v>
      </c>
      <c r="H12" s="671" t="s">
        <v>791</v>
      </c>
      <c r="I12" s="672" t="s">
        <v>736</v>
      </c>
      <c r="J12" s="673" t="s">
        <v>118</v>
      </c>
      <c r="K12" s="219"/>
      <c r="L12" s="219"/>
      <c r="M12" s="220"/>
      <c r="N12" s="220"/>
      <c r="O12" s="220"/>
      <c r="P12" s="220"/>
      <c r="Q12" s="220"/>
      <c r="R12" s="220"/>
      <c r="S12" s="679" t="s">
        <v>792</v>
      </c>
      <c r="T12" s="666" t="s">
        <v>793</v>
      </c>
      <c r="U12" s="221">
        <v>1</v>
      </c>
      <c r="V12" s="218">
        <f ca="1">OFFSET(V12,0,-1)+1</f>
        <v>2</v>
      </c>
      <c r="W12" s="218">
        <f t="shared" ref="W12:AF12" ca="1" si="0">OFFSET(W12,0,-1)+1</f>
        <v>3</v>
      </c>
      <c r="X12" s="218">
        <f t="shared" ca="1" si="0"/>
        <v>4</v>
      </c>
      <c r="Y12" s="218">
        <f t="shared" ca="1" si="0"/>
        <v>5</v>
      </c>
      <c r="Z12" s="218">
        <f t="shared" ca="1" si="0"/>
        <v>6</v>
      </c>
      <c r="AA12" s="218">
        <f t="shared" ca="1" si="0"/>
        <v>7</v>
      </c>
      <c r="AB12" s="218">
        <f t="shared" ca="1" si="0"/>
        <v>8</v>
      </c>
      <c r="AC12" s="218">
        <f t="shared" ca="1" si="0"/>
        <v>9</v>
      </c>
      <c r="AD12" s="218">
        <f t="shared" ca="1" si="0"/>
        <v>10</v>
      </c>
      <c r="AE12" s="218">
        <f t="shared" ca="1" si="0"/>
        <v>11</v>
      </c>
      <c r="AF12" s="538">
        <f t="shared" ca="1" si="0"/>
        <v>12</v>
      </c>
      <c r="AG12" s="535"/>
    </row>
    <row r="13" spans="1:33" ht="24.95" customHeight="1" x14ac:dyDescent="0.2">
      <c r="B13" s="222" t="s">
        <v>794</v>
      </c>
      <c r="C13" s="222" t="s">
        <v>457</v>
      </c>
      <c r="D13" s="222" t="s">
        <v>795</v>
      </c>
      <c r="E13" s="223" t="e">
        <f ca="1">OFFSET(E13,0,-1)+41-DAY(OFFSET(E13,0,-1)+40)</f>
        <v>#VALUE!</v>
      </c>
      <c r="F13" s="222" t="s">
        <v>796</v>
      </c>
      <c r="H13" s="671"/>
      <c r="I13" s="672"/>
      <c r="J13" s="673"/>
      <c r="K13" s="224"/>
      <c r="L13" s="224"/>
      <c r="M13" s="225" t="s">
        <v>734</v>
      </c>
      <c r="N13" s="225">
        <v>1</v>
      </c>
      <c r="O13" s="225">
        <v>2</v>
      </c>
      <c r="P13" s="225">
        <v>3</v>
      </c>
      <c r="Q13" s="225">
        <v>4</v>
      </c>
      <c r="R13" s="226" t="s">
        <v>797</v>
      </c>
      <c r="S13" s="679"/>
      <c r="T13" s="666"/>
      <c r="U13" s="227"/>
      <c r="V13" s="223">
        <f ca="1">OFFSET(V13,0,-1)+41-DAY(OFFSET(V13,0,-1)+40)</f>
        <v>32</v>
      </c>
      <c r="W13" s="223">
        <f ca="1">OFFSET(W13,0,-1)+41-DAY(OFFSET(W13,0,-1)+40)</f>
        <v>61</v>
      </c>
      <c r="X13" s="223">
        <f t="shared" ref="X13:AF13" ca="1" si="1">OFFSET(X13,0,-1)+41-DAY(OFFSET(X13,0,-1)+40)</f>
        <v>92</v>
      </c>
      <c r="Y13" s="223">
        <f t="shared" ca="1" si="1"/>
        <v>122</v>
      </c>
      <c r="Z13" s="223">
        <f t="shared" ca="1" si="1"/>
        <v>153</v>
      </c>
      <c r="AA13" s="223">
        <f t="shared" ca="1" si="1"/>
        <v>183</v>
      </c>
      <c r="AB13" s="223">
        <f t="shared" ca="1" si="1"/>
        <v>214</v>
      </c>
      <c r="AC13" s="223">
        <f t="shared" ca="1" si="1"/>
        <v>245</v>
      </c>
      <c r="AD13" s="223">
        <f t="shared" ca="1" si="1"/>
        <v>275</v>
      </c>
      <c r="AE13" s="223">
        <f t="shared" ca="1" si="1"/>
        <v>306</v>
      </c>
      <c r="AF13" s="539">
        <f t="shared" ca="1" si="1"/>
        <v>336</v>
      </c>
      <c r="AG13" s="535"/>
    </row>
    <row r="14" spans="1:33" x14ac:dyDescent="0.2">
      <c r="A14" s="187" t="str">
        <f t="shared" ref="A14" ca="1" si="2">IF($M14&gt;1,_xlfn.CONCAT($I14," ",$J14),"")</f>
        <v/>
      </c>
      <c r="B14" s="186">
        <f t="shared" ref="B14" ca="1" si="3">OFFSET(B14,-3,0)+1</f>
        <v>1</v>
      </c>
      <c r="C14" s="186">
        <f ca="1">IF($R14&lt;&gt;2,0,IF($S14=0,1,IF(F15&gt;0,OFFSET(QCI!$M$13,SUBSTITUTE(F15,".",""),0),OFFSET(ORÇAMENTO!$AA$15,CRONO!$F14,0))/$S14))</f>
        <v>0</v>
      </c>
      <c r="D14" s="186">
        <f ca="1">IF($R14&lt;&gt;2,0,IF($S14=0,1,IF(F15&gt;0,OFFSET(QCI!$N$13,SUBSTITUTE(F15,".",""),0),OFFSET(ORÇAMENTO!$AB$15,CRONO!$F14,0))/$S14))</f>
        <v>0</v>
      </c>
      <c r="E14" s="189" cm="1">
        <f t="array" aca="1" ref="E14" ca="1">IF(AND($R14=2,ACOMPANHAMENTO="BM"),ROUND(E15,4),E16/$S14)</f>
        <v>0.62254255573377726</v>
      </c>
      <c r="F14" s="186">
        <f ca="1">IF(B14&lt;=ORÇAMENTO.MáximoListaCrono,MATCH(B14,ORÇAMENTO.ListaCrono,0),NA())</f>
        <v>1</v>
      </c>
      <c r="G14" s="186" t="str">
        <f t="shared" ref="G14" ca="1" si="4">IF(AND($F15&lt;&gt;-1,$S14&gt;0),"F","")</f>
        <v>F</v>
      </c>
      <c r="H14" s="190" t="str" cm="1">
        <f t="array" aca="1" ref="H14" ca="1">IF(OR(S14=0,S14=""),"Linha",IF(AND(OR(ACOMPANHAMENTO="PLE",$R14&lt;&gt;2),$F15=0),"Linha",ROUND(1-SUM(U14:AG14),4)))</f>
        <v>Linha</v>
      </c>
      <c r="I14" s="191" t="str">
        <f ca="1">IF($F15=0,OFFSET(ORÇAMENTO!O$15,$F14,0),IF($F15&lt;&gt;-1,OFFSET(QCI!$D$13,$F15,0),""))</f>
        <v>1.</v>
      </c>
      <c r="J14" s="192" t="str">
        <f ca="1">IF($F15=0,OFFSET(ORÇAMENTO!R$15,$F14,0),IF($F15&lt;&gt;-1,OFFSET(QCI!$G$13,$F15,0),""))</f>
        <v>REFORMA CASA DA CRIANÇA</v>
      </c>
      <c r="K14" s="192"/>
      <c r="L14" s="192"/>
      <c r="M14" s="193">
        <f ca="1">IF($F15=0,OFFSET(ORÇAMENTO!C$15,$F14,0),1)</f>
        <v>1</v>
      </c>
      <c r="N14" s="194">
        <f ca="1">IF($F15=-1,0,IF(N$13&lt;=$M14,IF(ISERROR(MATCH(N$13,OFFSET($M14,1,0,ROW($M$38)-ROW($M14)-1),0)),ROW($M$38)-ROW($M14)-1,MATCH(N$13,OFFSET($M14,1,0,ROW($M$38)-ROW($M14)-1),0)-1),0))</f>
        <v>23</v>
      </c>
      <c r="O14" s="194">
        <f ca="1">IF($F15=-1,0,IF(O$13&lt;=$M14,IF(ISERROR(MATCH(O$13,OFFSET($M14,1,0,ROW($M$38)-ROW($M14)-1),0)),ROW($M$38)-ROW($M14)-1,MATCH(O$13,OFFSET($M14,1,0,ROW($M$38)-ROW($M14)-1),0)-1),0))</f>
        <v>0</v>
      </c>
      <c r="P14" s="194">
        <f ca="1">IF($F15=-1,0,IF(P$13&lt;=$M14,IF(ISERROR(MATCH(P$13,OFFSET($M14,1,0,ROW($M$38)-ROW($M14)-1),0)),ROW($M$38)-ROW($M14)-1,MATCH(P$13,OFFSET($M14,1,0,ROW($M$38)-ROW($M14)-1),0)-1),0))</f>
        <v>0</v>
      </c>
      <c r="Q14" s="194">
        <f ca="1">IF($F15=-1,0,IF(Q$13&lt;=$M14,IF(ISERROR(MATCH(Q$13,OFFSET($M14,1,0,ROW($M$38)-ROW($M14)-1),0)),ROW($M$38)-ROW($M14)-1,MATCH(Q$13,OFFSET($M14,1,0,ROW($M$38)-ROW($M14)-1),0)-1),0))</f>
        <v>0</v>
      </c>
      <c r="R14" s="194">
        <f t="shared" ref="R14" ca="1" si="5">MIN(OFFSET(M14,0,1,,M14))</f>
        <v>23</v>
      </c>
      <c r="S14" s="195">
        <f ca="1">IF($F15=0,OFFSET(ORÇAMENTO!X$15,$F14,0),IF($F15&lt;&gt;-1,OFFSET(QCI!$O$13,$F15,0),""))</f>
        <v>290574.24</v>
      </c>
      <c r="T14" s="196" t="s">
        <v>786</v>
      </c>
      <c r="U14" s="189" cm="1">
        <f t="array" aca="1" ref="U14" ca="1">IF(AND($R14=2,ACOMPANHAMENTO="BM"),ROUND(U15,4),U16/$S14)</f>
        <v>0.62254255573377726</v>
      </c>
      <c r="V14" s="189" cm="1">
        <f t="array" aca="1" ref="V14" ca="1">IF(AND($R14=2,ACOMPANHAMENTO="BM"),ROUND(V15,4),V16/$S14)</f>
        <v>0.30124439110638301</v>
      </c>
      <c r="W14" s="189" cm="1">
        <f t="array" aca="1" ref="W14" ca="1">IF(AND($R14=2,ACOMPANHAMENTO="BM"),ROUND(W15,4),W16/$S14)</f>
        <v>6.3860960283334142E-2</v>
      </c>
      <c r="X14" s="189" cm="1">
        <f t="array" aca="1" ref="X14" ca="1">IF(AND($R14=2,ACOMPANHAMENTO="BM"),ROUND(X15,4),X16/$S14)</f>
        <v>1.2352092876505502E-2</v>
      </c>
      <c r="Y14" s="189" cm="1">
        <f t="array" aca="1" ref="Y14" ca="1">IF(AND($R14=2,ACOMPANHAMENTO="BM"),ROUND(Y15,4),Y16/$S14)</f>
        <v>0</v>
      </c>
      <c r="Z14" s="189" cm="1">
        <f t="array" aca="1" ref="Z14" ca="1">IF(AND($R14=2,ACOMPANHAMENTO="BM"),ROUND(Z15,4),Z16/$S14)</f>
        <v>0</v>
      </c>
      <c r="AA14" s="189" cm="1">
        <f t="array" aca="1" ref="AA14" ca="1">IF(AND($R14=2,ACOMPANHAMENTO="BM"),ROUND(AA15,4),AA16/$S14)</f>
        <v>0</v>
      </c>
      <c r="AB14" s="189" cm="1">
        <f t="array" aca="1" ref="AB14" ca="1">IF(AND($R14=2,ACOMPANHAMENTO="BM"),ROUND(AB15,4),AB16/$S14)</f>
        <v>0</v>
      </c>
      <c r="AC14" s="189" cm="1">
        <f t="array" aca="1" ref="AC14" ca="1">IF(AND($R14=2,ACOMPANHAMENTO="BM"),ROUND(AC15,4),AC16/$S14)</f>
        <v>0</v>
      </c>
      <c r="AD14" s="189" cm="1">
        <f t="array" aca="1" ref="AD14" ca="1">IF(AND($R14=2,ACOMPANHAMENTO="BM"),ROUND(AD15,4),AD16/$S14)</f>
        <v>0</v>
      </c>
      <c r="AE14" s="189" cm="1">
        <f t="array" aca="1" ref="AE14" ca="1">IF(AND($R14=2,ACOMPANHAMENTO="BM"),ROUND(AE15,4),AE16/$S14)</f>
        <v>0</v>
      </c>
      <c r="AF14" s="189" cm="1">
        <f t="array" aca="1" ref="AF14" ca="1">IF(AND($R14=2,ACOMPANHAMENTO="BM"),ROUND(AF15,4),AF16/$S14)</f>
        <v>0</v>
      </c>
      <c r="AG14" s="535"/>
    </row>
    <row r="15" spans="1:33" ht="12.75" hidden="1" customHeight="1" x14ac:dyDescent="0.2">
      <c r="E15" s="588"/>
      <c r="F15" s="186">
        <f ca="1">IF(ISERROR(F14),IF(1+COUNTIF($M$13:OFFSET(M14,-1,0),1)&lt;=MAX(QCI!$D$13:$D$24),1+COUNTIF($M$13:OFFSET(M14,-1,0),1),-1),0)</f>
        <v>0</v>
      </c>
      <c r="G15" s="186" t="str" cm="1">
        <f t="array" aca="1" ref="G15" ca="1">IF(ACOMPANHAMENTO="BM",OFFSET(G15,-1,0),"")</f>
        <v/>
      </c>
      <c r="H15" s="197" t="str" cm="1">
        <f t="array" aca="1" ref="H15" ca="1">IF(OR(S14=0,S14=""),"vazia",IF(AND(OR(ACOMPANHAMENTO="PLE",$R14&lt;&gt;2),$F15=0),"calculada","--&gt;"))</f>
        <v>calculada</v>
      </c>
      <c r="I15" s="198"/>
      <c r="J15" s="199" t="str">
        <f t="shared" ref="J15" ca="1" si="6">IF(AND(H14&lt;&gt;0,ISNUMBER(H14)),"PREENCHA ESTA LINHA --&gt;","")</f>
        <v/>
      </c>
      <c r="K15" s="199"/>
      <c r="L15" s="199"/>
      <c r="M15" s="200"/>
      <c r="N15" s="200"/>
      <c r="O15" s="200"/>
      <c r="P15" s="200"/>
      <c r="Q15" s="200"/>
      <c r="R15" s="200"/>
      <c r="S15" s="201"/>
      <c r="T15" s="202"/>
      <c r="U15" s="588"/>
      <c r="V15" s="588"/>
      <c r="W15" s="588"/>
      <c r="X15" s="588"/>
      <c r="Y15" s="588"/>
      <c r="Z15" s="588"/>
      <c r="AA15" s="588"/>
      <c r="AB15" s="588"/>
      <c r="AC15" s="588"/>
      <c r="AD15" s="588"/>
      <c r="AE15" s="588"/>
      <c r="AF15" s="588"/>
      <c r="AG15" s="535"/>
    </row>
    <row r="16" spans="1:33" ht="12.75" hidden="1" customHeight="1" x14ac:dyDescent="0.2">
      <c r="D16" s="534"/>
      <c r="E16" s="203" cm="1">
        <f t="array" aca="1" ref="E16" ca="1">IF($R14=2,
         IF(AND(ACOMPANHAMENTO="PLE",ISNUMBER($F14)),
                SUMIF((OFFSET(CÁLCULO!$AM$15:$AW$15,$F14,0,OFFSET(ORÇAMENTO!$D$15,CRONO!$F14,0))),CRONO!E$12,OFFSET(CÁLCULO!$AB$15:$AL$15,$F14,0,OFFSET(ORÇAMENTO!$D$15,CRONO!$F14,0)))
                +IF(AND($F16&lt;&gt;"",$F16&lt;&gt;0),
                        SUMIF(CÁLCULO!$AM$15:$AW$105,CRONO!E$12,CÁLCULO!$AB$15:$AL$105)/(ORÇAMENTO!$X$15-_xlfn.SINGLE(CÁLCULO.TotalAdmLocal))*CRONO!$F16,
                        0),
                 E15*$S14),
          SUMIF(OFFSET($S16,1,0,$R14-2),($M14+1)&amp;"$",OFFSET(E16,1,0,$R14-2)))</f>
        <v>180894.82999999996</v>
      </c>
      <c r="F16" s="186" t="str">
        <f ca="1">IF(OR($R14&lt;&gt;2,AUTOEVENTO&lt;&gt;"manual",$F15&gt;0),"",
        IF(Import.TipoArredondamento="Tradicional",
              SUMIF(OFFSET(CÁLCULO!$M$15,CRONO!$F14,0,OFFSET(ORÇAMENTO!$D$15,CRONO!$F14,0)),1,OFFSET(ORÇAMENTO!$X$15,CRONO!$F14,0,OFFSET(ORÇAMENTO!$D$15,CRONO!$F14,0))),
              0))</f>
        <v/>
      </c>
      <c r="H16" s="204"/>
      <c r="S16" s="205" t="str">
        <f t="shared" ref="S16" ca="1" si="7">M14&amp;"$"</f>
        <v>1$</v>
      </c>
      <c r="T16" s="206"/>
      <c r="U16" s="203" cm="1">
        <f t="array" aca="1" ref="U16" ca="1">IF($R14=2,
         IF(AND(ACOMPANHAMENTO="PLE",ISNUMBER($F14)),
                SUMIF((OFFSET(CÁLCULO!$AM$15:$AW$15,$F14,0,OFFSET(ORÇAMENTO!$D$15,CRONO!$F14,0))),CRONO!U$12,OFFSET(CÁLCULO!$AB$15:$AL$15,$F14,0,OFFSET(ORÇAMENTO!$D$15,CRONO!$F14,0)))
                +IF(AND($F16&lt;&gt;"",$F16&lt;&gt;0),
                        SUMIF(CÁLCULO!$AM$15:$AW$105,CRONO!U$12,CÁLCULO!$AB$15:$AL$105)/(ORÇAMENTO!$X$15-_xlfn.SINGLE(CÁLCULO.TotalAdmLocal))*CRONO!$F16,
                        0),
                 U15*$S14),
          SUMIF(OFFSET($S16,1,0,$R14-2),($M14+1)&amp;"$",OFFSET(U16,1,0,$R14-2)))</f>
        <v>180894.82999999996</v>
      </c>
      <c r="V16" s="203" cm="1">
        <f t="array" aca="1" ref="V16" ca="1">IF($R14=2,
         IF(AND(ACOMPANHAMENTO="PLE",ISNUMBER($F14)),
                SUMIF((OFFSET(CÁLCULO!$AM$15:$AW$15,$F14,0,OFFSET(ORÇAMENTO!$D$15,CRONO!$F14,0))),CRONO!V$12,OFFSET(CÁLCULO!$AB$15:$AL$15,$F14,0,OFFSET(ORÇAMENTO!$D$15,CRONO!$F14,0)))
                +IF(AND($F16&lt;&gt;"",$F16&lt;&gt;0),
                        SUMIF(CÁLCULO!$AM$15:$AW$105,CRONO!V$12,CÁLCULO!$AB$15:$AL$105)/(ORÇAMENTO!$X$15-_xlfn.SINGLE(CÁLCULO.TotalAdmLocal))*CRONO!$F16,
                        0),
                 V15*$S14),
          SUMIF(OFFSET($S16,1,0,$R14-2),($M14+1)&amp;"$",OFFSET(V16,1,0,$R14-2)))</f>
        <v>87533.86</v>
      </c>
      <c r="W16" s="203" cm="1">
        <f t="array" aca="1" ref="W16" ca="1">IF($R14=2,
         IF(AND(ACOMPANHAMENTO="PLE",ISNUMBER($F14)),
                SUMIF((OFFSET(CÁLCULO!$AM$15:$AW$15,$F14,0,OFFSET(ORÇAMENTO!$D$15,CRONO!$F14,0))),CRONO!W$12,OFFSET(CÁLCULO!$AB$15:$AL$15,$F14,0,OFFSET(ORÇAMENTO!$D$15,CRONO!$F14,0)))
                +IF(AND($F16&lt;&gt;"",$F16&lt;&gt;0),
                        SUMIF(CÁLCULO!$AM$15:$AW$105,CRONO!W$12,CÁLCULO!$AB$15:$AL$105)/(ORÇAMENTO!$X$15-_xlfn.SINGLE(CÁLCULO.TotalAdmLocal))*CRONO!$F16,
                        0),
                 W15*$S14),
          SUMIF(OFFSET($S16,1,0,$R14-2),($M14+1)&amp;"$",OFFSET(W16,1,0,$R14-2)))</f>
        <v>18556.350000000002</v>
      </c>
      <c r="X16" s="203" cm="1">
        <f t="array" aca="1" ref="X16" ca="1">IF($R14=2,
         IF(AND(ACOMPANHAMENTO="PLE",ISNUMBER($F14)),
                SUMIF((OFFSET(CÁLCULO!$AM$15:$AW$15,$F14,0,OFFSET(ORÇAMENTO!$D$15,CRONO!$F14,0))),CRONO!X$12,OFFSET(CÁLCULO!$AB$15:$AL$15,$F14,0,OFFSET(ORÇAMENTO!$D$15,CRONO!$F14,0)))
                +IF(AND($F16&lt;&gt;"",$F16&lt;&gt;0),
                        SUMIF(CÁLCULO!$AM$15:$AW$105,CRONO!X$12,CÁLCULO!$AB$15:$AL$105)/(ORÇAMENTO!$X$15-_xlfn.SINGLE(CÁLCULO.TotalAdmLocal))*CRONO!$F16,
                        0),
                 X15*$S14),
          SUMIF(OFFSET($S16,1,0,$R14-2),($M14+1)&amp;"$",OFFSET(X16,1,0,$R14-2)))</f>
        <v>3589.2</v>
      </c>
      <c r="Y16" s="203" cm="1">
        <f t="array" aca="1" ref="Y16" ca="1">IF($R14=2,
         IF(AND(ACOMPANHAMENTO="PLE",ISNUMBER($F14)),
                SUMIF((OFFSET(CÁLCULO!$AM$15:$AW$15,$F14,0,OFFSET(ORÇAMENTO!$D$15,CRONO!$F14,0))),CRONO!Y$12,OFFSET(CÁLCULO!$AB$15:$AL$15,$F14,0,OFFSET(ORÇAMENTO!$D$15,CRONO!$F14,0)))
                +IF(AND($F16&lt;&gt;"",$F16&lt;&gt;0),
                        SUMIF(CÁLCULO!$AM$15:$AW$105,CRONO!Y$12,CÁLCULO!$AB$15:$AL$105)/(ORÇAMENTO!$X$15-_xlfn.SINGLE(CÁLCULO.TotalAdmLocal))*CRONO!$F16,
                        0),
                 Y15*$S14),
          SUMIF(OFFSET($S16,1,0,$R14-2),($M14+1)&amp;"$",OFFSET(Y16,1,0,$R14-2)))</f>
        <v>0</v>
      </c>
      <c r="Z16" s="203" cm="1">
        <f t="array" aca="1" ref="Z16" ca="1">IF($R14=2,
         IF(AND(ACOMPANHAMENTO="PLE",ISNUMBER($F14)),
                SUMIF((OFFSET(CÁLCULO!$AM$15:$AW$15,$F14,0,OFFSET(ORÇAMENTO!$D$15,CRONO!$F14,0))),CRONO!Z$12,OFFSET(CÁLCULO!$AB$15:$AL$15,$F14,0,OFFSET(ORÇAMENTO!$D$15,CRONO!$F14,0)))
                +IF(AND($F16&lt;&gt;"",$F16&lt;&gt;0),
                        SUMIF(CÁLCULO!$AM$15:$AW$105,CRONO!Z$12,CÁLCULO!$AB$15:$AL$105)/(ORÇAMENTO!$X$15-_xlfn.SINGLE(CÁLCULO.TotalAdmLocal))*CRONO!$F16,
                        0),
                 Z15*$S14),
          SUMIF(OFFSET($S16,1,0,$R14-2),($M14+1)&amp;"$",OFFSET(Z16,1,0,$R14-2)))</f>
        <v>0</v>
      </c>
      <c r="AA16" s="203" cm="1">
        <f t="array" aca="1" ref="AA16" ca="1">IF($R14=2,
         IF(AND(ACOMPANHAMENTO="PLE",ISNUMBER($F14)),
                SUMIF((OFFSET(CÁLCULO!$AM$15:$AW$15,$F14,0,OFFSET(ORÇAMENTO!$D$15,CRONO!$F14,0))),CRONO!AA$12,OFFSET(CÁLCULO!$AB$15:$AL$15,$F14,0,OFFSET(ORÇAMENTO!$D$15,CRONO!$F14,0)))
                +IF(AND($F16&lt;&gt;"",$F16&lt;&gt;0),
                        SUMIF(CÁLCULO!$AM$15:$AW$105,CRONO!AA$12,CÁLCULO!$AB$15:$AL$105)/(ORÇAMENTO!$X$15-_xlfn.SINGLE(CÁLCULO.TotalAdmLocal))*CRONO!$F16,
                        0),
                 AA15*$S14),
          SUMIF(OFFSET($S16,1,0,$R14-2),($M14+1)&amp;"$",OFFSET(AA16,1,0,$R14-2)))</f>
        <v>0</v>
      </c>
      <c r="AB16" s="203" cm="1">
        <f t="array" aca="1" ref="AB16" ca="1">IF($R14=2,
         IF(AND(ACOMPANHAMENTO="PLE",ISNUMBER($F14)),
                SUMIF((OFFSET(CÁLCULO!$AM$15:$AW$15,$F14,0,OFFSET(ORÇAMENTO!$D$15,CRONO!$F14,0))),CRONO!AB$12,OFFSET(CÁLCULO!$AB$15:$AL$15,$F14,0,OFFSET(ORÇAMENTO!$D$15,CRONO!$F14,0)))
                +IF(AND($F16&lt;&gt;"",$F16&lt;&gt;0),
                        SUMIF(CÁLCULO!$AM$15:$AW$105,CRONO!AB$12,CÁLCULO!$AB$15:$AL$105)/(ORÇAMENTO!$X$15-_xlfn.SINGLE(CÁLCULO.TotalAdmLocal))*CRONO!$F16,
                        0),
                 AB15*$S14),
          SUMIF(OFFSET($S16,1,0,$R14-2),($M14+1)&amp;"$",OFFSET(AB16,1,0,$R14-2)))</f>
        <v>0</v>
      </c>
      <c r="AC16" s="203" cm="1">
        <f t="array" aca="1" ref="AC16" ca="1">IF($R14=2,
         IF(AND(ACOMPANHAMENTO="PLE",ISNUMBER($F14)),
                SUMIF((OFFSET(CÁLCULO!$AM$15:$AW$15,$F14,0,OFFSET(ORÇAMENTO!$D$15,CRONO!$F14,0))),CRONO!AC$12,OFFSET(CÁLCULO!$AB$15:$AL$15,$F14,0,OFFSET(ORÇAMENTO!$D$15,CRONO!$F14,0)))
                +IF(AND($F16&lt;&gt;"",$F16&lt;&gt;0),
                        SUMIF(CÁLCULO!$AM$15:$AW$105,CRONO!AC$12,CÁLCULO!$AB$15:$AL$105)/(ORÇAMENTO!$X$15-_xlfn.SINGLE(CÁLCULO.TotalAdmLocal))*CRONO!$F16,
                        0),
                 AC15*$S14),
          SUMIF(OFFSET($S16,1,0,$R14-2),($M14+1)&amp;"$",OFFSET(AC16,1,0,$R14-2)))</f>
        <v>0</v>
      </c>
      <c r="AD16" s="203" cm="1">
        <f t="array" aca="1" ref="AD16" ca="1">IF($R14=2,
         IF(AND(ACOMPANHAMENTO="PLE",ISNUMBER($F14)),
                SUMIF((OFFSET(CÁLCULO!$AM$15:$AW$15,$F14,0,OFFSET(ORÇAMENTO!$D$15,CRONO!$F14,0))),CRONO!AD$12,OFFSET(CÁLCULO!$AB$15:$AL$15,$F14,0,OFFSET(ORÇAMENTO!$D$15,CRONO!$F14,0)))
                +IF(AND($F16&lt;&gt;"",$F16&lt;&gt;0),
                        SUMIF(CÁLCULO!$AM$15:$AW$105,CRONO!AD$12,CÁLCULO!$AB$15:$AL$105)/(ORÇAMENTO!$X$15-_xlfn.SINGLE(CÁLCULO.TotalAdmLocal))*CRONO!$F16,
                        0),
                 AD15*$S14),
          SUMIF(OFFSET($S16,1,0,$R14-2),($M14+1)&amp;"$",OFFSET(AD16,1,0,$R14-2)))</f>
        <v>0</v>
      </c>
      <c r="AE16" s="203" cm="1">
        <f t="array" aca="1" ref="AE16" ca="1">IF($R14=2,
         IF(AND(ACOMPANHAMENTO="PLE",ISNUMBER($F14)),
                SUMIF((OFFSET(CÁLCULO!$AM$15:$AW$15,$F14,0,OFFSET(ORÇAMENTO!$D$15,CRONO!$F14,0))),CRONO!AE$12,OFFSET(CÁLCULO!$AB$15:$AL$15,$F14,0,OFFSET(ORÇAMENTO!$D$15,CRONO!$F14,0)))
                +IF(AND($F16&lt;&gt;"",$F16&lt;&gt;0),
                        SUMIF(CÁLCULO!$AM$15:$AW$105,CRONO!AE$12,CÁLCULO!$AB$15:$AL$105)/(ORÇAMENTO!$X$15-_xlfn.SINGLE(CÁLCULO.TotalAdmLocal))*CRONO!$F16,
                        0),
                 AE15*$S14),
          SUMIF(OFFSET($S16,1,0,$R14-2),($M14+1)&amp;"$",OFFSET(AE16,1,0,$R14-2)))</f>
        <v>0</v>
      </c>
      <c r="AF16" s="203" cm="1">
        <f t="array" aca="1" ref="AF16" ca="1">IF($R14=2,
         IF(AND(ACOMPANHAMENTO="PLE",ISNUMBER($F14)),
                SUMIF((OFFSET(CÁLCULO!$AM$15:$AW$15,$F14,0,OFFSET(ORÇAMENTO!$D$15,CRONO!$F14,0))),CRONO!AF$12,OFFSET(CÁLCULO!$AB$15:$AL$15,$F14,0,OFFSET(ORÇAMENTO!$D$15,CRONO!$F14,0)))
                +IF(AND($F16&lt;&gt;"",$F16&lt;&gt;0),
                        SUMIF(CÁLCULO!$AM$15:$AW$105,CRONO!AF$12,CÁLCULO!$AB$15:$AL$105)/(ORÇAMENTO!$X$15-_xlfn.SINGLE(CÁLCULO.TotalAdmLocal))*CRONO!$F16,
                        0),
                 AF15*$S14),
          SUMIF(OFFSET($S16,1,0,$R14-2),($M14+1)&amp;"$",OFFSET(AF16,1,0,$R14-2)))</f>
        <v>0</v>
      </c>
      <c r="AG16" s="535"/>
    </row>
    <row r="17" spans="1:33" x14ac:dyDescent="0.2">
      <c r="A17" s="187" t="str">
        <f t="shared" ref="A17" ca="1" si="8">IF($M17&gt;1,_xlfn.CONCAT($I17," ",$J17),"")</f>
        <v>1.1. TROCA DE ESQUADRIAS</v>
      </c>
      <c r="B17" s="186">
        <f t="shared" ref="B17" ca="1" si="9">OFFSET(B17,-3,0)+1</f>
        <v>2</v>
      </c>
      <c r="C17" s="186">
        <f ca="1">IF($R17&lt;&gt;2,0,IF($S17=0,1,IF(F18&gt;0,OFFSET(QCI!$M$13,SUBSTITUTE(F18,".",""),0),OFFSET(ORÇAMENTO!$AA$15,CRONO!$F17,0))/$S17))</f>
        <v>1</v>
      </c>
      <c r="D17" s="186">
        <f ca="1">IF($R17&lt;&gt;2,0,IF($S17=0,1,IF(F18&gt;0,OFFSET(QCI!$N$13,SUBSTITUTE(F18,".",""),0),OFFSET(ORÇAMENTO!$AB$15,CRONO!$F17,0))/$S17))</f>
        <v>0</v>
      </c>
      <c r="E17" s="189" cm="1">
        <f t="array" aca="1" ref="E17" ca="1">IF(AND($R17=2,ACOMPANHAMENTO="BM"),ROUND(E18,4),E19/$S17)</f>
        <v>0</v>
      </c>
      <c r="F17" s="186">
        <f ca="1">IF(B17&lt;=ORÇAMENTO.MáximoListaCrono,MATCH(B17,ORÇAMENTO.ListaCrono,0),NA())</f>
        <v>2</v>
      </c>
      <c r="G17" s="186" t="str">
        <f t="shared" ref="G17" ca="1" si="10">IF(AND($F18&lt;&gt;-1,$S17&gt;0),"F","")</f>
        <v>F</v>
      </c>
      <c r="H17" s="190" t="str" cm="1">
        <f t="array" aca="1" ref="H17" ca="1">IF(OR(S17=0,S17=""),"Linha",IF(AND(OR(ACOMPANHAMENTO="PLE",$R17&lt;&gt;2),$F18=0),"Linha",ROUND(1-SUM(U17:AG17),4)))</f>
        <v>Linha</v>
      </c>
      <c r="I17" s="191" t="str">
        <f ca="1">IF($F18=0,OFFSET(ORÇAMENTO!O$15,$F17,0),IF($F18&lt;&gt;-1,OFFSET(QCI!$D$13,$F18,0),""))</f>
        <v>1.1.</v>
      </c>
      <c r="J17" s="192" t="str">
        <f ca="1">IF($F18=0,OFFSET(ORÇAMENTO!R$15,$F17,0),IF($F18&lt;&gt;-1,OFFSET(QCI!$G$13,$F18,0),""))</f>
        <v>TROCA DE ESQUADRIAS</v>
      </c>
      <c r="K17" s="192"/>
      <c r="L17" s="192"/>
      <c r="M17" s="193">
        <f ca="1">IF($F18=0,OFFSET(ORÇAMENTO!C$15,$F17,0),1)</f>
        <v>2</v>
      </c>
      <c r="N17" s="194">
        <f ca="1">IF($F18=-1,0,IF(N$13&lt;=$M17,IF(ISERROR(MATCH(N$13,OFFSET($M17,1,0,ROW($M$38)-ROW($M17)-1),0)),ROW($M$38)-ROW($M17)-1,MATCH(N$13,OFFSET($M17,1,0,ROW($M$38)-ROW($M17)-1),0)-1),0))</f>
        <v>20</v>
      </c>
      <c r="O17" s="194">
        <f ca="1">IF($F18=-1,0,IF(O$13&lt;=$M17,IF(ISERROR(MATCH(O$13,OFFSET($M17,1,0,ROW($M$38)-ROW($M17)-1),0)),ROW($M$38)-ROW($M17)-1,MATCH(O$13,OFFSET($M17,1,0,ROW($M$38)-ROW($M17)-1),0)-1),0))</f>
        <v>2</v>
      </c>
      <c r="P17" s="194">
        <f ca="1">IF($F18=-1,0,IF(P$13&lt;=$M17,IF(ISERROR(MATCH(P$13,OFFSET($M17,1,0,ROW($M$38)-ROW($M17)-1),0)),ROW($M$38)-ROW($M17)-1,MATCH(P$13,OFFSET($M17,1,0,ROW($M$38)-ROW($M17)-1),0)-1),0))</f>
        <v>0</v>
      </c>
      <c r="Q17" s="194">
        <f ca="1">IF($F18=-1,0,IF(Q$13&lt;=$M17,IF(ISERROR(MATCH(Q$13,OFFSET($M17,1,0,ROW($M$38)-ROW($M17)-1),0)),ROW($M$38)-ROW($M17)-1,MATCH(Q$13,OFFSET($M17,1,0,ROW($M$38)-ROW($M17)-1),0)-1),0))</f>
        <v>0</v>
      </c>
      <c r="R17" s="194">
        <f t="shared" ref="R17" ca="1" si="11">MIN(OFFSET(M17,0,1,,M17))</f>
        <v>2</v>
      </c>
      <c r="S17" s="195">
        <f ca="1">IF($F18=0,OFFSET(ORÇAMENTO!X$15,$F17,0),IF($F18&lt;&gt;-1,OFFSET(QCI!$O$13,$F18,0),""))</f>
        <v>87533.86</v>
      </c>
      <c r="T17" s="196" t="s">
        <v>786</v>
      </c>
      <c r="U17" s="189" cm="1">
        <f t="array" aca="1" ref="U17" ca="1">IF(AND($R17=2,ACOMPANHAMENTO="BM"),ROUND(U18,4),U19/$S17)</f>
        <v>0</v>
      </c>
      <c r="V17" s="189" cm="1">
        <f t="array" aca="1" ref="V17" ca="1">IF(AND($R17=2,ACOMPANHAMENTO="BM"),ROUND(V18,4),V19/$S17)</f>
        <v>1</v>
      </c>
      <c r="W17" s="189" cm="1">
        <f t="array" aca="1" ref="W17" ca="1">IF(AND($R17=2,ACOMPANHAMENTO="BM"),ROUND(W18,4),W19/$S17)</f>
        <v>0</v>
      </c>
      <c r="X17" s="189" cm="1">
        <f t="array" aca="1" ref="X17" ca="1">IF(AND($R17=2,ACOMPANHAMENTO="BM"),ROUND(X18,4),X19/$S17)</f>
        <v>0</v>
      </c>
      <c r="Y17" s="189" cm="1">
        <f t="array" aca="1" ref="Y17" ca="1">IF(AND($R17=2,ACOMPANHAMENTO="BM"),ROUND(Y18,4),Y19/$S17)</f>
        <v>0</v>
      </c>
      <c r="Z17" s="189" cm="1">
        <f t="array" aca="1" ref="Z17" ca="1">IF(AND($R17=2,ACOMPANHAMENTO="BM"),ROUND(Z18,4),Z19/$S17)</f>
        <v>0</v>
      </c>
      <c r="AA17" s="189" cm="1">
        <f t="array" aca="1" ref="AA17" ca="1">IF(AND($R17=2,ACOMPANHAMENTO="BM"),ROUND(AA18,4),AA19/$S17)</f>
        <v>0</v>
      </c>
      <c r="AB17" s="189" cm="1">
        <f t="array" aca="1" ref="AB17" ca="1">IF(AND($R17=2,ACOMPANHAMENTO="BM"),ROUND(AB18,4),AB19/$S17)</f>
        <v>0</v>
      </c>
      <c r="AC17" s="189" cm="1">
        <f t="array" aca="1" ref="AC17" ca="1">IF(AND($R17=2,ACOMPANHAMENTO="BM"),ROUND(AC18,4),AC19/$S17)</f>
        <v>0</v>
      </c>
      <c r="AD17" s="189" cm="1">
        <f t="array" aca="1" ref="AD17" ca="1">IF(AND($R17=2,ACOMPANHAMENTO="BM"),ROUND(AD18,4),AD19/$S17)</f>
        <v>0</v>
      </c>
      <c r="AE17" s="189" cm="1">
        <f t="array" aca="1" ref="AE17" ca="1">IF(AND($R17=2,ACOMPANHAMENTO="BM"),ROUND(AE18,4),AE19/$S17)</f>
        <v>0</v>
      </c>
      <c r="AF17" s="189" cm="1">
        <f t="array" aca="1" ref="AF17" ca="1">IF(AND($R17=2,ACOMPANHAMENTO="BM"),ROUND(AF18,4),AF19/$S17)</f>
        <v>0</v>
      </c>
      <c r="AG17" s="535"/>
    </row>
    <row r="18" spans="1:33" ht="12.75" hidden="1" customHeight="1" x14ac:dyDescent="0.2">
      <c r="E18" s="588"/>
      <c r="F18" s="186">
        <f ca="1">IF(ISERROR(F17),IF(1+COUNTIF($M$13:OFFSET(M17,-1,0),1)&lt;=MAX(QCI!$D$13:$D$24),1+COUNTIF($M$13:OFFSET(M17,-1,0),1),-1),0)</f>
        <v>0</v>
      </c>
      <c r="G18" s="186" t="str" cm="1">
        <f t="array" aca="1" ref="G18" ca="1">IF(ACOMPANHAMENTO="BM",OFFSET(G18,-1,0),"")</f>
        <v/>
      </c>
      <c r="H18" s="197" t="str" cm="1">
        <f t="array" aca="1" ref="H18" ca="1">IF(OR(S17=0,S17=""),"vazia",IF(AND(OR(ACOMPANHAMENTO="PLE",$R17&lt;&gt;2),$F18=0),"calculada","--&gt;"))</f>
        <v>calculada</v>
      </c>
      <c r="I18" s="198"/>
      <c r="J18" s="199" t="str">
        <f t="shared" ref="J18" ca="1" si="12">IF(AND(H17&lt;&gt;0,ISNUMBER(H17)),"PREENCHA ESTA LINHA --&gt;","")</f>
        <v/>
      </c>
      <c r="K18" s="199"/>
      <c r="L18" s="199"/>
      <c r="M18" s="200"/>
      <c r="N18" s="200"/>
      <c r="O18" s="200"/>
      <c r="P18" s="200"/>
      <c r="Q18" s="200"/>
      <c r="R18" s="200"/>
      <c r="S18" s="201"/>
      <c r="T18" s="202"/>
      <c r="U18" s="588"/>
      <c r="V18" s="588"/>
      <c r="W18" s="588"/>
      <c r="X18" s="588"/>
      <c r="Y18" s="588"/>
      <c r="Z18" s="588"/>
      <c r="AA18" s="588"/>
      <c r="AB18" s="588"/>
      <c r="AC18" s="588"/>
      <c r="AD18" s="588"/>
      <c r="AE18" s="588"/>
      <c r="AF18" s="588"/>
      <c r="AG18" s="535"/>
    </row>
    <row r="19" spans="1:33" ht="12.75" hidden="1" customHeight="1" x14ac:dyDescent="0.2">
      <c r="D19" s="534"/>
      <c r="E19" s="203" cm="1">
        <f t="array" aca="1" ref="E19" ca="1">IF($R17=2,
         IF(AND(ACOMPANHAMENTO="PLE",ISNUMBER($F17)),
                SUMIF((OFFSET(CÁLCULO!$AM$15:$AW$15,$F17,0,OFFSET(ORÇAMENTO!$D$15,CRONO!$F17,0))),CRONO!E$12,OFFSET(CÁLCULO!$AB$15:$AL$15,$F17,0,OFFSET(ORÇAMENTO!$D$15,CRONO!$F17,0)))
                +IF(AND($F19&lt;&gt;"",$F19&lt;&gt;0),
                        SUMIF(CÁLCULO!$AM$15:$AW$105,CRONO!E$12,CÁLCULO!$AB$15:$AL$105)/(ORÇAMENTO!$X$15-_xlfn.SINGLE(CÁLCULO.TotalAdmLocal))*CRONO!$F19,
                        0),
                 E18*$S17),
          SUMIF(OFFSET($S19,1,0,$R17-2),($M17+1)&amp;"$",OFFSET(E19,1,0,$R17-2)))</f>
        <v>0</v>
      </c>
      <c r="F19" s="186" t="str">
        <f ca="1">IF(OR($R17&lt;&gt;2,AUTOEVENTO&lt;&gt;"manual",$F18&gt;0),"",
        IF(Import.TipoArredondamento="Tradicional",
              SUMIF(OFFSET(CÁLCULO!$M$15,CRONO!$F17,0,OFFSET(ORÇAMENTO!$D$15,CRONO!$F17,0)),1,OFFSET(ORÇAMENTO!$X$15,CRONO!$F17,0,OFFSET(ORÇAMENTO!$D$15,CRONO!$F17,0))),
              0))</f>
        <v/>
      </c>
      <c r="H19" s="204"/>
      <c r="S19" s="205" t="str">
        <f t="shared" ref="S19" ca="1" si="13">M17&amp;"$"</f>
        <v>2$</v>
      </c>
      <c r="T19" s="206"/>
      <c r="U19" s="203" cm="1">
        <f t="array" aca="1" ref="U19" ca="1">IF($R17=2,
         IF(AND(ACOMPANHAMENTO="PLE",ISNUMBER($F17)),
                SUMIF((OFFSET(CÁLCULO!$AM$15:$AW$15,$F17,0,OFFSET(ORÇAMENTO!$D$15,CRONO!$F17,0))),CRONO!U$12,OFFSET(CÁLCULO!$AB$15:$AL$15,$F17,0,OFFSET(ORÇAMENTO!$D$15,CRONO!$F17,0)))
                +IF(AND($F19&lt;&gt;"",$F19&lt;&gt;0),
                        SUMIF(CÁLCULO!$AM$15:$AW$105,CRONO!U$12,CÁLCULO!$AB$15:$AL$105)/(ORÇAMENTO!$X$15-_xlfn.SINGLE(CÁLCULO.TotalAdmLocal))*CRONO!$F19,
                        0),
                 U18*$S17),
          SUMIF(OFFSET($S19,1,0,$R17-2),($M17+1)&amp;"$",OFFSET(U19,1,0,$R17-2)))</f>
        <v>0</v>
      </c>
      <c r="V19" s="203" cm="1">
        <f t="array" aca="1" ref="V19" ca="1">IF($R17=2,
         IF(AND(ACOMPANHAMENTO="PLE",ISNUMBER($F17)),
                SUMIF((OFFSET(CÁLCULO!$AM$15:$AW$15,$F17,0,OFFSET(ORÇAMENTO!$D$15,CRONO!$F17,0))),CRONO!V$12,OFFSET(CÁLCULO!$AB$15:$AL$15,$F17,0,OFFSET(ORÇAMENTO!$D$15,CRONO!$F17,0)))
                +IF(AND($F19&lt;&gt;"",$F19&lt;&gt;0),
                        SUMIF(CÁLCULO!$AM$15:$AW$105,CRONO!V$12,CÁLCULO!$AB$15:$AL$105)/(ORÇAMENTO!$X$15-_xlfn.SINGLE(CÁLCULO.TotalAdmLocal))*CRONO!$F19,
                        0),
                 V18*$S17),
          SUMIF(OFFSET($S19,1,0,$R17-2),($M17+1)&amp;"$",OFFSET(V19,1,0,$R17-2)))</f>
        <v>87533.86</v>
      </c>
      <c r="W19" s="203" cm="1">
        <f t="array" aca="1" ref="W19" ca="1">IF($R17=2,
         IF(AND(ACOMPANHAMENTO="PLE",ISNUMBER($F17)),
                SUMIF((OFFSET(CÁLCULO!$AM$15:$AW$15,$F17,0,OFFSET(ORÇAMENTO!$D$15,CRONO!$F17,0))),CRONO!W$12,OFFSET(CÁLCULO!$AB$15:$AL$15,$F17,0,OFFSET(ORÇAMENTO!$D$15,CRONO!$F17,0)))
                +IF(AND($F19&lt;&gt;"",$F19&lt;&gt;0),
                        SUMIF(CÁLCULO!$AM$15:$AW$105,CRONO!W$12,CÁLCULO!$AB$15:$AL$105)/(ORÇAMENTO!$X$15-_xlfn.SINGLE(CÁLCULO.TotalAdmLocal))*CRONO!$F19,
                        0),
                 W18*$S17),
          SUMIF(OFFSET($S19,1,0,$R17-2),($M17+1)&amp;"$",OFFSET(W19,1,0,$R17-2)))</f>
        <v>0</v>
      </c>
      <c r="X19" s="203" cm="1">
        <f t="array" aca="1" ref="X19" ca="1">IF($R17=2,
         IF(AND(ACOMPANHAMENTO="PLE",ISNUMBER($F17)),
                SUMIF((OFFSET(CÁLCULO!$AM$15:$AW$15,$F17,0,OFFSET(ORÇAMENTO!$D$15,CRONO!$F17,0))),CRONO!X$12,OFFSET(CÁLCULO!$AB$15:$AL$15,$F17,0,OFFSET(ORÇAMENTO!$D$15,CRONO!$F17,0)))
                +IF(AND($F19&lt;&gt;"",$F19&lt;&gt;0),
                        SUMIF(CÁLCULO!$AM$15:$AW$105,CRONO!X$12,CÁLCULO!$AB$15:$AL$105)/(ORÇAMENTO!$X$15-_xlfn.SINGLE(CÁLCULO.TotalAdmLocal))*CRONO!$F19,
                        0),
                 X18*$S17),
          SUMIF(OFFSET($S19,1,0,$R17-2),($M17+1)&amp;"$",OFFSET(X19,1,0,$R17-2)))</f>
        <v>0</v>
      </c>
      <c r="Y19" s="203" cm="1">
        <f t="array" aca="1" ref="Y19" ca="1">IF($R17=2,
         IF(AND(ACOMPANHAMENTO="PLE",ISNUMBER($F17)),
                SUMIF((OFFSET(CÁLCULO!$AM$15:$AW$15,$F17,0,OFFSET(ORÇAMENTO!$D$15,CRONO!$F17,0))),CRONO!Y$12,OFFSET(CÁLCULO!$AB$15:$AL$15,$F17,0,OFFSET(ORÇAMENTO!$D$15,CRONO!$F17,0)))
                +IF(AND($F19&lt;&gt;"",$F19&lt;&gt;0),
                        SUMIF(CÁLCULO!$AM$15:$AW$105,CRONO!Y$12,CÁLCULO!$AB$15:$AL$105)/(ORÇAMENTO!$X$15-_xlfn.SINGLE(CÁLCULO.TotalAdmLocal))*CRONO!$F19,
                        0),
                 Y18*$S17),
          SUMIF(OFFSET($S19,1,0,$R17-2),($M17+1)&amp;"$",OFFSET(Y19,1,0,$R17-2)))</f>
        <v>0</v>
      </c>
      <c r="Z19" s="203" cm="1">
        <f t="array" aca="1" ref="Z19" ca="1">IF($R17=2,
         IF(AND(ACOMPANHAMENTO="PLE",ISNUMBER($F17)),
                SUMIF((OFFSET(CÁLCULO!$AM$15:$AW$15,$F17,0,OFFSET(ORÇAMENTO!$D$15,CRONO!$F17,0))),CRONO!Z$12,OFFSET(CÁLCULO!$AB$15:$AL$15,$F17,0,OFFSET(ORÇAMENTO!$D$15,CRONO!$F17,0)))
                +IF(AND($F19&lt;&gt;"",$F19&lt;&gt;0),
                        SUMIF(CÁLCULO!$AM$15:$AW$105,CRONO!Z$12,CÁLCULO!$AB$15:$AL$105)/(ORÇAMENTO!$X$15-_xlfn.SINGLE(CÁLCULO.TotalAdmLocal))*CRONO!$F19,
                        0),
                 Z18*$S17),
          SUMIF(OFFSET($S19,1,0,$R17-2),($M17+1)&amp;"$",OFFSET(Z19,1,0,$R17-2)))</f>
        <v>0</v>
      </c>
      <c r="AA19" s="203" cm="1">
        <f t="array" aca="1" ref="AA19" ca="1">IF($R17=2,
         IF(AND(ACOMPANHAMENTO="PLE",ISNUMBER($F17)),
                SUMIF((OFFSET(CÁLCULO!$AM$15:$AW$15,$F17,0,OFFSET(ORÇAMENTO!$D$15,CRONO!$F17,0))),CRONO!AA$12,OFFSET(CÁLCULO!$AB$15:$AL$15,$F17,0,OFFSET(ORÇAMENTO!$D$15,CRONO!$F17,0)))
                +IF(AND($F19&lt;&gt;"",$F19&lt;&gt;0),
                        SUMIF(CÁLCULO!$AM$15:$AW$105,CRONO!AA$12,CÁLCULO!$AB$15:$AL$105)/(ORÇAMENTO!$X$15-_xlfn.SINGLE(CÁLCULO.TotalAdmLocal))*CRONO!$F19,
                        0),
                 AA18*$S17),
          SUMIF(OFFSET($S19,1,0,$R17-2),($M17+1)&amp;"$",OFFSET(AA19,1,0,$R17-2)))</f>
        <v>0</v>
      </c>
      <c r="AB19" s="203" cm="1">
        <f t="array" aca="1" ref="AB19" ca="1">IF($R17=2,
         IF(AND(ACOMPANHAMENTO="PLE",ISNUMBER($F17)),
                SUMIF((OFFSET(CÁLCULO!$AM$15:$AW$15,$F17,0,OFFSET(ORÇAMENTO!$D$15,CRONO!$F17,0))),CRONO!AB$12,OFFSET(CÁLCULO!$AB$15:$AL$15,$F17,0,OFFSET(ORÇAMENTO!$D$15,CRONO!$F17,0)))
                +IF(AND($F19&lt;&gt;"",$F19&lt;&gt;0),
                        SUMIF(CÁLCULO!$AM$15:$AW$105,CRONO!AB$12,CÁLCULO!$AB$15:$AL$105)/(ORÇAMENTO!$X$15-_xlfn.SINGLE(CÁLCULO.TotalAdmLocal))*CRONO!$F19,
                        0),
                 AB18*$S17),
          SUMIF(OFFSET($S19,1,0,$R17-2),($M17+1)&amp;"$",OFFSET(AB19,1,0,$R17-2)))</f>
        <v>0</v>
      </c>
      <c r="AC19" s="203" cm="1">
        <f t="array" aca="1" ref="AC19" ca="1">IF($R17=2,
         IF(AND(ACOMPANHAMENTO="PLE",ISNUMBER($F17)),
                SUMIF((OFFSET(CÁLCULO!$AM$15:$AW$15,$F17,0,OFFSET(ORÇAMENTO!$D$15,CRONO!$F17,0))),CRONO!AC$12,OFFSET(CÁLCULO!$AB$15:$AL$15,$F17,0,OFFSET(ORÇAMENTO!$D$15,CRONO!$F17,0)))
                +IF(AND($F19&lt;&gt;"",$F19&lt;&gt;0),
                        SUMIF(CÁLCULO!$AM$15:$AW$105,CRONO!AC$12,CÁLCULO!$AB$15:$AL$105)/(ORÇAMENTO!$X$15-_xlfn.SINGLE(CÁLCULO.TotalAdmLocal))*CRONO!$F19,
                        0),
                 AC18*$S17),
          SUMIF(OFFSET($S19,1,0,$R17-2),($M17+1)&amp;"$",OFFSET(AC19,1,0,$R17-2)))</f>
        <v>0</v>
      </c>
      <c r="AD19" s="203" cm="1">
        <f t="array" aca="1" ref="AD19" ca="1">IF($R17=2,
         IF(AND(ACOMPANHAMENTO="PLE",ISNUMBER($F17)),
                SUMIF((OFFSET(CÁLCULO!$AM$15:$AW$15,$F17,0,OFFSET(ORÇAMENTO!$D$15,CRONO!$F17,0))),CRONO!AD$12,OFFSET(CÁLCULO!$AB$15:$AL$15,$F17,0,OFFSET(ORÇAMENTO!$D$15,CRONO!$F17,0)))
                +IF(AND($F19&lt;&gt;"",$F19&lt;&gt;0),
                        SUMIF(CÁLCULO!$AM$15:$AW$105,CRONO!AD$12,CÁLCULO!$AB$15:$AL$105)/(ORÇAMENTO!$X$15-_xlfn.SINGLE(CÁLCULO.TotalAdmLocal))*CRONO!$F19,
                        0),
                 AD18*$S17),
          SUMIF(OFFSET($S19,1,0,$R17-2),($M17+1)&amp;"$",OFFSET(AD19,1,0,$R17-2)))</f>
        <v>0</v>
      </c>
      <c r="AE19" s="203" cm="1">
        <f t="array" aca="1" ref="AE19" ca="1">IF($R17=2,
         IF(AND(ACOMPANHAMENTO="PLE",ISNUMBER($F17)),
                SUMIF((OFFSET(CÁLCULO!$AM$15:$AW$15,$F17,0,OFFSET(ORÇAMENTO!$D$15,CRONO!$F17,0))),CRONO!AE$12,OFFSET(CÁLCULO!$AB$15:$AL$15,$F17,0,OFFSET(ORÇAMENTO!$D$15,CRONO!$F17,0)))
                +IF(AND($F19&lt;&gt;"",$F19&lt;&gt;0),
                        SUMIF(CÁLCULO!$AM$15:$AW$105,CRONO!AE$12,CÁLCULO!$AB$15:$AL$105)/(ORÇAMENTO!$X$15-_xlfn.SINGLE(CÁLCULO.TotalAdmLocal))*CRONO!$F19,
                        0),
                 AE18*$S17),
          SUMIF(OFFSET($S19,1,0,$R17-2),($M17+1)&amp;"$",OFFSET(AE19,1,0,$R17-2)))</f>
        <v>0</v>
      </c>
      <c r="AF19" s="203" cm="1">
        <f t="array" aca="1" ref="AF19" ca="1">IF($R17=2,
         IF(AND(ACOMPANHAMENTO="PLE",ISNUMBER($F17)),
                SUMIF((OFFSET(CÁLCULO!$AM$15:$AW$15,$F17,0,OFFSET(ORÇAMENTO!$D$15,CRONO!$F17,0))),CRONO!AF$12,OFFSET(CÁLCULO!$AB$15:$AL$15,$F17,0,OFFSET(ORÇAMENTO!$D$15,CRONO!$F17,0)))
                +IF(AND($F19&lt;&gt;"",$F19&lt;&gt;0),
                        SUMIF(CÁLCULO!$AM$15:$AW$105,CRONO!AF$12,CÁLCULO!$AB$15:$AL$105)/(ORÇAMENTO!$X$15-_xlfn.SINGLE(CÁLCULO.TotalAdmLocal))*CRONO!$F19,
                        0),
                 AF18*$S17),
          SUMIF(OFFSET($S19,1,0,$R17-2),($M17+1)&amp;"$",OFFSET(AF19,1,0,$R17-2)))</f>
        <v>0</v>
      </c>
      <c r="AG19" s="535"/>
    </row>
    <row r="20" spans="1:33" x14ac:dyDescent="0.2">
      <c r="A20" s="187" t="str">
        <f t="shared" ref="A20" ca="1" si="14">IF($M20&gt;1,_xlfn.CONCAT($I20," ",$J20),"")</f>
        <v xml:space="preserve">1.2. LIMPEZA E MANUTENÇÃO DE TELHADO </v>
      </c>
      <c r="B20" s="186">
        <f t="shared" ref="B20" ca="1" si="15">OFFSET(B20,-3,0)+1</f>
        <v>3</v>
      </c>
      <c r="C20" s="186">
        <f ca="1">IF($R20&lt;&gt;2,0,IF($S20=0,1,IF(F21&gt;0,OFFSET(QCI!$M$13,SUBSTITUTE(F21,".",""),0),OFFSET(ORÇAMENTO!$AA$15,CRONO!$F20,0))/$S20))</f>
        <v>1</v>
      </c>
      <c r="D20" s="186">
        <f ca="1">IF($R20&lt;&gt;2,0,IF($S20=0,1,IF(F21&gt;0,OFFSET(QCI!$N$13,SUBSTITUTE(F21,".",""),0),OFFSET(ORÇAMENTO!$AB$15,CRONO!$F20,0))/$S20))</f>
        <v>0</v>
      </c>
      <c r="E20" s="189" cm="1">
        <f t="array" aca="1" ref="E20" ca="1">IF(AND($R20=2,ACOMPANHAMENTO="BM"),ROUND(E21,4),E22/$S20)</f>
        <v>0</v>
      </c>
      <c r="F20" s="186">
        <f ca="1">IF(B20&lt;=ORÇAMENTO.MáximoListaCrono,MATCH(B20,ORÇAMENTO.ListaCrono,0),NA())</f>
        <v>15</v>
      </c>
      <c r="G20" s="186" t="str">
        <f t="shared" ref="G20" ca="1" si="16">IF(AND($F21&lt;&gt;-1,$S20&gt;0),"F","")</f>
        <v>F</v>
      </c>
      <c r="H20" s="190" t="str" cm="1">
        <f t="array" aca="1" ref="H20" ca="1">IF(OR(S20=0,S20=""),"Linha",IF(AND(OR(ACOMPANHAMENTO="PLE",$R20&lt;&gt;2),$F21=0),"Linha",ROUND(1-SUM(U20:AG20),4)))</f>
        <v>Linha</v>
      </c>
      <c r="I20" s="191" t="str">
        <f ca="1">IF($F21=0,OFFSET(ORÇAMENTO!O$15,$F20,0),IF($F21&lt;&gt;-1,OFFSET(QCI!$D$13,$F21,0),""))</f>
        <v>1.2.</v>
      </c>
      <c r="J20" s="192" t="str">
        <f ca="1">IF($F21=0,OFFSET(ORÇAMENTO!R$15,$F20,0),IF($F21&lt;&gt;-1,OFFSET(QCI!$G$13,$F21,0),""))</f>
        <v xml:space="preserve">LIMPEZA E MANUTENÇÃO DE TELHADO </v>
      </c>
      <c r="K20" s="192"/>
      <c r="L20" s="192"/>
      <c r="M20" s="193">
        <f ca="1">IF($F21=0,OFFSET(ORÇAMENTO!C$15,$F20,0),1)</f>
        <v>2</v>
      </c>
      <c r="N20" s="194">
        <f ca="1">IF($F21=-1,0,IF(N$13&lt;=$M20,IF(ISERROR(MATCH(N$13,OFFSET($M20,1,0,ROW($M$38)-ROW($M20)-1),0)),ROW($M$38)-ROW($M20)-1,MATCH(N$13,OFFSET($M20,1,0,ROW($M$38)-ROW($M20)-1),0)-1),0))</f>
        <v>17</v>
      </c>
      <c r="O20" s="194">
        <f ca="1">IF($F21=-1,0,IF(O$13&lt;=$M20,IF(ISERROR(MATCH(O$13,OFFSET($M20,1,0,ROW($M$38)-ROW($M20)-1),0)),ROW($M$38)-ROW($M20)-1,MATCH(O$13,OFFSET($M20,1,0,ROW($M$38)-ROW($M20)-1),0)-1),0))</f>
        <v>2</v>
      </c>
      <c r="P20" s="194">
        <f ca="1">IF($F21=-1,0,IF(P$13&lt;=$M20,IF(ISERROR(MATCH(P$13,OFFSET($M20,1,0,ROW($M$38)-ROW($M20)-1),0)),ROW($M$38)-ROW($M20)-1,MATCH(P$13,OFFSET($M20,1,0,ROW($M$38)-ROW($M20)-1),0)-1),0))</f>
        <v>0</v>
      </c>
      <c r="Q20" s="194">
        <f ca="1">IF($F21=-1,0,IF(Q$13&lt;=$M20,IF(ISERROR(MATCH(Q$13,OFFSET($M20,1,0,ROW($M$38)-ROW($M20)-1),0)),ROW($M$38)-ROW($M20)-1,MATCH(Q$13,OFFSET($M20,1,0,ROW($M$38)-ROW($M20)-1),0)-1),0))</f>
        <v>0</v>
      </c>
      <c r="R20" s="194">
        <f t="shared" ref="R20" ca="1" si="17">MIN(OFFSET(M20,0,1,,M20))</f>
        <v>2</v>
      </c>
      <c r="S20" s="195">
        <f ca="1">IF($F21=0,OFFSET(ORÇAMENTO!X$15,$F20,0),IF($F21&lt;&gt;-1,OFFSET(QCI!$O$13,$F21,0),""))</f>
        <v>3589.2</v>
      </c>
      <c r="T20" s="196" t="s">
        <v>786</v>
      </c>
      <c r="U20" s="189" cm="1">
        <f t="array" aca="1" ref="U20" ca="1">IF(AND($R20=2,ACOMPANHAMENTO="BM"),ROUND(U21,4),U22/$S20)</f>
        <v>0</v>
      </c>
      <c r="V20" s="189" cm="1">
        <f t="array" aca="1" ref="V20" ca="1">IF(AND($R20=2,ACOMPANHAMENTO="BM"),ROUND(V21,4),V22/$S20)</f>
        <v>0</v>
      </c>
      <c r="W20" s="189" cm="1">
        <f t="array" aca="1" ref="W20" ca="1">IF(AND($R20=2,ACOMPANHAMENTO="BM"),ROUND(W21,4),W22/$S20)</f>
        <v>0</v>
      </c>
      <c r="X20" s="189" cm="1">
        <f t="array" aca="1" ref="X20" ca="1">IF(AND($R20=2,ACOMPANHAMENTO="BM"),ROUND(X21,4),X22/$S20)</f>
        <v>1</v>
      </c>
      <c r="Y20" s="189" cm="1">
        <f t="array" aca="1" ref="Y20" ca="1">IF(AND($R20=2,ACOMPANHAMENTO="BM"),ROUND(Y21,4),Y22/$S20)</f>
        <v>0</v>
      </c>
      <c r="Z20" s="189" cm="1">
        <f t="array" aca="1" ref="Z20" ca="1">IF(AND($R20=2,ACOMPANHAMENTO="BM"),ROUND(Z21,4),Z22/$S20)</f>
        <v>0</v>
      </c>
      <c r="AA20" s="189" cm="1">
        <f t="array" aca="1" ref="AA20" ca="1">IF(AND($R20=2,ACOMPANHAMENTO="BM"),ROUND(AA21,4),AA22/$S20)</f>
        <v>0</v>
      </c>
      <c r="AB20" s="189" cm="1">
        <f t="array" aca="1" ref="AB20" ca="1">IF(AND($R20=2,ACOMPANHAMENTO="BM"),ROUND(AB21,4),AB22/$S20)</f>
        <v>0</v>
      </c>
      <c r="AC20" s="189" cm="1">
        <f t="array" aca="1" ref="AC20" ca="1">IF(AND($R20=2,ACOMPANHAMENTO="BM"),ROUND(AC21,4),AC22/$S20)</f>
        <v>0</v>
      </c>
      <c r="AD20" s="189" cm="1">
        <f t="array" aca="1" ref="AD20" ca="1">IF(AND($R20=2,ACOMPANHAMENTO="BM"),ROUND(AD21,4),AD22/$S20)</f>
        <v>0</v>
      </c>
      <c r="AE20" s="189" cm="1">
        <f t="array" aca="1" ref="AE20" ca="1">IF(AND($R20=2,ACOMPANHAMENTO="BM"),ROUND(AE21,4),AE22/$S20)</f>
        <v>0</v>
      </c>
      <c r="AF20" s="189" cm="1">
        <f t="array" aca="1" ref="AF20" ca="1">IF(AND($R20=2,ACOMPANHAMENTO="BM"),ROUND(AF21,4),AF22/$S20)</f>
        <v>0</v>
      </c>
      <c r="AG20" s="535"/>
    </row>
    <row r="21" spans="1:33" ht="12.75" hidden="1" customHeight="1" x14ac:dyDescent="0.2">
      <c r="E21" s="588"/>
      <c r="F21" s="186">
        <f ca="1">IF(ISERROR(F20),IF(1+COUNTIF($M$13:OFFSET(M20,-1,0),1)&lt;=MAX(QCI!$D$13:$D$24),1+COUNTIF($M$13:OFFSET(M20,-1,0),1),-1),0)</f>
        <v>0</v>
      </c>
      <c r="G21" s="186" t="str" cm="1">
        <f t="array" aca="1" ref="G21" ca="1">IF(ACOMPANHAMENTO="BM",OFFSET(G21,-1,0),"")</f>
        <v/>
      </c>
      <c r="H21" s="197" t="str" cm="1">
        <f t="array" aca="1" ref="H21" ca="1">IF(OR(S20=0,S20=""),"vazia",IF(AND(OR(ACOMPANHAMENTO="PLE",$R20&lt;&gt;2),$F21=0),"calculada","--&gt;"))</f>
        <v>calculada</v>
      </c>
      <c r="I21" s="198"/>
      <c r="J21" s="199" t="str">
        <f t="shared" ref="J21" ca="1" si="18">IF(AND(H20&lt;&gt;0,ISNUMBER(H20)),"PREENCHA ESTA LINHA --&gt;","")</f>
        <v/>
      </c>
      <c r="K21" s="199"/>
      <c r="L21" s="199"/>
      <c r="M21" s="200"/>
      <c r="N21" s="200"/>
      <c r="O21" s="200"/>
      <c r="P21" s="200"/>
      <c r="Q21" s="200"/>
      <c r="R21" s="200"/>
      <c r="S21" s="201"/>
      <c r="T21" s="202"/>
      <c r="U21" s="588"/>
      <c r="V21" s="588"/>
      <c r="W21" s="588"/>
      <c r="X21" s="588"/>
      <c r="Y21" s="588"/>
      <c r="Z21" s="588"/>
      <c r="AA21" s="588"/>
      <c r="AB21" s="588"/>
      <c r="AC21" s="588"/>
      <c r="AD21" s="588"/>
      <c r="AE21" s="588"/>
      <c r="AF21" s="588"/>
      <c r="AG21" s="535"/>
    </row>
    <row r="22" spans="1:33" ht="12.75" hidden="1" customHeight="1" x14ac:dyDescent="0.2">
      <c r="D22" s="534"/>
      <c r="E22" s="203" cm="1">
        <f t="array" aca="1" ref="E22" ca="1">IF($R20=2,
         IF(AND(ACOMPANHAMENTO="PLE",ISNUMBER($F20)),
                SUMIF((OFFSET(CÁLCULO!$AM$15:$AW$15,$F20,0,OFFSET(ORÇAMENTO!$D$15,CRONO!$F20,0))),CRONO!E$12,OFFSET(CÁLCULO!$AB$15:$AL$15,$F20,0,OFFSET(ORÇAMENTO!$D$15,CRONO!$F20,0)))
                +IF(AND($F22&lt;&gt;"",$F22&lt;&gt;0),
                        SUMIF(CÁLCULO!$AM$15:$AW$105,CRONO!E$12,CÁLCULO!$AB$15:$AL$105)/(ORÇAMENTO!$X$15-_xlfn.SINGLE(CÁLCULO.TotalAdmLocal))*CRONO!$F22,
                        0),
                 E21*$S20),
          SUMIF(OFFSET($S22,1,0,$R20-2),($M20+1)&amp;"$",OFFSET(E22,1,0,$R20-2)))</f>
        <v>0</v>
      </c>
      <c r="F22" s="186" t="str">
        <f ca="1">IF(OR($R20&lt;&gt;2,AUTOEVENTO&lt;&gt;"manual",$F21&gt;0),"",
        IF(Import.TipoArredondamento="Tradicional",
              SUMIF(OFFSET(CÁLCULO!$M$15,CRONO!$F20,0,OFFSET(ORÇAMENTO!$D$15,CRONO!$F20,0)),1,OFFSET(ORÇAMENTO!$X$15,CRONO!$F20,0,OFFSET(ORÇAMENTO!$D$15,CRONO!$F20,0))),
              0))</f>
        <v/>
      </c>
      <c r="H22" s="204"/>
      <c r="S22" s="205" t="str">
        <f t="shared" ref="S22" ca="1" si="19">M20&amp;"$"</f>
        <v>2$</v>
      </c>
      <c r="T22" s="206"/>
      <c r="U22" s="203" cm="1">
        <f t="array" aca="1" ref="U22" ca="1">IF($R20=2,
         IF(AND(ACOMPANHAMENTO="PLE",ISNUMBER($F20)),
                SUMIF((OFFSET(CÁLCULO!$AM$15:$AW$15,$F20,0,OFFSET(ORÇAMENTO!$D$15,CRONO!$F20,0))),CRONO!U$12,OFFSET(CÁLCULO!$AB$15:$AL$15,$F20,0,OFFSET(ORÇAMENTO!$D$15,CRONO!$F20,0)))
                +IF(AND($F22&lt;&gt;"",$F22&lt;&gt;0),
                        SUMIF(CÁLCULO!$AM$15:$AW$105,CRONO!U$12,CÁLCULO!$AB$15:$AL$105)/(ORÇAMENTO!$X$15-_xlfn.SINGLE(CÁLCULO.TotalAdmLocal))*CRONO!$F22,
                        0),
                 U21*$S20),
          SUMIF(OFFSET($S22,1,0,$R20-2),($M20+1)&amp;"$",OFFSET(U22,1,0,$R20-2)))</f>
        <v>0</v>
      </c>
      <c r="V22" s="203" cm="1">
        <f t="array" aca="1" ref="V22" ca="1">IF($R20=2,
         IF(AND(ACOMPANHAMENTO="PLE",ISNUMBER($F20)),
                SUMIF((OFFSET(CÁLCULO!$AM$15:$AW$15,$F20,0,OFFSET(ORÇAMENTO!$D$15,CRONO!$F20,0))),CRONO!V$12,OFFSET(CÁLCULO!$AB$15:$AL$15,$F20,0,OFFSET(ORÇAMENTO!$D$15,CRONO!$F20,0)))
                +IF(AND($F22&lt;&gt;"",$F22&lt;&gt;0),
                        SUMIF(CÁLCULO!$AM$15:$AW$105,CRONO!V$12,CÁLCULO!$AB$15:$AL$105)/(ORÇAMENTO!$X$15-_xlfn.SINGLE(CÁLCULO.TotalAdmLocal))*CRONO!$F22,
                        0),
                 V21*$S20),
          SUMIF(OFFSET($S22,1,0,$R20-2),($M20+1)&amp;"$",OFFSET(V22,1,0,$R20-2)))</f>
        <v>0</v>
      </c>
      <c r="W22" s="203" cm="1">
        <f t="array" aca="1" ref="W22" ca="1">IF($R20=2,
         IF(AND(ACOMPANHAMENTO="PLE",ISNUMBER($F20)),
                SUMIF((OFFSET(CÁLCULO!$AM$15:$AW$15,$F20,0,OFFSET(ORÇAMENTO!$D$15,CRONO!$F20,0))),CRONO!W$12,OFFSET(CÁLCULO!$AB$15:$AL$15,$F20,0,OFFSET(ORÇAMENTO!$D$15,CRONO!$F20,0)))
                +IF(AND($F22&lt;&gt;"",$F22&lt;&gt;0),
                        SUMIF(CÁLCULO!$AM$15:$AW$105,CRONO!W$12,CÁLCULO!$AB$15:$AL$105)/(ORÇAMENTO!$X$15-_xlfn.SINGLE(CÁLCULO.TotalAdmLocal))*CRONO!$F22,
                        0),
                 W21*$S20),
          SUMIF(OFFSET($S22,1,0,$R20-2),($M20+1)&amp;"$",OFFSET(W22,1,0,$R20-2)))</f>
        <v>0</v>
      </c>
      <c r="X22" s="203" cm="1">
        <f t="array" aca="1" ref="X22" ca="1">IF($R20=2,
         IF(AND(ACOMPANHAMENTO="PLE",ISNUMBER($F20)),
                SUMIF((OFFSET(CÁLCULO!$AM$15:$AW$15,$F20,0,OFFSET(ORÇAMENTO!$D$15,CRONO!$F20,0))),CRONO!X$12,OFFSET(CÁLCULO!$AB$15:$AL$15,$F20,0,OFFSET(ORÇAMENTO!$D$15,CRONO!$F20,0)))
                +IF(AND($F22&lt;&gt;"",$F22&lt;&gt;0),
                        SUMIF(CÁLCULO!$AM$15:$AW$105,CRONO!X$12,CÁLCULO!$AB$15:$AL$105)/(ORÇAMENTO!$X$15-_xlfn.SINGLE(CÁLCULO.TotalAdmLocal))*CRONO!$F22,
                        0),
                 X21*$S20),
          SUMIF(OFFSET($S22,1,0,$R20-2),($M20+1)&amp;"$",OFFSET(X22,1,0,$R20-2)))</f>
        <v>3589.2</v>
      </c>
      <c r="Y22" s="203" cm="1">
        <f t="array" aca="1" ref="Y22" ca="1">IF($R20=2,
         IF(AND(ACOMPANHAMENTO="PLE",ISNUMBER($F20)),
                SUMIF((OFFSET(CÁLCULO!$AM$15:$AW$15,$F20,0,OFFSET(ORÇAMENTO!$D$15,CRONO!$F20,0))),CRONO!Y$12,OFFSET(CÁLCULO!$AB$15:$AL$15,$F20,0,OFFSET(ORÇAMENTO!$D$15,CRONO!$F20,0)))
                +IF(AND($F22&lt;&gt;"",$F22&lt;&gt;0),
                        SUMIF(CÁLCULO!$AM$15:$AW$105,CRONO!Y$12,CÁLCULO!$AB$15:$AL$105)/(ORÇAMENTO!$X$15-_xlfn.SINGLE(CÁLCULO.TotalAdmLocal))*CRONO!$F22,
                        0),
                 Y21*$S20),
          SUMIF(OFFSET($S22,1,0,$R20-2),($M20+1)&amp;"$",OFFSET(Y22,1,0,$R20-2)))</f>
        <v>0</v>
      </c>
      <c r="Z22" s="203" cm="1">
        <f t="array" aca="1" ref="Z22" ca="1">IF($R20=2,
         IF(AND(ACOMPANHAMENTO="PLE",ISNUMBER($F20)),
                SUMIF((OFFSET(CÁLCULO!$AM$15:$AW$15,$F20,0,OFFSET(ORÇAMENTO!$D$15,CRONO!$F20,0))),CRONO!Z$12,OFFSET(CÁLCULO!$AB$15:$AL$15,$F20,0,OFFSET(ORÇAMENTO!$D$15,CRONO!$F20,0)))
                +IF(AND($F22&lt;&gt;"",$F22&lt;&gt;0),
                        SUMIF(CÁLCULO!$AM$15:$AW$105,CRONO!Z$12,CÁLCULO!$AB$15:$AL$105)/(ORÇAMENTO!$X$15-_xlfn.SINGLE(CÁLCULO.TotalAdmLocal))*CRONO!$F22,
                        0),
                 Z21*$S20),
          SUMIF(OFFSET($S22,1,0,$R20-2),($M20+1)&amp;"$",OFFSET(Z22,1,0,$R20-2)))</f>
        <v>0</v>
      </c>
      <c r="AA22" s="203" cm="1">
        <f t="array" aca="1" ref="AA22" ca="1">IF($R20=2,
         IF(AND(ACOMPANHAMENTO="PLE",ISNUMBER($F20)),
                SUMIF((OFFSET(CÁLCULO!$AM$15:$AW$15,$F20,0,OFFSET(ORÇAMENTO!$D$15,CRONO!$F20,0))),CRONO!AA$12,OFFSET(CÁLCULO!$AB$15:$AL$15,$F20,0,OFFSET(ORÇAMENTO!$D$15,CRONO!$F20,0)))
                +IF(AND($F22&lt;&gt;"",$F22&lt;&gt;0),
                        SUMIF(CÁLCULO!$AM$15:$AW$105,CRONO!AA$12,CÁLCULO!$AB$15:$AL$105)/(ORÇAMENTO!$X$15-_xlfn.SINGLE(CÁLCULO.TotalAdmLocal))*CRONO!$F22,
                        0),
                 AA21*$S20),
          SUMIF(OFFSET($S22,1,0,$R20-2),($M20+1)&amp;"$",OFFSET(AA22,1,0,$R20-2)))</f>
        <v>0</v>
      </c>
      <c r="AB22" s="203" cm="1">
        <f t="array" aca="1" ref="AB22" ca="1">IF($R20=2,
         IF(AND(ACOMPANHAMENTO="PLE",ISNUMBER($F20)),
                SUMIF((OFFSET(CÁLCULO!$AM$15:$AW$15,$F20,0,OFFSET(ORÇAMENTO!$D$15,CRONO!$F20,0))),CRONO!AB$12,OFFSET(CÁLCULO!$AB$15:$AL$15,$F20,0,OFFSET(ORÇAMENTO!$D$15,CRONO!$F20,0)))
                +IF(AND($F22&lt;&gt;"",$F22&lt;&gt;0),
                        SUMIF(CÁLCULO!$AM$15:$AW$105,CRONO!AB$12,CÁLCULO!$AB$15:$AL$105)/(ORÇAMENTO!$X$15-_xlfn.SINGLE(CÁLCULO.TotalAdmLocal))*CRONO!$F22,
                        0),
                 AB21*$S20),
          SUMIF(OFFSET($S22,1,0,$R20-2),($M20+1)&amp;"$",OFFSET(AB22,1,0,$R20-2)))</f>
        <v>0</v>
      </c>
      <c r="AC22" s="203" cm="1">
        <f t="array" aca="1" ref="AC22" ca="1">IF($R20=2,
         IF(AND(ACOMPANHAMENTO="PLE",ISNUMBER($F20)),
                SUMIF((OFFSET(CÁLCULO!$AM$15:$AW$15,$F20,0,OFFSET(ORÇAMENTO!$D$15,CRONO!$F20,0))),CRONO!AC$12,OFFSET(CÁLCULO!$AB$15:$AL$15,$F20,0,OFFSET(ORÇAMENTO!$D$15,CRONO!$F20,0)))
                +IF(AND($F22&lt;&gt;"",$F22&lt;&gt;0),
                        SUMIF(CÁLCULO!$AM$15:$AW$105,CRONO!AC$12,CÁLCULO!$AB$15:$AL$105)/(ORÇAMENTO!$X$15-_xlfn.SINGLE(CÁLCULO.TotalAdmLocal))*CRONO!$F22,
                        0),
                 AC21*$S20),
          SUMIF(OFFSET($S22,1,0,$R20-2),($M20+1)&amp;"$",OFFSET(AC22,1,0,$R20-2)))</f>
        <v>0</v>
      </c>
      <c r="AD22" s="203" cm="1">
        <f t="array" aca="1" ref="AD22" ca="1">IF($R20=2,
         IF(AND(ACOMPANHAMENTO="PLE",ISNUMBER($F20)),
                SUMIF((OFFSET(CÁLCULO!$AM$15:$AW$15,$F20,0,OFFSET(ORÇAMENTO!$D$15,CRONO!$F20,0))),CRONO!AD$12,OFFSET(CÁLCULO!$AB$15:$AL$15,$F20,0,OFFSET(ORÇAMENTO!$D$15,CRONO!$F20,0)))
                +IF(AND($F22&lt;&gt;"",$F22&lt;&gt;0),
                        SUMIF(CÁLCULO!$AM$15:$AW$105,CRONO!AD$12,CÁLCULO!$AB$15:$AL$105)/(ORÇAMENTO!$X$15-_xlfn.SINGLE(CÁLCULO.TotalAdmLocal))*CRONO!$F22,
                        0),
                 AD21*$S20),
          SUMIF(OFFSET($S22,1,0,$R20-2),($M20+1)&amp;"$",OFFSET(AD22,1,0,$R20-2)))</f>
        <v>0</v>
      </c>
      <c r="AE22" s="203" cm="1">
        <f t="array" aca="1" ref="AE22" ca="1">IF($R20=2,
         IF(AND(ACOMPANHAMENTO="PLE",ISNUMBER($F20)),
                SUMIF((OFFSET(CÁLCULO!$AM$15:$AW$15,$F20,0,OFFSET(ORÇAMENTO!$D$15,CRONO!$F20,0))),CRONO!AE$12,OFFSET(CÁLCULO!$AB$15:$AL$15,$F20,0,OFFSET(ORÇAMENTO!$D$15,CRONO!$F20,0)))
                +IF(AND($F22&lt;&gt;"",$F22&lt;&gt;0),
                        SUMIF(CÁLCULO!$AM$15:$AW$105,CRONO!AE$12,CÁLCULO!$AB$15:$AL$105)/(ORÇAMENTO!$X$15-_xlfn.SINGLE(CÁLCULO.TotalAdmLocal))*CRONO!$F22,
                        0),
                 AE21*$S20),
          SUMIF(OFFSET($S22,1,0,$R20-2),($M20+1)&amp;"$",OFFSET(AE22,1,0,$R20-2)))</f>
        <v>0</v>
      </c>
      <c r="AF22" s="203" cm="1">
        <f t="array" aca="1" ref="AF22" ca="1">IF($R20=2,
         IF(AND(ACOMPANHAMENTO="PLE",ISNUMBER($F20)),
                SUMIF((OFFSET(CÁLCULO!$AM$15:$AW$15,$F20,0,OFFSET(ORÇAMENTO!$D$15,CRONO!$F20,0))),CRONO!AF$12,OFFSET(CÁLCULO!$AB$15:$AL$15,$F20,0,OFFSET(ORÇAMENTO!$D$15,CRONO!$F20,0)))
                +IF(AND($F22&lt;&gt;"",$F22&lt;&gt;0),
                        SUMIF(CÁLCULO!$AM$15:$AW$105,CRONO!AF$12,CÁLCULO!$AB$15:$AL$105)/(ORÇAMENTO!$X$15-_xlfn.SINGLE(CÁLCULO.TotalAdmLocal))*CRONO!$F22,
                        0),
                 AF21*$S20),
          SUMIF(OFFSET($S22,1,0,$R20-2),($M20+1)&amp;"$",OFFSET(AF22,1,0,$R20-2)))</f>
        <v>0</v>
      </c>
      <c r="AG22" s="535"/>
    </row>
    <row r="23" spans="1:33" x14ac:dyDescent="0.2">
      <c r="A23" s="187" t="str">
        <f t="shared" ref="A23" ca="1" si="20">IF($M23&gt;1,_xlfn.CONCAT($I23," ",$J23),"")</f>
        <v>1.3. PISOS E DRENAGEM</v>
      </c>
      <c r="B23" s="186">
        <f t="shared" ref="B23" ca="1" si="21">OFFSET(B23,-3,0)+1</f>
        <v>4</v>
      </c>
      <c r="C23" s="186">
        <f ca="1">IF($R23&lt;&gt;2,0,IF($S23=0,1,IF(F24&gt;0,OFFSET(QCI!$M$13,SUBSTITUTE(F24,".",""),0),OFFSET(ORÇAMENTO!$AA$15,CRONO!$F23,0))/$S23))</f>
        <v>0.99999999999999967</v>
      </c>
      <c r="D23" s="186">
        <f ca="1">IF($R23&lt;&gt;2,0,IF($S23=0,1,IF(F24&gt;0,OFFSET(QCI!$N$13,SUBSTITUTE(F24,".",""),0),OFFSET(ORÇAMENTO!$AB$15,CRONO!$F23,0))/$S23))</f>
        <v>0</v>
      </c>
      <c r="E23" s="189" cm="1">
        <f t="array" aca="1" ref="E23" ca="1">IF(AND($R23=2,ACOMPANHAMENTO="BM"),ROUND(E24,4),E25/$S23)</f>
        <v>0.99999999999999967</v>
      </c>
      <c r="F23" s="186">
        <f ca="1">IF(B23&lt;=ORÇAMENTO.MáximoListaCrono,MATCH(B23,ORÇAMENTO.ListaCrono,0),NA())</f>
        <v>18</v>
      </c>
      <c r="G23" s="186" t="str">
        <f t="shared" ref="G23" ca="1" si="22">IF(AND($F24&lt;&gt;-1,$S23&gt;0),"F","")</f>
        <v>F</v>
      </c>
      <c r="H23" s="190" t="str" cm="1">
        <f t="array" aca="1" ref="H23" ca="1">IF(OR(S23=0,S23=""),"Linha",IF(AND(OR(ACOMPANHAMENTO="PLE",$R23&lt;&gt;2),$F24=0),"Linha",ROUND(1-SUM(U23:AG23),4)))</f>
        <v>Linha</v>
      </c>
      <c r="I23" s="191" t="str">
        <f ca="1">IF($F24=0,OFFSET(ORÇAMENTO!O$15,$F23,0),IF($F24&lt;&gt;-1,OFFSET(QCI!$D$13,$F24,0),""))</f>
        <v>1.3.</v>
      </c>
      <c r="J23" s="192" t="str">
        <f ca="1">IF($F24=0,OFFSET(ORÇAMENTO!R$15,$F23,0),IF($F24&lt;&gt;-1,OFFSET(QCI!$G$13,$F24,0),""))</f>
        <v>PISOS E DRENAGEM</v>
      </c>
      <c r="K23" s="192"/>
      <c r="L23" s="192"/>
      <c r="M23" s="193">
        <f ca="1">IF($F24=0,OFFSET(ORÇAMENTO!C$15,$F23,0),1)</f>
        <v>2</v>
      </c>
      <c r="N23" s="194">
        <f ca="1">IF($F24=-1,0,IF(N$13&lt;=$M23,IF(ISERROR(MATCH(N$13,OFFSET($M23,1,0,ROW($M$38)-ROW($M23)-1),0)),ROW($M$38)-ROW($M23)-1,MATCH(N$13,OFFSET($M23,1,0,ROW($M$38)-ROW($M23)-1),0)-1),0))</f>
        <v>14</v>
      </c>
      <c r="O23" s="194">
        <f ca="1">IF($F24=-1,0,IF(O$13&lt;=$M23,IF(ISERROR(MATCH(O$13,OFFSET($M23,1,0,ROW($M$38)-ROW($M23)-1),0)),ROW($M$38)-ROW($M23)-1,MATCH(O$13,OFFSET($M23,1,0,ROW($M$38)-ROW($M23)-1),0)-1),0))</f>
        <v>2</v>
      </c>
      <c r="P23" s="194">
        <f ca="1">IF($F24=-1,0,IF(P$13&lt;=$M23,IF(ISERROR(MATCH(P$13,OFFSET($M23,1,0,ROW($M$38)-ROW($M23)-1),0)),ROW($M$38)-ROW($M23)-1,MATCH(P$13,OFFSET($M23,1,0,ROW($M$38)-ROW($M23)-1),0)-1),0))</f>
        <v>0</v>
      </c>
      <c r="Q23" s="194">
        <f ca="1">IF($F24=-1,0,IF(Q$13&lt;=$M23,IF(ISERROR(MATCH(Q$13,OFFSET($M23,1,0,ROW($M$38)-ROW($M23)-1),0)),ROW($M$38)-ROW($M23)-1,MATCH(Q$13,OFFSET($M23,1,0,ROW($M$38)-ROW($M23)-1),0)-1),0))</f>
        <v>0</v>
      </c>
      <c r="R23" s="194">
        <f t="shared" ref="R23" ca="1" si="23">MIN(OFFSET(M23,0,1,,M23))</f>
        <v>2</v>
      </c>
      <c r="S23" s="195">
        <f ca="1">IF($F24=0,OFFSET(ORÇAMENTO!X$15,$F23,0),IF($F24&lt;&gt;-1,OFFSET(QCI!$O$13,$F24,0),""))</f>
        <v>48427.06</v>
      </c>
      <c r="T23" s="196" t="s">
        <v>786</v>
      </c>
      <c r="U23" s="189" cm="1">
        <f t="array" aca="1" ref="U23" ca="1">IF(AND($R23=2,ACOMPANHAMENTO="BM"),ROUND(U24,4),U25/$S23)</f>
        <v>0.99999999999999967</v>
      </c>
      <c r="V23" s="189" cm="1">
        <f t="array" aca="1" ref="V23" ca="1">IF(AND($R23=2,ACOMPANHAMENTO="BM"),ROUND(V24,4),V25/$S23)</f>
        <v>0</v>
      </c>
      <c r="W23" s="189" cm="1">
        <f t="array" aca="1" ref="W23" ca="1">IF(AND($R23=2,ACOMPANHAMENTO="BM"),ROUND(W24,4),W25/$S23)</f>
        <v>0</v>
      </c>
      <c r="X23" s="189" cm="1">
        <f t="array" aca="1" ref="X23" ca="1">IF(AND($R23=2,ACOMPANHAMENTO="BM"),ROUND(X24,4),X25/$S23)</f>
        <v>0</v>
      </c>
      <c r="Y23" s="189" cm="1">
        <f t="array" aca="1" ref="Y23" ca="1">IF(AND($R23=2,ACOMPANHAMENTO="BM"),ROUND(Y24,4),Y25/$S23)</f>
        <v>0</v>
      </c>
      <c r="Z23" s="189" cm="1">
        <f t="array" aca="1" ref="Z23" ca="1">IF(AND($R23=2,ACOMPANHAMENTO="BM"),ROUND(Z24,4),Z25/$S23)</f>
        <v>0</v>
      </c>
      <c r="AA23" s="189" cm="1">
        <f t="array" aca="1" ref="AA23" ca="1">IF(AND($R23=2,ACOMPANHAMENTO="BM"),ROUND(AA24,4),AA25/$S23)</f>
        <v>0</v>
      </c>
      <c r="AB23" s="189" cm="1">
        <f t="array" aca="1" ref="AB23" ca="1">IF(AND($R23=2,ACOMPANHAMENTO="BM"),ROUND(AB24,4),AB25/$S23)</f>
        <v>0</v>
      </c>
      <c r="AC23" s="189" cm="1">
        <f t="array" aca="1" ref="AC23" ca="1">IF(AND($R23=2,ACOMPANHAMENTO="BM"),ROUND(AC24,4),AC25/$S23)</f>
        <v>0</v>
      </c>
      <c r="AD23" s="189" cm="1">
        <f t="array" aca="1" ref="AD23" ca="1">IF(AND($R23=2,ACOMPANHAMENTO="BM"),ROUND(AD24,4),AD25/$S23)</f>
        <v>0</v>
      </c>
      <c r="AE23" s="189" cm="1">
        <f t="array" aca="1" ref="AE23" ca="1">IF(AND($R23=2,ACOMPANHAMENTO="BM"),ROUND(AE24,4),AE25/$S23)</f>
        <v>0</v>
      </c>
      <c r="AF23" s="189" cm="1">
        <f t="array" aca="1" ref="AF23" ca="1">IF(AND($R23=2,ACOMPANHAMENTO="BM"),ROUND(AF24,4),AF25/$S23)</f>
        <v>0</v>
      </c>
      <c r="AG23" s="535"/>
    </row>
    <row r="24" spans="1:33" ht="12.75" hidden="1" customHeight="1" x14ac:dyDescent="0.2">
      <c r="E24" s="588"/>
      <c r="F24" s="186">
        <f ca="1">IF(ISERROR(F23),IF(1+COUNTIF($M$13:OFFSET(M23,-1,0),1)&lt;=MAX(QCI!$D$13:$D$24),1+COUNTIF($M$13:OFFSET(M23,-1,0),1),-1),0)</f>
        <v>0</v>
      </c>
      <c r="G24" s="186" t="str" cm="1">
        <f t="array" aca="1" ref="G24" ca="1">IF(ACOMPANHAMENTO="BM",OFFSET(G24,-1,0),"")</f>
        <v/>
      </c>
      <c r="H24" s="197" t="str" cm="1">
        <f t="array" aca="1" ref="H24" ca="1">IF(OR(S23=0,S23=""),"vazia",IF(AND(OR(ACOMPANHAMENTO="PLE",$R23&lt;&gt;2),$F24=0),"calculada","--&gt;"))</f>
        <v>calculada</v>
      </c>
      <c r="I24" s="198"/>
      <c r="J24" s="199" t="str">
        <f t="shared" ref="J24" ca="1" si="24">IF(AND(H23&lt;&gt;0,ISNUMBER(H23)),"PREENCHA ESTA LINHA --&gt;","")</f>
        <v/>
      </c>
      <c r="K24" s="199"/>
      <c r="L24" s="199"/>
      <c r="M24" s="200"/>
      <c r="N24" s="200"/>
      <c r="O24" s="200"/>
      <c r="P24" s="200"/>
      <c r="Q24" s="200"/>
      <c r="R24" s="200"/>
      <c r="S24" s="201"/>
      <c r="T24" s="202"/>
      <c r="U24" s="588"/>
      <c r="V24" s="588"/>
      <c r="W24" s="588"/>
      <c r="X24" s="588"/>
      <c r="Y24" s="588"/>
      <c r="Z24" s="588"/>
      <c r="AA24" s="588"/>
      <c r="AB24" s="588"/>
      <c r="AC24" s="588"/>
      <c r="AD24" s="588"/>
      <c r="AE24" s="588"/>
      <c r="AF24" s="588"/>
      <c r="AG24" s="535"/>
    </row>
    <row r="25" spans="1:33" ht="12.75" hidden="1" customHeight="1" x14ac:dyDescent="0.2">
      <c r="D25" s="534"/>
      <c r="E25" s="203" cm="1">
        <f t="array" aca="1" ref="E25" ca="1">IF($R23=2,
         IF(AND(ACOMPANHAMENTO="PLE",ISNUMBER($F23)),
                SUMIF((OFFSET(CÁLCULO!$AM$15:$AW$15,$F23,0,OFFSET(ORÇAMENTO!$D$15,CRONO!$F23,0))),CRONO!E$12,OFFSET(CÁLCULO!$AB$15:$AL$15,$F23,0,OFFSET(ORÇAMENTO!$D$15,CRONO!$F23,0)))
                +IF(AND($F25&lt;&gt;"",$F25&lt;&gt;0),
                        SUMIF(CÁLCULO!$AM$15:$AW$105,CRONO!E$12,CÁLCULO!$AB$15:$AL$105)/(ORÇAMENTO!$X$15-_xlfn.SINGLE(CÁLCULO.TotalAdmLocal))*CRONO!$F25,
                        0),
                 E24*$S23),
          SUMIF(OFFSET($S25,1,0,$R23-2),($M23+1)&amp;"$",OFFSET(E25,1,0,$R23-2)))</f>
        <v>48427.059999999983</v>
      </c>
      <c r="F25" s="186" t="str">
        <f ca="1">IF(OR($R23&lt;&gt;2,AUTOEVENTO&lt;&gt;"manual",$F24&gt;0),"",
        IF(Import.TipoArredondamento="Tradicional",
              SUMIF(OFFSET(CÁLCULO!$M$15,CRONO!$F23,0,OFFSET(ORÇAMENTO!$D$15,CRONO!$F23,0)),1,OFFSET(ORÇAMENTO!$X$15,CRONO!$F23,0,OFFSET(ORÇAMENTO!$D$15,CRONO!$F23,0))),
              0))</f>
        <v/>
      </c>
      <c r="H25" s="204"/>
      <c r="S25" s="205" t="str">
        <f t="shared" ref="S25" ca="1" si="25">M23&amp;"$"</f>
        <v>2$</v>
      </c>
      <c r="T25" s="206"/>
      <c r="U25" s="203" cm="1">
        <f t="array" aca="1" ref="U25" ca="1">IF($R23=2,
         IF(AND(ACOMPANHAMENTO="PLE",ISNUMBER($F23)),
                SUMIF((OFFSET(CÁLCULO!$AM$15:$AW$15,$F23,0,OFFSET(ORÇAMENTO!$D$15,CRONO!$F23,0))),CRONO!U$12,OFFSET(CÁLCULO!$AB$15:$AL$15,$F23,0,OFFSET(ORÇAMENTO!$D$15,CRONO!$F23,0)))
                +IF(AND($F25&lt;&gt;"",$F25&lt;&gt;0),
                        SUMIF(CÁLCULO!$AM$15:$AW$105,CRONO!U$12,CÁLCULO!$AB$15:$AL$105)/(ORÇAMENTO!$X$15-_xlfn.SINGLE(CÁLCULO.TotalAdmLocal))*CRONO!$F25,
                        0),
                 U24*$S23),
          SUMIF(OFFSET($S25,1,0,$R23-2),($M23+1)&amp;"$",OFFSET(U25,1,0,$R23-2)))</f>
        <v>48427.059999999983</v>
      </c>
      <c r="V25" s="203" cm="1">
        <f t="array" aca="1" ref="V25" ca="1">IF($R23=2,
         IF(AND(ACOMPANHAMENTO="PLE",ISNUMBER($F23)),
                SUMIF((OFFSET(CÁLCULO!$AM$15:$AW$15,$F23,0,OFFSET(ORÇAMENTO!$D$15,CRONO!$F23,0))),CRONO!V$12,OFFSET(CÁLCULO!$AB$15:$AL$15,$F23,0,OFFSET(ORÇAMENTO!$D$15,CRONO!$F23,0)))
                +IF(AND($F25&lt;&gt;"",$F25&lt;&gt;0),
                        SUMIF(CÁLCULO!$AM$15:$AW$105,CRONO!V$12,CÁLCULO!$AB$15:$AL$105)/(ORÇAMENTO!$X$15-_xlfn.SINGLE(CÁLCULO.TotalAdmLocal))*CRONO!$F25,
                        0),
                 V24*$S23),
          SUMIF(OFFSET($S25,1,0,$R23-2),($M23+1)&amp;"$",OFFSET(V25,1,0,$R23-2)))</f>
        <v>0</v>
      </c>
      <c r="W25" s="203" cm="1">
        <f t="array" aca="1" ref="W25" ca="1">IF($R23=2,
         IF(AND(ACOMPANHAMENTO="PLE",ISNUMBER($F23)),
                SUMIF((OFFSET(CÁLCULO!$AM$15:$AW$15,$F23,0,OFFSET(ORÇAMENTO!$D$15,CRONO!$F23,0))),CRONO!W$12,OFFSET(CÁLCULO!$AB$15:$AL$15,$F23,0,OFFSET(ORÇAMENTO!$D$15,CRONO!$F23,0)))
                +IF(AND($F25&lt;&gt;"",$F25&lt;&gt;0),
                        SUMIF(CÁLCULO!$AM$15:$AW$105,CRONO!W$12,CÁLCULO!$AB$15:$AL$105)/(ORÇAMENTO!$X$15-_xlfn.SINGLE(CÁLCULO.TotalAdmLocal))*CRONO!$F25,
                        0),
                 W24*$S23),
          SUMIF(OFFSET($S25,1,0,$R23-2),($M23+1)&amp;"$",OFFSET(W25,1,0,$R23-2)))</f>
        <v>0</v>
      </c>
      <c r="X25" s="203" cm="1">
        <f t="array" aca="1" ref="X25" ca="1">IF($R23=2,
         IF(AND(ACOMPANHAMENTO="PLE",ISNUMBER($F23)),
                SUMIF((OFFSET(CÁLCULO!$AM$15:$AW$15,$F23,0,OFFSET(ORÇAMENTO!$D$15,CRONO!$F23,0))),CRONO!X$12,OFFSET(CÁLCULO!$AB$15:$AL$15,$F23,0,OFFSET(ORÇAMENTO!$D$15,CRONO!$F23,0)))
                +IF(AND($F25&lt;&gt;"",$F25&lt;&gt;0),
                        SUMIF(CÁLCULO!$AM$15:$AW$105,CRONO!X$12,CÁLCULO!$AB$15:$AL$105)/(ORÇAMENTO!$X$15-_xlfn.SINGLE(CÁLCULO.TotalAdmLocal))*CRONO!$F25,
                        0),
                 X24*$S23),
          SUMIF(OFFSET($S25,1,0,$R23-2),($M23+1)&amp;"$",OFFSET(X25,1,0,$R23-2)))</f>
        <v>0</v>
      </c>
      <c r="Y25" s="203" cm="1">
        <f t="array" aca="1" ref="Y25" ca="1">IF($R23=2,
         IF(AND(ACOMPANHAMENTO="PLE",ISNUMBER($F23)),
                SUMIF((OFFSET(CÁLCULO!$AM$15:$AW$15,$F23,0,OFFSET(ORÇAMENTO!$D$15,CRONO!$F23,0))),CRONO!Y$12,OFFSET(CÁLCULO!$AB$15:$AL$15,$F23,0,OFFSET(ORÇAMENTO!$D$15,CRONO!$F23,0)))
                +IF(AND($F25&lt;&gt;"",$F25&lt;&gt;0),
                        SUMIF(CÁLCULO!$AM$15:$AW$105,CRONO!Y$12,CÁLCULO!$AB$15:$AL$105)/(ORÇAMENTO!$X$15-_xlfn.SINGLE(CÁLCULO.TotalAdmLocal))*CRONO!$F25,
                        0),
                 Y24*$S23),
          SUMIF(OFFSET($S25,1,0,$R23-2),($M23+1)&amp;"$",OFFSET(Y25,1,0,$R23-2)))</f>
        <v>0</v>
      </c>
      <c r="Z25" s="203" cm="1">
        <f t="array" aca="1" ref="Z25" ca="1">IF($R23=2,
         IF(AND(ACOMPANHAMENTO="PLE",ISNUMBER($F23)),
                SUMIF((OFFSET(CÁLCULO!$AM$15:$AW$15,$F23,0,OFFSET(ORÇAMENTO!$D$15,CRONO!$F23,0))),CRONO!Z$12,OFFSET(CÁLCULO!$AB$15:$AL$15,$F23,0,OFFSET(ORÇAMENTO!$D$15,CRONO!$F23,0)))
                +IF(AND($F25&lt;&gt;"",$F25&lt;&gt;0),
                        SUMIF(CÁLCULO!$AM$15:$AW$105,CRONO!Z$12,CÁLCULO!$AB$15:$AL$105)/(ORÇAMENTO!$X$15-_xlfn.SINGLE(CÁLCULO.TotalAdmLocal))*CRONO!$F25,
                        0),
                 Z24*$S23),
          SUMIF(OFFSET($S25,1,0,$R23-2),($M23+1)&amp;"$",OFFSET(Z25,1,0,$R23-2)))</f>
        <v>0</v>
      </c>
      <c r="AA25" s="203" cm="1">
        <f t="array" aca="1" ref="AA25" ca="1">IF($R23=2,
         IF(AND(ACOMPANHAMENTO="PLE",ISNUMBER($F23)),
                SUMIF((OFFSET(CÁLCULO!$AM$15:$AW$15,$F23,0,OFFSET(ORÇAMENTO!$D$15,CRONO!$F23,0))),CRONO!AA$12,OFFSET(CÁLCULO!$AB$15:$AL$15,$F23,0,OFFSET(ORÇAMENTO!$D$15,CRONO!$F23,0)))
                +IF(AND($F25&lt;&gt;"",$F25&lt;&gt;0),
                        SUMIF(CÁLCULO!$AM$15:$AW$105,CRONO!AA$12,CÁLCULO!$AB$15:$AL$105)/(ORÇAMENTO!$X$15-_xlfn.SINGLE(CÁLCULO.TotalAdmLocal))*CRONO!$F25,
                        0),
                 AA24*$S23),
          SUMIF(OFFSET($S25,1,0,$R23-2),($M23+1)&amp;"$",OFFSET(AA25,1,0,$R23-2)))</f>
        <v>0</v>
      </c>
      <c r="AB25" s="203" cm="1">
        <f t="array" aca="1" ref="AB25" ca="1">IF($R23=2,
         IF(AND(ACOMPANHAMENTO="PLE",ISNUMBER($F23)),
                SUMIF((OFFSET(CÁLCULO!$AM$15:$AW$15,$F23,0,OFFSET(ORÇAMENTO!$D$15,CRONO!$F23,0))),CRONO!AB$12,OFFSET(CÁLCULO!$AB$15:$AL$15,$F23,0,OFFSET(ORÇAMENTO!$D$15,CRONO!$F23,0)))
                +IF(AND($F25&lt;&gt;"",$F25&lt;&gt;0),
                        SUMIF(CÁLCULO!$AM$15:$AW$105,CRONO!AB$12,CÁLCULO!$AB$15:$AL$105)/(ORÇAMENTO!$X$15-_xlfn.SINGLE(CÁLCULO.TotalAdmLocal))*CRONO!$F25,
                        0),
                 AB24*$S23),
          SUMIF(OFFSET($S25,1,0,$R23-2),($M23+1)&amp;"$",OFFSET(AB25,1,0,$R23-2)))</f>
        <v>0</v>
      </c>
      <c r="AC25" s="203" cm="1">
        <f t="array" aca="1" ref="AC25" ca="1">IF($R23=2,
         IF(AND(ACOMPANHAMENTO="PLE",ISNUMBER($F23)),
                SUMIF((OFFSET(CÁLCULO!$AM$15:$AW$15,$F23,0,OFFSET(ORÇAMENTO!$D$15,CRONO!$F23,0))),CRONO!AC$12,OFFSET(CÁLCULO!$AB$15:$AL$15,$F23,0,OFFSET(ORÇAMENTO!$D$15,CRONO!$F23,0)))
                +IF(AND($F25&lt;&gt;"",$F25&lt;&gt;0),
                        SUMIF(CÁLCULO!$AM$15:$AW$105,CRONO!AC$12,CÁLCULO!$AB$15:$AL$105)/(ORÇAMENTO!$X$15-_xlfn.SINGLE(CÁLCULO.TotalAdmLocal))*CRONO!$F25,
                        0),
                 AC24*$S23),
          SUMIF(OFFSET($S25,1,0,$R23-2),($M23+1)&amp;"$",OFFSET(AC25,1,0,$R23-2)))</f>
        <v>0</v>
      </c>
      <c r="AD25" s="203" cm="1">
        <f t="array" aca="1" ref="AD25" ca="1">IF($R23=2,
         IF(AND(ACOMPANHAMENTO="PLE",ISNUMBER($F23)),
                SUMIF((OFFSET(CÁLCULO!$AM$15:$AW$15,$F23,0,OFFSET(ORÇAMENTO!$D$15,CRONO!$F23,0))),CRONO!AD$12,OFFSET(CÁLCULO!$AB$15:$AL$15,$F23,0,OFFSET(ORÇAMENTO!$D$15,CRONO!$F23,0)))
                +IF(AND($F25&lt;&gt;"",$F25&lt;&gt;0),
                        SUMIF(CÁLCULO!$AM$15:$AW$105,CRONO!AD$12,CÁLCULO!$AB$15:$AL$105)/(ORÇAMENTO!$X$15-_xlfn.SINGLE(CÁLCULO.TotalAdmLocal))*CRONO!$F25,
                        0),
                 AD24*$S23),
          SUMIF(OFFSET($S25,1,0,$R23-2),($M23+1)&amp;"$",OFFSET(AD25,1,0,$R23-2)))</f>
        <v>0</v>
      </c>
      <c r="AE25" s="203" cm="1">
        <f t="array" aca="1" ref="AE25" ca="1">IF($R23=2,
         IF(AND(ACOMPANHAMENTO="PLE",ISNUMBER($F23)),
                SUMIF((OFFSET(CÁLCULO!$AM$15:$AW$15,$F23,0,OFFSET(ORÇAMENTO!$D$15,CRONO!$F23,0))),CRONO!AE$12,OFFSET(CÁLCULO!$AB$15:$AL$15,$F23,0,OFFSET(ORÇAMENTO!$D$15,CRONO!$F23,0)))
                +IF(AND($F25&lt;&gt;"",$F25&lt;&gt;0),
                        SUMIF(CÁLCULO!$AM$15:$AW$105,CRONO!AE$12,CÁLCULO!$AB$15:$AL$105)/(ORÇAMENTO!$X$15-_xlfn.SINGLE(CÁLCULO.TotalAdmLocal))*CRONO!$F25,
                        0),
                 AE24*$S23),
          SUMIF(OFFSET($S25,1,0,$R23-2),($M23+1)&amp;"$",OFFSET(AE25,1,0,$R23-2)))</f>
        <v>0</v>
      </c>
      <c r="AF25" s="203" cm="1">
        <f t="array" aca="1" ref="AF25" ca="1">IF($R23=2,
         IF(AND(ACOMPANHAMENTO="PLE",ISNUMBER($F23)),
                SUMIF((OFFSET(CÁLCULO!$AM$15:$AW$15,$F23,0,OFFSET(ORÇAMENTO!$D$15,CRONO!$F23,0))),CRONO!AF$12,OFFSET(CÁLCULO!$AB$15:$AL$15,$F23,0,OFFSET(ORÇAMENTO!$D$15,CRONO!$F23,0)))
                +IF(AND($F25&lt;&gt;"",$F25&lt;&gt;0),
                        SUMIF(CÁLCULO!$AM$15:$AW$105,CRONO!AF$12,CÁLCULO!$AB$15:$AL$105)/(ORÇAMENTO!$X$15-_xlfn.SINGLE(CÁLCULO.TotalAdmLocal))*CRONO!$F25,
                        0),
                 AF24*$S23),
          SUMIF(OFFSET($S25,1,0,$R23-2),($M23+1)&amp;"$",OFFSET(AF25,1,0,$R23-2)))</f>
        <v>0</v>
      </c>
      <c r="AG25" s="535"/>
    </row>
    <row r="26" spans="1:33" x14ac:dyDescent="0.2">
      <c r="A26" s="187" t="str">
        <f t="shared" ref="A26" ca="1" si="26">IF($M26&gt;1,_xlfn.CONCAT($I26," ",$J26),"")</f>
        <v xml:space="preserve">1.4. PAREDES E MURROS </v>
      </c>
      <c r="B26" s="186">
        <f t="shared" ref="B26" ca="1" si="27">OFFSET(B26,-3,0)+1</f>
        <v>5</v>
      </c>
      <c r="C26" s="186">
        <f ca="1">IF($R26&lt;&gt;2,0,IF($S26=0,1,IF(F27&gt;0,OFFSET(QCI!$M$13,SUBSTITUTE(F27,".",""),0),OFFSET(ORÇAMENTO!$AA$15,CRONO!$F26,0))/$S26))</f>
        <v>1.0000000000000002</v>
      </c>
      <c r="D26" s="186">
        <f ca="1">IF($R26&lt;&gt;2,0,IF($S26=0,1,IF(F27&gt;0,OFFSET(QCI!$N$13,SUBSTITUTE(F27,".",""),0),OFFSET(ORÇAMENTO!$AB$15,CRONO!$F26,0))/$S26))</f>
        <v>0</v>
      </c>
      <c r="E26" s="189" cm="1">
        <f t="array" aca="1" ref="E26" ca="1">IF(AND($R26=2,ACOMPANHAMENTO="BM"),ROUND(E27,4),E28/$S26)</f>
        <v>0</v>
      </c>
      <c r="F26" s="186">
        <f ca="1">IF(B26&lt;=ORÇAMENTO.MáximoListaCrono,MATCH(B26,ORÇAMENTO.ListaCrono,0),NA())</f>
        <v>26</v>
      </c>
      <c r="G26" s="186" t="str">
        <f t="shared" ref="G26" ca="1" si="28">IF(AND($F27&lt;&gt;-1,$S26&gt;0),"F","")</f>
        <v>F</v>
      </c>
      <c r="H26" s="190" t="str" cm="1">
        <f t="array" aca="1" ref="H26" ca="1">IF(OR(S26=0,S26=""),"Linha",IF(AND(OR(ACOMPANHAMENTO="PLE",$R26&lt;&gt;2),$F27=0),"Linha",ROUND(1-SUM(U26:AG26),4)))</f>
        <v>Linha</v>
      </c>
      <c r="I26" s="191" t="str">
        <f ca="1">IF($F27=0,OFFSET(ORÇAMENTO!O$15,$F26,0),IF($F27&lt;&gt;-1,OFFSET(QCI!$D$13,$F27,0),""))</f>
        <v>1.4.</v>
      </c>
      <c r="J26" s="192" t="str">
        <f ca="1">IF($F27=0,OFFSET(ORÇAMENTO!R$15,$F26,0),IF($F27&lt;&gt;-1,OFFSET(QCI!$G$13,$F27,0),""))</f>
        <v xml:space="preserve">PAREDES E MURROS </v>
      </c>
      <c r="K26" s="192"/>
      <c r="L26" s="192"/>
      <c r="M26" s="193">
        <f ca="1">IF($F27=0,OFFSET(ORÇAMENTO!C$15,$F26,0),1)</f>
        <v>2</v>
      </c>
      <c r="N26" s="194">
        <f t="shared" ref="N26" ca="1" si="29">IF($F27=-1,0,IF(N$13&lt;=$M26,IF(ISERROR(MATCH(N$13,OFFSET($M26,1,0,ROW($M$38)-ROW($M26)-1),0)),ROW($M$38)-ROW($M26)-1,MATCH(N$13,OFFSET($M26,1,0,ROW($M$38)-ROW($M26)-1),0)-1),0))</f>
        <v>11</v>
      </c>
      <c r="O26" s="194">
        <f t="shared" ref="O26" ca="1" si="30">IF($F27=-1,0,IF(O$13&lt;=$M26,IF(ISERROR(MATCH(O$13,OFFSET($M26,1,0,ROW($M$38)-ROW($M26)-1),0)),ROW($M$38)-ROW($M26)-1,MATCH(O$13,OFFSET($M26,1,0,ROW($M$38)-ROW($M26)-1),0)-1),0))</f>
        <v>2</v>
      </c>
      <c r="P26" s="194">
        <f t="shared" ref="P26" ca="1" si="31">IF($F27=-1,0,IF(P$13&lt;=$M26,IF(ISERROR(MATCH(P$13,OFFSET($M26,1,0,ROW($M$38)-ROW($M26)-1),0)),ROW($M$38)-ROW($M26)-1,MATCH(P$13,OFFSET($M26,1,0,ROW($M$38)-ROW($M26)-1),0)-1),0))</f>
        <v>0</v>
      </c>
      <c r="Q26" s="194">
        <f t="shared" ref="Q26" ca="1" si="32">IF($F27=-1,0,IF(Q$13&lt;=$M26,IF(ISERROR(MATCH(Q$13,OFFSET($M26,1,0,ROW($M$38)-ROW($M26)-1),0)),ROW($M$38)-ROW($M26)-1,MATCH(Q$13,OFFSET($M26,1,0,ROW($M$38)-ROW($M26)-1),0)-1),0))</f>
        <v>0</v>
      </c>
      <c r="R26" s="194">
        <f t="shared" ref="R26" ca="1" si="33">MIN(OFFSET(M26,0,1,,M26))</f>
        <v>2</v>
      </c>
      <c r="S26" s="195">
        <f ca="1">IF($F27=0,OFFSET(ORÇAMENTO!X$15,$F26,0),IF($F27&lt;&gt;-1,OFFSET(QCI!$O$13,$F27,0),""))</f>
        <v>15699.13</v>
      </c>
      <c r="T26" s="196" t="s">
        <v>786</v>
      </c>
      <c r="U26" s="189" cm="1">
        <f t="array" aca="1" ref="U26" ca="1">IF(AND($R26=2,ACOMPANHAMENTO="BM"),ROUND(U27,4),U28/$S26)</f>
        <v>0</v>
      </c>
      <c r="V26" s="189" cm="1">
        <f t="array" aca="1" ref="V26" ca="1">IF(AND($R26=2,ACOMPANHAMENTO="BM"),ROUND(V27,4),V28/$S26)</f>
        <v>0</v>
      </c>
      <c r="W26" s="189" cm="1">
        <f t="array" aca="1" ref="W26" ca="1">IF(AND($R26=2,ACOMPANHAMENTO="BM"),ROUND(W27,4),W28/$S26)</f>
        <v>1.0000000000000002</v>
      </c>
      <c r="X26" s="189" cm="1">
        <f t="array" aca="1" ref="X26" ca="1">IF(AND($R26=2,ACOMPANHAMENTO="BM"),ROUND(X27,4),X28/$S26)</f>
        <v>0</v>
      </c>
      <c r="Y26" s="189" cm="1">
        <f t="array" aca="1" ref="Y26" ca="1">IF(AND($R26=2,ACOMPANHAMENTO="BM"),ROUND(Y27,4),Y28/$S26)</f>
        <v>0</v>
      </c>
      <c r="Z26" s="189" cm="1">
        <f t="array" aca="1" ref="Z26" ca="1">IF(AND($R26=2,ACOMPANHAMENTO="BM"),ROUND(Z27,4),Z28/$S26)</f>
        <v>0</v>
      </c>
      <c r="AA26" s="189" cm="1">
        <f t="array" aca="1" ref="AA26" ca="1">IF(AND($R26=2,ACOMPANHAMENTO="BM"),ROUND(AA27,4),AA28/$S26)</f>
        <v>0</v>
      </c>
      <c r="AB26" s="189" cm="1">
        <f t="array" aca="1" ref="AB26" ca="1">IF(AND($R26=2,ACOMPANHAMENTO="BM"),ROUND(AB27,4),AB28/$S26)</f>
        <v>0</v>
      </c>
      <c r="AC26" s="189" cm="1">
        <f t="array" aca="1" ref="AC26" ca="1">IF(AND($R26=2,ACOMPANHAMENTO="BM"),ROUND(AC27,4),AC28/$S26)</f>
        <v>0</v>
      </c>
      <c r="AD26" s="189" cm="1">
        <f t="array" aca="1" ref="AD26" ca="1">IF(AND($R26=2,ACOMPANHAMENTO="BM"),ROUND(AD27,4),AD28/$S26)</f>
        <v>0</v>
      </c>
      <c r="AE26" s="189" cm="1">
        <f t="array" aca="1" ref="AE26" ca="1">IF(AND($R26=2,ACOMPANHAMENTO="BM"),ROUND(AE27,4),AE28/$S26)</f>
        <v>0</v>
      </c>
      <c r="AF26" s="189" cm="1">
        <f t="array" aca="1" ref="AF26" ca="1">IF(AND($R26=2,ACOMPANHAMENTO="BM"),ROUND(AF27,4),AF28/$S26)</f>
        <v>0</v>
      </c>
      <c r="AG26" s="535"/>
    </row>
    <row r="27" spans="1:33" ht="12.75" hidden="1" customHeight="1" x14ac:dyDescent="0.2">
      <c r="E27" s="588"/>
      <c r="F27" s="186">
        <f ca="1">IF(ISERROR(F26),IF(1+COUNTIF($M$13:OFFSET(M26,-1,0),1)&lt;=MAX(QCI!$D$13:$D$24),1+COUNTIF($M$13:OFFSET(M26,-1,0),1),-1),0)</f>
        <v>0</v>
      </c>
      <c r="G27" s="186" t="str" cm="1">
        <f t="array" aca="1" ref="G27" ca="1">IF(ACOMPANHAMENTO="BM",OFFSET(G27,-1,0),"")</f>
        <v/>
      </c>
      <c r="H27" s="197" t="str" cm="1">
        <f t="array" aca="1" ref="H27" ca="1">IF(OR(S26=0,S26=""),"vazia",IF(AND(OR(ACOMPANHAMENTO="PLE",$R26&lt;&gt;2),$F27=0),"calculada","--&gt;"))</f>
        <v>calculada</v>
      </c>
      <c r="I27" s="198"/>
      <c r="J27" s="199" t="str">
        <f t="shared" ref="J27" ca="1" si="34">IF(AND(H26&lt;&gt;0,ISNUMBER(H26)),"PREENCHA ESTA LINHA --&gt;","")</f>
        <v/>
      </c>
      <c r="K27" s="199"/>
      <c r="L27" s="199"/>
      <c r="M27" s="200"/>
      <c r="N27" s="200"/>
      <c r="O27" s="200"/>
      <c r="P27" s="200"/>
      <c r="Q27" s="200"/>
      <c r="R27" s="200"/>
      <c r="S27" s="201"/>
      <c r="T27" s="202"/>
      <c r="U27" s="588"/>
      <c r="V27" s="588"/>
      <c r="W27" s="588"/>
      <c r="X27" s="588"/>
      <c r="Y27" s="588"/>
      <c r="Z27" s="588"/>
      <c r="AA27" s="588"/>
      <c r="AB27" s="588"/>
      <c r="AC27" s="588"/>
      <c r="AD27" s="588"/>
      <c r="AE27" s="588"/>
      <c r="AF27" s="588"/>
      <c r="AG27" s="535"/>
    </row>
    <row r="28" spans="1:33" ht="12.75" hidden="1" customHeight="1" x14ac:dyDescent="0.2">
      <c r="D28" s="534"/>
      <c r="E28" s="203" cm="1">
        <f t="array" aca="1" ref="E28" ca="1">IF($R26=2,
         IF(AND(ACOMPANHAMENTO="PLE",ISNUMBER($F26)),
                SUMIF((OFFSET(CÁLCULO!$AM$15:$AW$15,$F26,0,OFFSET(ORÇAMENTO!$D$15,CRONO!$F26,0))),CRONO!E$12,OFFSET(CÁLCULO!$AB$15:$AL$15,$F26,0,OFFSET(ORÇAMENTO!$D$15,CRONO!$F26,0)))
                +IF(AND($F28&lt;&gt;"",$F28&lt;&gt;0),
                        SUMIF(CÁLCULO!$AM$15:$AW$105,CRONO!E$12,CÁLCULO!$AB$15:$AL$105)/(ORÇAMENTO!$X$15-_xlfn.SINGLE(CÁLCULO.TotalAdmLocal))*CRONO!$F28,
                        0),
                 E27*$S26),
          SUMIF(OFFSET($S28,1,0,$R26-2),($M26+1)&amp;"$",OFFSET(E28,1,0,$R26-2)))</f>
        <v>0</v>
      </c>
      <c r="F28" s="186" t="str">
        <f ca="1">IF(OR($R26&lt;&gt;2,AUTOEVENTO&lt;&gt;"manual",$F27&gt;0),"",
        IF(Import.TipoArredondamento="Tradicional",
              SUMIF(OFFSET(CÁLCULO!$M$15,CRONO!$F26,0,OFFSET(ORÇAMENTO!$D$15,CRONO!$F26,0)),1,OFFSET(ORÇAMENTO!$X$15,CRONO!$F26,0,OFFSET(ORÇAMENTO!$D$15,CRONO!$F26,0))),
              0))</f>
        <v/>
      </c>
      <c r="H28" s="204"/>
      <c r="S28" s="205" t="str">
        <f t="shared" ref="S28" ca="1" si="35">M26&amp;"$"</f>
        <v>2$</v>
      </c>
      <c r="T28" s="206"/>
      <c r="U28" s="203" cm="1">
        <f t="array" aca="1" ref="U28" ca="1">IF($R26=2,
         IF(AND(ACOMPANHAMENTO="PLE",ISNUMBER($F26)),
                SUMIF((OFFSET(CÁLCULO!$AM$15:$AW$15,$F26,0,OFFSET(ORÇAMENTO!$D$15,CRONO!$F26,0))),CRONO!U$12,OFFSET(CÁLCULO!$AB$15:$AL$15,$F26,0,OFFSET(ORÇAMENTO!$D$15,CRONO!$F26,0)))
                +IF(AND($F28&lt;&gt;"",$F28&lt;&gt;0),
                        SUMIF(CÁLCULO!$AM$15:$AW$105,CRONO!U$12,CÁLCULO!$AB$15:$AL$105)/(ORÇAMENTO!$X$15-_xlfn.SINGLE(CÁLCULO.TotalAdmLocal))*CRONO!$F28,
                        0),
                 U27*$S26),
          SUMIF(OFFSET($S28,1,0,$R26-2),($M26+1)&amp;"$",OFFSET(U28,1,0,$R26-2)))</f>
        <v>0</v>
      </c>
      <c r="V28" s="203" cm="1">
        <f t="array" aca="1" ref="V28" ca="1">IF($R26=2,
         IF(AND(ACOMPANHAMENTO="PLE",ISNUMBER($F26)),
                SUMIF((OFFSET(CÁLCULO!$AM$15:$AW$15,$F26,0,OFFSET(ORÇAMENTO!$D$15,CRONO!$F26,0))),CRONO!V$12,OFFSET(CÁLCULO!$AB$15:$AL$15,$F26,0,OFFSET(ORÇAMENTO!$D$15,CRONO!$F26,0)))
                +IF(AND($F28&lt;&gt;"",$F28&lt;&gt;0),
                        SUMIF(CÁLCULO!$AM$15:$AW$105,CRONO!V$12,CÁLCULO!$AB$15:$AL$105)/(ORÇAMENTO!$X$15-_xlfn.SINGLE(CÁLCULO.TotalAdmLocal))*CRONO!$F28,
                        0),
                 V27*$S26),
          SUMIF(OFFSET($S28,1,0,$R26-2),($M26+1)&amp;"$",OFFSET(V28,1,0,$R26-2)))</f>
        <v>0</v>
      </c>
      <c r="W28" s="203" cm="1">
        <f t="array" aca="1" ref="W28" ca="1">IF($R26=2,
         IF(AND(ACOMPANHAMENTO="PLE",ISNUMBER($F26)),
                SUMIF((OFFSET(CÁLCULO!$AM$15:$AW$15,$F26,0,OFFSET(ORÇAMENTO!$D$15,CRONO!$F26,0))),CRONO!W$12,OFFSET(CÁLCULO!$AB$15:$AL$15,$F26,0,OFFSET(ORÇAMENTO!$D$15,CRONO!$F26,0)))
                +IF(AND($F28&lt;&gt;"",$F28&lt;&gt;0),
                        SUMIF(CÁLCULO!$AM$15:$AW$105,CRONO!W$12,CÁLCULO!$AB$15:$AL$105)/(ORÇAMENTO!$X$15-_xlfn.SINGLE(CÁLCULO.TotalAdmLocal))*CRONO!$F28,
                        0),
                 W27*$S26),
          SUMIF(OFFSET($S28,1,0,$R26-2),($M26+1)&amp;"$",OFFSET(W28,1,0,$R26-2)))</f>
        <v>15699.130000000001</v>
      </c>
      <c r="X28" s="203" cm="1">
        <f t="array" aca="1" ref="X28" ca="1">IF($R26=2,
         IF(AND(ACOMPANHAMENTO="PLE",ISNUMBER($F26)),
                SUMIF((OFFSET(CÁLCULO!$AM$15:$AW$15,$F26,0,OFFSET(ORÇAMENTO!$D$15,CRONO!$F26,0))),CRONO!X$12,OFFSET(CÁLCULO!$AB$15:$AL$15,$F26,0,OFFSET(ORÇAMENTO!$D$15,CRONO!$F26,0)))
                +IF(AND($F28&lt;&gt;"",$F28&lt;&gt;0),
                        SUMIF(CÁLCULO!$AM$15:$AW$105,CRONO!X$12,CÁLCULO!$AB$15:$AL$105)/(ORÇAMENTO!$X$15-_xlfn.SINGLE(CÁLCULO.TotalAdmLocal))*CRONO!$F28,
                        0),
                 X27*$S26),
          SUMIF(OFFSET($S28,1,0,$R26-2),($M26+1)&amp;"$",OFFSET(X28,1,0,$R26-2)))</f>
        <v>0</v>
      </c>
      <c r="Y28" s="203" cm="1">
        <f t="array" aca="1" ref="Y28" ca="1">IF($R26=2,
         IF(AND(ACOMPANHAMENTO="PLE",ISNUMBER($F26)),
                SUMIF((OFFSET(CÁLCULO!$AM$15:$AW$15,$F26,0,OFFSET(ORÇAMENTO!$D$15,CRONO!$F26,0))),CRONO!Y$12,OFFSET(CÁLCULO!$AB$15:$AL$15,$F26,0,OFFSET(ORÇAMENTO!$D$15,CRONO!$F26,0)))
                +IF(AND($F28&lt;&gt;"",$F28&lt;&gt;0),
                        SUMIF(CÁLCULO!$AM$15:$AW$105,CRONO!Y$12,CÁLCULO!$AB$15:$AL$105)/(ORÇAMENTO!$X$15-_xlfn.SINGLE(CÁLCULO.TotalAdmLocal))*CRONO!$F28,
                        0),
                 Y27*$S26),
          SUMIF(OFFSET($S28,1,0,$R26-2),($M26+1)&amp;"$",OFFSET(Y28,1,0,$R26-2)))</f>
        <v>0</v>
      </c>
      <c r="Z28" s="203" cm="1">
        <f t="array" aca="1" ref="Z28" ca="1">IF($R26=2,
         IF(AND(ACOMPANHAMENTO="PLE",ISNUMBER($F26)),
                SUMIF((OFFSET(CÁLCULO!$AM$15:$AW$15,$F26,0,OFFSET(ORÇAMENTO!$D$15,CRONO!$F26,0))),CRONO!Z$12,OFFSET(CÁLCULO!$AB$15:$AL$15,$F26,0,OFFSET(ORÇAMENTO!$D$15,CRONO!$F26,0)))
                +IF(AND($F28&lt;&gt;"",$F28&lt;&gt;0),
                        SUMIF(CÁLCULO!$AM$15:$AW$105,CRONO!Z$12,CÁLCULO!$AB$15:$AL$105)/(ORÇAMENTO!$X$15-_xlfn.SINGLE(CÁLCULO.TotalAdmLocal))*CRONO!$F28,
                        0),
                 Z27*$S26),
          SUMIF(OFFSET($S28,1,0,$R26-2),($M26+1)&amp;"$",OFFSET(Z28,1,0,$R26-2)))</f>
        <v>0</v>
      </c>
      <c r="AA28" s="203" cm="1">
        <f t="array" aca="1" ref="AA28" ca="1">IF($R26=2,
         IF(AND(ACOMPANHAMENTO="PLE",ISNUMBER($F26)),
                SUMIF((OFFSET(CÁLCULO!$AM$15:$AW$15,$F26,0,OFFSET(ORÇAMENTO!$D$15,CRONO!$F26,0))),CRONO!AA$12,OFFSET(CÁLCULO!$AB$15:$AL$15,$F26,0,OFFSET(ORÇAMENTO!$D$15,CRONO!$F26,0)))
                +IF(AND($F28&lt;&gt;"",$F28&lt;&gt;0),
                        SUMIF(CÁLCULO!$AM$15:$AW$105,CRONO!AA$12,CÁLCULO!$AB$15:$AL$105)/(ORÇAMENTO!$X$15-_xlfn.SINGLE(CÁLCULO.TotalAdmLocal))*CRONO!$F28,
                        0),
                 AA27*$S26),
          SUMIF(OFFSET($S28,1,0,$R26-2),($M26+1)&amp;"$",OFFSET(AA28,1,0,$R26-2)))</f>
        <v>0</v>
      </c>
      <c r="AB28" s="203" cm="1">
        <f t="array" aca="1" ref="AB28" ca="1">IF($R26=2,
         IF(AND(ACOMPANHAMENTO="PLE",ISNUMBER($F26)),
                SUMIF((OFFSET(CÁLCULO!$AM$15:$AW$15,$F26,0,OFFSET(ORÇAMENTO!$D$15,CRONO!$F26,0))),CRONO!AB$12,OFFSET(CÁLCULO!$AB$15:$AL$15,$F26,0,OFFSET(ORÇAMENTO!$D$15,CRONO!$F26,0)))
                +IF(AND($F28&lt;&gt;"",$F28&lt;&gt;0),
                        SUMIF(CÁLCULO!$AM$15:$AW$105,CRONO!AB$12,CÁLCULO!$AB$15:$AL$105)/(ORÇAMENTO!$X$15-_xlfn.SINGLE(CÁLCULO.TotalAdmLocal))*CRONO!$F28,
                        0),
                 AB27*$S26),
          SUMIF(OFFSET($S28,1,0,$R26-2),($M26+1)&amp;"$",OFFSET(AB28,1,0,$R26-2)))</f>
        <v>0</v>
      </c>
      <c r="AC28" s="203" cm="1">
        <f t="array" aca="1" ref="AC28" ca="1">IF($R26=2,
         IF(AND(ACOMPANHAMENTO="PLE",ISNUMBER($F26)),
                SUMIF((OFFSET(CÁLCULO!$AM$15:$AW$15,$F26,0,OFFSET(ORÇAMENTO!$D$15,CRONO!$F26,0))),CRONO!AC$12,OFFSET(CÁLCULO!$AB$15:$AL$15,$F26,0,OFFSET(ORÇAMENTO!$D$15,CRONO!$F26,0)))
                +IF(AND($F28&lt;&gt;"",$F28&lt;&gt;0),
                        SUMIF(CÁLCULO!$AM$15:$AW$105,CRONO!AC$12,CÁLCULO!$AB$15:$AL$105)/(ORÇAMENTO!$X$15-_xlfn.SINGLE(CÁLCULO.TotalAdmLocal))*CRONO!$F28,
                        0),
                 AC27*$S26),
          SUMIF(OFFSET($S28,1,0,$R26-2),($M26+1)&amp;"$",OFFSET(AC28,1,0,$R26-2)))</f>
        <v>0</v>
      </c>
      <c r="AD28" s="203" cm="1">
        <f t="array" aca="1" ref="AD28" ca="1">IF($R26=2,
         IF(AND(ACOMPANHAMENTO="PLE",ISNUMBER($F26)),
                SUMIF((OFFSET(CÁLCULO!$AM$15:$AW$15,$F26,0,OFFSET(ORÇAMENTO!$D$15,CRONO!$F26,0))),CRONO!AD$12,OFFSET(CÁLCULO!$AB$15:$AL$15,$F26,0,OFFSET(ORÇAMENTO!$D$15,CRONO!$F26,0)))
                +IF(AND($F28&lt;&gt;"",$F28&lt;&gt;0),
                        SUMIF(CÁLCULO!$AM$15:$AW$105,CRONO!AD$12,CÁLCULO!$AB$15:$AL$105)/(ORÇAMENTO!$X$15-_xlfn.SINGLE(CÁLCULO.TotalAdmLocal))*CRONO!$F28,
                        0),
                 AD27*$S26),
          SUMIF(OFFSET($S28,1,0,$R26-2),($M26+1)&amp;"$",OFFSET(AD28,1,0,$R26-2)))</f>
        <v>0</v>
      </c>
      <c r="AE28" s="203" cm="1">
        <f t="array" aca="1" ref="AE28" ca="1">IF($R26=2,
         IF(AND(ACOMPANHAMENTO="PLE",ISNUMBER($F26)),
                SUMIF((OFFSET(CÁLCULO!$AM$15:$AW$15,$F26,0,OFFSET(ORÇAMENTO!$D$15,CRONO!$F26,0))),CRONO!AE$12,OFFSET(CÁLCULO!$AB$15:$AL$15,$F26,0,OFFSET(ORÇAMENTO!$D$15,CRONO!$F26,0)))
                +IF(AND($F28&lt;&gt;"",$F28&lt;&gt;0),
                        SUMIF(CÁLCULO!$AM$15:$AW$105,CRONO!AE$12,CÁLCULO!$AB$15:$AL$105)/(ORÇAMENTO!$X$15-_xlfn.SINGLE(CÁLCULO.TotalAdmLocal))*CRONO!$F28,
                        0),
                 AE27*$S26),
          SUMIF(OFFSET($S28,1,0,$R26-2),($M26+1)&amp;"$",OFFSET(AE28,1,0,$R26-2)))</f>
        <v>0</v>
      </c>
      <c r="AF28" s="203" cm="1">
        <f t="array" aca="1" ref="AF28" ca="1">IF($R26=2,
         IF(AND(ACOMPANHAMENTO="PLE",ISNUMBER($F26)),
                SUMIF((OFFSET(CÁLCULO!$AM$15:$AW$15,$F26,0,OFFSET(ORÇAMENTO!$D$15,CRONO!$F26,0))),CRONO!AF$12,OFFSET(CÁLCULO!$AB$15:$AL$15,$F26,0,OFFSET(ORÇAMENTO!$D$15,CRONO!$F26,0)))
                +IF(AND($F28&lt;&gt;"",$F28&lt;&gt;0),
                        SUMIF(CÁLCULO!$AM$15:$AW$105,CRONO!AF$12,CÁLCULO!$AB$15:$AL$105)/(ORÇAMENTO!$X$15-_xlfn.SINGLE(CÁLCULO.TotalAdmLocal))*CRONO!$F28,
                        0),
                 AF27*$S26),
          SUMIF(OFFSET($S28,1,0,$R26-2),($M26+1)&amp;"$",OFFSET(AF28,1,0,$R26-2)))</f>
        <v>0</v>
      </c>
      <c r="AG28" s="535"/>
    </row>
    <row r="29" spans="1:33" x14ac:dyDescent="0.2">
      <c r="A29" s="187" t="str">
        <f t="shared" ref="A29" ca="1" si="36">IF($M29&gt;1,_xlfn.CONCAT($I29," ",$J29),"")</f>
        <v>1.5. CORRIMÕES E GRADES - PINTURA</v>
      </c>
      <c r="B29" s="186">
        <f t="shared" ref="B29" ca="1" si="37">OFFSET(B29,-3,0)+1</f>
        <v>6</v>
      </c>
      <c r="C29" s="186">
        <f ca="1">IF($R29&lt;&gt;2,0,IF($S29=0,1,IF(F30&gt;0,OFFSET(QCI!$M$13,SUBSTITUTE(F30,".",""),0),OFFSET(ORÇAMENTO!$AA$15,CRONO!$F29,0))/$S29))</f>
        <v>1</v>
      </c>
      <c r="D29" s="186">
        <f ca="1">IF($R29&lt;&gt;2,0,IF($S29=0,1,IF(F30&gt;0,OFFSET(QCI!$N$13,SUBSTITUTE(F30,".",""),0),OFFSET(ORÇAMENTO!$AB$15,CRONO!$F29,0))/$S29))</f>
        <v>0</v>
      </c>
      <c r="E29" s="189" cm="1">
        <f t="array" aca="1" ref="E29" ca="1">IF(AND($R29=2,ACOMPANHAMENTO="BM"),ROUND(E30,4),E31/$S29)</f>
        <v>0</v>
      </c>
      <c r="F29" s="186">
        <f ca="1">IF(B29&lt;=ORÇAMENTO.MáximoListaCrono,MATCH(B29,ORÇAMENTO.ListaCrono,0),NA())</f>
        <v>33</v>
      </c>
      <c r="G29" s="186" t="str">
        <f t="shared" ref="G29" ca="1" si="38">IF(AND($F30&lt;&gt;-1,$S29&gt;0),"F","")</f>
        <v>F</v>
      </c>
      <c r="H29" s="190" t="str" cm="1">
        <f t="array" aca="1" ref="H29" ca="1">IF(OR(S29=0,S29=""),"Linha",IF(AND(OR(ACOMPANHAMENTO="PLE",$R29&lt;&gt;2),$F30=0),"Linha",ROUND(1-SUM(U29:AG29),4)))</f>
        <v>Linha</v>
      </c>
      <c r="I29" s="191" t="str">
        <f ca="1">IF($F30=0,OFFSET(ORÇAMENTO!O$15,$F29,0),IF($F30&lt;&gt;-1,OFFSET(QCI!$D$13,$F30,0),""))</f>
        <v>1.5.</v>
      </c>
      <c r="J29" s="192" t="str">
        <f ca="1">IF($F30=0,OFFSET(ORÇAMENTO!R$15,$F29,0),IF($F30&lt;&gt;-1,OFFSET(QCI!$G$13,$F30,0),""))</f>
        <v>CORRIMÕES E GRADES - PINTURA</v>
      </c>
      <c r="K29" s="192"/>
      <c r="L29" s="192"/>
      <c r="M29" s="193">
        <f ca="1">IF($F30=0,OFFSET(ORÇAMENTO!C$15,$F29,0),1)</f>
        <v>2</v>
      </c>
      <c r="N29" s="194">
        <f t="shared" ref="N29" ca="1" si="39">IF($F30=-1,0,IF(N$13&lt;=$M29,IF(ISERROR(MATCH(N$13,OFFSET($M29,1,0,ROW($M$38)-ROW($M29)-1),0)),ROW($M$38)-ROW($M29)-1,MATCH(N$13,OFFSET($M29,1,0,ROW($M$38)-ROW($M29)-1),0)-1),0))</f>
        <v>8</v>
      </c>
      <c r="O29" s="194">
        <f t="shared" ref="O29" ca="1" si="40">IF($F30=-1,0,IF(O$13&lt;=$M29,IF(ISERROR(MATCH(O$13,OFFSET($M29,1,0,ROW($M$38)-ROW($M29)-1),0)),ROW($M$38)-ROW($M29)-1,MATCH(O$13,OFFSET($M29,1,0,ROW($M$38)-ROW($M29)-1),0)-1),0))</f>
        <v>2</v>
      </c>
      <c r="P29" s="194">
        <f t="shared" ref="P29" ca="1" si="41">IF($F30=-1,0,IF(P$13&lt;=$M29,IF(ISERROR(MATCH(P$13,OFFSET($M29,1,0,ROW($M$38)-ROW($M29)-1),0)),ROW($M$38)-ROW($M29)-1,MATCH(P$13,OFFSET($M29,1,0,ROW($M$38)-ROW($M29)-1),0)-1),0))</f>
        <v>0</v>
      </c>
      <c r="Q29" s="194">
        <f t="shared" ref="Q29" ca="1" si="42">IF($F30=-1,0,IF(Q$13&lt;=$M29,IF(ISERROR(MATCH(Q$13,OFFSET($M29,1,0,ROW($M$38)-ROW($M29)-1),0)),ROW($M$38)-ROW($M29)-1,MATCH(Q$13,OFFSET($M29,1,0,ROW($M$38)-ROW($M29)-1),0)-1),0))</f>
        <v>0</v>
      </c>
      <c r="R29" s="194">
        <f t="shared" ref="R29" ca="1" si="43">MIN(OFFSET(M29,0,1,,M29))</f>
        <v>2</v>
      </c>
      <c r="S29" s="195">
        <f ca="1">IF($F30=0,OFFSET(ORÇAMENTO!X$15,$F29,0),IF($F30&lt;&gt;-1,OFFSET(QCI!$O$13,$F30,0),""))</f>
        <v>2857.22</v>
      </c>
      <c r="T29" s="196" t="s">
        <v>786</v>
      </c>
      <c r="U29" s="189" cm="1">
        <f t="array" aca="1" ref="U29" ca="1">IF(AND($R29=2,ACOMPANHAMENTO="BM"),ROUND(U30,4),U31/$S29)</f>
        <v>0</v>
      </c>
      <c r="V29" s="189" cm="1">
        <f t="array" aca="1" ref="V29" ca="1">IF(AND($R29=2,ACOMPANHAMENTO="BM"),ROUND(V30,4),V31/$S29)</f>
        <v>0</v>
      </c>
      <c r="W29" s="189" cm="1">
        <f t="array" aca="1" ref="W29" ca="1">IF(AND($R29=2,ACOMPANHAMENTO="BM"),ROUND(W30,4),W31/$S29)</f>
        <v>1</v>
      </c>
      <c r="X29" s="189" cm="1">
        <f t="array" aca="1" ref="X29" ca="1">IF(AND($R29=2,ACOMPANHAMENTO="BM"),ROUND(X30,4),X31/$S29)</f>
        <v>0</v>
      </c>
      <c r="Y29" s="189" cm="1">
        <f t="array" aca="1" ref="Y29" ca="1">IF(AND($R29=2,ACOMPANHAMENTO="BM"),ROUND(Y30,4),Y31/$S29)</f>
        <v>0</v>
      </c>
      <c r="Z29" s="189" cm="1">
        <f t="array" aca="1" ref="Z29" ca="1">IF(AND($R29=2,ACOMPANHAMENTO="BM"),ROUND(Z30,4),Z31/$S29)</f>
        <v>0</v>
      </c>
      <c r="AA29" s="189" cm="1">
        <f t="array" aca="1" ref="AA29" ca="1">IF(AND($R29=2,ACOMPANHAMENTO="BM"),ROUND(AA30,4),AA31/$S29)</f>
        <v>0</v>
      </c>
      <c r="AB29" s="189" cm="1">
        <f t="array" aca="1" ref="AB29" ca="1">IF(AND($R29=2,ACOMPANHAMENTO="BM"),ROUND(AB30,4),AB31/$S29)</f>
        <v>0</v>
      </c>
      <c r="AC29" s="189" cm="1">
        <f t="array" aca="1" ref="AC29" ca="1">IF(AND($R29=2,ACOMPANHAMENTO="BM"),ROUND(AC30,4),AC31/$S29)</f>
        <v>0</v>
      </c>
      <c r="AD29" s="189" cm="1">
        <f t="array" aca="1" ref="AD29" ca="1">IF(AND($R29=2,ACOMPANHAMENTO="BM"),ROUND(AD30,4),AD31/$S29)</f>
        <v>0</v>
      </c>
      <c r="AE29" s="189" cm="1">
        <f t="array" aca="1" ref="AE29" ca="1">IF(AND($R29=2,ACOMPANHAMENTO="BM"),ROUND(AE30,4),AE31/$S29)</f>
        <v>0</v>
      </c>
      <c r="AF29" s="189" cm="1">
        <f t="array" aca="1" ref="AF29" ca="1">IF(AND($R29=2,ACOMPANHAMENTO="BM"),ROUND(AF30,4),AF31/$S29)</f>
        <v>0</v>
      </c>
      <c r="AG29" s="535"/>
    </row>
    <row r="30" spans="1:33" ht="12.75" hidden="1" customHeight="1" x14ac:dyDescent="0.2">
      <c r="E30" s="588"/>
      <c r="F30" s="186">
        <f ca="1">IF(ISERROR(F29),IF(1+COUNTIF($M$13:OFFSET(M29,-1,0),1)&lt;=MAX(QCI!$D$13:$D$24),1+COUNTIF($M$13:OFFSET(M29,-1,0),1),-1),0)</f>
        <v>0</v>
      </c>
      <c r="G30" s="186" t="str" cm="1">
        <f t="array" aca="1" ref="G30" ca="1">IF(ACOMPANHAMENTO="BM",OFFSET(G30,-1,0),"")</f>
        <v/>
      </c>
      <c r="H30" s="197" t="str" cm="1">
        <f t="array" aca="1" ref="H30" ca="1">IF(OR(S29=0,S29=""),"vazia",IF(AND(OR(ACOMPANHAMENTO="PLE",$R29&lt;&gt;2),$F30=0),"calculada","--&gt;"))</f>
        <v>calculada</v>
      </c>
      <c r="I30" s="198"/>
      <c r="J30" s="199" t="str">
        <f t="shared" ref="J30" ca="1" si="44">IF(AND(H29&lt;&gt;0,ISNUMBER(H29)),"PREENCHA ESTA LINHA --&gt;","")</f>
        <v/>
      </c>
      <c r="K30" s="199"/>
      <c r="L30" s="199"/>
      <c r="M30" s="200"/>
      <c r="N30" s="200"/>
      <c r="O30" s="200"/>
      <c r="P30" s="200"/>
      <c r="Q30" s="200"/>
      <c r="R30" s="200"/>
      <c r="S30" s="201"/>
      <c r="T30" s="202"/>
      <c r="U30" s="588"/>
      <c r="V30" s="588"/>
      <c r="W30" s="588"/>
      <c r="X30" s="588"/>
      <c r="Y30" s="588"/>
      <c r="Z30" s="588"/>
      <c r="AA30" s="588"/>
      <c r="AB30" s="588"/>
      <c r="AC30" s="588"/>
      <c r="AD30" s="588"/>
      <c r="AE30" s="588"/>
      <c r="AF30" s="588"/>
      <c r="AG30" s="535"/>
    </row>
    <row r="31" spans="1:33" ht="12.75" hidden="1" customHeight="1" x14ac:dyDescent="0.2">
      <c r="D31" s="534"/>
      <c r="E31" s="203" cm="1">
        <f t="array" aca="1" ref="E31" ca="1">IF($R29=2,
         IF(AND(ACOMPANHAMENTO="PLE",ISNUMBER($F29)),
                SUMIF((OFFSET(CÁLCULO!$AM$15:$AW$15,$F29,0,OFFSET(ORÇAMENTO!$D$15,CRONO!$F29,0))),CRONO!E$12,OFFSET(CÁLCULO!$AB$15:$AL$15,$F29,0,OFFSET(ORÇAMENTO!$D$15,CRONO!$F29,0)))
                +IF(AND($F31&lt;&gt;"",$F31&lt;&gt;0),
                        SUMIF(CÁLCULO!$AM$15:$AW$105,CRONO!E$12,CÁLCULO!$AB$15:$AL$105)/(ORÇAMENTO!$X$15-_xlfn.SINGLE(CÁLCULO.TotalAdmLocal))*CRONO!$F31,
                        0),
                 E30*$S29),
          SUMIF(OFFSET($S31,1,0,$R29-2),($M29+1)&amp;"$",OFFSET(E31,1,0,$R29-2)))</f>
        <v>0</v>
      </c>
      <c r="F31" s="186" t="str">
        <f ca="1">IF(OR($R29&lt;&gt;2,AUTOEVENTO&lt;&gt;"manual",$F30&gt;0),"",
        IF(Import.TipoArredondamento="Tradicional",
              SUMIF(OFFSET(CÁLCULO!$M$15,CRONO!$F29,0,OFFSET(ORÇAMENTO!$D$15,CRONO!$F29,0)),1,OFFSET(ORÇAMENTO!$X$15,CRONO!$F29,0,OFFSET(ORÇAMENTO!$D$15,CRONO!$F29,0))),
              0))</f>
        <v/>
      </c>
      <c r="H31" s="204"/>
      <c r="S31" s="205" t="str">
        <f t="shared" ref="S31" ca="1" si="45">M29&amp;"$"</f>
        <v>2$</v>
      </c>
      <c r="T31" s="206"/>
      <c r="U31" s="203" cm="1">
        <f t="array" aca="1" ref="U31" ca="1">IF($R29=2,
         IF(AND(ACOMPANHAMENTO="PLE",ISNUMBER($F29)),
                SUMIF((OFFSET(CÁLCULO!$AM$15:$AW$15,$F29,0,OFFSET(ORÇAMENTO!$D$15,CRONO!$F29,0))),CRONO!U$12,OFFSET(CÁLCULO!$AB$15:$AL$15,$F29,0,OFFSET(ORÇAMENTO!$D$15,CRONO!$F29,0)))
                +IF(AND($F31&lt;&gt;"",$F31&lt;&gt;0),
                        SUMIF(CÁLCULO!$AM$15:$AW$105,CRONO!U$12,CÁLCULO!$AB$15:$AL$105)/(ORÇAMENTO!$X$15-_xlfn.SINGLE(CÁLCULO.TotalAdmLocal))*CRONO!$F31,
                        0),
                 U30*$S29),
          SUMIF(OFFSET($S31,1,0,$R29-2),($M29+1)&amp;"$",OFFSET(U31,1,0,$R29-2)))</f>
        <v>0</v>
      </c>
      <c r="V31" s="203" cm="1">
        <f t="array" aca="1" ref="V31" ca="1">IF($R29=2,
         IF(AND(ACOMPANHAMENTO="PLE",ISNUMBER($F29)),
                SUMIF((OFFSET(CÁLCULO!$AM$15:$AW$15,$F29,0,OFFSET(ORÇAMENTO!$D$15,CRONO!$F29,0))),CRONO!V$12,OFFSET(CÁLCULO!$AB$15:$AL$15,$F29,0,OFFSET(ORÇAMENTO!$D$15,CRONO!$F29,0)))
                +IF(AND($F31&lt;&gt;"",$F31&lt;&gt;0),
                        SUMIF(CÁLCULO!$AM$15:$AW$105,CRONO!V$12,CÁLCULO!$AB$15:$AL$105)/(ORÇAMENTO!$X$15-_xlfn.SINGLE(CÁLCULO.TotalAdmLocal))*CRONO!$F31,
                        0),
                 V30*$S29),
          SUMIF(OFFSET($S31,1,0,$R29-2),($M29+1)&amp;"$",OFFSET(V31,1,0,$R29-2)))</f>
        <v>0</v>
      </c>
      <c r="W31" s="203" cm="1">
        <f t="array" aca="1" ref="W31" ca="1">IF($R29=2,
         IF(AND(ACOMPANHAMENTO="PLE",ISNUMBER($F29)),
                SUMIF((OFFSET(CÁLCULO!$AM$15:$AW$15,$F29,0,OFFSET(ORÇAMENTO!$D$15,CRONO!$F29,0))),CRONO!W$12,OFFSET(CÁLCULO!$AB$15:$AL$15,$F29,0,OFFSET(ORÇAMENTO!$D$15,CRONO!$F29,0)))
                +IF(AND($F31&lt;&gt;"",$F31&lt;&gt;0),
                        SUMIF(CÁLCULO!$AM$15:$AW$105,CRONO!W$12,CÁLCULO!$AB$15:$AL$105)/(ORÇAMENTO!$X$15-_xlfn.SINGLE(CÁLCULO.TotalAdmLocal))*CRONO!$F31,
                        0),
                 W30*$S29),
          SUMIF(OFFSET($S31,1,0,$R29-2),($M29+1)&amp;"$",OFFSET(W31,1,0,$R29-2)))</f>
        <v>2857.22</v>
      </c>
      <c r="X31" s="203" cm="1">
        <f t="array" aca="1" ref="X31" ca="1">IF($R29=2,
         IF(AND(ACOMPANHAMENTO="PLE",ISNUMBER($F29)),
                SUMIF((OFFSET(CÁLCULO!$AM$15:$AW$15,$F29,0,OFFSET(ORÇAMENTO!$D$15,CRONO!$F29,0))),CRONO!X$12,OFFSET(CÁLCULO!$AB$15:$AL$15,$F29,0,OFFSET(ORÇAMENTO!$D$15,CRONO!$F29,0)))
                +IF(AND($F31&lt;&gt;"",$F31&lt;&gt;0),
                        SUMIF(CÁLCULO!$AM$15:$AW$105,CRONO!X$12,CÁLCULO!$AB$15:$AL$105)/(ORÇAMENTO!$X$15-_xlfn.SINGLE(CÁLCULO.TotalAdmLocal))*CRONO!$F31,
                        0),
                 X30*$S29),
          SUMIF(OFFSET($S31,1,0,$R29-2),($M29+1)&amp;"$",OFFSET(X31,1,0,$R29-2)))</f>
        <v>0</v>
      </c>
      <c r="Y31" s="203" cm="1">
        <f t="array" aca="1" ref="Y31" ca="1">IF($R29=2,
         IF(AND(ACOMPANHAMENTO="PLE",ISNUMBER($F29)),
                SUMIF((OFFSET(CÁLCULO!$AM$15:$AW$15,$F29,0,OFFSET(ORÇAMENTO!$D$15,CRONO!$F29,0))),CRONO!Y$12,OFFSET(CÁLCULO!$AB$15:$AL$15,$F29,0,OFFSET(ORÇAMENTO!$D$15,CRONO!$F29,0)))
                +IF(AND($F31&lt;&gt;"",$F31&lt;&gt;0),
                        SUMIF(CÁLCULO!$AM$15:$AW$105,CRONO!Y$12,CÁLCULO!$AB$15:$AL$105)/(ORÇAMENTO!$X$15-_xlfn.SINGLE(CÁLCULO.TotalAdmLocal))*CRONO!$F31,
                        0),
                 Y30*$S29),
          SUMIF(OFFSET($S31,1,0,$R29-2),($M29+1)&amp;"$",OFFSET(Y31,1,0,$R29-2)))</f>
        <v>0</v>
      </c>
      <c r="Z31" s="203" cm="1">
        <f t="array" aca="1" ref="Z31" ca="1">IF($R29=2,
         IF(AND(ACOMPANHAMENTO="PLE",ISNUMBER($F29)),
                SUMIF((OFFSET(CÁLCULO!$AM$15:$AW$15,$F29,0,OFFSET(ORÇAMENTO!$D$15,CRONO!$F29,0))),CRONO!Z$12,OFFSET(CÁLCULO!$AB$15:$AL$15,$F29,0,OFFSET(ORÇAMENTO!$D$15,CRONO!$F29,0)))
                +IF(AND($F31&lt;&gt;"",$F31&lt;&gt;0),
                        SUMIF(CÁLCULO!$AM$15:$AW$105,CRONO!Z$12,CÁLCULO!$AB$15:$AL$105)/(ORÇAMENTO!$X$15-_xlfn.SINGLE(CÁLCULO.TotalAdmLocal))*CRONO!$F31,
                        0),
                 Z30*$S29),
          SUMIF(OFFSET($S31,1,0,$R29-2),($M29+1)&amp;"$",OFFSET(Z31,1,0,$R29-2)))</f>
        <v>0</v>
      </c>
      <c r="AA31" s="203" cm="1">
        <f t="array" aca="1" ref="AA31" ca="1">IF($R29=2,
         IF(AND(ACOMPANHAMENTO="PLE",ISNUMBER($F29)),
                SUMIF((OFFSET(CÁLCULO!$AM$15:$AW$15,$F29,0,OFFSET(ORÇAMENTO!$D$15,CRONO!$F29,0))),CRONO!AA$12,OFFSET(CÁLCULO!$AB$15:$AL$15,$F29,0,OFFSET(ORÇAMENTO!$D$15,CRONO!$F29,0)))
                +IF(AND($F31&lt;&gt;"",$F31&lt;&gt;0),
                        SUMIF(CÁLCULO!$AM$15:$AW$105,CRONO!AA$12,CÁLCULO!$AB$15:$AL$105)/(ORÇAMENTO!$X$15-_xlfn.SINGLE(CÁLCULO.TotalAdmLocal))*CRONO!$F31,
                        0),
                 AA30*$S29),
          SUMIF(OFFSET($S31,1,0,$R29-2),($M29+1)&amp;"$",OFFSET(AA31,1,0,$R29-2)))</f>
        <v>0</v>
      </c>
      <c r="AB31" s="203" cm="1">
        <f t="array" aca="1" ref="AB31" ca="1">IF($R29=2,
         IF(AND(ACOMPANHAMENTO="PLE",ISNUMBER($F29)),
                SUMIF((OFFSET(CÁLCULO!$AM$15:$AW$15,$F29,0,OFFSET(ORÇAMENTO!$D$15,CRONO!$F29,0))),CRONO!AB$12,OFFSET(CÁLCULO!$AB$15:$AL$15,$F29,0,OFFSET(ORÇAMENTO!$D$15,CRONO!$F29,0)))
                +IF(AND($F31&lt;&gt;"",$F31&lt;&gt;0),
                        SUMIF(CÁLCULO!$AM$15:$AW$105,CRONO!AB$12,CÁLCULO!$AB$15:$AL$105)/(ORÇAMENTO!$X$15-_xlfn.SINGLE(CÁLCULO.TotalAdmLocal))*CRONO!$F31,
                        0),
                 AB30*$S29),
          SUMIF(OFFSET($S31,1,0,$R29-2),($M29+1)&amp;"$",OFFSET(AB31,1,0,$R29-2)))</f>
        <v>0</v>
      </c>
      <c r="AC31" s="203" cm="1">
        <f t="array" aca="1" ref="AC31" ca="1">IF($R29=2,
         IF(AND(ACOMPANHAMENTO="PLE",ISNUMBER($F29)),
                SUMIF((OFFSET(CÁLCULO!$AM$15:$AW$15,$F29,0,OFFSET(ORÇAMENTO!$D$15,CRONO!$F29,0))),CRONO!AC$12,OFFSET(CÁLCULO!$AB$15:$AL$15,$F29,0,OFFSET(ORÇAMENTO!$D$15,CRONO!$F29,0)))
                +IF(AND($F31&lt;&gt;"",$F31&lt;&gt;0),
                        SUMIF(CÁLCULO!$AM$15:$AW$105,CRONO!AC$12,CÁLCULO!$AB$15:$AL$105)/(ORÇAMENTO!$X$15-_xlfn.SINGLE(CÁLCULO.TotalAdmLocal))*CRONO!$F31,
                        0),
                 AC30*$S29),
          SUMIF(OFFSET($S31,1,0,$R29-2),($M29+1)&amp;"$",OFFSET(AC31,1,0,$R29-2)))</f>
        <v>0</v>
      </c>
      <c r="AD31" s="203" cm="1">
        <f t="array" aca="1" ref="AD31" ca="1">IF($R29=2,
         IF(AND(ACOMPANHAMENTO="PLE",ISNUMBER($F29)),
                SUMIF((OFFSET(CÁLCULO!$AM$15:$AW$15,$F29,0,OFFSET(ORÇAMENTO!$D$15,CRONO!$F29,0))),CRONO!AD$12,OFFSET(CÁLCULO!$AB$15:$AL$15,$F29,0,OFFSET(ORÇAMENTO!$D$15,CRONO!$F29,0)))
                +IF(AND($F31&lt;&gt;"",$F31&lt;&gt;0),
                        SUMIF(CÁLCULO!$AM$15:$AW$105,CRONO!AD$12,CÁLCULO!$AB$15:$AL$105)/(ORÇAMENTO!$X$15-_xlfn.SINGLE(CÁLCULO.TotalAdmLocal))*CRONO!$F31,
                        0),
                 AD30*$S29),
          SUMIF(OFFSET($S31,1,0,$R29-2),($M29+1)&amp;"$",OFFSET(AD31,1,0,$R29-2)))</f>
        <v>0</v>
      </c>
      <c r="AE31" s="203" cm="1">
        <f t="array" aca="1" ref="AE31" ca="1">IF($R29=2,
         IF(AND(ACOMPANHAMENTO="PLE",ISNUMBER($F29)),
                SUMIF((OFFSET(CÁLCULO!$AM$15:$AW$15,$F29,0,OFFSET(ORÇAMENTO!$D$15,CRONO!$F29,0))),CRONO!AE$12,OFFSET(CÁLCULO!$AB$15:$AL$15,$F29,0,OFFSET(ORÇAMENTO!$D$15,CRONO!$F29,0)))
                +IF(AND($F31&lt;&gt;"",$F31&lt;&gt;0),
                        SUMIF(CÁLCULO!$AM$15:$AW$105,CRONO!AE$12,CÁLCULO!$AB$15:$AL$105)/(ORÇAMENTO!$X$15-_xlfn.SINGLE(CÁLCULO.TotalAdmLocal))*CRONO!$F31,
                        0),
                 AE30*$S29),
          SUMIF(OFFSET($S31,1,0,$R29-2),($M29+1)&amp;"$",OFFSET(AE31,1,0,$R29-2)))</f>
        <v>0</v>
      </c>
      <c r="AF31" s="203" cm="1">
        <f t="array" aca="1" ref="AF31" ca="1">IF($R29=2,
         IF(AND(ACOMPANHAMENTO="PLE",ISNUMBER($F29)),
                SUMIF((OFFSET(CÁLCULO!$AM$15:$AW$15,$F29,0,OFFSET(ORÇAMENTO!$D$15,CRONO!$F29,0))),CRONO!AF$12,OFFSET(CÁLCULO!$AB$15:$AL$15,$F29,0,OFFSET(ORÇAMENTO!$D$15,CRONO!$F29,0)))
                +IF(AND($F31&lt;&gt;"",$F31&lt;&gt;0),
                        SUMIF(CÁLCULO!$AM$15:$AW$105,CRONO!AF$12,CÁLCULO!$AB$15:$AL$105)/(ORÇAMENTO!$X$15-_xlfn.SINGLE(CÁLCULO.TotalAdmLocal))*CRONO!$F31,
                        0),
                 AF30*$S29),
          SUMIF(OFFSET($S31,1,0,$R29-2),($M29+1)&amp;"$",OFFSET(AF31,1,0,$R29-2)))</f>
        <v>0</v>
      </c>
      <c r="AG31" s="535"/>
    </row>
    <row r="32" spans="1:33" x14ac:dyDescent="0.2">
      <c r="A32" s="187" t="str">
        <f t="shared" ref="A32" ca="1" si="46">IF($M32&gt;1,_xlfn.CONCAT($I32," ",$J32),"")</f>
        <v>1.6. READEQUAÇÃO DA FACHADA PRINCIPAL</v>
      </c>
      <c r="B32" s="186">
        <f t="shared" ref="B32" ca="1" si="47">OFFSET(B32,-3,0)+1</f>
        <v>7</v>
      </c>
      <c r="C32" s="186">
        <f ca="1">IF($R32&lt;&gt;2,0,IF($S32=0,1,IF(F33&gt;0,OFFSET(QCI!$M$13,SUBSTITUTE(F33,".",""),0),OFFSET(ORÇAMENTO!$AA$15,CRONO!$F32,0))/$S32))</f>
        <v>0.99999999999999989</v>
      </c>
      <c r="D32" s="186">
        <f ca="1">IF($R32&lt;&gt;2,0,IF($S32=0,1,IF(F33&gt;0,OFFSET(QCI!$N$13,SUBSTITUTE(F33,".",""),0),OFFSET(ORÇAMENTO!$AB$15,CRONO!$F32,0))/$S32))</f>
        <v>0</v>
      </c>
      <c r="E32" s="189" cm="1">
        <f t="array" aca="1" ref="E32" ca="1">IF(AND($R32=2,ACOMPANHAMENTO="BM"),ROUND(E33,4),E34/$S32)</f>
        <v>0.99999999999999989</v>
      </c>
      <c r="F32" s="186">
        <f ca="1">IF(B32&lt;=ORÇAMENTO.MáximoListaCrono,MATCH(B32,ORÇAMENTO.ListaCrono,0),NA())</f>
        <v>35</v>
      </c>
      <c r="G32" s="186" t="str">
        <f t="shared" ref="G32" ca="1" si="48">IF(AND($F33&lt;&gt;-1,$S32&gt;0),"F","")</f>
        <v>F</v>
      </c>
      <c r="H32" s="190" t="str" cm="1">
        <f t="array" aca="1" ref="H32" ca="1">IF(OR(S32=0,S32=""),"Linha",IF(AND(OR(ACOMPANHAMENTO="PLE",$R32&lt;&gt;2),$F33=0),"Linha",ROUND(1-SUM(U32:AG32),4)))</f>
        <v>Linha</v>
      </c>
      <c r="I32" s="191" t="str">
        <f ca="1">IF($F33=0,OFFSET(ORÇAMENTO!O$15,$F32,0),IF($F33&lt;&gt;-1,OFFSET(QCI!$D$13,$F33,0),""))</f>
        <v>1.6.</v>
      </c>
      <c r="J32" s="192" t="str">
        <f ca="1">IF($F33=0,OFFSET(ORÇAMENTO!R$15,$F32,0),IF($F33&lt;&gt;-1,OFFSET(QCI!$G$13,$F33,0),""))</f>
        <v>READEQUAÇÃO DA FACHADA PRINCIPAL</v>
      </c>
      <c r="K32" s="192"/>
      <c r="L32" s="192"/>
      <c r="M32" s="193">
        <f ca="1">IF($F33=0,OFFSET(ORÇAMENTO!C$15,$F32,0),1)</f>
        <v>2</v>
      </c>
      <c r="N32" s="194">
        <f t="shared" ref="N32" ca="1" si="49">IF($F33=-1,0,IF(N$13&lt;=$M32,IF(ISERROR(MATCH(N$13,OFFSET($M32,1,0,ROW($M$38)-ROW($M32)-1),0)),ROW($M$38)-ROW($M32)-1,MATCH(N$13,OFFSET($M32,1,0,ROW($M$38)-ROW($M32)-1),0)-1),0))</f>
        <v>5</v>
      </c>
      <c r="O32" s="194">
        <f t="shared" ref="O32" ca="1" si="50">IF($F33=-1,0,IF(O$13&lt;=$M32,IF(ISERROR(MATCH(O$13,OFFSET($M32,1,0,ROW($M$38)-ROW($M32)-1),0)),ROW($M$38)-ROW($M32)-1,MATCH(O$13,OFFSET($M32,1,0,ROW($M$38)-ROW($M32)-1),0)-1),0))</f>
        <v>2</v>
      </c>
      <c r="P32" s="194">
        <f t="shared" ref="P32" ca="1" si="51">IF($F33=-1,0,IF(P$13&lt;=$M32,IF(ISERROR(MATCH(P$13,OFFSET($M32,1,0,ROW($M$38)-ROW($M32)-1),0)),ROW($M$38)-ROW($M32)-1,MATCH(P$13,OFFSET($M32,1,0,ROW($M$38)-ROW($M32)-1),0)-1),0))</f>
        <v>0</v>
      </c>
      <c r="Q32" s="194">
        <f t="shared" ref="Q32" ca="1" si="52">IF($F33=-1,0,IF(Q$13&lt;=$M32,IF(ISERROR(MATCH(Q$13,OFFSET($M32,1,0,ROW($M$38)-ROW($M32)-1),0)),ROW($M$38)-ROW($M32)-1,MATCH(Q$13,OFFSET($M32,1,0,ROW($M$38)-ROW($M32)-1),0)-1),0))</f>
        <v>0</v>
      </c>
      <c r="R32" s="194">
        <f t="shared" ref="R32" ca="1" si="53">MIN(OFFSET(M32,0,1,,M32))</f>
        <v>2</v>
      </c>
      <c r="S32" s="195">
        <f ca="1">IF($F33=0,OFFSET(ORÇAMENTO!X$15,$F32,0),IF($F33&lt;&gt;-1,OFFSET(QCI!$O$13,$F33,0),""))</f>
        <v>61486.400000000001</v>
      </c>
      <c r="T32" s="196" t="s">
        <v>786</v>
      </c>
      <c r="U32" s="189" cm="1">
        <f t="array" aca="1" ref="U32" ca="1">IF(AND($R32=2,ACOMPANHAMENTO="BM"),ROUND(U33,4),U34/$S32)</f>
        <v>0.99999999999999989</v>
      </c>
      <c r="V32" s="189" cm="1">
        <f t="array" aca="1" ref="V32" ca="1">IF(AND($R32=2,ACOMPANHAMENTO="BM"),ROUND(V33,4),V34/$S32)</f>
        <v>0</v>
      </c>
      <c r="W32" s="189" cm="1">
        <f t="array" aca="1" ref="W32" ca="1">IF(AND($R32=2,ACOMPANHAMENTO="BM"),ROUND(W33,4),W34/$S32)</f>
        <v>0</v>
      </c>
      <c r="X32" s="189" cm="1">
        <f t="array" aca="1" ref="X32" ca="1">IF(AND($R32=2,ACOMPANHAMENTO="BM"),ROUND(X33,4),X34/$S32)</f>
        <v>0</v>
      </c>
      <c r="Y32" s="189" cm="1">
        <f t="array" aca="1" ref="Y32" ca="1">IF(AND($R32=2,ACOMPANHAMENTO="BM"),ROUND(Y33,4),Y34/$S32)</f>
        <v>0</v>
      </c>
      <c r="Z32" s="189" cm="1">
        <f t="array" aca="1" ref="Z32" ca="1">IF(AND($R32=2,ACOMPANHAMENTO="BM"),ROUND(Z33,4),Z34/$S32)</f>
        <v>0</v>
      </c>
      <c r="AA32" s="189" cm="1">
        <f t="array" aca="1" ref="AA32" ca="1">IF(AND($R32=2,ACOMPANHAMENTO="BM"),ROUND(AA33,4),AA34/$S32)</f>
        <v>0</v>
      </c>
      <c r="AB32" s="189" cm="1">
        <f t="array" aca="1" ref="AB32" ca="1">IF(AND($R32=2,ACOMPANHAMENTO="BM"),ROUND(AB33,4),AB34/$S32)</f>
        <v>0</v>
      </c>
      <c r="AC32" s="189" cm="1">
        <f t="array" aca="1" ref="AC32" ca="1">IF(AND($R32=2,ACOMPANHAMENTO="BM"),ROUND(AC33,4),AC34/$S32)</f>
        <v>0</v>
      </c>
      <c r="AD32" s="189" cm="1">
        <f t="array" aca="1" ref="AD32" ca="1">IF(AND($R32=2,ACOMPANHAMENTO="BM"),ROUND(AD33,4),AD34/$S32)</f>
        <v>0</v>
      </c>
      <c r="AE32" s="189" cm="1">
        <f t="array" aca="1" ref="AE32" ca="1">IF(AND($R32=2,ACOMPANHAMENTO="BM"),ROUND(AE33,4),AE34/$S32)</f>
        <v>0</v>
      </c>
      <c r="AF32" s="189" cm="1">
        <f t="array" aca="1" ref="AF32" ca="1">IF(AND($R32=2,ACOMPANHAMENTO="BM"),ROUND(AF33,4),AF34/$S32)</f>
        <v>0</v>
      </c>
      <c r="AG32" s="535"/>
    </row>
    <row r="33" spans="1:33" ht="12.75" hidden="1" customHeight="1" x14ac:dyDescent="0.2">
      <c r="E33" s="588"/>
      <c r="F33" s="186">
        <f ca="1">IF(ISERROR(F32),IF(1+COUNTIF($M$13:OFFSET(M32,-1,0),1)&lt;=MAX(QCI!$D$13:$D$24),1+COUNTIF($M$13:OFFSET(M32,-1,0),1),-1),0)</f>
        <v>0</v>
      </c>
      <c r="G33" s="186" t="str" cm="1">
        <f t="array" aca="1" ref="G33" ca="1">IF(ACOMPANHAMENTO="BM",OFFSET(G33,-1,0),"")</f>
        <v/>
      </c>
      <c r="H33" s="197" t="str" cm="1">
        <f t="array" aca="1" ref="H33" ca="1">IF(OR(S32=0,S32=""),"vazia",IF(AND(OR(ACOMPANHAMENTO="PLE",$R32&lt;&gt;2),$F33=0),"calculada","--&gt;"))</f>
        <v>calculada</v>
      </c>
      <c r="I33" s="198"/>
      <c r="J33" s="199" t="str">
        <f t="shared" ref="J33" ca="1" si="54">IF(AND(H32&lt;&gt;0,ISNUMBER(H32)),"PREENCHA ESTA LINHA --&gt;","")</f>
        <v/>
      </c>
      <c r="K33" s="199"/>
      <c r="L33" s="199"/>
      <c r="M33" s="200"/>
      <c r="N33" s="200"/>
      <c r="O33" s="200"/>
      <c r="P33" s="200"/>
      <c r="Q33" s="200"/>
      <c r="R33" s="200"/>
      <c r="S33" s="201"/>
      <c r="T33" s="202"/>
      <c r="U33" s="588"/>
      <c r="V33" s="588"/>
      <c r="W33" s="588"/>
      <c r="X33" s="588"/>
      <c r="Y33" s="588"/>
      <c r="Z33" s="588"/>
      <c r="AA33" s="588"/>
      <c r="AB33" s="588"/>
      <c r="AC33" s="588"/>
      <c r="AD33" s="588"/>
      <c r="AE33" s="588"/>
      <c r="AF33" s="588"/>
      <c r="AG33" s="535"/>
    </row>
    <row r="34" spans="1:33" ht="12.75" hidden="1" customHeight="1" x14ac:dyDescent="0.2">
      <c r="D34" s="534"/>
      <c r="E34" s="203" cm="1">
        <f t="array" aca="1" ref="E34" ca="1">IF($R32=2,
         IF(AND(ACOMPANHAMENTO="PLE",ISNUMBER($F32)),
                SUMIF((OFFSET(CÁLCULO!$AM$15:$AW$15,$F32,0,OFFSET(ORÇAMENTO!$D$15,CRONO!$F32,0))),CRONO!E$12,OFFSET(CÁLCULO!$AB$15:$AL$15,$F32,0,OFFSET(ORÇAMENTO!$D$15,CRONO!$F32,0)))
                +IF(AND($F34&lt;&gt;"",$F34&lt;&gt;0),
                        SUMIF(CÁLCULO!$AM$15:$AW$105,CRONO!E$12,CÁLCULO!$AB$15:$AL$105)/(ORÇAMENTO!$X$15-_xlfn.SINGLE(CÁLCULO.TotalAdmLocal))*CRONO!$F34,
                        0),
                 E33*$S32),
          SUMIF(OFFSET($S34,1,0,$R32-2),($M32+1)&amp;"$",OFFSET(E34,1,0,$R32-2)))</f>
        <v>61486.399999999994</v>
      </c>
      <c r="F34" s="186" t="str">
        <f ca="1">IF(OR($R32&lt;&gt;2,AUTOEVENTO&lt;&gt;"manual",$F33&gt;0),"",
        IF(Import.TipoArredondamento="Tradicional",
              SUMIF(OFFSET(CÁLCULO!$M$15,CRONO!$F32,0,OFFSET(ORÇAMENTO!$D$15,CRONO!$F32,0)),1,OFFSET(ORÇAMENTO!$X$15,CRONO!$F32,0,OFFSET(ORÇAMENTO!$D$15,CRONO!$F32,0))),
              0))</f>
        <v/>
      </c>
      <c r="H34" s="204"/>
      <c r="S34" s="205" t="str">
        <f t="shared" ref="S34" ca="1" si="55">M32&amp;"$"</f>
        <v>2$</v>
      </c>
      <c r="T34" s="206"/>
      <c r="U34" s="203" cm="1">
        <f t="array" aca="1" ref="U34" ca="1">IF($R32=2,
         IF(AND(ACOMPANHAMENTO="PLE",ISNUMBER($F32)),
                SUMIF((OFFSET(CÁLCULO!$AM$15:$AW$15,$F32,0,OFFSET(ORÇAMENTO!$D$15,CRONO!$F32,0))),CRONO!U$12,OFFSET(CÁLCULO!$AB$15:$AL$15,$F32,0,OFFSET(ORÇAMENTO!$D$15,CRONO!$F32,0)))
                +IF(AND($F34&lt;&gt;"",$F34&lt;&gt;0),
                        SUMIF(CÁLCULO!$AM$15:$AW$105,CRONO!U$12,CÁLCULO!$AB$15:$AL$105)/(ORÇAMENTO!$X$15-_xlfn.SINGLE(CÁLCULO.TotalAdmLocal))*CRONO!$F34,
                        0),
                 U33*$S32),
          SUMIF(OFFSET($S34,1,0,$R32-2),($M32+1)&amp;"$",OFFSET(U34,1,0,$R32-2)))</f>
        <v>61486.399999999994</v>
      </c>
      <c r="V34" s="203" cm="1">
        <f t="array" aca="1" ref="V34" ca="1">IF($R32=2,
         IF(AND(ACOMPANHAMENTO="PLE",ISNUMBER($F32)),
                SUMIF((OFFSET(CÁLCULO!$AM$15:$AW$15,$F32,0,OFFSET(ORÇAMENTO!$D$15,CRONO!$F32,0))),CRONO!V$12,OFFSET(CÁLCULO!$AB$15:$AL$15,$F32,0,OFFSET(ORÇAMENTO!$D$15,CRONO!$F32,0)))
                +IF(AND($F34&lt;&gt;"",$F34&lt;&gt;0),
                        SUMIF(CÁLCULO!$AM$15:$AW$105,CRONO!V$12,CÁLCULO!$AB$15:$AL$105)/(ORÇAMENTO!$X$15-_xlfn.SINGLE(CÁLCULO.TotalAdmLocal))*CRONO!$F34,
                        0),
                 V33*$S32),
          SUMIF(OFFSET($S34,1,0,$R32-2),($M32+1)&amp;"$",OFFSET(V34,1,0,$R32-2)))</f>
        <v>0</v>
      </c>
      <c r="W34" s="203" cm="1">
        <f t="array" aca="1" ref="W34" ca="1">IF($R32=2,
         IF(AND(ACOMPANHAMENTO="PLE",ISNUMBER($F32)),
                SUMIF((OFFSET(CÁLCULO!$AM$15:$AW$15,$F32,0,OFFSET(ORÇAMENTO!$D$15,CRONO!$F32,0))),CRONO!W$12,OFFSET(CÁLCULO!$AB$15:$AL$15,$F32,0,OFFSET(ORÇAMENTO!$D$15,CRONO!$F32,0)))
                +IF(AND($F34&lt;&gt;"",$F34&lt;&gt;0),
                        SUMIF(CÁLCULO!$AM$15:$AW$105,CRONO!W$12,CÁLCULO!$AB$15:$AL$105)/(ORÇAMENTO!$X$15-_xlfn.SINGLE(CÁLCULO.TotalAdmLocal))*CRONO!$F34,
                        0),
                 W33*$S32),
          SUMIF(OFFSET($S34,1,0,$R32-2),($M32+1)&amp;"$",OFFSET(W34,1,0,$R32-2)))</f>
        <v>0</v>
      </c>
      <c r="X34" s="203" cm="1">
        <f t="array" aca="1" ref="X34" ca="1">IF($R32=2,
         IF(AND(ACOMPANHAMENTO="PLE",ISNUMBER($F32)),
                SUMIF((OFFSET(CÁLCULO!$AM$15:$AW$15,$F32,0,OFFSET(ORÇAMENTO!$D$15,CRONO!$F32,0))),CRONO!X$12,OFFSET(CÁLCULO!$AB$15:$AL$15,$F32,0,OFFSET(ORÇAMENTO!$D$15,CRONO!$F32,0)))
                +IF(AND($F34&lt;&gt;"",$F34&lt;&gt;0),
                        SUMIF(CÁLCULO!$AM$15:$AW$105,CRONO!X$12,CÁLCULO!$AB$15:$AL$105)/(ORÇAMENTO!$X$15-_xlfn.SINGLE(CÁLCULO.TotalAdmLocal))*CRONO!$F34,
                        0),
                 X33*$S32),
          SUMIF(OFFSET($S34,1,0,$R32-2),($M32+1)&amp;"$",OFFSET(X34,1,0,$R32-2)))</f>
        <v>0</v>
      </c>
      <c r="Y34" s="203" cm="1">
        <f t="array" aca="1" ref="Y34" ca="1">IF($R32=2,
         IF(AND(ACOMPANHAMENTO="PLE",ISNUMBER($F32)),
                SUMIF((OFFSET(CÁLCULO!$AM$15:$AW$15,$F32,0,OFFSET(ORÇAMENTO!$D$15,CRONO!$F32,0))),CRONO!Y$12,OFFSET(CÁLCULO!$AB$15:$AL$15,$F32,0,OFFSET(ORÇAMENTO!$D$15,CRONO!$F32,0)))
                +IF(AND($F34&lt;&gt;"",$F34&lt;&gt;0),
                        SUMIF(CÁLCULO!$AM$15:$AW$105,CRONO!Y$12,CÁLCULO!$AB$15:$AL$105)/(ORÇAMENTO!$X$15-_xlfn.SINGLE(CÁLCULO.TotalAdmLocal))*CRONO!$F34,
                        0),
                 Y33*$S32),
          SUMIF(OFFSET($S34,1,0,$R32-2),($M32+1)&amp;"$",OFFSET(Y34,1,0,$R32-2)))</f>
        <v>0</v>
      </c>
      <c r="Z34" s="203" cm="1">
        <f t="array" aca="1" ref="Z34" ca="1">IF($R32=2,
         IF(AND(ACOMPANHAMENTO="PLE",ISNUMBER($F32)),
                SUMIF((OFFSET(CÁLCULO!$AM$15:$AW$15,$F32,0,OFFSET(ORÇAMENTO!$D$15,CRONO!$F32,0))),CRONO!Z$12,OFFSET(CÁLCULO!$AB$15:$AL$15,$F32,0,OFFSET(ORÇAMENTO!$D$15,CRONO!$F32,0)))
                +IF(AND($F34&lt;&gt;"",$F34&lt;&gt;0),
                        SUMIF(CÁLCULO!$AM$15:$AW$105,CRONO!Z$12,CÁLCULO!$AB$15:$AL$105)/(ORÇAMENTO!$X$15-_xlfn.SINGLE(CÁLCULO.TotalAdmLocal))*CRONO!$F34,
                        0),
                 Z33*$S32),
          SUMIF(OFFSET($S34,1,0,$R32-2),($M32+1)&amp;"$",OFFSET(Z34,1,0,$R32-2)))</f>
        <v>0</v>
      </c>
      <c r="AA34" s="203" cm="1">
        <f t="array" aca="1" ref="AA34" ca="1">IF($R32=2,
         IF(AND(ACOMPANHAMENTO="PLE",ISNUMBER($F32)),
                SUMIF((OFFSET(CÁLCULO!$AM$15:$AW$15,$F32,0,OFFSET(ORÇAMENTO!$D$15,CRONO!$F32,0))),CRONO!AA$12,OFFSET(CÁLCULO!$AB$15:$AL$15,$F32,0,OFFSET(ORÇAMENTO!$D$15,CRONO!$F32,0)))
                +IF(AND($F34&lt;&gt;"",$F34&lt;&gt;0),
                        SUMIF(CÁLCULO!$AM$15:$AW$105,CRONO!AA$12,CÁLCULO!$AB$15:$AL$105)/(ORÇAMENTO!$X$15-_xlfn.SINGLE(CÁLCULO.TotalAdmLocal))*CRONO!$F34,
                        0),
                 AA33*$S32),
          SUMIF(OFFSET($S34,1,0,$R32-2),($M32+1)&amp;"$",OFFSET(AA34,1,0,$R32-2)))</f>
        <v>0</v>
      </c>
      <c r="AB34" s="203" cm="1">
        <f t="array" aca="1" ref="AB34" ca="1">IF($R32=2,
         IF(AND(ACOMPANHAMENTO="PLE",ISNUMBER($F32)),
                SUMIF((OFFSET(CÁLCULO!$AM$15:$AW$15,$F32,0,OFFSET(ORÇAMENTO!$D$15,CRONO!$F32,0))),CRONO!AB$12,OFFSET(CÁLCULO!$AB$15:$AL$15,$F32,0,OFFSET(ORÇAMENTO!$D$15,CRONO!$F32,0)))
                +IF(AND($F34&lt;&gt;"",$F34&lt;&gt;0),
                        SUMIF(CÁLCULO!$AM$15:$AW$105,CRONO!AB$12,CÁLCULO!$AB$15:$AL$105)/(ORÇAMENTO!$X$15-_xlfn.SINGLE(CÁLCULO.TotalAdmLocal))*CRONO!$F34,
                        0),
                 AB33*$S32),
          SUMIF(OFFSET($S34,1,0,$R32-2),($M32+1)&amp;"$",OFFSET(AB34,1,0,$R32-2)))</f>
        <v>0</v>
      </c>
      <c r="AC34" s="203" cm="1">
        <f t="array" aca="1" ref="AC34" ca="1">IF($R32=2,
         IF(AND(ACOMPANHAMENTO="PLE",ISNUMBER($F32)),
                SUMIF((OFFSET(CÁLCULO!$AM$15:$AW$15,$F32,0,OFFSET(ORÇAMENTO!$D$15,CRONO!$F32,0))),CRONO!AC$12,OFFSET(CÁLCULO!$AB$15:$AL$15,$F32,0,OFFSET(ORÇAMENTO!$D$15,CRONO!$F32,0)))
                +IF(AND($F34&lt;&gt;"",$F34&lt;&gt;0),
                        SUMIF(CÁLCULO!$AM$15:$AW$105,CRONO!AC$12,CÁLCULO!$AB$15:$AL$105)/(ORÇAMENTO!$X$15-_xlfn.SINGLE(CÁLCULO.TotalAdmLocal))*CRONO!$F34,
                        0),
                 AC33*$S32),
          SUMIF(OFFSET($S34,1,0,$R32-2),($M32+1)&amp;"$",OFFSET(AC34,1,0,$R32-2)))</f>
        <v>0</v>
      </c>
      <c r="AD34" s="203" cm="1">
        <f t="array" aca="1" ref="AD34" ca="1">IF($R32=2,
         IF(AND(ACOMPANHAMENTO="PLE",ISNUMBER($F32)),
                SUMIF((OFFSET(CÁLCULO!$AM$15:$AW$15,$F32,0,OFFSET(ORÇAMENTO!$D$15,CRONO!$F32,0))),CRONO!AD$12,OFFSET(CÁLCULO!$AB$15:$AL$15,$F32,0,OFFSET(ORÇAMENTO!$D$15,CRONO!$F32,0)))
                +IF(AND($F34&lt;&gt;"",$F34&lt;&gt;0),
                        SUMIF(CÁLCULO!$AM$15:$AW$105,CRONO!AD$12,CÁLCULO!$AB$15:$AL$105)/(ORÇAMENTO!$X$15-_xlfn.SINGLE(CÁLCULO.TotalAdmLocal))*CRONO!$F34,
                        0),
                 AD33*$S32),
          SUMIF(OFFSET($S34,1,0,$R32-2),($M32+1)&amp;"$",OFFSET(AD34,1,0,$R32-2)))</f>
        <v>0</v>
      </c>
      <c r="AE34" s="203" cm="1">
        <f t="array" aca="1" ref="AE34" ca="1">IF($R32=2,
         IF(AND(ACOMPANHAMENTO="PLE",ISNUMBER($F32)),
                SUMIF((OFFSET(CÁLCULO!$AM$15:$AW$15,$F32,0,OFFSET(ORÇAMENTO!$D$15,CRONO!$F32,0))),CRONO!AE$12,OFFSET(CÁLCULO!$AB$15:$AL$15,$F32,0,OFFSET(ORÇAMENTO!$D$15,CRONO!$F32,0)))
                +IF(AND($F34&lt;&gt;"",$F34&lt;&gt;0),
                        SUMIF(CÁLCULO!$AM$15:$AW$105,CRONO!AE$12,CÁLCULO!$AB$15:$AL$105)/(ORÇAMENTO!$X$15-_xlfn.SINGLE(CÁLCULO.TotalAdmLocal))*CRONO!$F34,
                        0),
                 AE33*$S32),
          SUMIF(OFFSET($S34,1,0,$R32-2),($M32+1)&amp;"$",OFFSET(AE34,1,0,$R32-2)))</f>
        <v>0</v>
      </c>
      <c r="AF34" s="203" cm="1">
        <f t="array" aca="1" ref="AF34" ca="1">IF($R32=2,
         IF(AND(ACOMPANHAMENTO="PLE",ISNUMBER($F32)),
                SUMIF((OFFSET(CÁLCULO!$AM$15:$AW$15,$F32,0,OFFSET(ORÇAMENTO!$D$15,CRONO!$F32,0))),CRONO!AF$12,OFFSET(CÁLCULO!$AB$15:$AL$15,$F32,0,OFFSET(ORÇAMENTO!$D$15,CRONO!$F32,0)))
                +IF(AND($F34&lt;&gt;"",$F34&lt;&gt;0),
                        SUMIF(CÁLCULO!$AM$15:$AW$105,CRONO!AF$12,CÁLCULO!$AB$15:$AL$105)/(ORÇAMENTO!$X$15-_xlfn.SINGLE(CÁLCULO.TotalAdmLocal))*CRONO!$F34,
                        0),
                 AF33*$S32),
          SUMIF(OFFSET($S34,1,0,$R32-2),($M32+1)&amp;"$",OFFSET(AF34,1,0,$R32-2)))</f>
        <v>0</v>
      </c>
      <c r="AG34" s="535"/>
    </row>
    <row r="35" spans="1:33" x14ac:dyDescent="0.2">
      <c r="A35" s="187" t="str">
        <f t="shared" ref="A35" ca="1" si="56">IF($M35&gt;1,_xlfn.CONCAT($I35," ",$J35),"")</f>
        <v>1.7. MURRO DE ARRIMO</v>
      </c>
      <c r="B35" s="186">
        <f t="shared" ref="B35" ca="1" si="57">OFFSET(B35,-3,0)+1</f>
        <v>8</v>
      </c>
      <c r="C35" s="186">
        <f ca="1">IF($R35&lt;&gt;2,0,IF($S35=0,1,IF(F36&gt;0,OFFSET(QCI!$M$13,SUBSTITUTE(F36,".",""),0),OFFSET(ORÇAMENTO!$AA$15,CRONO!$F35,0))/$S35))</f>
        <v>1</v>
      </c>
      <c r="D35" s="186">
        <f ca="1">IF($R35&lt;&gt;2,0,IF($S35=0,1,IF(F36&gt;0,OFFSET(QCI!$N$13,SUBSTITUTE(F36,".",""),0),OFFSET(ORÇAMENTO!$AB$15,CRONO!$F35,0))/$S35))</f>
        <v>0</v>
      </c>
      <c r="E35" s="189" cm="1">
        <f t="array" aca="1" ref="E35" ca="1">IF(AND($R35=2,ACOMPANHAMENTO="BM"),ROUND(E36,4),E37/$S35)</f>
        <v>1</v>
      </c>
      <c r="F35" s="186">
        <f ca="1">IF(B35&lt;=ORÇAMENTO.MáximoListaCrono,MATCH(B35,ORÇAMENTO.ListaCrono,0),NA())</f>
        <v>72</v>
      </c>
      <c r="G35" s="186" t="str">
        <f t="shared" ref="G35" ca="1" si="58">IF(AND($F36&lt;&gt;-1,$S35&gt;0),"F","")</f>
        <v>F</v>
      </c>
      <c r="H35" s="190" t="str" cm="1">
        <f t="array" aca="1" ref="H35" ca="1">IF(OR(S35=0,S35=""),"Linha",IF(AND(OR(ACOMPANHAMENTO="PLE",$R35&lt;&gt;2),$F36=0),"Linha",ROUND(1-SUM(U35:AG35),4)))</f>
        <v>Linha</v>
      </c>
      <c r="I35" s="191" t="str">
        <f ca="1">IF($F36=0,OFFSET(ORÇAMENTO!O$15,$F35,0),IF($F36&lt;&gt;-1,OFFSET(QCI!$D$13,$F36,0),""))</f>
        <v>1.7.</v>
      </c>
      <c r="J35" s="192" t="str">
        <f ca="1">IF($F36=0,OFFSET(ORÇAMENTO!R$15,$F35,0),IF($F36&lt;&gt;-1,OFFSET(QCI!$G$13,$F36,0),""))</f>
        <v>MURRO DE ARRIMO</v>
      </c>
      <c r="K35" s="192"/>
      <c r="L35" s="192"/>
      <c r="M35" s="193">
        <f ca="1">IF($F36=0,OFFSET(ORÇAMENTO!C$15,$F35,0),1)</f>
        <v>2</v>
      </c>
      <c r="N35" s="194">
        <f t="shared" ref="N35" ca="1" si="59">IF($F36=-1,0,IF(N$13&lt;=$M35,IF(ISERROR(MATCH(N$13,OFFSET($M35,1,0,ROW($M$38)-ROW($M35)-1),0)),ROW($M$38)-ROW($M35)-1,MATCH(N$13,OFFSET($M35,1,0,ROW($M$38)-ROW($M35)-1),0)-1),0))</f>
        <v>2</v>
      </c>
      <c r="O35" s="194">
        <f t="shared" ref="O35" ca="1" si="60">IF($F36=-1,0,IF(O$13&lt;=$M35,IF(ISERROR(MATCH(O$13,OFFSET($M35,1,0,ROW($M$38)-ROW($M35)-1),0)),ROW($M$38)-ROW($M35)-1,MATCH(O$13,OFFSET($M35,1,0,ROW($M$38)-ROW($M35)-1),0)-1),0))</f>
        <v>2</v>
      </c>
      <c r="P35" s="194">
        <f t="shared" ref="P35" ca="1" si="61">IF($F36=-1,0,IF(P$13&lt;=$M35,IF(ISERROR(MATCH(P$13,OFFSET($M35,1,0,ROW($M$38)-ROW($M35)-1),0)),ROW($M$38)-ROW($M35)-1,MATCH(P$13,OFFSET($M35,1,0,ROW($M$38)-ROW($M35)-1),0)-1),0))</f>
        <v>0</v>
      </c>
      <c r="Q35" s="194">
        <f t="shared" ref="Q35" ca="1" si="62">IF($F36=-1,0,IF(Q$13&lt;=$M35,IF(ISERROR(MATCH(Q$13,OFFSET($M35,1,0,ROW($M$38)-ROW($M35)-1),0)),ROW($M$38)-ROW($M35)-1,MATCH(Q$13,OFFSET($M35,1,0,ROW($M$38)-ROW($M35)-1),0)-1),0))</f>
        <v>0</v>
      </c>
      <c r="R35" s="194">
        <f t="shared" ref="R35" ca="1" si="63">MIN(OFFSET(M35,0,1,,M35))</f>
        <v>2</v>
      </c>
      <c r="S35" s="195">
        <f ca="1">IF($F36=0,OFFSET(ORÇAMENTO!X$15,$F35,0),IF($F36&lt;&gt;-1,OFFSET(QCI!$O$13,$F36,0),""))</f>
        <v>70981.37</v>
      </c>
      <c r="T35" s="196" t="s">
        <v>786</v>
      </c>
      <c r="U35" s="189" cm="1">
        <f t="array" aca="1" ref="U35" ca="1">IF(AND($R35=2,ACOMPANHAMENTO="BM"),ROUND(U36,4),U37/$S35)</f>
        <v>1</v>
      </c>
      <c r="V35" s="189" cm="1">
        <f t="array" aca="1" ref="V35" ca="1">IF(AND($R35=2,ACOMPANHAMENTO="BM"),ROUND(V36,4),V37/$S35)</f>
        <v>0</v>
      </c>
      <c r="W35" s="189" cm="1">
        <f t="array" aca="1" ref="W35" ca="1">IF(AND($R35=2,ACOMPANHAMENTO="BM"),ROUND(W36,4),W37/$S35)</f>
        <v>0</v>
      </c>
      <c r="X35" s="189" cm="1">
        <f t="array" aca="1" ref="X35" ca="1">IF(AND($R35=2,ACOMPANHAMENTO="BM"),ROUND(X36,4),X37/$S35)</f>
        <v>0</v>
      </c>
      <c r="Y35" s="189" cm="1">
        <f t="array" aca="1" ref="Y35" ca="1">IF(AND($R35=2,ACOMPANHAMENTO="BM"),ROUND(Y36,4),Y37/$S35)</f>
        <v>0</v>
      </c>
      <c r="Z35" s="189" cm="1">
        <f t="array" aca="1" ref="Z35" ca="1">IF(AND($R35=2,ACOMPANHAMENTO="BM"),ROUND(Z36,4),Z37/$S35)</f>
        <v>0</v>
      </c>
      <c r="AA35" s="189" cm="1">
        <f t="array" aca="1" ref="AA35" ca="1">IF(AND($R35=2,ACOMPANHAMENTO="BM"),ROUND(AA36,4),AA37/$S35)</f>
        <v>0</v>
      </c>
      <c r="AB35" s="189" cm="1">
        <f t="array" aca="1" ref="AB35" ca="1">IF(AND($R35=2,ACOMPANHAMENTO="BM"),ROUND(AB36,4),AB37/$S35)</f>
        <v>0</v>
      </c>
      <c r="AC35" s="189" cm="1">
        <f t="array" aca="1" ref="AC35" ca="1">IF(AND($R35=2,ACOMPANHAMENTO="BM"),ROUND(AC36,4),AC37/$S35)</f>
        <v>0</v>
      </c>
      <c r="AD35" s="189" cm="1">
        <f t="array" aca="1" ref="AD35" ca="1">IF(AND($R35=2,ACOMPANHAMENTO="BM"),ROUND(AD36,4),AD37/$S35)</f>
        <v>0</v>
      </c>
      <c r="AE35" s="189" cm="1">
        <f t="array" aca="1" ref="AE35" ca="1">IF(AND($R35=2,ACOMPANHAMENTO="BM"),ROUND(AE36,4),AE37/$S35)</f>
        <v>0</v>
      </c>
      <c r="AF35" s="189" cm="1">
        <f t="array" aca="1" ref="AF35" ca="1">IF(AND($R35=2,ACOMPANHAMENTO="BM"),ROUND(AF36,4),AF37/$S35)</f>
        <v>0</v>
      </c>
      <c r="AG35" s="535"/>
    </row>
    <row r="36" spans="1:33" ht="12.75" hidden="1" customHeight="1" x14ac:dyDescent="0.2">
      <c r="E36" s="588"/>
      <c r="F36" s="186">
        <f ca="1">IF(ISERROR(F35),IF(1+COUNTIF($M$13:OFFSET(M35,-1,0),1)&lt;=MAX(QCI!$D$13:$D$24),1+COUNTIF($M$13:OFFSET(M35,-1,0),1),-1),0)</f>
        <v>0</v>
      </c>
      <c r="G36" s="186" t="str" cm="1">
        <f t="array" aca="1" ref="G36" ca="1">IF(ACOMPANHAMENTO="BM",OFFSET(G36,-1,0),"")</f>
        <v/>
      </c>
      <c r="H36" s="197" t="str" cm="1">
        <f t="array" aca="1" ref="H36" ca="1">IF(OR(S35=0,S35=""),"vazia",IF(AND(OR(ACOMPANHAMENTO="PLE",$R35&lt;&gt;2),$F36=0),"calculada","--&gt;"))</f>
        <v>calculada</v>
      </c>
      <c r="I36" s="198"/>
      <c r="J36" s="199" t="str">
        <f t="shared" ref="J36" ca="1" si="64">IF(AND(H35&lt;&gt;0,ISNUMBER(H35)),"PREENCHA ESTA LINHA --&gt;","")</f>
        <v/>
      </c>
      <c r="K36" s="199"/>
      <c r="L36" s="199"/>
      <c r="M36" s="200"/>
      <c r="N36" s="200"/>
      <c r="O36" s="200"/>
      <c r="P36" s="200"/>
      <c r="Q36" s="200"/>
      <c r="R36" s="200"/>
      <c r="S36" s="201"/>
      <c r="T36" s="202"/>
      <c r="U36" s="588"/>
      <c r="V36" s="588"/>
      <c r="W36" s="588"/>
      <c r="X36" s="588"/>
      <c r="Y36" s="588"/>
      <c r="Z36" s="588"/>
      <c r="AA36" s="588"/>
      <c r="AB36" s="588"/>
      <c r="AC36" s="588"/>
      <c r="AD36" s="588"/>
      <c r="AE36" s="588"/>
      <c r="AF36" s="588"/>
      <c r="AG36" s="535"/>
    </row>
    <row r="37" spans="1:33" ht="12.75" hidden="1" customHeight="1" x14ac:dyDescent="0.2">
      <c r="D37" s="534"/>
      <c r="E37" s="203" cm="1">
        <f t="array" aca="1" ref="E37" ca="1">IF($R35=2,
         IF(AND(ACOMPANHAMENTO="PLE",ISNUMBER($F35)),
                SUMIF((OFFSET(CÁLCULO!$AM$15:$AW$15,$F35,0,OFFSET(ORÇAMENTO!$D$15,CRONO!$F35,0))),CRONO!E$12,OFFSET(CÁLCULO!$AB$15:$AL$15,$F35,0,OFFSET(ORÇAMENTO!$D$15,CRONO!$F35,0)))
                +IF(AND($F37&lt;&gt;"",$F37&lt;&gt;0),
                        SUMIF(CÁLCULO!$AM$15:$AW$105,CRONO!E$12,CÁLCULO!$AB$15:$AL$105)/(ORÇAMENTO!$X$15-_xlfn.SINGLE(CÁLCULO.TotalAdmLocal))*CRONO!$F37,
                        0),
                 E36*$S35),
          SUMIF(OFFSET($S37,1,0,$R35-2),($M35+1)&amp;"$",OFFSET(E37,1,0,$R35-2)))</f>
        <v>70981.37</v>
      </c>
      <c r="F37" s="186" t="str">
        <f ca="1">IF(OR($R35&lt;&gt;2,AUTOEVENTO&lt;&gt;"manual",$F36&gt;0),"",
        IF(Import.TipoArredondamento="Tradicional",
              SUMIF(OFFSET(CÁLCULO!$M$15,CRONO!$F35,0,OFFSET(ORÇAMENTO!$D$15,CRONO!$F35,0)),1,OFFSET(ORÇAMENTO!$X$15,CRONO!$F35,0,OFFSET(ORÇAMENTO!$D$15,CRONO!$F35,0))),
              0))</f>
        <v/>
      </c>
      <c r="H37" s="204"/>
      <c r="S37" s="205" t="str">
        <f t="shared" ref="S37" ca="1" si="65">M35&amp;"$"</f>
        <v>2$</v>
      </c>
      <c r="T37" s="206"/>
      <c r="U37" s="203" cm="1">
        <f t="array" aca="1" ref="U37" ca="1">IF($R35=2,
         IF(AND(ACOMPANHAMENTO="PLE",ISNUMBER($F35)),
                SUMIF((OFFSET(CÁLCULO!$AM$15:$AW$15,$F35,0,OFFSET(ORÇAMENTO!$D$15,CRONO!$F35,0))),CRONO!U$12,OFFSET(CÁLCULO!$AB$15:$AL$15,$F35,0,OFFSET(ORÇAMENTO!$D$15,CRONO!$F35,0)))
                +IF(AND($F37&lt;&gt;"",$F37&lt;&gt;0),
                        SUMIF(CÁLCULO!$AM$15:$AW$105,CRONO!U$12,CÁLCULO!$AB$15:$AL$105)/(ORÇAMENTO!$X$15-_xlfn.SINGLE(CÁLCULO.TotalAdmLocal))*CRONO!$F37,
                        0),
                 U36*$S35),
          SUMIF(OFFSET($S37,1,0,$R35-2),($M35+1)&amp;"$",OFFSET(U37,1,0,$R35-2)))</f>
        <v>70981.37</v>
      </c>
      <c r="V37" s="203" cm="1">
        <f t="array" aca="1" ref="V37" ca="1">IF($R35=2,
         IF(AND(ACOMPANHAMENTO="PLE",ISNUMBER($F35)),
                SUMIF((OFFSET(CÁLCULO!$AM$15:$AW$15,$F35,0,OFFSET(ORÇAMENTO!$D$15,CRONO!$F35,0))),CRONO!V$12,OFFSET(CÁLCULO!$AB$15:$AL$15,$F35,0,OFFSET(ORÇAMENTO!$D$15,CRONO!$F35,0)))
                +IF(AND($F37&lt;&gt;"",$F37&lt;&gt;0),
                        SUMIF(CÁLCULO!$AM$15:$AW$105,CRONO!V$12,CÁLCULO!$AB$15:$AL$105)/(ORÇAMENTO!$X$15-_xlfn.SINGLE(CÁLCULO.TotalAdmLocal))*CRONO!$F37,
                        0),
                 V36*$S35),
          SUMIF(OFFSET($S37,1,0,$R35-2),($M35+1)&amp;"$",OFFSET(V37,1,0,$R35-2)))</f>
        <v>0</v>
      </c>
      <c r="W37" s="203" cm="1">
        <f t="array" aca="1" ref="W37" ca="1">IF($R35=2,
         IF(AND(ACOMPANHAMENTO="PLE",ISNUMBER($F35)),
                SUMIF((OFFSET(CÁLCULO!$AM$15:$AW$15,$F35,0,OFFSET(ORÇAMENTO!$D$15,CRONO!$F35,0))),CRONO!W$12,OFFSET(CÁLCULO!$AB$15:$AL$15,$F35,0,OFFSET(ORÇAMENTO!$D$15,CRONO!$F35,0)))
                +IF(AND($F37&lt;&gt;"",$F37&lt;&gt;0),
                        SUMIF(CÁLCULO!$AM$15:$AW$105,CRONO!W$12,CÁLCULO!$AB$15:$AL$105)/(ORÇAMENTO!$X$15-_xlfn.SINGLE(CÁLCULO.TotalAdmLocal))*CRONO!$F37,
                        0),
                 W36*$S35),
          SUMIF(OFFSET($S37,1,0,$R35-2),($M35+1)&amp;"$",OFFSET(W37,1,0,$R35-2)))</f>
        <v>0</v>
      </c>
      <c r="X37" s="203" cm="1">
        <f t="array" aca="1" ref="X37" ca="1">IF($R35=2,
         IF(AND(ACOMPANHAMENTO="PLE",ISNUMBER($F35)),
                SUMIF((OFFSET(CÁLCULO!$AM$15:$AW$15,$F35,0,OFFSET(ORÇAMENTO!$D$15,CRONO!$F35,0))),CRONO!X$12,OFFSET(CÁLCULO!$AB$15:$AL$15,$F35,0,OFFSET(ORÇAMENTO!$D$15,CRONO!$F35,0)))
                +IF(AND($F37&lt;&gt;"",$F37&lt;&gt;0),
                        SUMIF(CÁLCULO!$AM$15:$AW$105,CRONO!X$12,CÁLCULO!$AB$15:$AL$105)/(ORÇAMENTO!$X$15-_xlfn.SINGLE(CÁLCULO.TotalAdmLocal))*CRONO!$F37,
                        0),
                 X36*$S35),
          SUMIF(OFFSET($S37,1,0,$R35-2),($M35+1)&amp;"$",OFFSET(X37,1,0,$R35-2)))</f>
        <v>0</v>
      </c>
      <c r="Y37" s="203" cm="1">
        <f t="array" aca="1" ref="Y37" ca="1">IF($R35=2,
         IF(AND(ACOMPANHAMENTO="PLE",ISNUMBER($F35)),
                SUMIF((OFFSET(CÁLCULO!$AM$15:$AW$15,$F35,0,OFFSET(ORÇAMENTO!$D$15,CRONO!$F35,0))),CRONO!Y$12,OFFSET(CÁLCULO!$AB$15:$AL$15,$F35,0,OFFSET(ORÇAMENTO!$D$15,CRONO!$F35,0)))
                +IF(AND($F37&lt;&gt;"",$F37&lt;&gt;0),
                        SUMIF(CÁLCULO!$AM$15:$AW$105,CRONO!Y$12,CÁLCULO!$AB$15:$AL$105)/(ORÇAMENTO!$X$15-_xlfn.SINGLE(CÁLCULO.TotalAdmLocal))*CRONO!$F37,
                        0),
                 Y36*$S35),
          SUMIF(OFFSET($S37,1,0,$R35-2),($M35+1)&amp;"$",OFFSET(Y37,1,0,$R35-2)))</f>
        <v>0</v>
      </c>
      <c r="Z37" s="203" cm="1">
        <f t="array" aca="1" ref="Z37" ca="1">IF($R35=2,
         IF(AND(ACOMPANHAMENTO="PLE",ISNUMBER($F35)),
                SUMIF((OFFSET(CÁLCULO!$AM$15:$AW$15,$F35,0,OFFSET(ORÇAMENTO!$D$15,CRONO!$F35,0))),CRONO!Z$12,OFFSET(CÁLCULO!$AB$15:$AL$15,$F35,0,OFFSET(ORÇAMENTO!$D$15,CRONO!$F35,0)))
                +IF(AND($F37&lt;&gt;"",$F37&lt;&gt;0),
                        SUMIF(CÁLCULO!$AM$15:$AW$105,CRONO!Z$12,CÁLCULO!$AB$15:$AL$105)/(ORÇAMENTO!$X$15-_xlfn.SINGLE(CÁLCULO.TotalAdmLocal))*CRONO!$F37,
                        0),
                 Z36*$S35),
          SUMIF(OFFSET($S37,1,0,$R35-2),($M35+1)&amp;"$",OFFSET(Z37,1,0,$R35-2)))</f>
        <v>0</v>
      </c>
      <c r="AA37" s="203" cm="1">
        <f t="array" aca="1" ref="AA37" ca="1">IF($R35=2,
         IF(AND(ACOMPANHAMENTO="PLE",ISNUMBER($F35)),
                SUMIF((OFFSET(CÁLCULO!$AM$15:$AW$15,$F35,0,OFFSET(ORÇAMENTO!$D$15,CRONO!$F35,0))),CRONO!AA$12,OFFSET(CÁLCULO!$AB$15:$AL$15,$F35,0,OFFSET(ORÇAMENTO!$D$15,CRONO!$F35,0)))
                +IF(AND($F37&lt;&gt;"",$F37&lt;&gt;0),
                        SUMIF(CÁLCULO!$AM$15:$AW$105,CRONO!AA$12,CÁLCULO!$AB$15:$AL$105)/(ORÇAMENTO!$X$15-_xlfn.SINGLE(CÁLCULO.TotalAdmLocal))*CRONO!$F37,
                        0),
                 AA36*$S35),
          SUMIF(OFFSET($S37,1,0,$R35-2),($M35+1)&amp;"$",OFFSET(AA37,1,0,$R35-2)))</f>
        <v>0</v>
      </c>
      <c r="AB37" s="203" cm="1">
        <f t="array" aca="1" ref="AB37" ca="1">IF($R35=2,
         IF(AND(ACOMPANHAMENTO="PLE",ISNUMBER($F35)),
                SUMIF((OFFSET(CÁLCULO!$AM$15:$AW$15,$F35,0,OFFSET(ORÇAMENTO!$D$15,CRONO!$F35,0))),CRONO!AB$12,OFFSET(CÁLCULO!$AB$15:$AL$15,$F35,0,OFFSET(ORÇAMENTO!$D$15,CRONO!$F35,0)))
                +IF(AND($F37&lt;&gt;"",$F37&lt;&gt;0),
                        SUMIF(CÁLCULO!$AM$15:$AW$105,CRONO!AB$12,CÁLCULO!$AB$15:$AL$105)/(ORÇAMENTO!$X$15-_xlfn.SINGLE(CÁLCULO.TotalAdmLocal))*CRONO!$F37,
                        0),
                 AB36*$S35),
          SUMIF(OFFSET($S37,1,0,$R35-2),($M35+1)&amp;"$",OFFSET(AB37,1,0,$R35-2)))</f>
        <v>0</v>
      </c>
      <c r="AC37" s="203" cm="1">
        <f t="array" aca="1" ref="AC37" ca="1">IF($R35=2,
         IF(AND(ACOMPANHAMENTO="PLE",ISNUMBER($F35)),
                SUMIF((OFFSET(CÁLCULO!$AM$15:$AW$15,$F35,0,OFFSET(ORÇAMENTO!$D$15,CRONO!$F35,0))),CRONO!AC$12,OFFSET(CÁLCULO!$AB$15:$AL$15,$F35,0,OFFSET(ORÇAMENTO!$D$15,CRONO!$F35,0)))
                +IF(AND($F37&lt;&gt;"",$F37&lt;&gt;0),
                        SUMIF(CÁLCULO!$AM$15:$AW$105,CRONO!AC$12,CÁLCULO!$AB$15:$AL$105)/(ORÇAMENTO!$X$15-_xlfn.SINGLE(CÁLCULO.TotalAdmLocal))*CRONO!$F37,
                        0),
                 AC36*$S35),
          SUMIF(OFFSET($S37,1,0,$R35-2),($M35+1)&amp;"$",OFFSET(AC37,1,0,$R35-2)))</f>
        <v>0</v>
      </c>
      <c r="AD37" s="203" cm="1">
        <f t="array" aca="1" ref="AD37" ca="1">IF($R35=2,
         IF(AND(ACOMPANHAMENTO="PLE",ISNUMBER($F35)),
                SUMIF((OFFSET(CÁLCULO!$AM$15:$AW$15,$F35,0,OFFSET(ORÇAMENTO!$D$15,CRONO!$F35,0))),CRONO!AD$12,OFFSET(CÁLCULO!$AB$15:$AL$15,$F35,0,OFFSET(ORÇAMENTO!$D$15,CRONO!$F35,0)))
                +IF(AND($F37&lt;&gt;"",$F37&lt;&gt;0),
                        SUMIF(CÁLCULO!$AM$15:$AW$105,CRONO!AD$12,CÁLCULO!$AB$15:$AL$105)/(ORÇAMENTO!$X$15-_xlfn.SINGLE(CÁLCULO.TotalAdmLocal))*CRONO!$F37,
                        0),
                 AD36*$S35),
          SUMIF(OFFSET($S37,1,0,$R35-2),($M35+1)&amp;"$",OFFSET(AD37,1,0,$R35-2)))</f>
        <v>0</v>
      </c>
      <c r="AE37" s="203" cm="1">
        <f t="array" aca="1" ref="AE37" ca="1">IF($R35=2,
         IF(AND(ACOMPANHAMENTO="PLE",ISNUMBER($F35)),
                SUMIF((OFFSET(CÁLCULO!$AM$15:$AW$15,$F35,0,OFFSET(ORÇAMENTO!$D$15,CRONO!$F35,0))),CRONO!AE$12,OFFSET(CÁLCULO!$AB$15:$AL$15,$F35,0,OFFSET(ORÇAMENTO!$D$15,CRONO!$F35,0)))
                +IF(AND($F37&lt;&gt;"",$F37&lt;&gt;0),
                        SUMIF(CÁLCULO!$AM$15:$AW$105,CRONO!AE$12,CÁLCULO!$AB$15:$AL$105)/(ORÇAMENTO!$X$15-_xlfn.SINGLE(CÁLCULO.TotalAdmLocal))*CRONO!$F37,
                        0),
                 AE36*$S35),
          SUMIF(OFFSET($S37,1,0,$R35-2),($M35+1)&amp;"$",OFFSET(AE37,1,0,$R35-2)))</f>
        <v>0</v>
      </c>
      <c r="AF37" s="203" cm="1">
        <f t="array" aca="1" ref="AF37" ca="1">IF($R35=2,
         IF(AND(ACOMPANHAMENTO="PLE",ISNUMBER($F35)),
                SUMIF((OFFSET(CÁLCULO!$AM$15:$AW$15,$F35,0,OFFSET(ORÇAMENTO!$D$15,CRONO!$F35,0))),CRONO!AF$12,OFFSET(CÁLCULO!$AB$15:$AL$15,$F35,0,OFFSET(ORÇAMENTO!$D$15,CRONO!$F35,0)))
                +IF(AND($F37&lt;&gt;"",$F37&lt;&gt;0),
                        SUMIF(CÁLCULO!$AM$15:$AW$105,CRONO!AF$12,CÁLCULO!$AB$15:$AL$105)/(ORÇAMENTO!$X$15-_xlfn.SINGLE(CÁLCULO.TotalAdmLocal))*CRONO!$F37,
                        0),
                 AF36*$S35),
          SUMIF(OFFSET($S37,1,0,$R35-2),($M35+1)&amp;"$",OFFSET(AF37,1,0,$R35-2)))</f>
        <v>0</v>
      </c>
      <c r="AG37" s="535"/>
    </row>
    <row r="38" spans="1:33" ht="5.0999999999999996" customHeight="1" x14ac:dyDescent="0.2">
      <c r="E38" s="641"/>
      <c r="G38" s="186" t="s">
        <v>537</v>
      </c>
      <c r="H38" s="433"/>
      <c r="I38" s="642"/>
      <c r="J38" s="643"/>
      <c r="K38" s="643"/>
      <c r="L38" s="643"/>
      <c r="M38" s="644" t="s">
        <v>798</v>
      </c>
      <c r="N38" s="644"/>
      <c r="O38" s="644"/>
      <c r="P38" s="644"/>
      <c r="Q38" s="644"/>
      <c r="R38" s="644"/>
      <c r="S38" s="645"/>
      <c r="T38" s="645"/>
      <c r="U38" s="643"/>
      <c r="V38" s="643"/>
      <c r="W38" s="643"/>
      <c r="X38" s="643"/>
      <c r="Y38" s="643"/>
      <c r="Z38" s="643"/>
      <c r="AA38" s="643"/>
      <c r="AB38" s="643"/>
      <c r="AC38" s="643"/>
      <c r="AD38" s="643"/>
      <c r="AE38" s="643"/>
      <c r="AF38" s="643"/>
      <c r="AG38" s="535"/>
    </row>
    <row r="39" spans="1:33" ht="12.75" customHeight="1" x14ac:dyDescent="0.2">
      <c r="E39" s="529">
        <f ca="1">E43/$R$39</f>
        <v>0.62254255573377737</v>
      </c>
      <c r="G39" s="186" t="s">
        <v>537</v>
      </c>
      <c r="I39" s="670" t="str">
        <f ca="1">"Total:    R$ "&amp;TEXT(R39,"#.##0,00")</f>
        <v>Total:    R$ 290.574,24</v>
      </c>
      <c r="J39" s="670"/>
      <c r="K39" s="670"/>
      <c r="L39" s="228"/>
      <c r="R39" s="229">
        <f ca="1">SUMIF(M12:M38,1,S12:S38)</f>
        <v>290574.24</v>
      </c>
      <c r="S39" s="230"/>
      <c r="T39" s="231" t="s">
        <v>799</v>
      </c>
      <c r="U39" s="529">
        <f t="shared" ref="U39:AF39" ca="1" si="66">ROUND(U43,2)/$R$39</f>
        <v>0.62254255573377737</v>
      </c>
      <c r="V39" s="529">
        <f t="shared" ca="1" si="66"/>
        <v>0.30124439110638301</v>
      </c>
      <c r="W39" s="529">
        <f t="shared" ca="1" si="66"/>
        <v>6.3860960283334128E-2</v>
      </c>
      <c r="X39" s="529">
        <f t="shared" ca="1" si="66"/>
        <v>1.2352092876505502E-2</v>
      </c>
      <c r="Y39" s="529">
        <f t="shared" ca="1" si="66"/>
        <v>0</v>
      </c>
      <c r="Z39" s="529">
        <f t="shared" ca="1" si="66"/>
        <v>0</v>
      </c>
      <c r="AA39" s="529">
        <f t="shared" ca="1" si="66"/>
        <v>0</v>
      </c>
      <c r="AB39" s="529">
        <f t="shared" ca="1" si="66"/>
        <v>0</v>
      </c>
      <c r="AC39" s="529">
        <f t="shared" ca="1" si="66"/>
        <v>0</v>
      </c>
      <c r="AD39" s="529">
        <f t="shared" ca="1" si="66"/>
        <v>0</v>
      </c>
      <c r="AE39" s="529">
        <f t="shared" ca="1" si="66"/>
        <v>0</v>
      </c>
      <c r="AF39" s="540">
        <f t="shared" ca="1" si="66"/>
        <v>0</v>
      </c>
      <c r="AG39" s="535"/>
    </row>
    <row r="40" spans="1:33" ht="15" customHeight="1" x14ac:dyDescent="0.2">
      <c r="E40" s="232">
        <f ca="1">IF(E$12=1,ROUND(E45,2),ROUND(E45,2)-ROUND(D45,2))</f>
        <v>0</v>
      </c>
      <c r="G40" s="186" t="s">
        <v>537</v>
      </c>
      <c r="I40" s="670"/>
      <c r="J40" s="670"/>
      <c r="K40" s="670"/>
      <c r="L40" s="233"/>
      <c r="R40" s="229"/>
      <c r="S40" s="234"/>
      <c r="T40" s="235" t="str">
        <f>IF(import.recurso="FGTS","Financiamento:","Repasse:")</f>
        <v>Repasse:</v>
      </c>
      <c r="U40" s="232">
        <f t="shared" ref="U40:AF40" ca="1" si="67">IF(U$12=1,ROUND(U45,2),ROUND(U45,2)-ROUND(T45,2))</f>
        <v>0</v>
      </c>
      <c r="V40" s="232">
        <f t="shared" ca="1" si="67"/>
        <v>0</v>
      </c>
      <c r="W40" s="232">
        <f t="shared" ca="1" si="67"/>
        <v>0</v>
      </c>
      <c r="X40" s="232">
        <f t="shared" ca="1" si="67"/>
        <v>0</v>
      </c>
      <c r="Y40" s="232">
        <f t="shared" ca="1" si="67"/>
        <v>0</v>
      </c>
      <c r="Z40" s="232">
        <f t="shared" ca="1" si="67"/>
        <v>0</v>
      </c>
      <c r="AA40" s="232">
        <f t="shared" ca="1" si="67"/>
        <v>0</v>
      </c>
      <c r="AB40" s="232">
        <f t="shared" ca="1" si="67"/>
        <v>0</v>
      </c>
      <c r="AC40" s="232">
        <f t="shared" ca="1" si="67"/>
        <v>0</v>
      </c>
      <c r="AD40" s="232">
        <f t="shared" ca="1" si="67"/>
        <v>0</v>
      </c>
      <c r="AE40" s="232">
        <f t="shared" ca="1" si="67"/>
        <v>0</v>
      </c>
      <c r="AF40" s="232">
        <f t="shared" ca="1" si="67"/>
        <v>0</v>
      </c>
      <c r="AG40" s="535"/>
    </row>
    <row r="41" spans="1:33" ht="12.75" customHeight="1" x14ac:dyDescent="0.2">
      <c r="E41" s="530">
        <f ca="1">IF(E$12=1,ROUND(E46,2),ROUND(E46,2)-ROUND(D46,2))</f>
        <v>180894.83</v>
      </c>
      <c r="G41" s="186" t="s">
        <v>537</v>
      </c>
      <c r="I41" s="236"/>
      <c r="L41" s="237" t="s">
        <v>800</v>
      </c>
      <c r="R41" s="229"/>
      <c r="S41" s="238"/>
      <c r="T41" s="239" t="s">
        <v>801</v>
      </c>
      <c r="U41" s="530">
        <f t="shared" ref="U41:AF41" ca="1" si="68">IF(U$12=1,ROUND(U46,2),ROUND(U46,2)-ROUND(T46,2))</f>
        <v>180894.83</v>
      </c>
      <c r="V41" s="530">
        <f t="shared" ca="1" si="68"/>
        <v>87533.860000000015</v>
      </c>
      <c r="W41" s="530">
        <f t="shared" ca="1" si="68"/>
        <v>18556.349999999977</v>
      </c>
      <c r="X41" s="530">
        <f t="shared" ca="1" si="68"/>
        <v>3589.2000000000116</v>
      </c>
      <c r="Y41" s="530">
        <f t="shared" ca="1" si="68"/>
        <v>0</v>
      </c>
      <c r="Z41" s="530">
        <f t="shared" ca="1" si="68"/>
        <v>0</v>
      </c>
      <c r="AA41" s="530">
        <f t="shared" ca="1" si="68"/>
        <v>0</v>
      </c>
      <c r="AB41" s="530">
        <f t="shared" ca="1" si="68"/>
        <v>0</v>
      </c>
      <c r="AC41" s="530">
        <f t="shared" ca="1" si="68"/>
        <v>0</v>
      </c>
      <c r="AD41" s="530">
        <f t="shared" ca="1" si="68"/>
        <v>0</v>
      </c>
      <c r="AE41" s="530">
        <f t="shared" ca="1" si="68"/>
        <v>0</v>
      </c>
      <c r="AF41" s="530">
        <f t="shared" ca="1" si="68"/>
        <v>0</v>
      </c>
      <c r="AG41" s="535"/>
    </row>
    <row r="42" spans="1:33" x14ac:dyDescent="0.2">
      <c r="E42" s="240">
        <f ca="1">IF(E$12=1,ROUND(E47,2),ROUND(E47,2)-ROUND(D47,2))</f>
        <v>0</v>
      </c>
      <c r="G42" s="186" t="s">
        <v>537</v>
      </c>
      <c r="I42" s="236"/>
      <c r="L42" s="237"/>
      <c r="R42" s="229"/>
      <c r="S42" s="241"/>
      <c r="T42" s="242" t="s">
        <v>802</v>
      </c>
      <c r="U42" s="240">
        <f t="shared" ref="U42:AF42" ca="1" si="69">IF(U$12=1,ROUND(U47,2),ROUND(U47,2)-ROUND(T47,2))</f>
        <v>0</v>
      </c>
      <c r="V42" s="240">
        <f t="shared" ca="1" si="69"/>
        <v>0</v>
      </c>
      <c r="W42" s="240">
        <f t="shared" ca="1" si="69"/>
        <v>0</v>
      </c>
      <c r="X42" s="240">
        <f t="shared" ca="1" si="69"/>
        <v>0</v>
      </c>
      <c r="Y42" s="240">
        <f t="shared" ca="1" si="69"/>
        <v>0</v>
      </c>
      <c r="Z42" s="240">
        <f t="shared" ca="1" si="69"/>
        <v>0</v>
      </c>
      <c r="AA42" s="240">
        <f t="shared" ca="1" si="69"/>
        <v>0</v>
      </c>
      <c r="AB42" s="240">
        <f t="shared" ca="1" si="69"/>
        <v>0</v>
      </c>
      <c r="AC42" s="240">
        <f t="shared" ca="1" si="69"/>
        <v>0</v>
      </c>
      <c r="AD42" s="240">
        <f t="shared" ca="1" si="69"/>
        <v>0</v>
      </c>
      <c r="AE42" s="240">
        <f t="shared" ca="1" si="69"/>
        <v>0</v>
      </c>
      <c r="AF42" s="240">
        <f t="shared" ca="1" si="69"/>
        <v>0</v>
      </c>
      <c r="AG42" s="535"/>
    </row>
    <row r="43" spans="1:33" x14ac:dyDescent="0.2">
      <c r="E43" s="531">
        <f ca="1">IF(E$12=1,ROUND(E48,2),ROUND(E48,2)-ROUND(D48,2))</f>
        <v>180894.83</v>
      </c>
      <c r="G43" s="186" t="s">
        <v>537</v>
      </c>
      <c r="H43" s="537"/>
      <c r="L43" s="243"/>
      <c r="S43" s="244"/>
      <c r="T43" s="245" t="s">
        <v>803</v>
      </c>
      <c r="U43" s="531">
        <f t="shared" ref="U43:AF43" ca="1" si="70">IF(U$12=1,ROUND(U48,2),ROUND(U48,2)-ROUND(T48,2))</f>
        <v>180894.83</v>
      </c>
      <c r="V43" s="531">
        <f t="shared" ca="1" si="70"/>
        <v>87533.860000000015</v>
      </c>
      <c r="W43" s="531">
        <f t="shared" ca="1" si="70"/>
        <v>18556.349999999977</v>
      </c>
      <c r="X43" s="531">
        <f t="shared" ca="1" si="70"/>
        <v>3589.2000000000116</v>
      </c>
      <c r="Y43" s="531">
        <f t="shared" ca="1" si="70"/>
        <v>0</v>
      </c>
      <c r="Z43" s="531">
        <f t="shared" ca="1" si="70"/>
        <v>0</v>
      </c>
      <c r="AA43" s="531">
        <f t="shared" ca="1" si="70"/>
        <v>0</v>
      </c>
      <c r="AB43" s="531">
        <f t="shared" ca="1" si="70"/>
        <v>0</v>
      </c>
      <c r="AC43" s="531">
        <f t="shared" ca="1" si="70"/>
        <v>0</v>
      </c>
      <c r="AD43" s="531">
        <f t="shared" ca="1" si="70"/>
        <v>0</v>
      </c>
      <c r="AE43" s="531">
        <f t="shared" ca="1" si="70"/>
        <v>0</v>
      </c>
      <c r="AF43" s="531">
        <f t="shared" ca="1" si="70"/>
        <v>0</v>
      </c>
      <c r="AG43" s="535"/>
    </row>
    <row r="44" spans="1:33" x14ac:dyDescent="0.2">
      <c r="E44" s="529">
        <f ca="1">ROUND(ROUND(E48,2)/$R$39,4)</f>
        <v>0.62250000000000005</v>
      </c>
      <c r="G44" s="186" t="s">
        <v>537</v>
      </c>
      <c r="L44" s="228"/>
      <c r="S44" s="230"/>
      <c r="T44" s="231" t="s">
        <v>799</v>
      </c>
      <c r="U44" s="529">
        <f t="shared" ref="U44:AF44" ca="1" si="71">ROUND(ROUND(U48,2)/$R$39,4)</f>
        <v>0.62250000000000005</v>
      </c>
      <c r="V44" s="529">
        <f t="shared" ca="1" si="71"/>
        <v>0.92379999999999995</v>
      </c>
      <c r="W44" s="529">
        <f t="shared" ca="1" si="71"/>
        <v>0.98760000000000003</v>
      </c>
      <c r="X44" s="529">
        <f t="shared" ca="1" si="71"/>
        <v>1</v>
      </c>
      <c r="Y44" s="529">
        <f t="shared" ca="1" si="71"/>
        <v>1</v>
      </c>
      <c r="Z44" s="529">
        <f t="shared" ca="1" si="71"/>
        <v>1</v>
      </c>
      <c r="AA44" s="529">
        <f t="shared" ca="1" si="71"/>
        <v>1</v>
      </c>
      <c r="AB44" s="529">
        <f t="shared" ca="1" si="71"/>
        <v>1</v>
      </c>
      <c r="AC44" s="529">
        <f t="shared" ca="1" si="71"/>
        <v>1</v>
      </c>
      <c r="AD44" s="529">
        <f t="shared" ca="1" si="71"/>
        <v>1</v>
      </c>
      <c r="AE44" s="529">
        <f t="shared" ca="1" si="71"/>
        <v>1</v>
      </c>
      <c r="AF44" s="529">
        <f t="shared" ca="1" si="71"/>
        <v>1</v>
      </c>
      <c r="AG44" s="535"/>
    </row>
    <row r="45" spans="1:33" x14ac:dyDescent="0.2">
      <c r="E45" s="232">
        <f ca="1">ROUND(E48-E47-E46,2)</f>
        <v>0</v>
      </c>
      <c r="G45" s="186" t="s">
        <v>537</v>
      </c>
      <c r="L45" s="233"/>
      <c r="S45" s="234"/>
      <c r="T45" s="235" t="str">
        <f>IF(import.recurso="FGTS","Financiamento:","Repasse:")</f>
        <v>Repasse:</v>
      </c>
      <c r="U45" s="232">
        <f t="shared" ref="U45:AF45" ca="1" si="72">ROUND(U48-U47-U46,2)</f>
        <v>0</v>
      </c>
      <c r="V45" s="232">
        <f t="shared" ca="1" si="72"/>
        <v>0</v>
      </c>
      <c r="W45" s="232">
        <f t="shared" ca="1" si="72"/>
        <v>0</v>
      </c>
      <c r="X45" s="232">
        <f t="shared" ca="1" si="72"/>
        <v>0</v>
      </c>
      <c r="Y45" s="232">
        <f t="shared" ca="1" si="72"/>
        <v>0</v>
      </c>
      <c r="Z45" s="232">
        <f t="shared" ca="1" si="72"/>
        <v>0</v>
      </c>
      <c r="AA45" s="232">
        <f t="shared" ca="1" si="72"/>
        <v>0</v>
      </c>
      <c r="AB45" s="232">
        <f t="shared" ca="1" si="72"/>
        <v>0</v>
      </c>
      <c r="AC45" s="232">
        <f t="shared" ca="1" si="72"/>
        <v>0</v>
      </c>
      <c r="AD45" s="232">
        <f t="shared" ca="1" si="72"/>
        <v>0</v>
      </c>
      <c r="AE45" s="232">
        <f t="shared" ca="1" si="72"/>
        <v>0</v>
      </c>
      <c r="AF45" s="232">
        <f t="shared" ca="1" si="72"/>
        <v>0</v>
      </c>
      <c r="AG45" s="535"/>
    </row>
    <row r="46" spans="1:33" x14ac:dyDescent="0.2">
      <c r="E46" s="530" cm="1">
        <f t="array" aca="1" ref="E46" ca="1">IF(E$12=1,0,OFFSET(E46,0,-1))+SUM((OFFSET($C$13,1,0):OFFSET($C$38,-3,0))*IF(ISNUMBER(OFFSET(E$11,5,0):OFFSET(E$38,-1,0)),OFFSET(E$11,5,0):OFFSET(E$38,-1,0),0))</f>
        <v>180894.82999999996</v>
      </c>
      <c r="G46" s="186" t="s">
        <v>537</v>
      </c>
      <c r="L46" s="237" t="s">
        <v>804</v>
      </c>
      <c r="S46" s="238"/>
      <c r="T46" s="239" t="s">
        <v>801</v>
      </c>
      <c r="U46" s="530" cm="1">
        <f t="array" aca="1" ref="U46" ca="1">IF(U$12=1,0,OFFSET(U46,0,-1))+SUM((OFFSET($C$13,1,0):OFFSET($C$38,-3,0))*IF(ISNUMBER(OFFSET(U$11,5,0):OFFSET(U$38,-1,0)),OFFSET(U$11,5,0):OFFSET(U$38,-1,0),0))</f>
        <v>180894.82999999996</v>
      </c>
      <c r="V46" s="530" cm="1">
        <f t="array" aca="1" ref="V46" ca="1">IF(V$12=1,0,OFFSET(V46,0,-1))+SUM((OFFSET($C$13,1,0):OFFSET($C$38,-3,0))*IF(ISNUMBER(OFFSET(V$11,5,0):OFFSET(V$38,-1,0)),OFFSET(V$11,5,0):OFFSET(V$38,-1,0),0))</f>
        <v>268428.68999999994</v>
      </c>
      <c r="W46" s="530" cm="1">
        <f t="array" aca="1" ref="W46" ca="1">IF(W$12=1,0,OFFSET(W46,0,-1))+SUM((OFFSET($C$13,1,0):OFFSET($C$38,-3,0))*IF(ISNUMBER(OFFSET(W$11,5,0):OFFSET(W$38,-1,0)),OFFSET(W$11,5,0):OFFSET(W$38,-1,0),0))</f>
        <v>286985.03999999992</v>
      </c>
      <c r="X46" s="530" cm="1">
        <f t="array" aca="1" ref="X46" ca="1">IF(X$12=1,0,OFFSET(X46,0,-1))+SUM((OFFSET($C$13,1,0):OFFSET($C$38,-3,0))*IF(ISNUMBER(OFFSET(X$11,5,0):OFFSET(X$38,-1,0)),OFFSET(X$11,5,0):OFFSET(X$38,-1,0),0))</f>
        <v>290574.23999999993</v>
      </c>
      <c r="Y46" s="530" cm="1">
        <f t="array" aca="1" ref="Y46" ca="1">IF(Y$12=1,0,OFFSET(Y46,0,-1))+SUM((OFFSET($C$13,1,0):OFFSET($C$38,-3,0))*IF(ISNUMBER(OFFSET(Y$11,5,0):OFFSET(Y$38,-1,0)),OFFSET(Y$11,5,0):OFFSET(Y$38,-1,0),0))</f>
        <v>290574.23999999993</v>
      </c>
      <c r="Z46" s="530" cm="1">
        <f t="array" aca="1" ref="Z46" ca="1">IF(Z$12=1,0,OFFSET(Z46,0,-1))+SUM((OFFSET($C$13,1,0):OFFSET($C$38,-3,0))*IF(ISNUMBER(OFFSET(Z$11,5,0):OFFSET(Z$38,-1,0)),OFFSET(Z$11,5,0):OFFSET(Z$38,-1,0),0))</f>
        <v>290574.23999999993</v>
      </c>
      <c r="AA46" s="530" cm="1">
        <f t="array" aca="1" ref="AA46" ca="1">IF(AA$12=1,0,OFFSET(AA46,0,-1))+SUM((OFFSET($C$13,1,0):OFFSET($C$38,-3,0))*IF(ISNUMBER(OFFSET(AA$11,5,0):OFFSET(AA$38,-1,0)),OFFSET(AA$11,5,0):OFFSET(AA$38,-1,0),0))</f>
        <v>290574.23999999993</v>
      </c>
      <c r="AB46" s="530" cm="1">
        <f t="array" aca="1" ref="AB46" ca="1">IF(AB$12=1,0,OFFSET(AB46,0,-1))+SUM((OFFSET($C$13,1,0):OFFSET($C$38,-3,0))*IF(ISNUMBER(OFFSET(AB$11,5,0):OFFSET(AB$38,-1,0)),OFFSET(AB$11,5,0):OFFSET(AB$38,-1,0),0))</f>
        <v>290574.23999999993</v>
      </c>
      <c r="AC46" s="530" cm="1">
        <f t="array" aca="1" ref="AC46" ca="1">IF(AC$12=1,0,OFFSET(AC46,0,-1))+SUM((OFFSET($C$13,1,0):OFFSET($C$38,-3,0))*IF(ISNUMBER(OFFSET(AC$11,5,0):OFFSET(AC$38,-1,0)),OFFSET(AC$11,5,0):OFFSET(AC$38,-1,0),0))</f>
        <v>290574.23999999993</v>
      </c>
      <c r="AD46" s="530" cm="1">
        <f t="array" aca="1" ref="AD46" ca="1">IF(AD$12=1,0,OFFSET(AD46,0,-1))+SUM((OFFSET($C$13,1,0):OFFSET($C$38,-3,0))*IF(ISNUMBER(OFFSET(AD$11,5,0):OFFSET(AD$38,-1,0)),OFFSET(AD$11,5,0):OFFSET(AD$38,-1,0),0))</f>
        <v>290574.23999999993</v>
      </c>
      <c r="AE46" s="530" cm="1">
        <f t="array" aca="1" ref="AE46" ca="1">IF(AE$12=1,0,OFFSET(AE46,0,-1))+SUM((OFFSET($C$13,1,0):OFFSET($C$38,-3,0))*IF(ISNUMBER(OFFSET(AE$11,5,0):OFFSET(AE$38,-1,0)),OFFSET(AE$11,5,0):OFFSET(AE$38,-1,0),0))</f>
        <v>290574.23999999993</v>
      </c>
      <c r="AF46" s="530" cm="1">
        <f t="array" aca="1" ref="AF46" ca="1">IF(AF$12=1,0,OFFSET(AF46,0,-1))+SUM((OFFSET($C$13,1,0):OFFSET($C$38,-3,0))*IF(ISNUMBER(OFFSET(AF$11,5,0):OFFSET(AF$38,-1,0)),OFFSET(AF$11,5,0):OFFSET(AF$38,-1,0),0))</f>
        <v>290574.23999999993</v>
      </c>
      <c r="AG46" s="535"/>
    </row>
    <row r="47" spans="1:33" x14ac:dyDescent="0.2">
      <c r="E47" s="240" cm="1">
        <f t="array" aca="1" ref="E47" ca="1">IF(E$12=1,0,OFFSET(E47,0,-1))+SUM((OFFSET($D$13,1,0):OFFSET($D$38,-3,0))*IF(ISNUMBER(OFFSET(E$11,5,0):OFFSET(E$38,-1,0)),OFFSET(E$11,5,0):OFFSET(E$38,-1,0),0))</f>
        <v>0</v>
      </c>
      <c r="G47" s="186" t="s">
        <v>537</v>
      </c>
      <c r="L47" s="237"/>
      <c r="S47" s="241"/>
      <c r="T47" s="242" t="s">
        <v>802</v>
      </c>
      <c r="U47" s="240" cm="1">
        <f t="array" aca="1" ref="U47" ca="1">IF(U$12=1,0,OFFSET(U47,0,-1))+SUM((OFFSET($D$13,1,0):OFFSET($D$38,-3,0))*IF(ISNUMBER(OFFSET(U$11,5,0):OFFSET(U$38,-1,0)),OFFSET(U$11,5,0):OFFSET(U$38,-1,0),0))</f>
        <v>0</v>
      </c>
      <c r="V47" s="240" cm="1">
        <f t="array" aca="1" ref="V47" ca="1">IF(V$12=1,0,OFFSET(V47,0,-1))+SUM((OFFSET($D$13,1,0):OFFSET($D$38,-3,0))*IF(ISNUMBER(OFFSET(V$11,5,0):OFFSET(V$38,-1,0)),OFFSET(V$11,5,0):OFFSET(V$38,-1,0),0))</f>
        <v>0</v>
      </c>
      <c r="W47" s="240" cm="1">
        <f t="array" aca="1" ref="W47" ca="1">IF(W$12=1,0,OFFSET(W47,0,-1))+SUM((OFFSET($D$13,1,0):OFFSET($D$38,-3,0))*IF(ISNUMBER(OFFSET(W$11,5,0):OFFSET(W$38,-1,0)),OFFSET(W$11,5,0):OFFSET(W$38,-1,0),0))</f>
        <v>0</v>
      </c>
      <c r="X47" s="240" cm="1">
        <f t="array" aca="1" ref="X47" ca="1">IF(X$12=1,0,OFFSET(X47,0,-1))+SUM((OFFSET($D$13,1,0):OFFSET($D$38,-3,0))*IF(ISNUMBER(OFFSET(X$11,5,0):OFFSET(X$38,-1,0)),OFFSET(X$11,5,0):OFFSET(X$38,-1,0),0))</f>
        <v>0</v>
      </c>
      <c r="Y47" s="240" cm="1">
        <f t="array" aca="1" ref="Y47" ca="1">IF(Y$12=1,0,OFFSET(Y47,0,-1))+SUM((OFFSET($D$13,1,0):OFFSET($D$38,-3,0))*IF(ISNUMBER(OFFSET(Y$11,5,0):OFFSET(Y$38,-1,0)),OFFSET(Y$11,5,0):OFFSET(Y$38,-1,0),0))</f>
        <v>0</v>
      </c>
      <c r="Z47" s="240" cm="1">
        <f t="array" aca="1" ref="Z47" ca="1">IF(Z$12=1,0,OFFSET(Z47,0,-1))+SUM((OFFSET($D$13,1,0):OFFSET($D$38,-3,0))*IF(ISNUMBER(OFFSET(Z$11,5,0):OFFSET(Z$38,-1,0)),OFFSET(Z$11,5,0):OFFSET(Z$38,-1,0),0))</f>
        <v>0</v>
      </c>
      <c r="AA47" s="240" cm="1">
        <f t="array" aca="1" ref="AA47" ca="1">IF(AA$12=1,0,OFFSET(AA47,0,-1))+SUM((OFFSET($D$13,1,0):OFFSET($D$38,-3,0))*IF(ISNUMBER(OFFSET(AA$11,5,0):OFFSET(AA$38,-1,0)),OFFSET(AA$11,5,0):OFFSET(AA$38,-1,0),0))</f>
        <v>0</v>
      </c>
      <c r="AB47" s="240" cm="1">
        <f t="array" aca="1" ref="AB47" ca="1">IF(AB$12=1,0,OFFSET(AB47,0,-1))+SUM((OFFSET($D$13,1,0):OFFSET($D$38,-3,0))*IF(ISNUMBER(OFFSET(AB$11,5,0):OFFSET(AB$38,-1,0)),OFFSET(AB$11,5,0):OFFSET(AB$38,-1,0),0))</f>
        <v>0</v>
      </c>
      <c r="AC47" s="240" cm="1">
        <f t="array" aca="1" ref="AC47" ca="1">IF(AC$12=1,0,OFFSET(AC47,0,-1))+SUM((OFFSET($D$13,1,0):OFFSET($D$38,-3,0))*IF(ISNUMBER(OFFSET(AC$11,5,0):OFFSET(AC$38,-1,0)),OFFSET(AC$11,5,0):OFFSET(AC$38,-1,0),0))</f>
        <v>0</v>
      </c>
      <c r="AD47" s="240" cm="1">
        <f t="array" aca="1" ref="AD47" ca="1">IF(AD$12=1,0,OFFSET(AD47,0,-1))+SUM((OFFSET($D$13,1,0):OFFSET($D$38,-3,0))*IF(ISNUMBER(OFFSET(AD$11,5,0):OFFSET(AD$38,-1,0)),OFFSET(AD$11,5,0):OFFSET(AD$38,-1,0),0))</f>
        <v>0</v>
      </c>
      <c r="AE47" s="240" cm="1">
        <f t="array" aca="1" ref="AE47" ca="1">IF(AE$12=1,0,OFFSET(AE47,0,-1))+SUM((OFFSET($D$13,1,0):OFFSET($D$38,-3,0))*IF(ISNUMBER(OFFSET(AE$11,5,0):OFFSET(AE$38,-1,0)),OFFSET(AE$11,5,0):OFFSET(AE$38,-1,0),0))</f>
        <v>0</v>
      </c>
      <c r="AF47" s="240" cm="1">
        <f t="array" aca="1" ref="AF47" ca="1">IF(AF$12=1,0,OFFSET(AF47,0,-1))+SUM((OFFSET($D$13,1,0):OFFSET($D$38,-3,0))*IF(ISNUMBER(OFFSET(AF$11,5,0):OFFSET(AF$38,-1,0)),OFFSET(AF$11,5,0):OFFSET(AF$38,-1,0),0))</f>
        <v>0</v>
      </c>
      <c r="AG47" s="535"/>
    </row>
    <row r="48" spans="1:33" ht="13.5" thickBot="1" x14ac:dyDescent="0.25">
      <c r="D48" s="534"/>
      <c r="E48" s="532">
        <f ca="1">SUMIF($S$12:$S$38,"1$",E12:E38)+IF(E$12&gt;1,OFFSET(E48,0,-1),0)</f>
        <v>180894.82999999996</v>
      </c>
      <c r="G48" s="186" t="s">
        <v>537</v>
      </c>
      <c r="H48" s="523" t="str" cm="1">
        <f t="array" ref="H48">IF(ACOMPANHAMENTO="BM","Selecione o Macrosserviço da Administração Local:","")</f>
        <v/>
      </c>
      <c r="I48"/>
      <c r="L48" s="237"/>
      <c r="S48" s="238"/>
      <c r="T48" s="527" t="s">
        <v>803</v>
      </c>
      <c r="U48" s="532">
        <f t="shared" ref="U48:AF48" ca="1" si="73">SUMIF($S$12:$S$38,"1$",U12:U38)+IF(U$12&gt;1,OFFSET(U48,0,-1),0)</f>
        <v>180894.82999999996</v>
      </c>
      <c r="V48" s="532">
        <f t="shared" ca="1" si="73"/>
        <v>268428.68999999994</v>
      </c>
      <c r="W48" s="532">
        <f t="shared" ca="1" si="73"/>
        <v>286985.03999999992</v>
      </c>
      <c r="X48" s="532">
        <f t="shared" ca="1" si="73"/>
        <v>290574.23999999993</v>
      </c>
      <c r="Y48" s="532">
        <f t="shared" ca="1" si="73"/>
        <v>290574.23999999993</v>
      </c>
      <c r="Z48" s="532">
        <f t="shared" ca="1" si="73"/>
        <v>290574.23999999993</v>
      </c>
      <c r="AA48" s="532">
        <f t="shared" ca="1" si="73"/>
        <v>290574.23999999993</v>
      </c>
      <c r="AB48" s="532">
        <f t="shared" ca="1" si="73"/>
        <v>290574.23999999993</v>
      </c>
      <c r="AC48" s="532">
        <f t="shared" ca="1" si="73"/>
        <v>290574.23999999993</v>
      </c>
      <c r="AD48" s="532">
        <f t="shared" ca="1" si="73"/>
        <v>290574.23999999993</v>
      </c>
      <c r="AE48" s="532">
        <f t="shared" ca="1" si="73"/>
        <v>290574.23999999993</v>
      </c>
      <c r="AF48" s="541">
        <f t="shared" ca="1" si="73"/>
        <v>290574.23999999993</v>
      </c>
      <c r="AG48" s="535"/>
    </row>
    <row r="49" spans="4:33" ht="13.5" thickBot="1" x14ac:dyDescent="0.25">
      <c r="D49" s="534"/>
      <c r="E49" s="533" t="str">
        <f ca="1">IF($F$49="","",
  IF(ACOMPANHAMENTO="PLE",
     IF(AUTOEVENTO="Manual",
         IF(AdmLocal="Automática",
              E44,
              SUMIF(OFFSET(CRONOPLE!$F$14,CRONOPLE!$A$8+1,1,1,OFFSET(CRONOPLE!$AF$12,0,-1)),"&lt;="&amp;E$12,OFFSET(EVENTOS!$G$14,CRONOPLE!$A$8+1,1,1,OFFSET(CRONOPLE!$AF$12,0,-1)))/OFFSET(EVENTOS!$G$14,CRONOPLE!$A$8+1,-1)),
         SUMIFS(OFFSET(CÁLCULO!$AA$15,$F$49,1,OFFSET(ORÇAMENTO!$D$15,$F$49,0),CÁLCULO.FrentesPreenchidas),OFFSET(CÁLCULO!$AL$15,$F$49,1,OFFSET(ORÇAMENTO!$D$15,$F$49,0),CÁLCULO.FrentesPreenchidas),"&lt;="&amp;E$12)/OFFSET(ORÇAMENTO!$X$15,$F$49,0)),
     IF(ACOMPANHAMENTO="BM",SUM(OFFSET($T$13,$F$49+2,1,1,E$12))/OFFSET($S$13,$F$49,0),"")))</f>
        <v/>
      </c>
      <c r="F49" s="186" t="str">
        <f ca="1">IF(ACOMPANHAMENTO="PLE",
    IF(AUTOEVENTO="Manual",
        IF(AdmLocal="Automática",1,IF(CRONOPLE!$D$8&lt;&gt;"","",MATCH(Import.EventoAdmLocal,EVENTOS!$B$15:$B$23,0))),
        IF(CRONOPLE!$D$8&lt;&gt;"","",CRONOPLE!$A$10)),
    IF($H$50&lt;&gt;"","",MATCH(Import.MacrosserviçoAdmLocal,$A$13:$A$38,0)-1))</f>
        <v/>
      </c>
      <c r="G49" s="186" t="s">
        <v>537</v>
      </c>
      <c r="H49" s="676"/>
      <c r="I49" s="677"/>
      <c r="J49" s="678"/>
      <c r="L49" s="243"/>
      <c r="S49" s="526"/>
      <c r="T49" s="528" t="s">
        <v>805</v>
      </c>
      <c r="U49" s="533" t="str">
        <f ca="1">IF($F$49="","",
  IF(ACOMPANHAMENTO="PLE",
     IF(AUTOEVENTO="Manual",
         IF(AdmLocal="Automática",
              U44,
              SUMIF(OFFSET(CRONOPLE!$F$14,CRONOPLE!$A$8+1,1,1,OFFSET(CRONOPLE!$AF$12,0,-1)),"&lt;="&amp;U$12,OFFSET(EVENTOS!$G$14,CRONOPLE!$A$8+1,1,1,OFFSET(CRONOPLE!$AF$12,0,-1)))/OFFSET(EVENTOS!$G$14,CRONOPLE!$A$8+1,-1)),
         SUMIFS(OFFSET(CÁLCULO!$AA$15,$F$49,1,OFFSET(ORÇAMENTO!$D$15,$F$49,0),CÁLCULO.FrentesPreenchidas),OFFSET(CÁLCULO!$AL$15,$F$49,1,OFFSET(ORÇAMENTO!$D$15,$F$49,0),CÁLCULO.FrentesPreenchidas),"&lt;="&amp;U$12)/OFFSET(ORÇAMENTO!$X$15,$F$49,0)),
     IF(ACOMPANHAMENTO="BM",SUM(OFFSET($T$13,$F$49+2,1,1,U$12))/OFFSET($S$13,$F$49,0),"")))</f>
        <v/>
      </c>
      <c r="V49" s="533" t="str">
        <f ca="1">IF($F$49="","",
  IF(ACOMPANHAMENTO="PLE",
     IF(AUTOEVENTO="Manual",
         IF(AdmLocal="Automática",
              V44,
              SUMIF(OFFSET(CRONOPLE!$F$14,CRONOPLE!$A$8+1,1,1,OFFSET(CRONOPLE!$AF$12,0,-1)),"&lt;="&amp;V$12,OFFSET(EVENTOS!$G$14,CRONOPLE!$A$8+1,1,1,OFFSET(CRONOPLE!$AF$12,0,-1)))/OFFSET(EVENTOS!$G$14,CRONOPLE!$A$8+1,-1)),
         SUMIFS(OFFSET(CÁLCULO!$AA$15,$F$49,1,OFFSET(ORÇAMENTO!$D$15,$F$49,0),CÁLCULO.FrentesPreenchidas),OFFSET(CÁLCULO!$AL$15,$F$49,1,OFFSET(ORÇAMENTO!$D$15,$F$49,0),CÁLCULO.FrentesPreenchidas),"&lt;="&amp;V$12)/OFFSET(ORÇAMENTO!$X$15,$F$49,0)),
     IF(ACOMPANHAMENTO="BM",SUM(OFFSET($T$13,$F$49+2,1,1,V$12))/OFFSET($S$13,$F$49,0),"")))</f>
        <v/>
      </c>
      <c r="W49" s="533" t="str">
        <f ca="1">IF($F$49="","",
  IF(ACOMPANHAMENTO="PLE",
     IF(AUTOEVENTO="Manual",
         IF(AdmLocal="Automática",
              W44,
              SUMIF(OFFSET(CRONOPLE!$F$14,CRONOPLE!$A$8+1,1,1,OFFSET(CRONOPLE!$AF$12,0,-1)),"&lt;="&amp;W$12,OFFSET(EVENTOS!$G$14,CRONOPLE!$A$8+1,1,1,OFFSET(CRONOPLE!$AF$12,0,-1)))/OFFSET(EVENTOS!$G$14,CRONOPLE!$A$8+1,-1)),
         SUMIFS(OFFSET(CÁLCULO!$AA$15,$F$49,1,OFFSET(ORÇAMENTO!$D$15,$F$49,0),CÁLCULO.FrentesPreenchidas),OFFSET(CÁLCULO!$AL$15,$F$49,1,OFFSET(ORÇAMENTO!$D$15,$F$49,0),CÁLCULO.FrentesPreenchidas),"&lt;="&amp;W$12)/OFFSET(ORÇAMENTO!$X$15,$F$49,0)),
     IF(ACOMPANHAMENTO="BM",SUM(OFFSET($T$13,$F$49+2,1,1,W$12))/OFFSET($S$13,$F$49,0),"")))</f>
        <v/>
      </c>
      <c r="X49" s="533" t="str">
        <f ca="1">IF($F$49="","",
  IF(ACOMPANHAMENTO="PLE",
     IF(AUTOEVENTO="Manual",
         IF(AdmLocal="Automática",
              X44,
              SUMIF(OFFSET(CRONOPLE!$F$14,CRONOPLE!$A$8+1,1,1,OFFSET(CRONOPLE!$AF$12,0,-1)),"&lt;="&amp;X$12,OFFSET(EVENTOS!$G$14,CRONOPLE!$A$8+1,1,1,OFFSET(CRONOPLE!$AF$12,0,-1)))/OFFSET(EVENTOS!$G$14,CRONOPLE!$A$8+1,-1)),
         SUMIFS(OFFSET(CÁLCULO!$AA$15,$F$49,1,OFFSET(ORÇAMENTO!$D$15,$F$49,0),CÁLCULO.FrentesPreenchidas),OFFSET(CÁLCULO!$AL$15,$F$49,1,OFFSET(ORÇAMENTO!$D$15,$F$49,0),CÁLCULO.FrentesPreenchidas),"&lt;="&amp;X$12)/OFFSET(ORÇAMENTO!$X$15,$F$49,0)),
     IF(ACOMPANHAMENTO="BM",SUM(OFFSET($T$13,$F$49+2,1,1,X$12))/OFFSET($S$13,$F$49,0),"")))</f>
        <v/>
      </c>
      <c r="Y49" s="533" t="str">
        <f ca="1">IF($F$49="","",
  IF(ACOMPANHAMENTO="PLE",
     IF(AUTOEVENTO="Manual",
         IF(AdmLocal="Automática",
              Y44,
              SUMIF(OFFSET(CRONOPLE!$F$14,CRONOPLE!$A$8+1,1,1,OFFSET(CRONOPLE!$AF$12,0,-1)),"&lt;="&amp;Y$12,OFFSET(EVENTOS!$G$14,CRONOPLE!$A$8+1,1,1,OFFSET(CRONOPLE!$AF$12,0,-1)))/OFFSET(EVENTOS!$G$14,CRONOPLE!$A$8+1,-1)),
         SUMIFS(OFFSET(CÁLCULO!$AA$15,$F$49,1,OFFSET(ORÇAMENTO!$D$15,$F$49,0),CÁLCULO.FrentesPreenchidas),OFFSET(CÁLCULO!$AL$15,$F$49,1,OFFSET(ORÇAMENTO!$D$15,$F$49,0),CÁLCULO.FrentesPreenchidas),"&lt;="&amp;Y$12)/OFFSET(ORÇAMENTO!$X$15,$F$49,0)),
     IF(ACOMPANHAMENTO="BM",SUM(OFFSET($T$13,$F$49+2,1,1,Y$12))/OFFSET($S$13,$F$49,0),"")))</f>
        <v/>
      </c>
      <c r="Z49" s="533" t="str">
        <f ca="1">IF($F$49="","",
  IF(ACOMPANHAMENTO="PLE",
     IF(AUTOEVENTO="Manual",
         IF(AdmLocal="Automática",
              Z44,
              SUMIF(OFFSET(CRONOPLE!$F$14,CRONOPLE!$A$8+1,1,1,OFFSET(CRONOPLE!$AF$12,0,-1)),"&lt;="&amp;Z$12,OFFSET(EVENTOS!$G$14,CRONOPLE!$A$8+1,1,1,OFFSET(CRONOPLE!$AF$12,0,-1)))/OFFSET(EVENTOS!$G$14,CRONOPLE!$A$8+1,-1)),
         SUMIFS(OFFSET(CÁLCULO!$AA$15,$F$49,1,OFFSET(ORÇAMENTO!$D$15,$F$49,0),CÁLCULO.FrentesPreenchidas),OFFSET(CÁLCULO!$AL$15,$F$49,1,OFFSET(ORÇAMENTO!$D$15,$F$49,0),CÁLCULO.FrentesPreenchidas),"&lt;="&amp;Z$12)/OFFSET(ORÇAMENTO!$X$15,$F$49,0)),
     IF(ACOMPANHAMENTO="BM",SUM(OFFSET($T$13,$F$49+2,1,1,Z$12))/OFFSET($S$13,$F$49,0),"")))</f>
        <v/>
      </c>
      <c r="AA49" s="533" t="str">
        <f ca="1">IF($F$49="","",
  IF(ACOMPANHAMENTO="PLE",
     IF(AUTOEVENTO="Manual",
         IF(AdmLocal="Automática",
              AA44,
              SUMIF(OFFSET(CRONOPLE!$F$14,CRONOPLE!$A$8+1,1,1,OFFSET(CRONOPLE!$AF$12,0,-1)),"&lt;="&amp;AA$12,OFFSET(EVENTOS!$G$14,CRONOPLE!$A$8+1,1,1,OFFSET(CRONOPLE!$AF$12,0,-1)))/OFFSET(EVENTOS!$G$14,CRONOPLE!$A$8+1,-1)),
         SUMIFS(OFFSET(CÁLCULO!$AA$15,$F$49,1,OFFSET(ORÇAMENTO!$D$15,$F$49,0),CÁLCULO.FrentesPreenchidas),OFFSET(CÁLCULO!$AL$15,$F$49,1,OFFSET(ORÇAMENTO!$D$15,$F$49,0),CÁLCULO.FrentesPreenchidas),"&lt;="&amp;AA$12)/OFFSET(ORÇAMENTO!$X$15,$F$49,0)),
     IF(ACOMPANHAMENTO="BM",SUM(OFFSET($T$13,$F$49+2,1,1,AA$12))/OFFSET($S$13,$F$49,0),"")))</f>
        <v/>
      </c>
      <c r="AB49" s="533" t="str">
        <f ca="1">IF($F$49="","",
  IF(ACOMPANHAMENTO="PLE",
     IF(AUTOEVENTO="Manual",
         IF(AdmLocal="Automática",
              AB44,
              SUMIF(OFFSET(CRONOPLE!$F$14,CRONOPLE!$A$8+1,1,1,OFFSET(CRONOPLE!$AF$12,0,-1)),"&lt;="&amp;AB$12,OFFSET(EVENTOS!$G$14,CRONOPLE!$A$8+1,1,1,OFFSET(CRONOPLE!$AF$12,0,-1)))/OFFSET(EVENTOS!$G$14,CRONOPLE!$A$8+1,-1)),
         SUMIFS(OFFSET(CÁLCULO!$AA$15,$F$49,1,OFFSET(ORÇAMENTO!$D$15,$F$49,0),CÁLCULO.FrentesPreenchidas),OFFSET(CÁLCULO!$AL$15,$F$49,1,OFFSET(ORÇAMENTO!$D$15,$F$49,0),CÁLCULO.FrentesPreenchidas),"&lt;="&amp;AB$12)/OFFSET(ORÇAMENTO!$X$15,$F$49,0)),
     IF(ACOMPANHAMENTO="BM",SUM(OFFSET($T$13,$F$49+2,1,1,AB$12))/OFFSET($S$13,$F$49,0),"")))</f>
        <v/>
      </c>
      <c r="AC49" s="533" t="str">
        <f ca="1">IF($F$49="","",
  IF(ACOMPANHAMENTO="PLE",
     IF(AUTOEVENTO="Manual",
         IF(AdmLocal="Automática",
              AC44,
              SUMIF(OFFSET(CRONOPLE!$F$14,CRONOPLE!$A$8+1,1,1,OFFSET(CRONOPLE!$AF$12,0,-1)),"&lt;="&amp;AC$12,OFFSET(EVENTOS!$G$14,CRONOPLE!$A$8+1,1,1,OFFSET(CRONOPLE!$AF$12,0,-1)))/OFFSET(EVENTOS!$G$14,CRONOPLE!$A$8+1,-1)),
         SUMIFS(OFFSET(CÁLCULO!$AA$15,$F$49,1,OFFSET(ORÇAMENTO!$D$15,$F$49,0),CÁLCULO.FrentesPreenchidas),OFFSET(CÁLCULO!$AL$15,$F$49,1,OFFSET(ORÇAMENTO!$D$15,$F$49,0),CÁLCULO.FrentesPreenchidas),"&lt;="&amp;AC$12)/OFFSET(ORÇAMENTO!$X$15,$F$49,0)),
     IF(ACOMPANHAMENTO="BM",SUM(OFFSET($T$13,$F$49+2,1,1,AC$12))/OFFSET($S$13,$F$49,0),"")))</f>
        <v/>
      </c>
      <c r="AD49" s="533" t="str">
        <f ca="1">IF($F$49="","",
  IF(ACOMPANHAMENTO="PLE",
     IF(AUTOEVENTO="Manual",
         IF(AdmLocal="Automática",
              AD44,
              SUMIF(OFFSET(CRONOPLE!$F$14,CRONOPLE!$A$8+1,1,1,OFFSET(CRONOPLE!$AF$12,0,-1)),"&lt;="&amp;AD$12,OFFSET(EVENTOS!$G$14,CRONOPLE!$A$8+1,1,1,OFFSET(CRONOPLE!$AF$12,0,-1)))/OFFSET(EVENTOS!$G$14,CRONOPLE!$A$8+1,-1)),
         SUMIFS(OFFSET(CÁLCULO!$AA$15,$F$49,1,OFFSET(ORÇAMENTO!$D$15,$F$49,0),CÁLCULO.FrentesPreenchidas),OFFSET(CÁLCULO!$AL$15,$F$49,1,OFFSET(ORÇAMENTO!$D$15,$F$49,0),CÁLCULO.FrentesPreenchidas),"&lt;="&amp;AD$12)/OFFSET(ORÇAMENTO!$X$15,$F$49,0)),
     IF(ACOMPANHAMENTO="BM",SUM(OFFSET($T$13,$F$49+2,1,1,AD$12))/OFFSET($S$13,$F$49,0),"")))</f>
        <v/>
      </c>
      <c r="AE49" s="533" t="str">
        <f ca="1">IF($F$49="","",
  IF(ACOMPANHAMENTO="PLE",
     IF(AUTOEVENTO="Manual",
         IF(AdmLocal="Automática",
              AE44,
              SUMIF(OFFSET(CRONOPLE!$F$14,CRONOPLE!$A$8+1,1,1,OFFSET(CRONOPLE!$AF$12,0,-1)),"&lt;="&amp;AE$12,OFFSET(EVENTOS!$G$14,CRONOPLE!$A$8+1,1,1,OFFSET(CRONOPLE!$AF$12,0,-1)))/OFFSET(EVENTOS!$G$14,CRONOPLE!$A$8+1,-1)),
         SUMIFS(OFFSET(CÁLCULO!$AA$15,$F$49,1,OFFSET(ORÇAMENTO!$D$15,$F$49,0),CÁLCULO.FrentesPreenchidas),OFFSET(CÁLCULO!$AL$15,$F$49,1,OFFSET(ORÇAMENTO!$D$15,$F$49,0),CÁLCULO.FrentesPreenchidas),"&lt;="&amp;AE$12)/OFFSET(ORÇAMENTO!$X$15,$F$49,0)),
     IF(ACOMPANHAMENTO="BM",SUM(OFFSET($T$13,$F$49+2,1,1,AE$12))/OFFSET($S$13,$F$49,0),"")))</f>
        <v/>
      </c>
      <c r="AF49" s="533" t="str">
        <f ca="1">IF($F$49="","",
  IF(ACOMPANHAMENTO="PLE",
     IF(AUTOEVENTO="Manual",
         IF(AdmLocal="Automática",
              AF44,
              SUMIF(OFFSET(CRONOPLE!$F$14,CRONOPLE!$A$8+1,1,1,OFFSET(CRONOPLE!$AF$12,0,-1)),"&lt;="&amp;AF$12,OFFSET(EVENTOS!$G$14,CRONOPLE!$A$8+1,1,1,OFFSET(CRONOPLE!$AF$12,0,-1)))/OFFSET(EVENTOS!$G$14,CRONOPLE!$A$8+1,-1)),
         SUMIFS(OFFSET(CÁLCULO!$AA$15,$F$49,1,OFFSET(ORÇAMENTO!$D$15,$F$49,0),CÁLCULO.FrentesPreenchidas),OFFSET(CÁLCULO!$AL$15,$F$49,1,OFFSET(ORÇAMENTO!$D$15,$F$49,0),CÁLCULO.FrentesPreenchidas),"&lt;="&amp;AF$12)/OFFSET(ORÇAMENTO!$X$15,$F$49,0)),
     IF(ACOMPANHAMENTO="BM",SUM(OFFSET($T$13,$F$49+2,1,1,AF$12))/OFFSET($S$13,$F$49,0),"")))</f>
        <v/>
      </c>
      <c r="AG49" s="535"/>
    </row>
    <row r="50" spans="4:33" ht="17.100000000000001" customHeight="1" x14ac:dyDescent="0.25">
      <c r="G50" s="186" t="s">
        <v>537</v>
      </c>
      <c r="H50" s="572" t="str" cm="1">
        <f t="array" ref="H50">IF(AND(ACOMPANHAMENTO="BM",$H$49=""),"↑ Não foi indicado o Macrosserviço de Administração Local","")</f>
        <v/>
      </c>
      <c r="T50" s="584" t="str">
        <f ca="1">IF(COUNTIF(U50:AG50,"%Adm&gt;%Global")&gt;0,"Verificar proporcionalidade da Administração Local","")</f>
        <v/>
      </c>
      <c r="U50" s="536" t="str">
        <f ca="1">IF(U49="","",IF(ROUND(U49,4)&gt;ROUND(U44,4),"%Adm&gt;%Global",""))</f>
        <v/>
      </c>
      <c r="V50" s="536" t="str">
        <f t="shared" ref="V50:AG50" ca="1" si="74">IF(V49="","",IF(ROUND(V49,4)&gt;ROUND(V44,4),"%Adm&gt;%Global",""))</f>
        <v/>
      </c>
      <c r="W50" s="536" t="str">
        <f t="shared" ca="1" si="74"/>
        <v/>
      </c>
      <c r="X50" s="536" t="str">
        <f t="shared" ca="1" si="74"/>
        <v/>
      </c>
      <c r="Y50" s="536" t="str">
        <f t="shared" ca="1" si="74"/>
        <v/>
      </c>
      <c r="Z50" s="536" t="str">
        <f t="shared" ca="1" si="74"/>
        <v/>
      </c>
      <c r="AA50" s="536" t="str">
        <f t="shared" ca="1" si="74"/>
        <v/>
      </c>
      <c r="AB50" s="536" t="str">
        <f t="shared" ca="1" si="74"/>
        <v/>
      </c>
      <c r="AC50" s="536" t="str">
        <f t="shared" ca="1" si="74"/>
        <v/>
      </c>
      <c r="AD50" s="536" t="str">
        <f t="shared" ca="1" si="74"/>
        <v/>
      </c>
      <c r="AE50" s="536" t="str">
        <f t="shared" ca="1" si="74"/>
        <v/>
      </c>
      <c r="AF50" s="536" t="str">
        <f t="shared" ca="1" si="74"/>
        <v/>
      </c>
      <c r="AG50" s="536" t="str">
        <f t="shared" si="74"/>
        <v/>
      </c>
    </row>
    <row r="51" spans="4:33" ht="32.25" customHeight="1" x14ac:dyDescent="0.2">
      <c r="G51" s="186" t="s">
        <v>537</v>
      </c>
      <c r="I51" s="675" t="str">
        <f>Import.Município</f>
        <v>RODEIO BONITO/RS</v>
      </c>
      <c r="J51" s="675"/>
      <c r="K51" s="675"/>
      <c r="L51" s="675"/>
      <c r="M51" s="675"/>
      <c r="N51" s="675"/>
      <c r="O51" s="675"/>
      <c r="P51" s="675"/>
      <c r="Q51" s="675"/>
      <c r="R51" s="675"/>
      <c r="S51" s="675"/>
      <c r="AA51" s="461"/>
      <c r="AB51" s="461"/>
      <c r="AC51" s="461"/>
      <c r="AD51" s="461"/>
      <c r="AE51" s="463"/>
      <c r="AF51" s="463"/>
    </row>
    <row r="52" spans="4:33" x14ac:dyDescent="0.2">
      <c r="G52" s="186" t="s">
        <v>537</v>
      </c>
      <c r="I52" s="9" t="s">
        <v>694</v>
      </c>
      <c r="J52"/>
      <c r="K52"/>
      <c r="L52"/>
      <c r="AA52" s="182" t="s">
        <v>697</v>
      </c>
      <c r="AB52" s="182"/>
      <c r="AC52" s="182"/>
      <c r="AD52" s="182"/>
      <c r="AE52" s="186"/>
      <c r="AF52" s="186"/>
    </row>
    <row r="53" spans="4:33" x14ac:dyDescent="0.2">
      <c r="G53" s="186" t="s">
        <v>537</v>
      </c>
      <c r="I53"/>
      <c r="J53"/>
      <c r="K53"/>
      <c r="L53"/>
      <c r="AA53" s="399" t="str">
        <f t="array" aca="1" ref="AA53:AA55" ca="1">OFFSET(Import.RespOrçamento,0,-1) &amp; " " &amp; Import.RespOrçamento</f>
        <v>Nome: VIVIANE CARBONI TAFFAREL LUCAS</v>
      </c>
      <c r="AC53"/>
      <c r="AD53" s="79"/>
      <c r="AE53" s="186"/>
      <c r="AF53" s="186"/>
    </row>
    <row r="54" spans="4:33" x14ac:dyDescent="0.2">
      <c r="G54" s="186" t="s">
        <v>537</v>
      </c>
      <c r="I54" s="674">
        <f>DADOS!$C$25</f>
        <v>46254</v>
      </c>
      <c r="J54" s="674"/>
      <c r="K54" s="674"/>
      <c r="L54" s="181"/>
      <c r="M54" s="246"/>
      <c r="N54" s="246"/>
      <c r="O54" s="246"/>
      <c r="P54" s="246"/>
      <c r="Q54" s="246"/>
      <c r="R54" s="246"/>
      <c r="S54" s="247"/>
      <c r="AA54" s="399" t="str">
        <f ca="1"/>
        <v>CREA/CAU: 247947</v>
      </c>
      <c r="AC54" s="79"/>
      <c r="AD54" s="79"/>
      <c r="AE54" s="186"/>
      <c r="AF54" s="186"/>
    </row>
    <row r="55" spans="4:33" x14ac:dyDescent="0.2">
      <c r="G55" s="186" t="s">
        <v>537</v>
      </c>
      <c r="I55" s="9" t="s">
        <v>695</v>
      </c>
      <c r="J55"/>
      <c r="K55"/>
      <c r="L55"/>
      <c r="AA55" s="399" t="str">
        <f ca="1"/>
        <v>ART/RRT: 0</v>
      </c>
      <c r="AC55" s="79"/>
      <c r="AD55" s="79"/>
      <c r="AE55" s="186"/>
      <c r="AF55" s="186"/>
    </row>
  </sheetData>
  <sheetProtection algorithmName="SHA-512" hashValue="qnwimshhbRtWXCbE14E0OxtucwZUeUHrUJ2EbCowLAbX7s4PxnQ9RUTjnkcamQcUAd/kx5MZMNFF9hv0m1J6nQ==" saltValue="ki95pZ7tVbdV8yQPADMczA==" spinCount="100000" sheet="1" objects="1" scenarios="1" autoFilter="0"/>
  <autoFilter ref="G13:G55" xr:uid="{00000000-0009-0000-0000-000008000000}">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54:K54"/>
    <mergeCell ref="I51:S51"/>
    <mergeCell ref="H49:J49"/>
    <mergeCell ref="S12:S13"/>
    <mergeCell ref="T12:T13"/>
    <mergeCell ref="L8:T8"/>
    <mergeCell ref="U8:Y8"/>
    <mergeCell ref="K10:T11"/>
    <mergeCell ref="I39:K40"/>
  </mergeCells>
  <phoneticPr fontId="38" type="noConversion"/>
  <conditionalFormatting sqref="U12:U13">
    <cfRule type="expression" dxfId="912" priority="11705" stopIfTrue="1">
      <formula>NOT(ISNUMBER(T$12))</formula>
    </cfRule>
  </conditionalFormatting>
  <conditionalFormatting sqref="E2 U2:AF2">
    <cfRule type="expression" dxfId="911" priority="11706" stopIfTrue="1">
      <formula>AND(ISNUMBER($H1),$H1&lt;&gt;0)</formula>
    </cfRule>
  </conditionalFormatting>
  <conditionalFormatting sqref="I2:S2">
    <cfRule type="expression" dxfId="910" priority="11707" stopIfTrue="1">
      <formula>$M1=2</formula>
    </cfRule>
    <cfRule type="expression" dxfId="909" priority="11708" stopIfTrue="1">
      <formula>AND($M1=1,$S1&lt;&gt;"")</formula>
    </cfRule>
  </conditionalFormatting>
  <conditionalFormatting sqref="I1:S1">
    <cfRule type="expression" dxfId="908" priority="11709" stopIfTrue="1">
      <formula>$M1=2</formula>
    </cfRule>
    <cfRule type="expression" dxfId="907" priority="11710" stopIfTrue="1">
      <formula>AND($M1=1,$S1&lt;&gt;"")</formula>
    </cfRule>
  </conditionalFormatting>
  <conditionalFormatting sqref="E39 E41 E43:E44 E46 E48 U48:AF48 U39:AF39 U41:AF41 U43:AF44 U46:AF46">
    <cfRule type="expression" dxfId="906" priority="11711" stopIfTrue="1">
      <formula>D$44=1</formula>
    </cfRule>
  </conditionalFormatting>
  <conditionalFormatting sqref="E40 E42 E45 E47 E49 U40:AF40 U42:AF42 U45:AF45 U47:AF47 U49:AF49">
    <cfRule type="expression" dxfId="905" priority="11712" stopIfTrue="1">
      <formula>D$44=1</formula>
    </cfRule>
  </conditionalFormatting>
  <conditionalFormatting sqref="AF7:AF8">
    <cfRule type="expression" dxfId="904" priority="11716" stopIfTrue="1">
      <formula>OR(TIPOORCAMENTO&lt;&gt;"Licitado",QCI.ExisteManual)</formula>
    </cfRule>
  </conditionalFormatting>
  <conditionalFormatting sqref="Z7:AE8">
    <cfRule type="expression" dxfId="903" priority="11704" stopIfTrue="1">
      <formula>QCI.ExisteManual</formula>
    </cfRule>
  </conditionalFormatting>
  <conditionalFormatting sqref="H2">
    <cfRule type="expression" dxfId="902" priority="7850">
      <formula>AND(H1&lt;&gt;0,ISNUMBER(H1))</formula>
    </cfRule>
  </conditionalFormatting>
  <conditionalFormatting sqref="E49 U49:AF49">
    <cfRule type="expression" dxfId="901" priority="7841">
      <formula>ROUND(E49,4)&gt;ROUND(E44,4)</formula>
    </cfRule>
  </conditionalFormatting>
  <conditionalFormatting sqref="H1">
    <cfRule type="expression" dxfId="900" priority="7840">
      <formula>AND(H1&lt;&gt;0,ISNUMBER(H1))</formula>
    </cfRule>
  </conditionalFormatting>
  <conditionalFormatting sqref="H49:J49">
    <cfRule type="expression" dxfId="899" priority="7839">
      <formula>$H$48=""</formula>
    </cfRule>
  </conditionalFormatting>
  <conditionalFormatting sqref="E49">
    <cfRule type="expression" dxfId="898" priority="7832" stopIfTrue="1">
      <formula>D$44=1</formula>
    </cfRule>
  </conditionalFormatting>
  <conditionalFormatting sqref="E1">
    <cfRule type="expression" dxfId="897" priority="7829" stopIfTrue="1">
      <formula>E1&lt;&gt;0</formula>
    </cfRule>
  </conditionalFormatting>
  <conditionalFormatting sqref="E2">
    <cfRule type="expression" dxfId="896" priority="7828">
      <formula>AND(_xlfn.SINGLE(ACOMPANHAMENTO)="BM",E2&gt;ROUND(E2,4))</formula>
    </cfRule>
  </conditionalFormatting>
  <conditionalFormatting sqref="E49">
    <cfRule type="expression" dxfId="895" priority="7827" stopIfTrue="1">
      <formula>D$44=1</formula>
    </cfRule>
  </conditionalFormatting>
  <conditionalFormatting sqref="U1:AF1">
    <cfRule type="expression" dxfId="894" priority="7826" stopIfTrue="1">
      <formula>U1&lt;&gt;0</formula>
    </cfRule>
  </conditionalFormatting>
  <conditionalFormatting sqref="U2:AF2">
    <cfRule type="expression" dxfId="893" priority="7825">
      <formula>AND(_xlfn.SINGLE(ACOMPANHAMENTO)="BM",U2&gt;ROUND(U2,4))</formula>
    </cfRule>
  </conditionalFormatting>
  <conditionalFormatting sqref="E15 E18 E21 U15:AF15 U18:AF18 U21:AF21">
    <cfRule type="expression" dxfId="892" priority="205" stopIfTrue="1">
      <formula>AND(ISNUMBER($H14),$H14&lt;&gt;0)</formula>
    </cfRule>
  </conditionalFormatting>
  <conditionalFormatting sqref="I15:S15 I18:S18 I21:S21">
    <cfRule type="expression" dxfId="891" priority="206" stopIfTrue="1">
      <formula>$M14=2</formula>
    </cfRule>
    <cfRule type="expression" dxfId="890" priority="207" stopIfTrue="1">
      <formula>AND($M14=1,$S14&lt;&gt;"")</formula>
    </cfRule>
  </conditionalFormatting>
  <conditionalFormatting sqref="I14:S14 I17:S17 I20:S20">
    <cfRule type="expression" dxfId="889" priority="208" stopIfTrue="1">
      <formula>$M14=2</formula>
    </cfRule>
    <cfRule type="expression" dxfId="888" priority="209" stopIfTrue="1">
      <formula>AND($M14=1,$S14&lt;&gt;"")</formula>
    </cfRule>
  </conditionalFormatting>
  <conditionalFormatting sqref="H15 H18 H21">
    <cfRule type="expression" dxfId="887" priority="204">
      <formula>AND(H14&lt;&gt;0,ISNUMBER(H14))</formula>
    </cfRule>
  </conditionalFormatting>
  <conditionalFormatting sqref="H14 H17 H20">
    <cfRule type="expression" dxfId="886" priority="203">
      <formula>AND(H14&lt;&gt;0,ISNUMBER(H14))</formula>
    </cfRule>
  </conditionalFormatting>
  <conditionalFormatting sqref="E14 E17 E20">
    <cfRule type="expression" dxfId="885" priority="202" stopIfTrue="1">
      <formula>E14&lt;&gt;0</formula>
    </cfRule>
  </conditionalFormatting>
  <conditionalFormatting sqref="E15 E18 E21">
    <cfRule type="expression" dxfId="884" priority="201">
      <formula>AND(_xlfn.SINGLE(ACOMPANHAMENTO)="BM",E15&gt;ROUND(E15,4))</formula>
    </cfRule>
  </conditionalFormatting>
  <conditionalFormatting sqref="U14:AF14 U17:AF17 U20:AF20">
    <cfRule type="expression" dxfId="883" priority="200" stopIfTrue="1">
      <formula>U14&lt;&gt;0</formula>
    </cfRule>
  </conditionalFormatting>
  <conditionalFormatting sqref="U15:AF15 U18:AF18 U21:AF21">
    <cfRule type="expression" dxfId="882" priority="199">
      <formula>AND(_xlfn.SINGLE(ACOMPANHAMENTO)="BM",U15&gt;ROUND(U15,4))</formula>
    </cfRule>
  </conditionalFormatting>
  <conditionalFormatting sqref="E24 U24:AF24">
    <cfRule type="expression" dxfId="881" priority="194" stopIfTrue="1">
      <formula>AND(ISNUMBER($H23),$H23&lt;&gt;0)</formula>
    </cfRule>
  </conditionalFormatting>
  <conditionalFormatting sqref="I24:S24">
    <cfRule type="expression" dxfId="880" priority="195" stopIfTrue="1">
      <formula>$M23=2</formula>
    </cfRule>
    <cfRule type="expression" dxfId="879" priority="196" stopIfTrue="1">
      <formula>AND($M23=1,$S23&lt;&gt;"")</formula>
    </cfRule>
  </conditionalFormatting>
  <conditionalFormatting sqref="I23:S23">
    <cfRule type="expression" dxfId="878" priority="197" stopIfTrue="1">
      <formula>$M23=2</formula>
    </cfRule>
    <cfRule type="expression" dxfId="877" priority="198" stopIfTrue="1">
      <formula>AND($M23=1,$S23&lt;&gt;"")</formula>
    </cfRule>
  </conditionalFormatting>
  <conditionalFormatting sqref="H24">
    <cfRule type="expression" dxfId="876" priority="193">
      <formula>AND(H23&lt;&gt;0,ISNUMBER(H23))</formula>
    </cfRule>
  </conditionalFormatting>
  <conditionalFormatting sqref="H23">
    <cfRule type="expression" dxfId="875" priority="192">
      <formula>AND(H23&lt;&gt;0,ISNUMBER(H23))</formula>
    </cfRule>
  </conditionalFormatting>
  <conditionalFormatting sqref="E23">
    <cfRule type="expression" dxfId="874" priority="191" stopIfTrue="1">
      <formula>E23&lt;&gt;0</formula>
    </cfRule>
  </conditionalFormatting>
  <conditionalFormatting sqref="E24">
    <cfRule type="expression" dxfId="873" priority="190">
      <formula>AND(_xlfn.SINGLE(ACOMPANHAMENTO)="BM",E24&gt;ROUND(E24,4))</formula>
    </cfRule>
  </conditionalFormatting>
  <conditionalFormatting sqref="U23:AF23">
    <cfRule type="expression" dxfId="872" priority="189" stopIfTrue="1">
      <formula>U23&lt;&gt;0</formula>
    </cfRule>
  </conditionalFormatting>
  <conditionalFormatting sqref="U24:AF24">
    <cfRule type="expression" dxfId="871" priority="188">
      <formula>AND(_xlfn.SINGLE(ACOMPANHAMENTO)="BM",U24&gt;ROUND(U24,4))</formula>
    </cfRule>
  </conditionalFormatting>
  <conditionalFormatting sqref="E27 E30 U27:AF27 U30:AF30">
    <cfRule type="expression" dxfId="870" priority="18" stopIfTrue="1">
      <formula>AND(ISNUMBER($H26),$H26&lt;&gt;0)</formula>
    </cfRule>
  </conditionalFormatting>
  <conditionalFormatting sqref="I27:S27 I30:S30">
    <cfRule type="expression" dxfId="869" priority="19" stopIfTrue="1">
      <formula>$M26=2</formula>
    </cfRule>
    <cfRule type="expression" dxfId="868" priority="20" stopIfTrue="1">
      <formula>AND($M26=1,$S26&lt;&gt;"")</formula>
    </cfRule>
  </conditionalFormatting>
  <conditionalFormatting sqref="I26:S26 I29:S29">
    <cfRule type="expression" dxfId="867" priority="21" stopIfTrue="1">
      <formula>$M26=2</formula>
    </cfRule>
    <cfRule type="expression" dxfId="866" priority="22" stopIfTrue="1">
      <formula>AND($M26=1,$S26&lt;&gt;"")</formula>
    </cfRule>
  </conditionalFormatting>
  <conditionalFormatting sqref="H27 H30">
    <cfRule type="expression" dxfId="865" priority="17">
      <formula>AND(H26&lt;&gt;0,ISNUMBER(H26))</formula>
    </cfRule>
  </conditionalFormatting>
  <conditionalFormatting sqref="H26 H29">
    <cfRule type="expression" dxfId="864" priority="16">
      <formula>AND(H26&lt;&gt;0,ISNUMBER(H26))</formula>
    </cfRule>
  </conditionalFormatting>
  <conditionalFormatting sqref="E26 E29">
    <cfRule type="expression" dxfId="863" priority="15" stopIfTrue="1">
      <formula>E26&lt;&gt;0</formula>
    </cfRule>
  </conditionalFormatting>
  <conditionalFormatting sqref="E27 E30">
    <cfRule type="expression" dxfId="862" priority="14">
      <formula>AND(_xlfn.SINGLE(ACOMPANHAMENTO)="BM",E27&gt;ROUND(E27,4))</formula>
    </cfRule>
  </conditionalFormatting>
  <conditionalFormatting sqref="U26:AF26 U29:AF29">
    <cfRule type="expression" dxfId="861" priority="13" stopIfTrue="1">
      <formula>U26&lt;&gt;0</formula>
    </cfRule>
  </conditionalFormatting>
  <conditionalFormatting sqref="U27:AF27 U30:AF30">
    <cfRule type="expression" dxfId="860" priority="12">
      <formula>AND(_xlfn.SINGLE(ACOMPANHAMENTO)="BM",U27&gt;ROUND(U27,4))</formula>
    </cfRule>
  </conditionalFormatting>
  <conditionalFormatting sqref="E33 E36 U33:AF33 U36:AF36">
    <cfRule type="expression" dxfId="859" priority="7" stopIfTrue="1">
      <formula>AND(ISNUMBER($H32),$H32&lt;&gt;0)</formula>
    </cfRule>
  </conditionalFormatting>
  <conditionalFormatting sqref="I33:S33 I36:S36">
    <cfRule type="expression" dxfId="858" priority="8" stopIfTrue="1">
      <formula>$M32=2</formula>
    </cfRule>
    <cfRule type="expression" dxfId="857" priority="9" stopIfTrue="1">
      <formula>AND($M32=1,$S32&lt;&gt;"")</formula>
    </cfRule>
  </conditionalFormatting>
  <conditionalFormatting sqref="I32:S32 I35:S35">
    <cfRule type="expression" dxfId="856" priority="10" stopIfTrue="1">
      <formula>$M32=2</formula>
    </cfRule>
    <cfRule type="expression" dxfId="855" priority="11" stopIfTrue="1">
      <formula>AND($M32=1,$S32&lt;&gt;"")</formula>
    </cfRule>
  </conditionalFormatting>
  <conditionalFormatting sqref="H33 H36">
    <cfRule type="expression" dxfId="854" priority="6">
      <formula>AND(H32&lt;&gt;0,ISNUMBER(H32))</formula>
    </cfRule>
  </conditionalFormatting>
  <conditionalFormatting sqref="H32 H35">
    <cfRule type="expression" dxfId="853" priority="5">
      <formula>AND(H32&lt;&gt;0,ISNUMBER(H32))</formula>
    </cfRule>
  </conditionalFormatting>
  <conditionalFormatting sqref="E32 E35">
    <cfRule type="expression" dxfId="852" priority="4" stopIfTrue="1">
      <formula>E32&lt;&gt;0</formula>
    </cfRule>
  </conditionalFormatting>
  <conditionalFormatting sqref="E33 E36">
    <cfRule type="expression" dxfId="851" priority="3">
      <formula>AND(_xlfn.SINGLE(ACOMPANHAMENTO)="BM",E33&gt;ROUND(E33,4))</formula>
    </cfRule>
  </conditionalFormatting>
  <conditionalFormatting sqref="U32:AF32 U35:AF35">
    <cfRule type="expression" dxfId="850" priority="2" stopIfTrue="1">
      <formula>U32&lt;&gt;0</formula>
    </cfRule>
  </conditionalFormatting>
  <conditionalFormatting sqref="U33:AF33 U36:AF36">
    <cfRule type="expression" dxfId="849" priority="1">
      <formula>AND(_xlfn.SINGLE(ACOMPANHAMENTO)="BM",U33&gt;ROUND(U33,4))</formula>
    </cfRule>
  </conditionalFormatting>
  <dataValidations count="6">
    <dataValidation type="list" allowBlank="1" showErrorMessage="1" errorTitle="Obrigatório:" error="Selecione o nível (2, 3 ou 4) do agrupador a exibir no cronograma." sqref="H10" xr:uid="{00000000-0002-0000-0800-000000000000}">
      <formula1>"2,3,4"</formula1>
    </dataValidation>
    <dataValidation allowBlank="1" showInputMessage="1" showErrorMessage="1" prompt="Preencha na célula de baixo. Se o acompanhamento for PLE, preencha no botão PREENCHIMENTO POR EVENTOS, acima." sqref="E1 U1:AF1 E14 E17 E20 U14:AF14 U17:AF17 U20:AF20 E23 U23:AF23 E26 E29 U26:AF26 U29:AF29 E32 E35 U32:AF32 U35:AF35" xr:uid="{00000000-0002-0000-0800-000001000000}"/>
    <dataValidation type="whole" operator="greaterThan" allowBlank="1" showErrorMessage="1" sqref="U12" xr:uid="{00000000-0002-0000-0800-000002000000}">
      <formula1>0</formula1>
      <formula2>0</formula2>
    </dataValidation>
    <dataValidation type="decimal" allowBlank="1" showErrorMessage="1" error="Porcentagem Acumulada &gt; 100%." sqref="E2 U2:AG2 E15 E18 E21 U15:AG15 U18:AG18 U21:AG21 E24 U24:AG24 E27 E30 U27:AG27 U30:AG30 E33 E36 U33:AG33 U36:AG36" xr:uid="{00000000-0002-0000-0800-000003000000}">
      <formula1>0</formula1>
      <formula2>CRONO.MaxParc</formula2>
    </dataValidation>
    <dataValidation type="date" operator="greaterThan" allowBlank="1" showInputMessage="1" showErrorMessage="1" errorTitle="Erro" error="Digite somente datas." sqref="U13" xr:uid="{00000000-0002-0000-0800-000004000000}">
      <formula1>36526</formula1>
    </dataValidation>
    <dataValidation type="list" allowBlank="1" showErrorMessage="1" errorTitle="Atenção" error="Selecione uma opção da lista." sqref="H49:J49" xr:uid="{00000000-0002-0000-0800-000005000000}">
      <formula1>$A$13:$A$38</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&amp;LPMv3.12&amp;R&amp;P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F1" s="273" t="s">
        <v>806</v>
      </c>
      <c r="I1" s="8"/>
      <c r="J1" s="8"/>
      <c r="O1" s="493" t="s">
        <v>758</v>
      </c>
      <c r="P1" s="86"/>
    </row>
    <row r="2" spans="1:31" x14ac:dyDescent="0.2">
      <c r="Z2" t="s">
        <v>807</v>
      </c>
      <c r="AA2" s="89" t="s">
        <v>808</v>
      </c>
      <c r="AB2" s="77"/>
    </row>
    <row r="3" spans="1:31" x14ac:dyDescent="0.2">
      <c r="D3" s="708" t="s">
        <v>651</v>
      </c>
      <c r="E3" s="708"/>
      <c r="F3" s="88" t="s">
        <v>708</v>
      </c>
      <c r="G3" s="708" t="s">
        <v>653</v>
      </c>
      <c r="H3" s="708"/>
      <c r="I3" s="708"/>
      <c r="J3" s="771" t="s">
        <v>809</v>
      </c>
      <c r="K3" s="771"/>
      <c r="L3" s="771"/>
      <c r="M3" s="772" t="s">
        <v>810</v>
      </c>
      <c r="N3" s="772"/>
      <c r="O3" s="772"/>
      <c r="Z3" s="103">
        <f ca="1">MAX(Z7:AB7)</f>
        <v>1</v>
      </c>
      <c r="AA3" s="274">
        <f ca="1">IF(OR($O$24=ORÇAMENTO.SumINVMANUAL+QCI.SumINVMANUAL,$O$24=0),0,MIN(MAX(0,($Z$3*$O$24-ORÇAMENTO.SumCPMANUAL-QCI.SumCPMANUAL)/($O$24-ORÇAMENTO.SumINVMANUAL-QCI.SumINVMANUAL)),1))</f>
        <v>1</v>
      </c>
      <c r="AB3" s="93"/>
    </row>
    <row r="4" spans="1:31" x14ac:dyDescent="0.2">
      <c r="D4" s="711" t="str">
        <f>Import.CR</f>
        <v>0</v>
      </c>
      <c r="E4" s="711"/>
      <c r="F4" s="56" t="str">
        <f>Import.TransfereGOV</f>
        <v>0</v>
      </c>
      <c r="G4" s="711" t="str">
        <f>Import.Proponente</f>
        <v>CONSÓRCIO INTERMUNICIPAL DO MÉDIO ALTO URUGUAI - CIMAU</v>
      </c>
      <c r="H4" s="711"/>
      <c r="I4" s="711"/>
      <c r="J4" s="773" t="str">
        <f>Import.Município</f>
        <v>RODEIO BONITO/RS</v>
      </c>
      <c r="K4" s="773"/>
      <c r="L4" s="773"/>
      <c r="M4" s="772"/>
      <c r="N4" s="772"/>
      <c r="O4" s="772"/>
      <c r="R4" s="130"/>
      <c r="Z4" s="93"/>
      <c r="AA4" s="93"/>
      <c r="AB4" s="93"/>
    </row>
    <row r="5" spans="1:31" ht="5.0999999999999996" customHeight="1" x14ac:dyDescent="0.2">
      <c r="M5" s="266"/>
      <c r="O5" s="4"/>
    </row>
    <row r="6" spans="1:31" x14ac:dyDescent="0.2">
      <c r="D6" s="708" t="s">
        <v>709</v>
      </c>
      <c r="E6" s="708"/>
      <c r="F6" s="708"/>
      <c r="G6" s="708"/>
      <c r="H6" s="708"/>
      <c r="I6" s="708"/>
      <c r="J6" s="708"/>
      <c r="K6" s="708"/>
      <c r="L6" s="275" t="s">
        <v>716</v>
      </c>
      <c r="M6" s="88" t="str">
        <f>IF(import.recurso="FGTS","FINANCIAMENTO","REPASSE")</f>
        <v>REPASSE</v>
      </c>
      <c r="N6" s="88" t="s">
        <v>811</v>
      </c>
      <c r="O6" s="88" t="s">
        <v>812</v>
      </c>
      <c r="Z6" t="s">
        <v>813</v>
      </c>
      <c r="AA6" t="s">
        <v>814</v>
      </c>
      <c r="AB6" t="s">
        <v>815</v>
      </c>
    </row>
    <row r="7" spans="1:31" ht="12.75" customHeight="1" x14ac:dyDescent="0.2">
      <c r="C7" s="680" t="s">
        <v>656</v>
      </c>
      <c r="D7" s="711" t="str">
        <f>Import.Apelido</f>
        <v>REFORMA CASA DA CRIANÇA</v>
      </c>
      <c r="E7" s="711"/>
      <c r="F7" s="711"/>
      <c r="G7" s="711"/>
      <c r="H7" s="711"/>
      <c r="I7" s="711"/>
      <c r="J7" s="711"/>
      <c r="K7" s="711"/>
      <c r="L7" s="276" t="str">
        <f>import.recurso</f>
        <v>OGU</v>
      </c>
      <c r="M7" s="277">
        <f>Import.Repasse</f>
        <v>0</v>
      </c>
      <c r="N7" s="277">
        <f>Import.Contrapartida</f>
        <v>0</v>
      </c>
      <c r="O7" s="277">
        <f>M7+N7</f>
        <v>0</v>
      </c>
      <c r="Z7" s="103">
        <f>ROUND(Import.CPMinPerc,4)</f>
        <v>0</v>
      </c>
      <c r="AA7" s="103">
        <f ca="1">IF($O$24=0,0,Import.CPMinAbsoluta/$O$24)</f>
        <v>0</v>
      </c>
      <c r="AB7" s="103">
        <f ca="1">IF($O$24=0,0,($O$24-$AB$24-Import.Repasse)/($O$24))</f>
        <v>1</v>
      </c>
    </row>
    <row r="8" spans="1:31" x14ac:dyDescent="0.2">
      <c r="C8" s="680"/>
      <c r="D8" s="93"/>
      <c r="E8" s="93"/>
      <c r="F8" s="278"/>
      <c r="G8" s="93"/>
      <c r="H8" s="93"/>
      <c r="I8" s="93"/>
      <c r="J8" s="93"/>
      <c r="K8" s="93"/>
      <c r="L8" s="93"/>
      <c r="M8" s="93"/>
      <c r="N8" s="93"/>
      <c r="O8" s="93"/>
    </row>
    <row r="9" spans="1:31" ht="12.75" customHeight="1" x14ac:dyDescent="0.2">
      <c r="C9" s="680"/>
      <c r="G9" s="770"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IF(OFFSET($A$24,-1,0)&lt;OFFSET(ORÇAMENTO!$E$105,-1,0),"ERRO: NÚMERO DE LINHAS DO QCI INSUFICIENTE. CLIQUE NO BOTÃO ADICIONAR LINHAS",
  "")))))))</f>
        <v>PREENCHIMENTO INCOMPLETO DA TABELA PRINCIPAL DO QCI</v>
      </c>
      <c r="H9" s="770"/>
      <c r="I9" s="513"/>
      <c r="J9" s="512"/>
      <c r="K9" s="769" t="s">
        <v>816</v>
      </c>
      <c r="L9" s="279" t="str">
        <f>$L$13</f>
        <v>Repasse (R$)</v>
      </c>
      <c r="M9" s="279" t="s">
        <v>742</v>
      </c>
      <c r="AD9" s="767"/>
      <c r="AE9" s="767"/>
    </row>
    <row r="10" spans="1:31" ht="12.75" customHeight="1" x14ac:dyDescent="0.2">
      <c r="A10" s="766" t="s">
        <v>817</v>
      </c>
      <c r="C10" s="680"/>
      <c r="G10" s="770"/>
      <c r="H10" s="770"/>
      <c r="I10" s="513"/>
      <c r="J10" s="512"/>
      <c r="K10" s="769"/>
      <c r="L10" s="280">
        <f ca="1">Import.Repasse-L24</f>
        <v>0</v>
      </c>
      <c r="M10" s="281">
        <f ca="1">Import.Contrapartida-M24</f>
        <v>-290574.24</v>
      </c>
      <c r="Z10" s="719" t="s">
        <v>722</v>
      </c>
      <c r="AA10" s="719"/>
      <c r="AB10" s="719"/>
      <c r="AD10" s="767" t="s">
        <v>818</v>
      </c>
      <c r="AE10" s="767"/>
    </row>
    <row r="11" spans="1:31" ht="20.100000000000001" customHeight="1" x14ac:dyDescent="0.25">
      <c r="A11" s="766"/>
      <c r="C11" s="680"/>
      <c r="G11" s="583"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2"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1" t="s">
        <v>819</v>
      </c>
      <c r="AA11" s="111" t="s">
        <v>742</v>
      </c>
      <c r="AB11" s="112" t="s">
        <v>743</v>
      </c>
    </row>
    <row r="12" spans="1:31" ht="30" hidden="1" customHeight="1" x14ac:dyDescent="0.2">
      <c r="A12">
        <f ca="1">IF(NOT(ISBLANK(QCI.DescManual)),OFFSET(A12,-1,0),D12)</f>
        <v>-1</v>
      </c>
      <c r="B12" t="str">
        <f ca="1">IF(NOT(ISBLANK(QCI.DescManual)),IF(QCI.Divisao="Calculado","Manual","SemiAuto"),IF(ISERROR(MATCH($A12,ORÇAMENTO!$E$15:$E$105,0)),"Branco","Automático"))</f>
        <v>Branco</v>
      </c>
      <c r="C12" t="str">
        <f ca="1">IF(O12&gt;0,"F","")</f>
        <v/>
      </c>
      <c r="D12" s="282">
        <f>ROW()-ROW($D$13)</f>
        <v>-1</v>
      </c>
      <c r="E12" s="119"/>
      <c r="F12" s="119"/>
      <c r="G12" s="164" t="str">
        <f ca="1">IF(OR($B12="Manual",$B12="SemiAuto"),QCI.DescManual,IF($B12="Automático",INDEX(ORÇAMENTO!$R$15:$R$105,MATCH($A12,ORÇAMENTO!$E$15:$E$105,0)),""))</f>
        <v/>
      </c>
      <c r="H12" s="119"/>
      <c r="I12" s="465"/>
      <c r="J12" s="283" t="str">
        <f ca="1">IF(AND(ISBLANK(E12),ISBLANK(F12)),"",VLOOKUP($F12,OFFSET(DADOS!$A$2,1,MATCH(QCI!$E12,DADOS!$2:$2,0)-1,100,50),2,FALSE))</f>
        <v/>
      </c>
      <c r="K12" s="464" t="str">
        <f ca="1">IF(OR($B12="Manual",$B12="SemiAuto"),QCI.LoteManual,IF($B12="Automático",IF(TIPOORCAMENTO="Licitado",Import.CTEF,"LOTE 1"),""))</f>
        <v/>
      </c>
      <c r="L12" s="284">
        <f ca="1">ROUND($O12,2)-ROUND($M12,2)-ROUND($N12,2)</f>
        <v>0</v>
      </c>
      <c r="M12" s="285">
        <f ca="1">ROUND($AA12,2)-ROUND($AE12,2)</f>
        <v>0</v>
      </c>
      <c r="N12" s="286">
        <f ca="1">ROUND($AB12,2)</f>
        <v>0</v>
      </c>
      <c r="O12" s="287">
        <f ca="1">IF($B12="Branco",0,IF(OR($B12="Manual",$B12="SemiAuto"),QCI.InvManual,INDEX(ORÇAMENTO!X$15:X$105,MATCH($A12,ORÇAMENTO!$E$15:$E$105,0))))</f>
        <v>0</v>
      </c>
      <c r="P12" s="578" t="str">
        <f ca="1">IF(O12=0,"",
  IF(E12="","ITEM",
  IF(F12="","SUBITEM",
  IF(H12="","SITUAÇÃO",
  IF(I12=0,"QUANT.","")))))</f>
        <v/>
      </c>
      <c r="R12" s="466"/>
      <c r="S12" s="579" t="str">
        <f>IF(R12="","",
  IF(T12=0,"► LOTE",
  IF(U12=0,"► INVEST",
  IF(V12=0,"► DIV",
  IF(AND(V12="Calculado",W12=""),"► CP",
  IF(AND(V12="Calculado",X12=""),"► OU",""))))))</f>
        <v/>
      </c>
      <c r="T12" s="467"/>
      <c r="U12" s="580"/>
      <c r="V12" s="468" t="s">
        <v>820</v>
      </c>
      <c r="W12" s="581"/>
      <c r="X12" s="582"/>
      <c r="Z12">
        <f ca="1">$O12-$AA12-$AB12</f>
        <v>0</v>
      </c>
      <c r="AA12">
        <f ca="1">IF($B12="Branco",0,IF($B12="Manual",QCI.CPManual,IF($B12="SemiAuto",ROUND(QCI!$AA$3*QCI.InvManual,2),INDEX(ORÇAMENTO!$AA$15:$AA$105,MATCH($A12,ORÇAMENTO!$E$15:$E$105,0)))))</f>
        <v>0</v>
      </c>
      <c r="AB12">
        <f ca="1">IF($B12="Branco",0,IF($B12="Manual",QCI.OutrosManual,IF($B12="SemiAuto",0,INDEX(ORÇAMENTO!$AB$15:$AB$105,MATCH($A12,ORÇAMENTO!$E$15:$E$105,0)))))</f>
        <v>0</v>
      </c>
      <c r="AD12" s="290" t="b">
        <f ca="1">AND($AA$3&gt;0,$AA$3&lt;1,$O12&gt;0,OR($B12="Automático",$B12="SemiAuto"),OR(QCI!$Z$3=QCI!$Z$7,QCI!$Z$3=QCI!$AA$7,QCI!$Z$3=QCI!$AB$7))</f>
        <v>0</v>
      </c>
      <c r="AE12" s="290">
        <f ca="1">IF(AND($AD12,$O12&gt;0,COUNTIF(OFFSET($AD12,1,0):$AD$24,TRUE)=0),CHOOSE(1+LOG(1+2*(QCI!$Z$3=QCI!$Z$7)+4*(QCI!$Z$3=QCI!$AA$7)+8*(QCI!$Z$3=QCI!$AB$7),2),0,$AA$24-ROUND(Import.CPMinPerc*$O$24,2),$AA$24-Import.CPMinAbsoluta,Import.Repasse-$Z$24),0)</f>
        <v>0</v>
      </c>
    </row>
    <row r="13" spans="1:31" ht="25.5" customHeight="1" x14ac:dyDescent="0.2">
      <c r="A13" s="86">
        <v>0</v>
      </c>
      <c r="B13" s="291" t="s">
        <v>821</v>
      </c>
      <c r="C13" s="107" t="s">
        <v>661</v>
      </c>
      <c r="D13" s="108" t="s">
        <v>702</v>
      </c>
      <c r="E13" s="108" t="s">
        <v>822</v>
      </c>
      <c r="F13" s="108" t="s">
        <v>823</v>
      </c>
      <c r="G13" s="108" t="s">
        <v>824</v>
      </c>
      <c r="H13" s="108" t="s">
        <v>670</v>
      </c>
      <c r="I13" s="108" t="s">
        <v>713</v>
      </c>
      <c r="J13" s="108" t="s">
        <v>825</v>
      </c>
      <c r="K13" s="108" t="s">
        <v>826</v>
      </c>
      <c r="L13" s="646" t="str">
        <f>IF(import.recurso="FGTS","Financiamento (R$)","Repasse (R$)")</f>
        <v>Repasse (R$)</v>
      </c>
      <c r="M13" s="647" t="s">
        <v>827</v>
      </c>
      <c r="N13" s="292" t="s">
        <v>743</v>
      </c>
      <c r="O13" s="108" t="s">
        <v>828</v>
      </c>
      <c r="R13" s="293" t="s">
        <v>824</v>
      </c>
      <c r="T13" s="293" t="s">
        <v>826</v>
      </c>
      <c r="U13" s="160" t="s">
        <v>828</v>
      </c>
      <c r="V13" s="294" t="s">
        <v>829</v>
      </c>
      <c r="W13" s="159" t="s">
        <v>827</v>
      </c>
      <c r="X13" s="161" t="s">
        <v>743</v>
      </c>
    </row>
    <row r="14" spans="1:31" ht="30" customHeight="1" x14ac:dyDescent="0.2">
      <c r="A14">
        <f t="shared" ref="A14:A23" ca="1" si="0">IF(NOT(ISBLANK(QCI.DescManual)),OFFSET(A14,-1,0),D14)</f>
        <v>1</v>
      </c>
      <c r="B14" t="str">
        <f ca="1">IF(NOT(ISBLANK(QCI.DescManual)),IF(QCI.Divisao="Calculado","Manual","SemiAuto"),IF(ISERROR(MATCH($A14,ORÇAMENTO!$E$15:$E$105,0)),"Branco","Automático"))</f>
        <v>Automático</v>
      </c>
      <c r="C14" t="str">
        <f t="shared" ref="C14:C22" ca="1" si="1">IF(O14&gt;0,"F","")</f>
        <v>F</v>
      </c>
      <c r="D14" s="282">
        <f t="shared" ref="D14:D22" si="2">ROW()-ROW($D$13)</f>
        <v>1</v>
      </c>
      <c r="E14" s="119"/>
      <c r="F14" s="119"/>
      <c r="G14" s="164" t="str">
        <f ca="1">IF(OR($B14="Manual",$B14="SemiAuto"),QCI.DescManual,IF($B14="Automático",INDEX(ORÇAMENTO!$R$15:$R$105,MATCH($A14,ORÇAMENTO!$E$15:$E$105,0)),""))</f>
        <v>REFORMA CASA DA CRIANÇA</v>
      </c>
      <c r="H14" s="119"/>
      <c r="I14" s="465"/>
      <c r="J14" s="283" t="str">
        <f ca="1">IF(AND(ISBLANK(E14),ISBLANK(F14)),"",VLOOKUP($F14,OFFSET(DADOS!$A$2,1,MATCH(QCI!$E14,DADOS!$2:$2,0)-1,100,50),2,FALSE))</f>
        <v/>
      </c>
      <c r="K14" s="464" t="str">
        <f ca="1">IF(OR($B14="Manual",$B14="SemiAuto"),QCI.LoteManual,IF($B14="Automático",IF(TIPOORCAMENTO="Licitado",Import.CTEF,"LOTE 1"),""))</f>
        <v>LOTE 1</v>
      </c>
      <c r="L14" s="284">
        <f t="shared" ref="L14:L22" ca="1" si="3">ROUND($O14,2)-ROUND($M14,2)-ROUND($N14,2)</f>
        <v>0</v>
      </c>
      <c r="M14" s="285">
        <f t="shared" ref="M14:M22" ca="1" si="4">ROUND($AA14,2)-ROUND($AE14,2)</f>
        <v>290574.24</v>
      </c>
      <c r="N14" s="286">
        <f t="shared" ref="N14:N22" ca="1" si="5">ROUND($AB14,2)</f>
        <v>0</v>
      </c>
      <c r="O14" s="287">
        <f ca="1">IF($B14="Branco",0,IF(OR($B14="Manual",$B14="SemiAuto"),QCI.InvManual,INDEX(ORÇAMENTO!X$15:X$105,MATCH($A14,ORÇAMENTO!$E$15:$E$105,0))))</f>
        <v>290574.24</v>
      </c>
      <c r="P14" s="578" t="str">
        <f t="shared" ref="P14:P22" ca="1" si="6">IF(O14=0,"",
  IF(E14="","ITEM",
  IF(F14="","SUBITEM",
  IF(H14="","SITUAÇÃO",
  IF(I14=0,"QUANT.","")))))</f>
        <v>ITEM</v>
      </c>
      <c r="R14" s="466"/>
      <c r="S14" s="579" t="str">
        <f t="shared" ref="S14:S22" si="7">IF(R14="","",
  IF(T14=0,"► LOTE",
  IF(U14=0,"► INVEST",
  IF(V14=0,"► DIV",
  IF(AND(V14="Calculado",W14=""),"► CP",
  IF(AND(V14="Calculado",X14=""),"► OU",""))))))</f>
        <v/>
      </c>
      <c r="T14" s="467"/>
      <c r="U14" s="580"/>
      <c r="V14" s="468" t="s">
        <v>820</v>
      </c>
      <c r="W14" s="581"/>
      <c r="X14" s="582"/>
      <c r="Z14">
        <f t="shared" ref="Z14:Z22" ca="1" si="8">$O14-$AA14-$AB14</f>
        <v>-5.8207660913467407E-11</v>
      </c>
      <c r="AA14">
        <f ca="1">IF($B14="Branco",0,IF($B14="Manual",QCI.CPManual,IF($B14="SemiAuto",ROUND(QCI!$AA$3*QCI.InvManual,2),INDEX(ORÇAMENTO!$AA$15:$AA$105,MATCH($A14,ORÇAMENTO!$E$15:$E$105,0)))))</f>
        <v>290574.24000000005</v>
      </c>
      <c r="AB14">
        <f ca="1">IF($B14="Branco",0,IF($B14="Manual",QCI.OutrosManual,IF($B14="SemiAuto",0,INDEX(ORÇAMENTO!$AB$15:$AB$105,MATCH($A14,ORÇAMENTO!$E$15:$E$105,0)))))</f>
        <v>0</v>
      </c>
      <c r="AD14" s="290" t="b">
        <f ca="1">AND($AA$3&gt;0,$AA$3&lt;1,$O14&gt;0,OR($B14="Automático",$B14="SemiAuto"),OR(QCI!$Z$3=QCI!$Z$7,QCI!$Z$3=QCI!$AA$7,QCI!$Z$3=QCI!$AB$7))</f>
        <v>0</v>
      </c>
      <c r="AE14" s="290">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IF(NOT(ISBLANK(QCI.DescManual)),IF(QCI.Divisao="Calculado","Manual","SemiAuto"),IF(ISERROR(MATCH($A15,ORÇAMENTO!$E$15:$E$105,0)),"Branco","Automático"))</f>
        <v>Branco</v>
      </c>
      <c r="C15" t="str">
        <f t="shared" ca="1" si="1"/>
        <v/>
      </c>
      <c r="D15" s="282">
        <f t="shared" si="2"/>
        <v>2</v>
      </c>
      <c r="E15" s="119"/>
      <c r="F15" s="119"/>
      <c r="G15" s="164" t="str">
        <f ca="1">IF(OR($B15="Manual",$B15="SemiAuto"),QCI.DescManual,IF($B15="Automático",INDEX(ORÇAMENTO!$R$15:$R$105,MATCH($A15,ORÇAMENTO!$E$15:$E$105,0)),""))</f>
        <v/>
      </c>
      <c r="H15" s="119"/>
      <c r="I15" s="465"/>
      <c r="J15" s="283" t="str">
        <f ca="1">IF(AND(ISBLANK(E15),ISBLANK(F15)),"",VLOOKUP($F15,OFFSET(DADOS!$A$2,1,MATCH(QCI!$E15,DADOS!$2:$2,0)-1,100,50),2,FALSE))</f>
        <v/>
      </c>
      <c r="K15" s="464" t="str">
        <f ca="1">IF(OR($B15="Manual",$B15="SemiAuto"),QCI.LoteManual,IF($B15="Automático",IF(TIPOORCAMENTO="Licitado",Import.CTEF,"LOTE 1"),""))</f>
        <v/>
      </c>
      <c r="L15" s="284">
        <f t="shared" ca="1" si="3"/>
        <v>0</v>
      </c>
      <c r="M15" s="285">
        <f t="shared" ca="1" si="4"/>
        <v>0</v>
      </c>
      <c r="N15" s="286">
        <f t="shared" ca="1" si="5"/>
        <v>0</v>
      </c>
      <c r="O15" s="287">
        <f ca="1">IF($B15="Branco",0,IF(OR($B15="Manual",$B15="SemiAuto"),QCI.InvManual,INDEX(ORÇAMENTO!X$15:X$105,MATCH($A15,ORÇAMENTO!$E$15:$E$105,0))))</f>
        <v>0</v>
      </c>
      <c r="P15" s="578" t="str">
        <f t="shared" ca="1" si="6"/>
        <v/>
      </c>
      <c r="R15" s="466"/>
      <c r="S15" s="579" t="str">
        <f t="shared" si="7"/>
        <v/>
      </c>
      <c r="T15" s="467"/>
      <c r="U15" s="580"/>
      <c r="V15" s="468" t="s">
        <v>820</v>
      </c>
      <c r="W15" s="581"/>
      <c r="X15" s="582"/>
      <c r="Z15">
        <f t="shared" ca="1" si="8"/>
        <v>0</v>
      </c>
      <c r="AA15">
        <f ca="1">IF($B15="Branco",0,IF($B15="Manual",QCI.CPManual,IF($B15="SemiAuto",ROUND(QCI!$AA$3*QCI.InvManual,2),INDEX(ORÇAMENTO!$AA$15:$AA$105,MATCH($A15,ORÇAMENTO!$E$15:$E$105,0)))))</f>
        <v>0</v>
      </c>
      <c r="AB15">
        <f ca="1">IF($B15="Branco",0,IF($B15="Manual",QCI.OutrosManual,IF($B15="SemiAuto",0,INDEX(ORÇAMENTO!$AB$15:$AB$105,MATCH($A15,ORÇAMENTO!$E$15:$E$105,0)))))</f>
        <v>0</v>
      </c>
      <c r="AD15" s="290" t="b">
        <f ca="1">AND($AA$3&gt;0,$AA$3&lt;1,$O15&gt;0,OR($B15="Automático",$B15="SemiAuto"),OR(QCI!$Z$3=QCI!$Z$7,QCI!$Z$3=QCI!$AA$7,QCI!$Z$3=QCI!$AB$7))</f>
        <v>0</v>
      </c>
      <c r="AE15" s="290">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IF(NOT(ISBLANK(QCI.DescManual)),IF(QCI.Divisao="Calculado","Manual","SemiAuto"),IF(ISERROR(MATCH($A16,ORÇAMENTO!$E$15:$E$105,0)),"Branco","Automático"))</f>
        <v>Branco</v>
      </c>
      <c r="C16" t="str">
        <f t="shared" ca="1" si="1"/>
        <v/>
      </c>
      <c r="D16" s="282">
        <f t="shared" si="2"/>
        <v>3</v>
      </c>
      <c r="E16" s="119"/>
      <c r="F16" s="119"/>
      <c r="G16" s="164" t="str">
        <f ca="1">IF(OR($B16="Manual",$B16="SemiAuto"),QCI.DescManual,IF($B16="Automático",INDEX(ORÇAMENTO!$R$15:$R$105,MATCH($A16,ORÇAMENTO!$E$15:$E$105,0)),""))</f>
        <v/>
      </c>
      <c r="H16" s="119"/>
      <c r="I16" s="465"/>
      <c r="J16" s="283" t="str">
        <f ca="1">IF(AND(ISBLANK(E16),ISBLANK(F16)),"",VLOOKUP($F16,OFFSET(DADOS!$A$2,1,MATCH(QCI!$E16,DADOS!$2:$2,0)-1,100,50),2,FALSE))</f>
        <v/>
      </c>
      <c r="K16" s="464" t="str">
        <f ca="1">IF(OR($B16="Manual",$B16="SemiAuto"),QCI.LoteManual,IF($B16="Automático",IF(TIPOORCAMENTO="Licitado",Import.CTEF,"LOTE 1"),""))</f>
        <v/>
      </c>
      <c r="L16" s="284">
        <f t="shared" ca="1" si="3"/>
        <v>0</v>
      </c>
      <c r="M16" s="285">
        <f t="shared" ca="1" si="4"/>
        <v>0</v>
      </c>
      <c r="N16" s="286">
        <f t="shared" ca="1" si="5"/>
        <v>0</v>
      </c>
      <c r="O16" s="287">
        <f ca="1">IF($B16="Branco",0,IF(OR($B16="Manual",$B16="SemiAuto"),QCI.InvManual,INDEX(ORÇAMENTO!X$15:X$105,MATCH($A16,ORÇAMENTO!$E$15:$E$105,0))))</f>
        <v>0</v>
      </c>
      <c r="P16" s="578" t="str">
        <f t="shared" ca="1" si="6"/>
        <v/>
      </c>
      <c r="R16" s="466"/>
      <c r="S16" s="579" t="str">
        <f t="shared" si="7"/>
        <v/>
      </c>
      <c r="T16" s="467"/>
      <c r="U16" s="580"/>
      <c r="V16" s="468" t="s">
        <v>820</v>
      </c>
      <c r="W16" s="581"/>
      <c r="X16" s="582"/>
      <c r="Z16">
        <f t="shared" ca="1" si="8"/>
        <v>0</v>
      </c>
      <c r="AA16">
        <f ca="1">IF($B16="Branco",0,IF($B16="Manual",QCI.CPManual,IF($B16="SemiAuto",ROUND(QCI!$AA$3*QCI.InvManual,2),INDEX(ORÇAMENTO!$AA$15:$AA$105,MATCH($A16,ORÇAMENTO!$E$15:$E$105,0)))))</f>
        <v>0</v>
      </c>
      <c r="AB16">
        <f ca="1">IF($B16="Branco",0,IF($B16="Manual",QCI.OutrosManual,IF($B16="SemiAuto",0,INDEX(ORÇAMENTO!$AB$15:$AB$105,MATCH($A16,ORÇAMENTO!$E$15:$E$105,0)))))</f>
        <v>0</v>
      </c>
      <c r="AD16" s="290" t="b">
        <f ca="1">AND($AA$3&gt;0,$AA$3&lt;1,$O16&gt;0,OR($B16="Automático",$B16="SemiAuto"),OR(QCI!$Z$3=QCI!$Z$7,QCI!$Z$3=QCI!$AA$7,QCI!$Z$3=QCI!$AB$7))</f>
        <v>0</v>
      </c>
      <c r="AE16" s="290">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IF(NOT(ISBLANK(QCI.DescManual)),IF(QCI.Divisao="Calculado","Manual","SemiAuto"),IF(ISERROR(MATCH($A17,ORÇAMENTO!$E$15:$E$105,0)),"Branco","Automático"))</f>
        <v>Branco</v>
      </c>
      <c r="C17" t="str">
        <f t="shared" ca="1" si="1"/>
        <v/>
      </c>
      <c r="D17" s="282">
        <f t="shared" si="2"/>
        <v>4</v>
      </c>
      <c r="E17" s="119"/>
      <c r="F17" s="119"/>
      <c r="G17" s="164" t="str">
        <f ca="1">IF(OR($B17="Manual",$B17="SemiAuto"),QCI.DescManual,IF($B17="Automático",INDEX(ORÇAMENTO!$R$15:$R$105,MATCH($A17,ORÇAMENTO!$E$15:$E$105,0)),""))</f>
        <v/>
      </c>
      <c r="H17" s="119"/>
      <c r="I17" s="465"/>
      <c r="J17" s="283" t="str">
        <f ca="1">IF(AND(ISBLANK(E17),ISBLANK(F17)),"",VLOOKUP($F17,OFFSET(DADOS!$A$2,1,MATCH(QCI!$E17,DADOS!$2:$2,0)-1,100,50),2,FALSE))</f>
        <v/>
      </c>
      <c r="K17" s="464" t="str">
        <f ca="1">IF(OR($B17="Manual",$B17="SemiAuto"),QCI.LoteManual,IF($B17="Automático",IF(TIPOORCAMENTO="Licitado",Import.CTEF,"LOTE 1"),""))</f>
        <v/>
      </c>
      <c r="L17" s="284">
        <f t="shared" ca="1" si="3"/>
        <v>0</v>
      </c>
      <c r="M17" s="285">
        <f t="shared" ca="1" si="4"/>
        <v>0</v>
      </c>
      <c r="N17" s="286">
        <f t="shared" ca="1" si="5"/>
        <v>0</v>
      </c>
      <c r="O17" s="287">
        <f ca="1">IF($B17="Branco",0,IF(OR($B17="Manual",$B17="SemiAuto"),QCI.InvManual,INDEX(ORÇAMENTO!X$15:X$105,MATCH($A17,ORÇAMENTO!$E$15:$E$105,0))))</f>
        <v>0</v>
      </c>
      <c r="P17" s="578" t="str">
        <f t="shared" ca="1" si="6"/>
        <v/>
      </c>
      <c r="R17" s="466"/>
      <c r="S17" s="579" t="str">
        <f t="shared" si="7"/>
        <v/>
      </c>
      <c r="T17" s="467"/>
      <c r="U17" s="580"/>
      <c r="V17" s="468" t="s">
        <v>820</v>
      </c>
      <c r="W17" s="581"/>
      <c r="X17" s="582"/>
      <c r="Z17">
        <f t="shared" ca="1" si="8"/>
        <v>0</v>
      </c>
      <c r="AA17">
        <f ca="1">IF($B17="Branco",0,IF($B17="Manual",QCI.CPManual,IF($B17="SemiAuto",ROUND(QCI!$AA$3*QCI.InvManual,2),INDEX(ORÇAMENTO!$AA$15:$AA$105,MATCH($A17,ORÇAMENTO!$E$15:$E$105,0)))))</f>
        <v>0</v>
      </c>
      <c r="AB17">
        <f ca="1">IF($B17="Branco",0,IF($B17="Manual",QCI.OutrosManual,IF($B17="SemiAuto",0,INDEX(ORÇAMENTO!$AB$15:$AB$105,MATCH($A17,ORÇAMENTO!$E$15:$E$105,0)))))</f>
        <v>0</v>
      </c>
      <c r="AD17" s="290" t="b">
        <f ca="1">AND($AA$3&gt;0,$AA$3&lt;1,$O17&gt;0,OR($B17="Automático",$B17="SemiAuto"),OR(QCI!$Z$3=QCI!$Z$7,QCI!$Z$3=QCI!$AA$7,QCI!$Z$3=QCI!$AB$7))</f>
        <v>0</v>
      </c>
      <c r="AE17" s="290">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IF(NOT(ISBLANK(QCI.DescManual)),IF(QCI.Divisao="Calculado","Manual","SemiAuto"),IF(ISERROR(MATCH($A18,ORÇAMENTO!$E$15:$E$105,0)),"Branco","Automático"))</f>
        <v>Branco</v>
      </c>
      <c r="C18" t="str">
        <f t="shared" ca="1" si="1"/>
        <v/>
      </c>
      <c r="D18" s="282">
        <f t="shared" si="2"/>
        <v>5</v>
      </c>
      <c r="E18" s="119"/>
      <c r="F18" s="119"/>
      <c r="G18" s="164" t="str">
        <f ca="1">IF(OR($B18="Manual",$B18="SemiAuto"),QCI.DescManual,IF($B18="Automático",INDEX(ORÇAMENTO!$R$15:$R$105,MATCH($A18,ORÇAMENTO!$E$15:$E$105,0)),""))</f>
        <v/>
      </c>
      <c r="H18" s="119"/>
      <c r="I18" s="465"/>
      <c r="J18" s="283" t="str">
        <f ca="1">IF(AND(ISBLANK(E18),ISBLANK(F18)),"",VLOOKUP($F18,OFFSET(DADOS!$A$2,1,MATCH(QCI!$E18,DADOS!$2:$2,0)-1,100,50),2,FALSE))</f>
        <v/>
      </c>
      <c r="K18" s="464" t="str">
        <f ca="1">IF(OR($B18="Manual",$B18="SemiAuto"),QCI.LoteManual,IF($B18="Automático",IF(TIPOORCAMENTO="Licitado",Import.CTEF,"LOTE 1"),""))</f>
        <v/>
      </c>
      <c r="L18" s="284">
        <f t="shared" ca="1" si="3"/>
        <v>0</v>
      </c>
      <c r="M18" s="285">
        <f t="shared" ca="1" si="4"/>
        <v>0</v>
      </c>
      <c r="N18" s="286">
        <f t="shared" ca="1" si="5"/>
        <v>0</v>
      </c>
      <c r="O18" s="287">
        <f ca="1">IF($B18="Branco",0,IF(OR($B18="Manual",$B18="SemiAuto"),QCI.InvManual,INDEX(ORÇAMENTO!X$15:X$105,MATCH($A18,ORÇAMENTO!$E$15:$E$105,0))))</f>
        <v>0</v>
      </c>
      <c r="P18" s="578" t="str">
        <f t="shared" ca="1" si="6"/>
        <v/>
      </c>
      <c r="R18" s="466"/>
      <c r="S18" s="579" t="str">
        <f t="shared" si="7"/>
        <v/>
      </c>
      <c r="T18" s="467"/>
      <c r="U18" s="580"/>
      <c r="V18" s="468" t="s">
        <v>820</v>
      </c>
      <c r="W18" s="581"/>
      <c r="X18" s="582"/>
      <c r="Z18">
        <f t="shared" ca="1" si="8"/>
        <v>0</v>
      </c>
      <c r="AA18">
        <f ca="1">IF($B18="Branco",0,IF($B18="Manual",QCI.CPManual,IF($B18="SemiAuto",ROUND(QCI!$AA$3*QCI.InvManual,2),INDEX(ORÇAMENTO!$AA$15:$AA$105,MATCH($A18,ORÇAMENTO!$E$15:$E$105,0)))))</f>
        <v>0</v>
      </c>
      <c r="AB18">
        <f ca="1">IF($B18="Branco",0,IF($B18="Manual",QCI.OutrosManual,IF($B18="SemiAuto",0,INDEX(ORÇAMENTO!$AB$15:$AB$105,MATCH($A18,ORÇAMENTO!$E$15:$E$105,0)))))</f>
        <v>0</v>
      </c>
      <c r="AD18" s="290" t="b">
        <f ca="1">AND($AA$3&gt;0,$AA$3&lt;1,$O18&gt;0,OR($B18="Automático",$B18="SemiAuto"),OR(QCI!$Z$3=QCI!$Z$7,QCI!$Z$3=QCI!$AA$7,QCI!$Z$3=QCI!$AB$7))</f>
        <v>0</v>
      </c>
      <c r="AE18" s="290">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IF(NOT(ISBLANK(QCI.DescManual)),IF(QCI.Divisao="Calculado","Manual","SemiAuto"),IF(ISERROR(MATCH($A19,ORÇAMENTO!$E$15:$E$105,0)),"Branco","Automático"))</f>
        <v>Branco</v>
      </c>
      <c r="C19" t="str">
        <f t="shared" ca="1" si="1"/>
        <v/>
      </c>
      <c r="D19" s="282">
        <f t="shared" si="2"/>
        <v>6</v>
      </c>
      <c r="E19" s="119"/>
      <c r="F19" s="119"/>
      <c r="G19" s="164" t="str">
        <f ca="1">IF(OR($B19="Manual",$B19="SemiAuto"),QCI.DescManual,IF($B19="Automático",INDEX(ORÇAMENTO!$R$15:$R$105,MATCH($A19,ORÇAMENTO!$E$15:$E$105,0)),""))</f>
        <v/>
      </c>
      <c r="H19" s="119"/>
      <c r="I19" s="465"/>
      <c r="J19" s="283" t="str">
        <f ca="1">IF(AND(ISBLANK(E19),ISBLANK(F19)),"",VLOOKUP($F19,OFFSET(DADOS!$A$2,1,MATCH(QCI!$E19,DADOS!$2:$2,0)-1,100,50),2,FALSE))</f>
        <v/>
      </c>
      <c r="K19" s="464" t="str">
        <f ca="1">IF(OR($B19="Manual",$B19="SemiAuto"),QCI.LoteManual,IF($B19="Automático",IF(TIPOORCAMENTO="Licitado",Import.CTEF,"LOTE 1"),""))</f>
        <v/>
      </c>
      <c r="L19" s="284">
        <f t="shared" ca="1" si="3"/>
        <v>0</v>
      </c>
      <c r="M19" s="285">
        <f t="shared" ca="1" si="4"/>
        <v>0</v>
      </c>
      <c r="N19" s="286">
        <f t="shared" ca="1" si="5"/>
        <v>0</v>
      </c>
      <c r="O19" s="287">
        <f ca="1">IF($B19="Branco",0,IF(OR($B19="Manual",$B19="SemiAuto"),QCI.InvManual,INDEX(ORÇAMENTO!X$15:X$105,MATCH($A19,ORÇAMENTO!$E$15:$E$105,0))))</f>
        <v>0</v>
      </c>
      <c r="P19" s="578" t="str">
        <f t="shared" ca="1" si="6"/>
        <v/>
      </c>
      <c r="R19" s="466"/>
      <c r="S19" s="579" t="str">
        <f t="shared" si="7"/>
        <v/>
      </c>
      <c r="T19" s="467"/>
      <c r="U19" s="580"/>
      <c r="V19" s="468" t="s">
        <v>820</v>
      </c>
      <c r="W19" s="581"/>
      <c r="X19" s="582"/>
      <c r="Z19">
        <f t="shared" ca="1" si="8"/>
        <v>0</v>
      </c>
      <c r="AA19">
        <f ca="1">IF($B19="Branco",0,IF($B19="Manual",QCI.CPManual,IF($B19="SemiAuto",ROUND(QCI!$AA$3*QCI.InvManual,2),INDEX(ORÇAMENTO!$AA$15:$AA$105,MATCH($A19,ORÇAMENTO!$E$15:$E$105,0)))))</f>
        <v>0</v>
      </c>
      <c r="AB19">
        <f ca="1">IF($B19="Branco",0,IF($B19="Manual",QCI.OutrosManual,IF($B19="SemiAuto",0,INDEX(ORÇAMENTO!$AB$15:$AB$105,MATCH($A19,ORÇAMENTO!$E$15:$E$105,0)))))</f>
        <v>0</v>
      </c>
      <c r="AD19" s="290" t="b">
        <f ca="1">AND($AA$3&gt;0,$AA$3&lt;1,$O19&gt;0,OR($B19="Automático",$B19="SemiAuto"),OR(QCI!$Z$3=QCI!$Z$7,QCI!$Z$3=QCI!$AA$7,QCI!$Z$3=QCI!$AB$7))</f>
        <v>0</v>
      </c>
      <c r="AE19" s="290">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IF(NOT(ISBLANK(QCI.DescManual)),IF(QCI.Divisao="Calculado","Manual","SemiAuto"),IF(ISERROR(MATCH($A20,ORÇAMENTO!$E$15:$E$105,0)),"Branco","Automático"))</f>
        <v>Branco</v>
      </c>
      <c r="C20" t="str">
        <f t="shared" ca="1" si="1"/>
        <v/>
      </c>
      <c r="D20" s="282">
        <f t="shared" si="2"/>
        <v>7</v>
      </c>
      <c r="E20" s="119"/>
      <c r="F20" s="119"/>
      <c r="G20" s="164" t="str">
        <f ca="1">IF(OR($B20="Manual",$B20="SemiAuto"),QCI.DescManual,IF($B20="Automático",INDEX(ORÇAMENTO!$R$15:$R$105,MATCH($A20,ORÇAMENTO!$E$15:$E$105,0)),""))</f>
        <v/>
      </c>
      <c r="H20" s="119"/>
      <c r="I20" s="465"/>
      <c r="J20" s="283" t="str">
        <f ca="1">IF(AND(ISBLANK(E20),ISBLANK(F20)),"",VLOOKUP($F20,OFFSET(DADOS!$A$2,1,MATCH(QCI!$E20,DADOS!$2:$2,0)-1,100,50),2,FALSE))</f>
        <v/>
      </c>
      <c r="K20" s="464" t="str">
        <f ca="1">IF(OR($B20="Manual",$B20="SemiAuto"),QCI.LoteManual,IF($B20="Automático",IF(TIPOORCAMENTO="Licitado",Import.CTEF,"LOTE 1"),""))</f>
        <v/>
      </c>
      <c r="L20" s="284">
        <f t="shared" ca="1" si="3"/>
        <v>0</v>
      </c>
      <c r="M20" s="285">
        <f t="shared" ca="1" si="4"/>
        <v>0</v>
      </c>
      <c r="N20" s="286">
        <f t="shared" ca="1" si="5"/>
        <v>0</v>
      </c>
      <c r="O20" s="287">
        <f ca="1">IF($B20="Branco",0,IF(OR($B20="Manual",$B20="SemiAuto"),QCI.InvManual,INDEX(ORÇAMENTO!X$15:X$105,MATCH($A20,ORÇAMENTO!$E$15:$E$105,0))))</f>
        <v>0</v>
      </c>
      <c r="P20" s="578" t="str">
        <f t="shared" ca="1" si="6"/>
        <v/>
      </c>
      <c r="R20" s="466"/>
      <c r="S20" s="579" t="str">
        <f t="shared" si="7"/>
        <v/>
      </c>
      <c r="T20" s="467"/>
      <c r="U20" s="580"/>
      <c r="V20" s="468" t="s">
        <v>820</v>
      </c>
      <c r="W20" s="581"/>
      <c r="X20" s="582"/>
      <c r="Z20">
        <f t="shared" ca="1" si="8"/>
        <v>0</v>
      </c>
      <c r="AA20">
        <f ca="1">IF($B20="Branco",0,IF($B20="Manual",QCI.CPManual,IF($B20="SemiAuto",ROUND(QCI!$AA$3*QCI.InvManual,2),INDEX(ORÇAMENTO!$AA$15:$AA$105,MATCH($A20,ORÇAMENTO!$E$15:$E$105,0)))))</f>
        <v>0</v>
      </c>
      <c r="AB20">
        <f ca="1">IF($B20="Branco",0,IF($B20="Manual",QCI.OutrosManual,IF($B20="SemiAuto",0,INDEX(ORÇAMENTO!$AB$15:$AB$105,MATCH($A20,ORÇAMENTO!$E$15:$E$105,0)))))</f>
        <v>0</v>
      </c>
      <c r="AD20" s="290" t="b">
        <f ca="1">AND($AA$3&gt;0,$AA$3&lt;1,$O20&gt;0,OR($B20="Automático",$B20="SemiAuto"),OR(QCI!$Z$3=QCI!$Z$7,QCI!$Z$3=QCI!$AA$7,QCI!$Z$3=QCI!$AB$7))</f>
        <v>0</v>
      </c>
      <c r="AE20" s="290">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IF(NOT(ISBLANK(QCI.DescManual)),IF(QCI.Divisao="Calculado","Manual","SemiAuto"),IF(ISERROR(MATCH($A21,ORÇAMENTO!$E$15:$E$105,0)),"Branco","Automático"))</f>
        <v>Branco</v>
      </c>
      <c r="C21" t="str">
        <f t="shared" ca="1" si="1"/>
        <v/>
      </c>
      <c r="D21" s="282">
        <f t="shared" si="2"/>
        <v>8</v>
      </c>
      <c r="E21" s="119"/>
      <c r="F21" s="119"/>
      <c r="G21" s="164" t="str">
        <f ca="1">IF(OR($B21="Manual",$B21="SemiAuto"),QCI.DescManual,IF($B21="Automático",INDEX(ORÇAMENTO!$R$15:$R$105,MATCH($A21,ORÇAMENTO!$E$15:$E$105,0)),""))</f>
        <v/>
      </c>
      <c r="H21" s="119"/>
      <c r="I21" s="465"/>
      <c r="J21" s="283" t="str">
        <f ca="1">IF(AND(ISBLANK(E21),ISBLANK(F21)),"",VLOOKUP($F21,OFFSET(DADOS!$A$2,1,MATCH(QCI!$E21,DADOS!$2:$2,0)-1,100,50),2,FALSE))</f>
        <v/>
      </c>
      <c r="K21" s="464" t="str">
        <f ca="1">IF(OR($B21="Manual",$B21="SemiAuto"),QCI.LoteManual,IF($B21="Automático",IF(TIPOORCAMENTO="Licitado",Import.CTEF,"LOTE 1"),""))</f>
        <v/>
      </c>
      <c r="L21" s="284">
        <f t="shared" ca="1" si="3"/>
        <v>0</v>
      </c>
      <c r="M21" s="285">
        <f t="shared" ca="1" si="4"/>
        <v>0</v>
      </c>
      <c r="N21" s="286">
        <f t="shared" ca="1" si="5"/>
        <v>0</v>
      </c>
      <c r="O21" s="287">
        <f ca="1">IF($B21="Branco",0,IF(OR($B21="Manual",$B21="SemiAuto"),QCI.InvManual,INDEX(ORÇAMENTO!X$15:X$105,MATCH($A21,ORÇAMENTO!$E$15:$E$105,0))))</f>
        <v>0</v>
      </c>
      <c r="P21" s="578" t="str">
        <f t="shared" ca="1" si="6"/>
        <v/>
      </c>
      <c r="R21" s="466"/>
      <c r="S21" s="579" t="str">
        <f t="shared" si="7"/>
        <v/>
      </c>
      <c r="T21" s="467"/>
      <c r="U21" s="580"/>
      <c r="V21" s="468" t="s">
        <v>820</v>
      </c>
      <c r="W21" s="581"/>
      <c r="X21" s="582"/>
      <c r="Z21">
        <f t="shared" ca="1" si="8"/>
        <v>0</v>
      </c>
      <c r="AA21">
        <f ca="1">IF($B21="Branco",0,IF($B21="Manual",QCI.CPManual,IF($B21="SemiAuto",ROUND(QCI!$AA$3*QCI.InvManual,2),INDEX(ORÇAMENTO!$AA$15:$AA$105,MATCH($A21,ORÇAMENTO!$E$15:$E$105,0)))))</f>
        <v>0</v>
      </c>
      <c r="AB21">
        <f ca="1">IF($B21="Branco",0,IF($B21="Manual",QCI.OutrosManual,IF($B21="SemiAuto",0,INDEX(ORÇAMENTO!$AB$15:$AB$105,MATCH($A21,ORÇAMENTO!$E$15:$E$105,0)))))</f>
        <v>0</v>
      </c>
      <c r="AD21" s="290" t="b">
        <f ca="1">AND($AA$3&gt;0,$AA$3&lt;1,$O21&gt;0,OR($B21="Automático",$B21="SemiAuto"),OR(QCI!$Z$3=QCI!$Z$7,QCI!$Z$3=QCI!$AA$7,QCI!$Z$3=QCI!$AB$7))</f>
        <v>0</v>
      </c>
      <c r="AE21" s="290">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IF(NOT(ISBLANK(QCI.DescManual)),IF(QCI.Divisao="Calculado","Manual","SemiAuto"),IF(ISERROR(MATCH($A22,ORÇAMENTO!$E$15:$E$105,0)),"Branco","Automático"))</f>
        <v>Branco</v>
      </c>
      <c r="C22" t="str">
        <f t="shared" ca="1" si="1"/>
        <v/>
      </c>
      <c r="D22" s="282">
        <f t="shared" si="2"/>
        <v>9</v>
      </c>
      <c r="E22" s="119"/>
      <c r="F22" s="119"/>
      <c r="G22" s="164" t="str">
        <f ca="1">IF(OR($B22="Manual",$B22="SemiAuto"),QCI.DescManual,IF($B22="Automático",INDEX(ORÇAMENTO!$R$15:$R$105,MATCH($A22,ORÇAMENTO!$E$15:$E$105,0)),""))</f>
        <v/>
      </c>
      <c r="H22" s="119"/>
      <c r="I22" s="465"/>
      <c r="J22" s="283" t="str">
        <f ca="1">IF(AND(ISBLANK(E22),ISBLANK(F22)),"",VLOOKUP($F22,OFFSET(DADOS!$A$2,1,MATCH(QCI!$E22,DADOS!$2:$2,0)-1,100,50),2,FALSE))</f>
        <v/>
      </c>
      <c r="K22" s="464" t="str">
        <f ca="1">IF(OR($B22="Manual",$B22="SemiAuto"),QCI.LoteManual,IF($B22="Automático",IF(TIPOORCAMENTO="Licitado",Import.CTEF,"LOTE 1"),""))</f>
        <v/>
      </c>
      <c r="L22" s="284">
        <f t="shared" ca="1" si="3"/>
        <v>0</v>
      </c>
      <c r="M22" s="285">
        <f t="shared" ca="1" si="4"/>
        <v>0</v>
      </c>
      <c r="N22" s="286">
        <f t="shared" ca="1" si="5"/>
        <v>0</v>
      </c>
      <c r="O22" s="287">
        <f ca="1">IF($B22="Branco",0,IF(OR($B22="Manual",$B22="SemiAuto"),QCI.InvManual,INDEX(ORÇAMENTO!X$15:X$105,MATCH($A22,ORÇAMENTO!$E$15:$E$105,0))))</f>
        <v>0</v>
      </c>
      <c r="P22" s="578" t="str">
        <f t="shared" ca="1" si="6"/>
        <v/>
      </c>
      <c r="R22" s="466"/>
      <c r="S22" s="579" t="str">
        <f t="shared" si="7"/>
        <v/>
      </c>
      <c r="T22" s="467"/>
      <c r="U22" s="580"/>
      <c r="V22" s="468" t="s">
        <v>820</v>
      </c>
      <c r="W22" s="581"/>
      <c r="X22" s="582"/>
      <c r="Z22">
        <f t="shared" ca="1" si="8"/>
        <v>0</v>
      </c>
      <c r="AA22">
        <f ca="1">IF($B22="Branco",0,IF($B22="Manual",QCI.CPManual,IF($B22="SemiAuto",ROUND(QCI!$AA$3*QCI.InvManual,2),INDEX(ORÇAMENTO!$AA$15:$AA$105,MATCH($A22,ORÇAMENTO!$E$15:$E$105,0)))))</f>
        <v>0</v>
      </c>
      <c r="AB22">
        <f ca="1">IF($B22="Branco",0,IF($B22="Manual",QCI.OutrosManual,IF($B22="SemiAuto",0,INDEX(ORÇAMENTO!$AB$15:$AB$105,MATCH($A22,ORÇAMENTO!$E$15:$E$105,0)))))</f>
        <v>0</v>
      </c>
      <c r="AD22" s="290" t="b">
        <f ca="1">AND($AA$3&gt;0,$AA$3&lt;1,$O22&gt;0,OR($B22="Automático",$B22="SemiAuto"),OR(QCI!$Z$3=QCI!$Z$7,QCI!$Z$3=QCI!$AA$7,QCI!$Z$3=QCI!$AB$7))</f>
        <v>0</v>
      </c>
      <c r="AE22" s="290">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IF(NOT(ISBLANK(QCI.DescManual)),IF(QCI.Divisao="Calculado","Manual","SemiAuto"),IF(ISERROR(MATCH($A23,ORÇAMENTO!$E$15:$E$105,0)),"Branco","Automático"))</f>
        <v>Branco</v>
      </c>
      <c r="C23" t="str">
        <f ca="1">IF(O23&gt;0,"F","")</f>
        <v/>
      </c>
      <c r="D23" s="282">
        <f>ROW()-ROW($D$13)</f>
        <v>10</v>
      </c>
      <c r="E23" s="119"/>
      <c r="F23" s="119"/>
      <c r="G23" s="164" t="str">
        <f ca="1">IF(OR($B23="Manual",$B23="SemiAuto"),QCI.DescManual,IF($B23="Automático",INDEX(ORÇAMENTO!$R$15:$R$105,MATCH($A23,ORÇAMENTO!$E$15:$E$105,0)),""))</f>
        <v/>
      </c>
      <c r="H23" s="119"/>
      <c r="I23" s="465"/>
      <c r="J23" s="283" t="str">
        <f ca="1">IF(AND(ISBLANK(E23),ISBLANK(F23)),"",VLOOKUP($F23,OFFSET(DADOS!$A$2,1,MATCH(QCI!$E23,DADOS!$2:$2,0)-1,100,50),2,FALSE))</f>
        <v/>
      </c>
      <c r="K23" s="464" t="str">
        <f ca="1">IF(OR($B23="Manual",$B23="SemiAuto"),QCI.LoteManual,IF($B23="Automático",IF(TIPOORCAMENTO="Licitado",Import.CTEF,"LOTE 1"),""))</f>
        <v/>
      </c>
      <c r="L23" s="284">
        <f ca="1">ROUND($O23,2)-ROUND($M23,2)-ROUND($N23,2)</f>
        <v>0</v>
      </c>
      <c r="M23" s="285">
        <f ca="1">ROUND($AA23,2)-ROUND($AE23,2)</f>
        <v>0</v>
      </c>
      <c r="N23" s="286">
        <f ca="1">ROUND($AB23,2)</f>
        <v>0</v>
      </c>
      <c r="O23" s="287">
        <f ca="1">IF($B23="Branco",0,IF(OR($B23="Manual",$B23="SemiAuto"),QCI.InvManual,INDEX(ORÇAMENTO!X$15:X$105,MATCH($A23,ORÇAMENTO!$E$15:$E$105,0))))</f>
        <v>0</v>
      </c>
      <c r="P23" s="578" t="str">
        <f ca="1">IF(O23=0,"",
  IF(E23="","ITEM",
  IF(F23="","SUBITEM",
  IF(H23="","SITUAÇÃO",
  IF(I23=0,"QUANT.","")))))</f>
        <v/>
      </c>
      <c r="R23" s="466"/>
      <c r="S23" s="579" t="str">
        <f>IF(R23="","",
  IF(T23=0,"► LOTE",
  IF(U23=0,"► INVEST",
  IF(V23=0,"► DIV",
  IF(AND(V23="Calculado",W23=""),"► CP",
  IF(AND(V23="Calculado",X23=""),"► OU",""))))))</f>
        <v/>
      </c>
      <c r="T23" s="467"/>
      <c r="U23" s="580"/>
      <c r="V23" s="468" t="s">
        <v>820</v>
      </c>
      <c r="W23" s="581"/>
      <c r="X23" s="582"/>
      <c r="Z23">
        <f ca="1">$O23-$AA23-$AB23</f>
        <v>0</v>
      </c>
      <c r="AA23">
        <f ca="1">IF($B23="Branco",0,IF($B23="Manual",QCI.CPManual,IF($B23="SemiAuto",ROUND(QCI!$AA$3*QCI.InvManual,2),INDEX(ORÇAMENTO!$AA$15:$AA$105,MATCH($A23,ORÇAMENTO!$E$15:$E$105,0)))))</f>
        <v>0</v>
      </c>
      <c r="AB23">
        <f ca="1">IF($B23="Branco",0,IF($B23="Manual",QCI.OutrosManual,IF($B23="SemiAuto",0,INDEX(ORÇAMENTO!$AB$15:$AB$105,MATCH($A23,ORÇAMENTO!$E$15:$E$105,0)))))</f>
        <v>0</v>
      </c>
      <c r="AD23" s="290" t="b">
        <f ca="1">AND($AA$3&gt;0,$AA$3&lt;1,$O23&gt;0,OR($B23="Automático",$B23="SemiAuto"),OR(QCI!$Z$3=QCI!$Z$7,QCI!$Z$3=QCI!$AA$7,QCI!$Z$3=QCI!$AB$7))</f>
        <v>0</v>
      </c>
      <c r="AE23" s="290">
        <f ca="1">IF(AND($AD23,$O23&gt;0,COUNTIF(OFFSET($AD23,1,0):$AD$24,TRUE)=0),CHOOSE(1+LOG(1+2*(QCI!$Z$3=QCI!$Z$7)+4*(QCI!$Z$3=QCI!$AA$7)+8*(QCI!$Z$3=QCI!$AB$7),2),0,$AA$24-ROUND(Import.CPMinPerc*$O$24,2),$AA$24-Import.CPMinAbsoluta,Import.Repasse-$Z$24),0)</f>
        <v>0</v>
      </c>
    </row>
    <row r="24" spans="1:31" ht="15" x14ac:dyDescent="0.2">
      <c r="B24" t="s">
        <v>830</v>
      </c>
      <c r="C24" t="s">
        <v>537</v>
      </c>
      <c r="D24" s="295"/>
      <c r="E24" s="296"/>
      <c r="F24" s="296"/>
      <c r="G24" s="296"/>
      <c r="H24" s="296"/>
      <c r="I24" s="296"/>
      <c r="J24" s="296"/>
      <c r="K24" s="768" t="s">
        <v>831</v>
      </c>
      <c r="L24" s="297">
        <f ca="1">SUM(L13:OFFSET(L24,-1,0))</f>
        <v>0</v>
      </c>
      <c r="M24" s="298">
        <f ca="1">SUM(M13:OFFSET(M24,-1,0))</f>
        <v>290574.24</v>
      </c>
      <c r="N24" s="299">
        <f ca="1">SUM(N13:OFFSET(N24,-1,0))</f>
        <v>0</v>
      </c>
      <c r="O24" s="300">
        <f ca="1">SUM(O13:OFFSET(O24,-1,0))</f>
        <v>290574.24</v>
      </c>
      <c r="R24" s="301"/>
      <c r="T24" s="302"/>
      <c r="U24" s="303"/>
      <c r="V24" s="304"/>
      <c r="W24" s="305"/>
      <c r="X24" s="306"/>
      <c r="Z24" s="89">
        <f ca="1">SUMPRODUCT(ROUND(Z13:OFFSET(Z24,-1,0),2))</f>
        <v>0</v>
      </c>
      <c r="AA24" s="89">
        <f ca="1">SUMPRODUCT(ROUND(AA13:OFFSET(AA24,-1,0),2))</f>
        <v>290574.24</v>
      </c>
      <c r="AB24" s="89">
        <f ca="1">SUM(AB13:OFFSET(AB24,-1,0))</f>
        <v>0</v>
      </c>
    </row>
    <row r="25" spans="1:31" x14ac:dyDescent="0.2">
      <c r="B25" t="s">
        <v>832</v>
      </c>
      <c r="C25" t="s">
        <v>537</v>
      </c>
      <c r="D25" s="307"/>
      <c r="E25" s="308"/>
      <c r="F25" s="308"/>
      <c r="G25" s="308"/>
      <c r="H25" s="308"/>
      <c r="I25" s="308"/>
      <c r="J25" s="308"/>
      <c r="K25" s="768"/>
      <c r="L25" s="309">
        <f ca="1">IF(ISERROR(L24/$O24),0,ROUND(L24/$O24,4))</f>
        <v>0</v>
      </c>
      <c r="M25" s="310">
        <f ca="1">IF(ISERROR(M24/$O24),0,ROUND(M24/$O24,4))</f>
        <v>1</v>
      </c>
      <c r="N25" s="311">
        <f ca="1">IF(ISERROR(N24/$O24),0,ROUND(N24/$O24,4))</f>
        <v>0</v>
      </c>
      <c r="O25" s="312">
        <f ca="1">IF(ISERROR(O24/$O24),0,ROUND(O24/$O24,4))</f>
        <v>1</v>
      </c>
      <c r="R25" s="313"/>
      <c r="T25" s="314"/>
      <c r="U25" s="315"/>
      <c r="V25" s="316"/>
      <c r="W25" s="317"/>
      <c r="X25" s="318"/>
    </row>
    <row r="27" spans="1:31" ht="14.25" x14ac:dyDescent="0.2">
      <c r="D27" s="136" t="s">
        <v>690</v>
      </c>
    </row>
    <row r="28" spans="1:31" ht="12.75" customHeight="1" x14ac:dyDescent="0.2">
      <c r="D28" s="727"/>
      <c r="E28" s="727"/>
      <c r="F28" s="727"/>
      <c r="G28" s="727"/>
      <c r="H28" s="727"/>
      <c r="I28" s="727"/>
      <c r="J28" s="727"/>
      <c r="K28" s="727"/>
      <c r="L28" s="727"/>
      <c r="M28" s="727"/>
      <c r="N28" s="727"/>
      <c r="O28" s="727"/>
    </row>
    <row r="29" spans="1:31" ht="12.75" customHeight="1" x14ac:dyDescent="0.2">
      <c r="D29" s="727"/>
      <c r="E29" s="727"/>
      <c r="F29" s="727"/>
      <c r="G29" s="727"/>
      <c r="H29" s="727"/>
      <c r="I29" s="727"/>
      <c r="J29" s="727"/>
      <c r="K29" s="727"/>
      <c r="L29" s="727"/>
      <c r="M29" s="727"/>
      <c r="N29" s="727"/>
      <c r="O29" s="727"/>
    </row>
    <row r="30" spans="1:31" ht="12.75" customHeight="1" x14ac:dyDescent="0.2">
      <c r="D30" s="727"/>
      <c r="E30" s="727"/>
      <c r="F30" s="727"/>
      <c r="G30" s="727"/>
      <c r="H30" s="727"/>
      <c r="I30" s="727"/>
      <c r="J30" s="727"/>
      <c r="K30" s="727"/>
      <c r="L30" s="727"/>
      <c r="M30" s="727"/>
      <c r="N30" s="727"/>
      <c r="O30" s="727"/>
    </row>
    <row r="33" spans="4:12" ht="15" x14ac:dyDescent="0.2">
      <c r="D33" s="675" t="str">
        <f>Import.Município</f>
        <v>RODEIO BONITO/RS</v>
      </c>
      <c r="E33" s="675"/>
      <c r="F33" s="675"/>
      <c r="I33" s="140"/>
      <c r="J33" s="140"/>
      <c r="K33" s="181"/>
      <c r="L33" s="181"/>
    </row>
    <row r="34" spans="4:12" x14ac:dyDescent="0.2">
      <c r="D34" s="9" t="s">
        <v>694</v>
      </c>
      <c r="I34" s="182" t="s">
        <v>833</v>
      </c>
      <c r="J34" s="182"/>
    </row>
    <row r="35" spans="4:12" x14ac:dyDescent="0.2">
      <c r="I35" s="77" t="str">
        <f>"Nome:" &amp;  " " &amp; DADOS!C28</f>
        <v>Nome: LUIZ CARLOS PINTO RIBEIRO</v>
      </c>
    </row>
    <row r="36" spans="4:12" x14ac:dyDescent="0.2">
      <c r="D36" s="723">
        <f>DADOS!$C$25</f>
        <v>46254</v>
      </c>
      <c r="E36" s="723"/>
      <c r="F36" s="723"/>
      <c r="I36" s="77" t="str">
        <f>"Cargo:"  &amp; " " &amp; DADOS!C29</f>
        <v>Cargo: PRESIDENTE CIMAU</v>
      </c>
    </row>
    <row r="37" spans="4:12" x14ac:dyDescent="0.2">
      <c r="D37" s="141" t="s">
        <v>695</v>
      </c>
      <c r="E37" s="1"/>
      <c r="F37" s="1"/>
      <c r="K37" s="77"/>
      <c r="L37" s="78"/>
    </row>
  </sheetData>
  <sheetProtection algorithmName="SHA-512" hashValue="kaoiuuG9OYVyS0GhGWwvqzalQlWysQk4LVQFUxi2JV8GWQjVn1EWtBiPZWpXVnZy/2cbQzciCjePDAJF+vhrOQ==" saltValue="uImgrBKWnt76YRDSVEhD8Q==" spinCount="100000" sheet="1" objects="1" scenarios="1" autoFilter="0"/>
  <autoFilter ref="C13:C25" xr:uid="{00000000-0009-0000-0000-000009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188" priority="754" stopIfTrue="1">
      <formula>OR($B12="Automático",$B12="Branco")</formula>
    </cfRule>
  </conditionalFormatting>
  <conditionalFormatting sqref="L12">
    <cfRule type="expression" dxfId="187" priority="755"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86" priority="756" stopIfTrue="1">
      <formula>OR($B12="Automático",$B12="Branco",$V12&lt;&gt;"Calculado")</formula>
    </cfRule>
  </conditionalFormatting>
  <conditionalFormatting sqref="M25">
    <cfRule type="expression" dxfId="185" priority="758" stopIfTrue="1">
      <formula>AND($G$9&lt;&gt;"",OR($M$25&lt;Import.CPMinPerc,$M$25&gt;Import.CPMaxPerc))</formula>
    </cfRule>
  </conditionalFormatting>
  <conditionalFormatting sqref="M24">
    <cfRule type="expression" dxfId="184" priority="759" stopIfTrue="1">
      <formula>AND($G$9&lt;&gt;"",$M$24&lt;Import.CPMinAbsoluta)</formula>
    </cfRule>
  </conditionalFormatting>
  <conditionalFormatting sqref="L10:M10">
    <cfRule type="cellIs" dxfId="183" priority="760" stopIfTrue="1" operator="lessThan">
      <formula>0</formula>
    </cfRule>
  </conditionalFormatting>
  <conditionalFormatting sqref="G12">
    <cfRule type="cellIs" dxfId="182" priority="761" stopIfTrue="1" operator="equal">
      <formula>"(digite a descrição aqui)"</formula>
    </cfRule>
  </conditionalFormatting>
  <conditionalFormatting sqref="T14:V22">
    <cfRule type="expression" dxfId="181" priority="5" stopIfTrue="1">
      <formula>OR($B14="Automático",$B14="Branco")</formula>
    </cfRule>
  </conditionalFormatting>
  <conditionalFormatting sqref="L14:L22">
    <cfRule type="expression" dxfId="180"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79" priority="7" stopIfTrue="1">
      <formula>OR($B14="Automático",$B14="Branco",$V14&lt;&gt;"Calculado")</formula>
    </cfRule>
  </conditionalFormatting>
  <conditionalFormatting sqref="G14:G22">
    <cfRule type="cellIs" dxfId="178" priority="8" stopIfTrue="1" operator="equal">
      <formula>"(digite a descrição aqui)"</formula>
    </cfRule>
  </conditionalFormatting>
  <conditionalFormatting sqref="T23:V23">
    <cfRule type="expression" dxfId="177" priority="1" stopIfTrue="1">
      <formula>OR($B23="Automático",$B23="Branco")</formula>
    </cfRule>
  </conditionalFormatting>
  <conditionalFormatting sqref="L23">
    <cfRule type="expression" dxfId="176"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75" priority="3" stopIfTrue="1">
      <formula>OR($B23="Automático",$B23="Branco",$V23&lt;&gt;"Calculado")</formula>
    </cfRule>
  </conditionalFormatting>
  <conditionalFormatting sqref="G23">
    <cfRule type="cellIs" dxfId="174"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900-000000000000}">
      <formula1>0</formula1>
      <formula2>0</formula2>
    </dataValidation>
    <dataValidation type="list" allowBlank="1" sqref="E12 E14:E23" xr:uid="{00000000-0002-0000-0900-000001000000}">
      <formula1>QCI.ItemInvestimento</formula1>
      <formula2>0</formula2>
    </dataValidation>
    <dataValidation type="list" allowBlank="1" sqref="F12 F14:F23" xr:uid="{00000000-0002-0000-0900-000002000000}">
      <formula1>QCI.SubItemInvestimento</formula1>
      <formula2>0</formula2>
    </dataValidation>
    <dataValidation type="list" allowBlank="1" sqref="H12 H14:H23" xr:uid="{00000000-0002-0000-0900-000003000000}">
      <formula1>"Sem Projeto,Em Análise,Análise Concluída / A Licitar,Licitado / Em Execução,Concluído"</formula1>
      <formula2>0</formula2>
    </dataValidation>
    <dataValidation type="decimal" operator="greaterThan" allowBlank="1" showErrorMessage="1" errorTitle="Erro" error="Digite valores maiores do que 0." sqref="I12 I14:I23" xr:uid="{00000000-0002-0000-0900-000004000000}">
      <formula1>0</formula1>
      <formula2>0</formula2>
    </dataValidation>
    <dataValidation type="list" allowBlank="1" showErrorMessage="1" sqref="V12 V14:V23" xr:uid="{00000000-0002-0000-0900-000005000000}">
      <formula1>"Proporcional,Calculado"</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9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900-000007000000}">
      <formula1>0</formula1>
      <formula2>QCI.MaxOUManual</formula2>
    </dataValidation>
    <dataValidation allowBlank="1" showInputMessage="1" showErrorMessage="1" prompt="Preencha somente se a meta não fizer parte do Orçamento desta Plan. Mult." sqref="R12 R14:R23" xr:uid="{00000000-0002-0000-0900-000008000000}"/>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&amp;LPMv3.12&amp;R&amp;P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11"/>
  <dimension ref="A1:AG40"/>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idden="1" x14ac:dyDescent="0.2">
      <c r="A1" s="7" t="e">
        <f ca="1">IF(AUTOEVENTO="Manual",IF(OFFSET(EVENTOS!$F$14,PLE!$B1,0)&gt;0,"F",""),IF(PLE!B1&lt;=MAX(CÁLCULO!$M$15:$M$105),"F",""))</f>
        <v>#REF!</v>
      </c>
      <c r="B1" s="248" t="e">
        <f ca="1">OFFSET(B1,-1,0)+1</f>
        <v>#REF!</v>
      </c>
      <c r="C1" s="782" t="e">
        <f ca="1">IF(AUTOEVENTO="Manual",OFFSET(EVENTOS!$D$15,$B1-$B$15,0),IF(B1&lt;=MAX(CÁLCULO!$M$15:$M$105),VLOOKUP($B1,CÁLCULO!$M$15:$N$105,2,FALSE),0))</f>
        <v>#REF!</v>
      </c>
      <c r="D1" s="782"/>
      <c r="F1" s="249"/>
      <c r="H1" s="249"/>
      <c r="I1" s="249"/>
      <c r="J1" s="249"/>
      <c r="K1" s="249"/>
      <c r="L1" s="249"/>
      <c r="M1" s="249"/>
      <c r="N1" s="249"/>
      <c r="O1" s="249"/>
      <c r="P1" s="249"/>
      <c r="Q1" s="249"/>
      <c r="R1" s="249"/>
      <c r="S1" s="249"/>
      <c r="T1" s="249"/>
      <c r="U1" s="249"/>
      <c r="V1" s="249"/>
      <c r="W1" s="249"/>
      <c r="X1" s="249"/>
      <c r="Y1" s="249"/>
      <c r="Z1" s="249"/>
      <c r="AA1" s="249"/>
      <c r="AB1" s="249"/>
      <c r="AC1" s="249"/>
      <c r="AD1" s="249"/>
      <c r="AE1" s="249"/>
      <c r="AF1" s="249"/>
    </row>
    <row r="2" spans="1:33" hidden="1" x14ac:dyDescent="0.2">
      <c r="A2" s="7"/>
      <c r="B2" s="7"/>
      <c r="C2" s="12"/>
      <c r="D2" s="12"/>
      <c r="F2" s="439"/>
    </row>
    <row r="3" spans="1:33" ht="15.75" x14ac:dyDescent="0.25">
      <c r="H3" s="207" t="s">
        <v>834</v>
      </c>
      <c r="AD3" s="682" t="s">
        <v>645</v>
      </c>
      <c r="AE3" s="682"/>
      <c r="AF3" s="682"/>
    </row>
    <row r="4" spans="1:33" ht="15.75" x14ac:dyDescent="0.2">
      <c r="B4" s="82"/>
      <c r="C4" s="82"/>
      <c r="H4" s="83" t="str">
        <f>import.recurso</f>
        <v>OGU</v>
      </c>
      <c r="AD4" s="683" t="s">
        <v>648</v>
      </c>
      <c r="AE4" s="683"/>
      <c r="AF4" s="683"/>
    </row>
    <row r="6" spans="1:33" x14ac:dyDescent="0.2">
      <c r="B6" s="209" t="s">
        <v>651</v>
      </c>
      <c r="C6" s="264"/>
      <c r="D6" s="211" t="s">
        <v>708</v>
      </c>
      <c r="E6" s="4"/>
      <c r="H6" s="212" t="s">
        <v>789</v>
      </c>
      <c r="I6" s="187"/>
      <c r="J6" s="187"/>
      <c r="K6" s="187"/>
      <c r="L6" s="186"/>
      <c r="M6" s="186"/>
      <c r="N6" s="265"/>
      <c r="O6" s="209" t="s">
        <v>759</v>
      </c>
      <c r="P6" s="213"/>
      <c r="R6" s="187"/>
      <c r="S6" s="187"/>
      <c r="T6" s="187"/>
      <c r="U6" s="210"/>
      <c r="V6" s="209" t="str">
        <f>IF(TIPOORCAMENTO="Licitado","NOME DA EMPRESA","DESCRIÇÃO DO LOTE")</f>
        <v>DESCRIÇÃO DO LOTE</v>
      </c>
      <c r="W6" s="187"/>
      <c r="X6" s="187"/>
      <c r="Y6" s="187"/>
      <c r="AD6" s="4"/>
      <c r="AE6" s="784" t="str">
        <f>IF(TIPOORCAMENTO="Licitado","Nº CTEF","")</f>
        <v/>
      </c>
      <c r="AF6" s="784"/>
    </row>
    <row r="7" spans="1:33" x14ac:dyDescent="0.2">
      <c r="B7" s="668" t="str">
        <f>Import.CR</f>
        <v>0</v>
      </c>
      <c r="C7" s="668"/>
      <c r="D7" s="215" t="str">
        <f>Import.TransfereGOV</f>
        <v>0</v>
      </c>
      <c r="E7" s="42"/>
      <c r="H7" s="667" t="str">
        <f>Import.Proponente</f>
        <v>CONSÓRCIO INTERMUNICIPAL DO MÉDIO ALTO URUGUAI - CIMAU</v>
      </c>
      <c r="I7" s="667"/>
      <c r="J7" s="667"/>
      <c r="K7" s="667"/>
      <c r="L7" s="667"/>
      <c r="M7" s="667"/>
      <c r="N7" s="667"/>
      <c r="O7" s="668" t="str">
        <f>Import.Apelido</f>
        <v>REFORMA CASA DA CRIANÇA</v>
      </c>
      <c r="P7" s="668"/>
      <c r="Q7" s="668"/>
      <c r="R7" s="668"/>
      <c r="S7" s="668"/>
      <c r="T7" s="668"/>
      <c r="U7" s="668"/>
      <c r="V7" s="668" t="str">
        <f>IF(TIPOORCAMENTO="Licitado",Import.empresa,Import.DescLote)</f>
        <v>REFORMA CASA DA CRIANÇA</v>
      </c>
      <c r="W7" s="668"/>
      <c r="X7" s="668"/>
      <c r="Y7" s="668"/>
      <c r="Z7" s="668"/>
      <c r="AA7" s="668"/>
      <c r="AB7" s="668"/>
      <c r="AC7" s="668"/>
      <c r="AD7" s="668"/>
      <c r="AE7" s="785" t="str">
        <f>IF(TIPOORCAMENTO="Licitado",Import.CTEF,"")</f>
        <v/>
      </c>
      <c r="AF7" s="785"/>
      <c r="AG7" s="266"/>
    </row>
    <row r="9" spans="1:33" ht="15.75" x14ac:dyDescent="0.25">
      <c r="A9" s="166">
        <v>0</v>
      </c>
      <c r="B9" s="267"/>
      <c r="C9" s="267"/>
      <c r="I9" s="268" t="s">
        <v>835</v>
      </c>
      <c r="J9" s="787">
        <v>1</v>
      </c>
      <c r="K9" s="787"/>
      <c r="M9" s="268" t="s">
        <v>800</v>
      </c>
      <c r="N9" s="788" t="str">
        <f ca="1">TEXT(IF(PLE.Medicao=1,Import.DataInicioObra,OFFSET($H$26,0,1+(PLE.Medicao-$I$27)*2-2)+1),"dd/mm/aaaa")&amp;" a "&amp;TEXT(OFFSET($H$26,0,1+(PLE.Medicao-$I$27)*2),"dd/mm/aaaa")</f>
        <v>00/01/1900 a 00/01/1900</v>
      </c>
      <c r="O9" s="788"/>
      <c r="P9" s="788"/>
      <c r="Q9" s="788"/>
      <c r="R9" s="788"/>
      <c r="S9" s="788"/>
      <c r="T9" s="788"/>
      <c r="U9" s="269"/>
      <c r="X9" s="268" t="s">
        <v>836</v>
      </c>
      <c r="Y9" s="786">
        <f ca="1">OFFSET($I$27,1+8*(ROUNDUP(($J$9-0)/((COLUMN($AG$14)-COLUMN($G$14)-1)/25*12),0)-1),ROUNDDOWN((($J$9-0)-OFFSET($I$27,8*(ROUNDUP(($J$9-0)/((COLUMN($AG$14)-COLUMN($G$14)-1)/25*12),0)-1),0))*(2+1/12),0))</f>
        <v>0</v>
      </c>
      <c r="Z9" s="786"/>
      <c r="AD9" s="268" t="s">
        <v>837</v>
      </c>
      <c r="AE9" s="786">
        <f ca="1">OFFSET($I$27,3+8*(ROUNDUP(($J$9-0)/((COLUMN($AG$14)-COLUMN($G$14)-1)/25*12),0)-1),ROUNDDOWN((($J$9-0)-OFFSET($I$27,8*(ROUNDUP(($J$9-0)/((COLUMN($AG$14)-COLUMN($G$14)-1)/25*12),0)-1),0))*(2+1/12),0))</f>
        <v>0</v>
      </c>
      <c r="AF9" s="786"/>
    </row>
    <row r="11" spans="1:33" ht="65.25" customHeight="1" x14ac:dyDescent="0.2">
      <c r="A11" s="251" t="s">
        <v>838</v>
      </c>
      <c r="C11" s="783" t="str">
        <f>IF(_xlfn.SINGLE(TIPOORCAMENTO)="proposto","ALTERE O TIPO DE ORÇAMENTO NA ABA 'MENU' PARA LICITADO.",
 IF(_xlfn.SINGLE(ACOMPANHAMENTO)="BM","FOI SELECIONADO NA ABA 'MENU' O ACOMPANHAMENTO POR BM.",
 IF(AND(PLE.Medicao=1,DADOS!$C$47=0),"PREENCHER A DATA DE INÍCIO DA OBRA, NA ABA DADOS",
 IF($Y$9=0,"PREENCHER A MEDIÇÃO "&amp;PLE.Medicao,
 IF($H$26&lt;&gt;"",UPPER($H$26),
 IF($S$35&lt;&gt;"",UPPER($S$35),""))))))</f>
        <v>ALTERE O TIPO DE ORÇAMENTO NA ABA 'MENU' PARA LICITADO.</v>
      </c>
      <c r="D11" s="783"/>
      <c r="F11" s="253" t="str">
        <f ca="1">IF(F$12&gt;CÁLCULO.NúmeroDeFrentes,"",OFFSET(CÁLCULO!$P$12,0,F$12))</f>
        <v>Iluminação Publica</v>
      </c>
      <c r="H11" s="253" t="str">
        <f ca="1">IF(H$12&gt;CÁLCULO.NúmeroDeFrentes,"",OFFSET(CÁLCULO!$P$12,0,H$12))</f>
        <v>Iluminação Publica</v>
      </c>
      <c r="I11" s="253">
        <f ca="1">IF(I$12&gt;CÁLCULO.NúmeroDeFrentes,"",OFFSET(CÁLCULO!$P$12,0,I$12))</f>
        <v>0</v>
      </c>
      <c r="J11" s="253">
        <f ca="1">IF(J$12&gt;CÁLCULO.NúmeroDeFrentes,"",OFFSET(CÁLCULO!$P$12,0,J$12))</f>
        <v>0</v>
      </c>
      <c r="K11" s="253">
        <f ca="1">IF(K$12&gt;CÁLCULO.NúmeroDeFrentes,"",OFFSET(CÁLCULO!$P$12,0,K$12))</f>
        <v>0</v>
      </c>
      <c r="L11" s="253">
        <f ca="1">IF(L$12&gt;CÁLCULO.NúmeroDeFrentes,"",OFFSET(CÁLCULO!$P$12,0,L$12))</f>
        <v>0</v>
      </c>
      <c r="M11" s="253">
        <f ca="1">IF(M$12&gt;CÁLCULO.NúmeroDeFrentes,"",OFFSET(CÁLCULO!$P$12,0,M$12))</f>
        <v>0</v>
      </c>
      <c r="N11" s="253">
        <f ca="1">IF(N$12&gt;CÁLCULO.NúmeroDeFrentes,"",OFFSET(CÁLCULO!$P$12,0,N$12))</f>
        <v>0</v>
      </c>
      <c r="O11" s="253">
        <f ca="1">IF(O$12&gt;CÁLCULO.NúmeroDeFrentes,"",OFFSET(CÁLCULO!$P$12,0,O$12))</f>
        <v>0</v>
      </c>
      <c r="P11" s="253">
        <f ca="1">IF(P$12&gt;CÁLCULO.NúmeroDeFrentes,"",OFFSET(CÁLCULO!$P$12,0,P$12))</f>
        <v>0</v>
      </c>
      <c r="Q11" s="253">
        <f ca="1">IF(Q$12&gt;CÁLCULO.NúmeroDeFrentes,"",OFFSET(CÁLCULO!$P$12,0,Q$12))</f>
        <v>0</v>
      </c>
      <c r="R11" s="253" t="str">
        <f ca="1">IF(R$12&gt;CÁLCULO.NúmeroDeFrentes,"",OFFSET(CÁLCULO!$P$12,0,R$12))</f>
        <v/>
      </c>
      <c r="S11" s="253" t="str">
        <f ca="1">IF(S$12&gt;CÁLCULO.NúmeroDeFrentes,"",OFFSET(CÁLCULO!$P$12,0,S$12))</f>
        <v/>
      </c>
      <c r="T11" s="253" t="str">
        <f ca="1">IF(T$12&gt;CÁLCULO.NúmeroDeFrentes,"",OFFSET(CÁLCULO!$P$12,0,T$12))</f>
        <v/>
      </c>
      <c r="U11" s="253" t="str">
        <f ca="1">IF(U$12&gt;CÁLCULO.NúmeroDeFrentes,"",OFFSET(CÁLCULO!$P$12,0,U$12))</f>
        <v/>
      </c>
      <c r="V11" s="253" t="str">
        <f ca="1">IF(V$12&gt;CÁLCULO.NúmeroDeFrentes,"",OFFSET(CÁLCULO!$P$12,0,V$12))</f>
        <v/>
      </c>
      <c r="W11" s="253" t="str">
        <f ca="1">IF(W$12&gt;CÁLCULO.NúmeroDeFrentes,"",OFFSET(CÁLCULO!$P$12,0,W$12))</f>
        <v/>
      </c>
      <c r="X11" s="253" t="str">
        <f ca="1">IF(X$12&gt;CÁLCULO.NúmeroDeFrentes,"",OFFSET(CÁLCULO!$P$12,0,X$12))</f>
        <v/>
      </c>
      <c r="Y11" s="253" t="str">
        <f ca="1">IF(Y$12&gt;CÁLCULO.NúmeroDeFrentes,"",OFFSET(CÁLCULO!$P$12,0,Y$12))</f>
        <v/>
      </c>
      <c r="Z11" s="253" t="str">
        <f ca="1">IF(Z$12&gt;CÁLCULO.NúmeroDeFrentes,"",OFFSET(CÁLCULO!$P$12,0,Z$12))</f>
        <v/>
      </c>
      <c r="AA11" s="253" t="str">
        <f ca="1">IF(AA$12&gt;CÁLCULO.NúmeroDeFrentes,"",OFFSET(CÁLCULO!$P$12,0,AA$12))</f>
        <v/>
      </c>
      <c r="AB11" s="253" t="str">
        <f ca="1">IF(AB$12&gt;CÁLCULO.NúmeroDeFrentes,"",OFFSET(CÁLCULO!$P$12,0,AB$12))</f>
        <v/>
      </c>
      <c r="AC11" s="253" t="str">
        <f ca="1">IF(AC$12&gt;CÁLCULO.NúmeroDeFrentes,"",OFFSET(CÁLCULO!$P$12,0,AC$12))</f>
        <v/>
      </c>
      <c r="AD11" s="253" t="str">
        <f ca="1">IF(AD$12&gt;CÁLCULO.NúmeroDeFrentes,"",OFFSET(CÁLCULO!$P$12,0,AD$12))</f>
        <v/>
      </c>
      <c r="AE11" s="253" t="str">
        <f ca="1">IF(AE$12&gt;CÁLCULO.NúmeroDeFrentes,"",OFFSET(CÁLCULO!$P$12,0,AE$12))</f>
        <v/>
      </c>
      <c r="AF11" s="253" t="str">
        <f ca="1">IF(AF$12&gt;CÁLCULO.NúmeroDeFrentes,"",OFFSET(CÁLCULO!$P$12,0,AF$12))</f>
        <v/>
      </c>
    </row>
    <row r="12" spans="1:33" ht="12.75" customHeight="1" x14ac:dyDescent="0.2">
      <c r="A12" s="107" t="s">
        <v>661</v>
      </c>
      <c r="B12" s="761" t="s">
        <v>761</v>
      </c>
      <c r="C12" s="761" t="s">
        <v>779</v>
      </c>
      <c r="D12" s="761"/>
      <c r="F12" s="254">
        <f ca="1">OFFSET(F12,0,-1)+1</f>
        <v>1</v>
      </c>
      <c r="H12" s="254">
        <f ca="1">OFFSET(H12,0,-1)+1</f>
        <v>1</v>
      </c>
      <c r="I12" s="254">
        <f ca="1">OFFSET(I12,0,-1)+1</f>
        <v>2</v>
      </c>
      <c r="J12" s="254">
        <f t="shared" ref="J12:AF12" ca="1" si="0">OFFSET(J12,0,-1)+1</f>
        <v>3</v>
      </c>
      <c r="K12" s="254">
        <f t="shared" ca="1" si="0"/>
        <v>4</v>
      </c>
      <c r="L12" s="254">
        <f t="shared" ca="1" si="0"/>
        <v>5</v>
      </c>
      <c r="M12" s="254">
        <f t="shared" ca="1" si="0"/>
        <v>6</v>
      </c>
      <c r="N12" s="254">
        <f t="shared" ca="1" si="0"/>
        <v>7</v>
      </c>
      <c r="O12" s="254">
        <f t="shared" ca="1" si="0"/>
        <v>8</v>
      </c>
      <c r="P12" s="254">
        <f t="shared" ca="1" si="0"/>
        <v>9</v>
      </c>
      <c r="Q12" s="254">
        <f t="shared" ca="1" si="0"/>
        <v>10</v>
      </c>
      <c r="R12" s="254">
        <f t="shared" ca="1" si="0"/>
        <v>11</v>
      </c>
      <c r="S12" s="254">
        <f t="shared" ca="1" si="0"/>
        <v>12</v>
      </c>
      <c r="T12" s="254">
        <f t="shared" ca="1" si="0"/>
        <v>13</v>
      </c>
      <c r="U12" s="254">
        <f t="shared" ca="1" si="0"/>
        <v>14</v>
      </c>
      <c r="V12" s="254">
        <f t="shared" ca="1" si="0"/>
        <v>15</v>
      </c>
      <c r="W12" s="254">
        <f t="shared" ca="1" si="0"/>
        <v>16</v>
      </c>
      <c r="X12" s="254">
        <f t="shared" ca="1" si="0"/>
        <v>17</v>
      </c>
      <c r="Y12" s="254">
        <f t="shared" ca="1" si="0"/>
        <v>18</v>
      </c>
      <c r="Z12" s="254">
        <f t="shared" ca="1" si="0"/>
        <v>19</v>
      </c>
      <c r="AA12" s="254">
        <f t="shared" ca="1" si="0"/>
        <v>20</v>
      </c>
      <c r="AB12" s="254">
        <f t="shared" ca="1" si="0"/>
        <v>21</v>
      </c>
      <c r="AC12" s="254">
        <f t="shared" ca="1" si="0"/>
        <v>22</v>
      </c>
      <c r="AD12" s="254">
        <f t="shared" ca="1" si="0"/>
        <v>23</v>
      </c>
      <c r="AE12" s="254">
        <f t="shared" ca="1" si="0"/>
        <v>24</v>
      </c>
      <c r="AF12" s="254">
        <f t="shared" ca="1" si="0"/>
        <v>25</v>
      </c>
    </row>
    <row r="13" spans="1:33" x14ac:dyDescent="0.2">
      <c r="B13" s="761"/>
      <c r="C13" s="761"/>
      <c r="D13" s="761"/>
      <c r="F13" s="256"/>
      <c r="H13" s="256"/>
      <c r="I13" s="255"/>
      <c r="J13" s="255"/>
      <c r="K13" s="255"/>
      <c r="L13" s="255"/>
      <c r="M13" s="255"/>
      <c r="N13" s="255" t="s">
        <v>839</v>
      </c>
      <c r="O13" s="255"/>
      <c r="P13" s="255"/>
      <c r="Q13" s="255"/>
      <c r="R13" s="255"/>
      <c r="S13" s="255"/>
      <c r="T13" s="255"/>
      <c r="U13" s="255"/>
      <c r="V13" s="255"/>
      <c r="W13" s="255"/>
      <c r="X13" s="255"/>
      <c r="Y13" s="255"/>
      <c r="Z13" s="255"/>
      <c r="AA13" s="255"/>
      <c r="AB13" s="255"/>
      <c r="AC13" s="255"/>
      <c r="AD13" s="255"/>
      <c r="AE13" s="255"/>
      <c r="AF13" s="257"/>
    </row>
    <row r="14" spans="1:33" ht="3.95" customHeight="1" x14ac:dyDescent="0.2">
      <c r="A14" s="7" t="s">
        <v>537</v>
      </c>
    </row>
    <row r="15" spans="1:33" x14ac:dyDescent="0.2">
      <c r="A15" s="7" t="str">
        <f ca="1">IF(AND(AUTOEVENTO="Manual",OFFSET(EVENTOS!$F$1,1,0)&gt;0),"F","")</f>
        <v/>
      </c>
      <c r="B15" s="258">
        <f>EVENTOS!$C$15</f>
        <v>0</v>
      </c>
      <c r="C15" s="789" t="str">
        <f>EVENTOS!$D$15</f>
        <v/>
      </c>
      <c r="D15" s="789"/>
      <c r="F15" s="261"/>
      <c r="H15" s="261"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60"/>
      <c r="J15" s="260"/>
      <c r="K15" s="260"/>
      <c r="L15" s="260"/>
      <c r="M15" s="260"/>
      <c r="N15" s="260"/>
      <c r="O15" s="260"/>
      <c r="P15" s="260"/>
      <c r="Q15" s="260"/>
      <c r="R15" s="260"/>
      <c r="S15" s="260"/>
      <c r="T15" s="260"/>
      <c r="U15" s="260"/>
      <c r="V15" s="260"/>
      <c r="W15" s="260"/>
      <c r="X15" s="260"/>
      <c r="Y15" s="260"/>
      <c r="Z15" s="260"/>
      <c r="AA15" s="260"/>
      <c r="AB15" s="260"/>
      <c r="AC15" s="260"/>
      <c r="AD15" s="260"/>
      <c r="AE15" s="260"/>
      <c r="AF15" s="262"/>
    </row>
    <row r="16" spans="1:33" x14ac:dyDescent="0.2">
      <c r="A16" s="7" t="str">
        <f ca="1">IF(AUTOEVENTO="Manual",IF(OFFSET(EVENTOS!$F$14,PLE!$B16,0)&gt;0,"F",""),IF(PLE!B16&lt;=MAX(CÁLCULO!$M$15:$M$105),"F",""))</f>
        <v>F</v>
      </c>
      <c r="B16" s="248">
        <f t="shared" ref="B16:B22" ca="1" si="1">OFFSET(B16,-1,0)+1</f>
        <v>1</v>
      </c>
      <c r="C16" s="782" t="str">
        <f ca="1">IF(AUTOEVENTO="Manual",OFFSET(EVENTOS!$D$15,$B16-$B$15,0),IF(B16&lt;=MAX(CÁLCULO!$M$15:$M$105),VLOOKUP($B16,CÁLCULO!$M$15:$N$105,2,FALSE),0))</f>
        <v>TROCA DE ESQUADRIAS</v>
      </c>
      <c r="D16" s="782"/>
      <c r="F16" s="249"/>
      <c r="H16" s="249"/>
      <c r="I16" s="249"/>
      <c r="J16" s="249"/>
      <c r="K16" s="249"/>
      <c r="L16" s="249"/>
      <c r="M16" s="249"/>
      <c r="N16" s="249"/>
      <c r="O16" s="249"/>
      <c r="P16" s="249"/>
      <c r="Q16" s="249"/>
      <c r="R16" s="249"/>
      <c r="S16" s="249"/>
      <c r="T16" s="249"/>
      <c r="U16" s="249"/>
      <c r="V16" s="249"/>
      <c r="W16" s="249"/>
      <c r="X16" s="249"/>
      <c r="Y16" s="249"/>
      <c r="Z16" s="249"/>
      <c r="AA16" s="249"/>
      <c r="AB16" s="249"/>
      <c r="AC16" s="249"/>
      <c r="AD16" s="249"/>
      <c r="AE16" s="249"/>
      <c r="AF16" s="249"/>
    </row>
    <row r="17" spans="1:32" x14ac:dyDescent="0.2">
      <c r="A17" s="7" t="str">
        <f ca="1">IF(AUTOEVENTO="Manual",IF(OFFSET(EVENTOS!$F$14,PLE!$B17,0)&gt;0,"F",""),IF(PLE!B17&lt;=MAX(CÁLCULO!$M$15:$M$105),"F",""))</f>
        <v>F</v>
      </c>
      <c r="B17" s="248">
        <f t="shared" ca="1" si="1"/>
        <v>2</v>
      </c>
      <c r="C17" s="782" t="str">
        <f ca="1">IF(AUTOEVENTO="Manual",OFFSET(EVENTOS!$D$15,$B17-$B$15,0),IF(B17&lt;=MAX(CÁLCULO!$M$15:$M$105),VLOOKUP($B17,CÁLCULO!$M$15:$N$105,2,FALSE),0))</f>
        <v xml:space="preserve">LIMPEZA E MANUTENÇÃO DE TELHADO </v>
      </c>
      <c r="D17" s="782"/>
      <c r="F17" s="249"/>
      <c r="H17" s="249"/>
      <c r="I17" s="249"/>
      <c r="J17" s="249"/>
      <c r="K17" s="249"/>
      <c r="L17" s="249"/>
      <c r="M17" s="249"/>
      <c r="N17" s="249"/>
      <c r="O17" s="249"/>
      <c r="P17" s="249"/>
      <c r="Q17" s="249"/>
      <c r="R17" s="249"/>
      <c r="S17" s="249"/>
      <c r="T17" s="249"/>
      <c r="U17" s="249"/>
      <c r="V17" s="249"/>
      <c r="W17" s="249"/>
      <c r="X17" s="249"/>
      <c r="Y17" s="249"/>
      <c r="Z17" s="249"/>
      <c r="AA17" s="249"/>
      <c r="AB17" s="249"/>
      <c r="AC17" s="249"/>
      <c r="AD17" s="249"/>
      <c r="AE17" s="249"/>
      <c r="AF17" s="249"/>
    </row>
    <row r="18" spans="1:32" x14ac:dyDescent="0.2">
      <c r="A18" s="7" t="str">
        <f ca="1">IF(AUTOEVENTO="Manual",IF(OFFSET(EVENTOS!$F$14,PLE!$B18,0)&gt;0,"F",""),IF(PLE!B18&lt;=MAX(CÁLCULO!$M$15:$M$105),"F",""))</f>
        <v>F</v>
      </c>
      <c r="B18" s="248">
        <f t="shared" ca="1" si="1"/>
        <v>3</v>
      </c>
      <c r="C18" s="782" t="str">
        <f ca="1">IF(AUTOEVENTO="Manual",OFFSET(EVENTOS!$D$15,$B18-$B$15,0),IF(B18&lt;=MAX(CÁLCULO!$M$15:$M$105),VLOOKUP($B18,CÁLCULO!$M$15:$N$105,2,FALSE),0))</f>
        <v>PISOS E DRENAGEM</v>
      </c>
      <c r="D18" s="782"/>
      <c r="F18" s="249"/>
      <c r="H18" s="249"/>
      <c r="I18" s="249"/>
      <c r="J18" s="249"/>
      <c r="K18" s="249"/>
      <c r="L18" s="249"/>
      <c r="M18" s="249"/>
      <c r="N18" s="249"/>
      <c r="O18" s="249"/>
      <c r="P18" s="249"/>
      <c r="Q18" s="249"/>
      <c r="R18" s="249"/>
      <c r="S18" s="249"/>
      <c r="T18" s="249"/>
      <c r="U18" s="249"/>
      <c r="V18" s="249"/>
      <c r="W18" s="249"/>
      <c r="X18" s="249"/>
      <c r="Y18" s="249"/>
      <c r="Z18" s="249"/>
      <c r="AA18" s="249"/>
      <c r="AB18" s="249"/>
      <c r="AC18" s="249"/>
      <c r="AD18" s="249"/>
      <c r="AE18" s="249"/>
      <c r="AF18" s="249"/>
    </row>
    <row r="19" spans="1:32" x14ac:dyDescent="0.2">
      <c r="A19" s="7" t="str">
        <f ca="1">IF(AUTOEVENTO="Manual",IF(OFFSET(EVENTOS!$F$14,PLE!$B19,0)&gt;0,"F",""),IF(PLE!B19&lt;=MAX(CÁLCULO!$M$15:$M$105),"F",""))</f>
        <v>F</v>
      </c>
      <c r="B19" s="248">
        <f t="shared" ca="1" si="1"/>
        <v>4</v>
      </c>
      <c r="C19" s="782" t="str">
        <f ca="1">IF(AUTOEVENTO="Manual",OFFSET(EVENTOS!$D$15,$B19-$B$15,0),IF(B19&lt;=MAX(CÁLCULO!$M$15:$M$105),VLOOKUP($B19,CÁLCULO!$M$15:$N$105,2,FALSE),0))</f>
        <v xml:space="preserve">PAREDES E MURROS </v>
      </c>
      <c r="D19" s="782"/>
      <c r="F19" s="249"/>
      <c r="H19" s="249"/>
      <c r="I19" s="249"/>
      <c r="J19" s="249"/>
      <c r="K19" s="249"/>
      <c r="L19" s="249"/>
      <c r="M19" s="249"/>
      <c r="N19" s="249"/>
      <c r="O19" s="249"/>
      <c r="P19" s="249"/>
      <c r="Q19" s="249"/>
      <c r="R19" s="249"/>
      <c r="S19" s="249"/>
      <c r="T19" s="249"/>
      <c r="U19" s="249"/>
      <c r="V19" s="249"/>
      <c r="W19" s="249"/>
      <c r="X19" s="249"/>
      <c r="Y19" s="249"/>
      <c r="Z19" s="249"/>
      <c r="AA19" s="249"/>
      <c r="AB19" s="249"/>
      <c r="AC19" s="249"/>
      <c r="AD19" s="249"/>
      <c r="AE19" s="249"/>
      <c r="AF19" s="249"/>
    </row>
    <row r="20" spans="1:32" x14ac:dyDescent="0.2">
      <c r="A20" s="7" t="str">
        <f ca="1">IF(AUTOEVENTO="Manual",IF(OFFSET(EVENTOS!$F$14,PLE!$B20,0)&gt;0,"F",""),IF(PLE!B20&lt;=MAX(CÁLCULO!$M$15:$M$105),"F",""))</f>
        <v>F</v>
      </c>
      <c r="B20" s="248">
        <f t="shared" ca="1" si="1"/>
        <v>5</v>
      </c>
      <c r="C20" s="782" t="str">
        <f ca="1">IF(AUTOEVENTO="Manual",OFFSET(EVENTOS!$D$15,$B20-$B$15,0),IF(B20&lt;=MAX(CÁLCULO!$M$15:$M$105),VLOOKUP($B20,CÁLCULO!$M$15:$N$105,2,FALSE),0))</f>
        <v>CORRIMÕES E GRADES - PINTURA</v>
      </c>
      <c r="D20" s="782"/>
      <c r="F20" s="249"/>
      <c r="H20" s="249"/>
      <c r="I20" s="249"/>
      <c r="J20" s="249"/>
      <c r="K20" s="249"/>
      <c r="L20" s="249"/>
      <c r="M20" s="249"/>
      <c r="N20" s="249"/>
      <c r="O20" s="249"/>
      <c r="P20" s="249"/>
      <c r="Q20" s="249"/>
      <c r="R20" s="249"/>
      <c r="S20" s="249"/>
      <c r="T20" s="249"/>
      <c r="U20" s="249"/>
      <c r="V20" s="249"/>
      <c r="W20" s="249"/>
      <c r="X20" s="249"/>
      <c r="Y20" s="249"/>
      <c r="Z20" s="249"/>
      <c r="AA20" s="249"/>
      <c r="AB20" s="249"/>
      <c r="AC20" s="249"/>
      <c r="AD20" s="249"/>
      <c r="AE20" s="249"/>
      <c r="AF20" s="249"/>
    </row>
    <row r="21" spans="1:32" x14ac:dyDescent="0.2">
      <c r="A21" s="7" t="str">
        <f ca="1">IF(AUTOEVENTO="Manual",IF(OFFSET(EVENTOS!$F$14,PLE!$B21,0)&gt;0,"F",""),IF(PLE!B21&lt;=MAX(CÁLCULO!$M$15:$M$105),"F",""))</f>
        <v>F</v>
      </c>
      <c r="B21" s="248">
        <f t="shared" ca="1" si="1"/>
        <v>6</v>
      </c>
      <c r="C21" s="782" t="str">
        <f ca="1">IF(AUTOEVENTO="Manual",OFFSET(EVENTOS!$D$15,$B21-$B$15,0),IF(B21&lt;=MAX(CÁLCULO!$M$15:$M$105),VLOOKUP($B21,CÁLCULO!$M$15:$N$105,2,FALSE),0))</f>
        <v>READEQUAÇÃO DA FACHADA PRINCIPAL</v>
      </c>
      <c r="D21" s="782"/>
      <c r="F21" s="249"/>
      <c r="H21" s="249"/>
      <c r="I21" s="249"/>
      <c r="J21" s="249"/>
      <c r="K21" s="249"/>
      <c r="L21" s="249"/>
      <c r="M21" s="249"/>
      <c r="N21" s="249"/>
      <c r="O21" s="249"/>
      <c r="P21" s="249"/>
      <c r="Q21" s="249"/>
      <c r="R21" s="249"/>
      <c r="S21" s="249"/>
      <c r="T21" s="249"/>
      <c r="U21" s="249"/>
      <c r="V21" s="249"/>
      <c r="W21" s="249"/>
      <c r="X21" s="249"/>
      <c r="Y21" s="249"/>
      <c r="Z21" s="249"/>
      <c r="AA21" s="249"/>
      <c r="AB21" s="249"/>
      <c r="AC21" s="249"/>
      <c r="AD21" s="249"/>
      <c r="AE21" s="249"/>
      <c r="AF21" s="249"/>
    </row>
    <row r="22" spans="1:32" x14ac:dyDescent="0.2">
      <c r="A22" s="7" t="str">
        <f ca="1">IF(AUTOEVENTO="Manual",IF(OFFSET(EVENTOS!$F$14,PLE!$B22,0)&gt;0,"F",""),IF(PLE!B22&lt;=MAX(CÁLCULO!$M$15:$M$105),"F",""))</f>
        <v>F</v>
      </c>
      <c r="B22" s="248">
        <f t="shared" ca="1" si="1"/>
        <v>7</v>
      </c>
      <c r="C22" s="782" t="str">
        <f ca="1">IF(AUTOEVENTO="Manual",OFFSET(EVENTOS!$D$15,$B22-$B$15,0),IF(B22&lt;=MAX(CÁLCULO!$M$15:$M$105),VLOOKUP($B22,CÁLCULO!$M$15:$N$105,2,FALSE),0))</f>
        <v>MURRO DE ARRIMO</v>
      </c>
      <c r="D22" s="782"/>
      <c r="F22" s="249"/>
      <c r="H22" s="249"/>
      <c r="I22" s="249"/>
      <c r="J22" s="249"/>
      <c r="K22" s="249"/>
      <c r="L22" s="249"/>
      <c r="M22" s="249"/>
      <c r="N22" s="249"/>
      <c r="O22" s="249"/>
      <c r="P22" s="249"/>
      <c r="Q22" s="249"/>
      <c r="R22" s="249"/>
      <c r="S22" s="249"/>
      <c r="T22" s="249"/>
      <c r="U22" s="249"/>
      <c r="V22" s="249"/>
      <c r="W22" s="249"/>
      <c r="X22" s="249"/>
      <c r="Y22" s="249"/>
      <c r="Z22" s="249"/>
      <c r="AA22" s="249"/>
      <c r="AB22" s="249"/>
      <c r="AC22" s="249"/>
      <c r="AD22" s="249"/>
      <c r="AE22" s="249"/>
      <c r="AF22" s="249"/>
    </row>
    <row r="23" spans="1:32" ht="4.5" customHeight="1" x14ac:dyDescent="0.2">
      <c r="A23" s="7" t="s">
        <v>537</v>
      </c>
      <c r="B23" s="619"/>
      <c r="C23" s="620"/>
      <c r="D23" s="420"/>
      <c r="F23" s="637"/>
      <c r="H23" s="619"/>
      <c r="I23" s="620"/>
      <c r="J23" s="620"/>
      <c r="K23" s="620"/>
      <c r="L23" s="620"/>
      <c r="M23" s="620"/>
      <c r="N23" s="620"/>
      <c r="O23" s="620"/>
      <c r="P23" s="620"/>
      <c r="Q23" s="620"/>
      <c r="R23" s="620"/>
      <c r="S23" s="620"/>
      <c r="T23" s="620"/>
      <c r="U23" s="620"/>
      <c r="V23" s="620"/>
      <c r="W23" s="620"/>
      <c r="X23" s="620"/>
      <c r="Y23" s="620"/>
      <c r="Z23" s="620"/>
      <c r="AA23" s="620"/>
      <c r="AB23" s="620"/>
      <c r="AC23" s="620"/>
      <c r="AD23" s="620"/>
      <c r="AE23" s="620"/>
      <c r="AF23" s="420"/>
    </row>
    <row r="24" spans="1:32" x14ac:dyDescent="0.2">
      <c r="A24" s="7" t="s">
        <v>537</v>
      </c>
    </row>
    <row r="25" spans="1:32" x14ac:dyDescent="0.2">
      <c r="A25" s="7" t="s">
        <v>537</v>
      </c>
      <c r="I25" s="795" t="s">
        <v>840</v>
      </c>
      <c r="J25" s="795"/>
      <c r="K25" s="795"/>
      <c r="L25" s="795"/>
      <c r="M25" s="795"/>
      <c r="N25" s="795"/>
      <c r="O25" s="795"/>
      <c r="P25" s="795"/>
      <c r="Q25" s="795"/>
      <c r="R25" s="795"/>
      <c r="S25" s="795"/>
      <c r="T25" s="795"/>
      <c r="U25" s="795"/>
      <c r="V25" s="795"/>
      <c r="W25" s="795"/>
      <c r="X25" s="795"/>
      <c r="Y25" s="795"/>
      <c r="Z25" s="795"/>
      <c r="AA25" s="795"/>
      <c r="AB25" s="795"/>
      <c r="AC25" s="795"/>
      <c r="AD25" s="795"/>
      <c r="AE25" s="795"/>
      <c r="AF25" s="795"/>
    </row>
    <row r="26" spans="1:32" x14ac:dyDescent="0.2">
      <c r="A26" s="7" t="s">
        <v>537</v>
      </c>
      <c r="H26" s="584" t="str">
        <f>IF(INDEX($I$26:$AG$26,MATCH(PLE.Medicao,$I$27:$AG$27,0))="","Preencher a data da medição "&amp;PLE.Medicao,"")</f>
        <v>Preencher a data da medição 1</v>
      </c>
      <c r="I26" s="793"/>
      <c r="J26" s="790"/>
      <c r="K26" s="790"/>
      <c r="L26" s="790"/>
      <c r="M26" s="790"/>
      <c r="N26" s="790"/>
      <c r="O26" s="790"/>
      <c r="P26" s="790"/>
      <c r="Q26" s="790"/>
      <c r="R26" s="790"/>
      <c r="S26" s="790"/>
      <c r="T26" s="790"/>
      <c r="U26" s="790"/>
      <c r="V26" s="790"/>
      <c r="W26" s="790"/>
      <c r="X26" s="790"/>
      <c r="Y26" s="790"/>
      <c r="Z26" s="790"/>
      <c r="AA26" s="790"/>
      <c r="AB26" s="790"/>
      <c r="AC26" s="790"/>
      <c r="AD26" s="790"/>
      <c r="AE26" s="790"/>
      <c r="AF26" s="796"/>
    </row>
    <row r="27" spans="1:32" x14ac:dyDescent="0.2">
      <c r="A27" s="7" t="s">
        <v>537</v>
      </c>
      <c r="D27" s="270" t="s">
        <v>841</v>
      </c>
      <c r="I27" s="791">
        <f>IF(PLE.Medicao&lt;=12,1,TRUNC((PLE.Medicao - 2)/11,0) * 11 + 1)</f>
        <v>1</v>
      </c>
      <c r="J27" s="791"/>
      <c r="K27" s="791">
        <f>I27+1</f>
        <v>2</v>
      </c>
      <c r="L27" s="791"/>
      <c r="M27" s="791">
        <f>K27+1</f>
        <v>3</v>
      </c>
      <c r="N27" s="791"/>
      <c r="O27" s="791">
        <f>M27+1</f>
        <v>4</v>
      </c>
      <c r="P27" s="791"/>
      <c r="Q27" s="791">
        <f>O27+1</f>
        <v>5</v>
      </c>
      <c r="R27" s="791"/>
      <c r="S27" s="791">
        <f>Q27+1</f>
        <v>6</v>
      </c>
      <c r="T27" s="791"/>
      <c r="U27" s="791">
        <f>S27+1</f>
        <v>7</v>
      </c>
      <c r="V27" s="791"/>
      <c r="W27" s="791">
        <f>U27+1</f>
        <v>8</v>
      </c>
      <c r="X27" s="791"/>
      <c r="Y27" s="791">
        <f>W27+1</f>
        <v>9</v>
      </c>
      <c r="Z27" s="791"/>
      <c r="AA27" s="791">
        <f>Y27+1</f>
        <v>10</v>
      </c>
      <c r="AB27" s="791"/>
      <c r="AC27" s="791">
        <f>AA27+1</f>
        <v>11</v>
      </c>
      <c r="AD27" s="791"/>
      <c r="AE27" s="791">
        <f>AC27+1</f>
        <v>12</v>
      </c>
      <c r="AF27" s="791"/>
    </row>
    <row r="28" spans="1:32" x14ac:dyDescent="0.2">
      <c r="A28" s="7" t="s">
        <v>537</v>
      </c>
      <c r="D28" s="774" t="s">
        <v>800</v>
      </c>
      <c r="H28" s="271" t="s">
        <v>782</v>
      </c>
      <c r="I28" s="797">
        <f ca="1">ROUND(I29,2)/ORÇAMENTO!$X$15</f>
        <v>0</v>
      </c>
      <c r="J28" s="797"/>
      <c r="K28" s="792">
        <f ca="1">ROUND(K29,2)/ORÇAMENTO!$X$15</f>
        <v>0</v>
      </c>
      <c r="L28" s="792"/>
      <c r="M28" s="794">
        <f ca="1">ROUND(M29,2)/ORÇAMENTO!$X$15</f>
        <v>0</v>
      </c>
      <c r="N28" s="794"/>
      <c r="O28" s="792">
        <f ca="1">ROUND(O29,2)/ORÇAMENTO!$X$15</f>
        <v>0</v>
      </c>
      <c r="P28" s="792"/>
      <c r="Q28" s="794">
        <f ca="1">ROUND(Q29,2)/ORÇAMENTO!$X$15</f>
        <v>0</v>
      </c>
      <c r="R28" s="794"/>
      <c r="S28" s="792">
        <f ca="1">ROUND(S29,2)/ORÇAMENTO!$X$15</f>
        <v>0</v>
      </c>
      <c r="T28" s="792"/>
      <c r="U28" s="794">
        <f ca="1">ROUND(U29,2)/ORÇAMENTO!$X$15</f>
        <v>0</v>
      </c>
      <c r="V28" s="794"/>
      <c r="W28" s="792">
        <f ca="1">ROUND(W29,2)/ORÇAMENTO!$X$15</f>
        <v>0</v>
      </c>
      <c r="X28" s="792"/>
      <c r="Y28" s="794">
        <f ca="1">ROUND(Y29,2)/ORÇAMENTO!$X$15</f>
        <v>0</v>
      </c>
      <c r="Z28" s="794"/>
      <c r="AA28" s="792">
        <f ca="1">ROUND(AA29,2)/ORÇAMENTO!$X$15</f>
        <v>0</v>
      </c>
      <c r="AB28" s="792"/>
      <c r="AC28" s="794">
        <f ca="1">ROUND(AC29,2)/ORÇAMENTO!$X$15</f>
        <v>0</v>
      </c>
      <c r="AD28" s="794"/>
      <c r="AE28" s="792">
        <f ca="1">ROUND(AE29,2)/ORÇAMENTO!$X$15</f>
        <v>0</v>
      </c>
      <c r="AF28" s="792"/>
    </row>
    <row r="29" spans="1:32" x14ac:dyDescent="0.2">
      <c r="A29" s="7" t="s">
        <v>537</v>
      </c>
      <c r="D29" s="774"/>
      <c r="H29" s="11" t="s">
        <v>783</v>
      </c>
      <c r="I29" s="778" cm="1">
        <f t="array" aca="1" ref="I29" ca="1">IF(I27=1,I31,_xlfn.SINGLE(AH11ARRED(I31,2))-ROUND(SUMIF(CÁLCULO!$AX$15:$BH$105,"&lt;="&amp;PLE!I27-1,CÁLCULO!$AB$15:$AL$105)*IF(AdmLocal="Automática",(1+_xlfn.SINGLE(CÁLCULO.TotalAdmLocal)/(ORÇAMENTO!$X$15-_xlfn.SINGLE(CÁLCULO.TotalAdmLocal))),1),2))</f>
        <v>0</v>
      </c>
      <c r="J29" s="778"/>
      <c r="K29" s="778">
        <f ca="1">ROUND(K31,2)-ROUND(I31,2)</f>
        <v>0</v>
      </c>
      <c r="L29" s="778"/>
      <c r="M29" s="776">
        <f ca="1">ROUND(M31,2)-ROUND(K31,2)</f>
        <v>0</v>
      </c>
      <c r="N29" s="776"/>
      <c r="O29" s="778">
        <f ca="1">ROUND(O31,2)-ROUND(M31,2)</f>
        <v>0</v>
      </c>
      <c r="P29" s="778"/>
      <c r="Q29" s="776">
        <f ca="1">ROUND(Q31,2)-ROUND(O31,2)</f>
        <v>0</v>
      </c>
      <c r="R29" s="776"/>
      <c r="S29" s="778">
        <f ca="1">ROUND(S31,2)-ROUND(Q31,2)</f>
        <v>0</v>
      </c>
      <c r="T29" s="778"/>
      <c r="U29" s="776">
        <f ca="1">ROUND(U31,2)-ROUND(S31,2)</f>
        <v>0</v>
      </c>
      <c r="V29" s="776"/>
      <c r="W29" s="778">
        <f ca="1">ROUND(W31,2)-ROUND(U31,2)</f>
        <v>0</v>
      </c>
      <c r="X29" s="778"/>
      <c r="Y29" s="776">
        <f ca="1">ROUND(Y31,2)-ROUND(W31,2)</f>
        <v>0</v>
      </c>
      <c r="Z29" s="776"/>
      <c r="AA29" s="778">
        <f ca="1">ROUND(AA31,2)-ROUND(Y31,2)</f>
        <v>0</v>
      </c>
      <c r="AB29" s="778"/>
      <c r="AC29" s="776">
        <f ca="1">ROUND(AC31,2)-ROUND(AA31,2)</f>
        <v>0</v>
      </c>
      <c r="AD29" s="776"/>
      <c r="AE29" s="778">
        <f ca="1">ROUND(AE31,2)-ROUND(AC31,2)</f>
        <v>0</v>
      </c>
      <c r="AF29" s="778"/>
    </row>
    <row r="30" spans="1:32" x14ac:dyDescent="0.2">
      <c r="A30" s="7" t="s">
        <v>537</v>
      </c>
      <c r="D30" s="774" t="s">
        <v>804</v>
      </c>
      <c r="H30" s="271" t="s">
        <v>782</v>
      </c>
      <c r="I30" s="780">
        <f ca="1">ROUND(I31,2)/ORÇAMENTO!$X$15</f>
        <v>0</v>
      </c>
      <c r="J30" s="780"/>
      <c r="K30" s="779">
        <f ca="1">ROUND(K31,2)/ORÇAMENTO!$X$15</f>
        <v>0</v>
      </c>
      <c r="L30" s="779"/>
      <c r="M30" s="775">
        <f ca="1">ROUND(M31,2)/ORÇAMENTO!$X$15</f>
        <v>0</v>
      </c>
      <c r="N30" s="775"/>
      <c r="O30" s="779">
        <f ca="1">ROUND(O31,2)/ORÇAMENTO!$X$15</f>
        <v>0</v>
      </c>
      <c r="P30" s="779"/>
      <c r="Q30" s="775">
        <f ca="1">ROUND(Q31,2)/ORÇAMENTO!$X$15</f>
        <v>0</v>
      </c>
      <c r="R30" s="775"/>
      <c r="S30" s="779">
        <f ca="1">ROUND(S31,2)/ORÇAMENTO!$X$15</f>
        <v>0</v>
      </c>
      <c r="T30" s="779"/>
      <c r="U30" s="775">
        <f ca="1">ROUND(U31,2)/ORÇAMENTO!$X$15</f>
        <v>0</v>
      </c>
      <c r="V30" s="775"/>
      <c r="W30" s="779">
        <f ca="1">ROUND(W31,2)/ORÇAMENTO!$X$15</f>
        <v>0</v>
      </c>
      <c r="X30" s="779"/>
      <c r="Y30" s="775">
        <f ca="1">ROUND(Y31,2)/ORÇAMENTO!$X$15</f>
        <v>0</v>
      </c>
      <c r="Z30" s="775"/>
      <c r="AA30" s="779">
        <f ca="1">ROUND(AA31,2)/ORÇAMENTO!$X$15</f>
        <v>0</v>
      </c>
      <c r="AB30" s="779"/>
      <c r="AC30" s="775">
        <f ca="1">ROUND(AC31,2)/ORÇAMENTO!$X$15</f>
        <v>0</v>
      </c>
      <c r="AD30" s="775"/>
      <c r="AE30" s="779">
        <f ca="1">ROUND(AE31,2)/ORÇAMENTO!$X$15</f>
        <v>0</v>
      </c>
      <c r="AF30" s="779"/>
    </row>
    <row r="31" spans="1:32" x14ac:dyDescent="0.2">
      <c r="A31" s="7" t="s">
        <v>537</v>
      </c>
      <c r="D31" s="774"/>
      <c r="H31" s="11" t="s">
        <v>783</v>
      </c>
      <c r="I31" s="777" cm="1">
        <f t="array" aca="1" ref="I31" ca="1">SUMIF(CÁLCULO!$AX$15:$BH$105,"&lt;="&amp;PLE!I27,CÁLCULO!$AB$15:$AL$105)*IF(AdmLocal="Automática",(1+_xlfn.SINGLE(CÁLCULO.TotalAdmLocal)/(ORÇAMENTO!$X$15-_xlfn.SINGLE(CÁLCULO.TotalAdmLocal))),1)</f>
        <v>0</v>
      </c>
      <c r="J31" s="777"/>
      <c r="K31" s="778" cm="1">
        <f t="array" aca="1" ref="K31" ca="1">SUMIF(CÁLCULO!$AX$15:$BH$105,"&lt;="&amp;PLE!K27,CÁLCULO!$AB$15:$AL$105)*IF(AdmLocal="Automática",(1+_xlfn.SINGLE(CÁLCULO.TotalAdmLocal)/(ORÇAMENTO!$X$15-_xlfn.SINGLE(CÁLCULO.TotalAdmLocal))),1)</f>
        <v>0</v>
      </c>
      <c r="L31" s="778"/>
      <c r="M31" s="776" cm="1">
        <f t="array" aca="1" ref="M31" ca="1">SUMIF(CÁLCULO!$AX$15:$BH$105,"&lt;="&amp;PLE!M27,CÁLCULO!$AB$15:$AL$105)*IF(AdmLocal="Automática",(1+_xlfn.SINGLE(CÁLCULO.TotalAdmLocal)/(ORÇAMENTO!$X$15-_xlfn.SINGLE(CÁLCULO.TotalAdmLocal))),1)</f>
        <v>0</v>
      </c>
      <c r="N31" s="776"/>
      <c r="O31" s="778" cm="1">
        <f t="array" aca="1" ref="O31" ca="1">SUMIF(CÁLCULO!$AX$15:$BH$105,"&lt;="&amp;PLE!O27,CÁLCULO!$AB$15:$AL$105)*IF(AdmLocal="Automática",(1+_xlfn.SINGLE(CÁLCULO.TotalAdmLocal)/(ORÇAMENTO!$X$15-_xlfn.SINGLE(CÁLCULO.TotalAdmLocal))),1)</f>
        <v>0</v>
      </c>
      <c r="P31" s="778"/>
      <c r="Q31" s="776" cm="1">
        <f t="array" aca="1" ref="Q31" ca="1">SUMIF(CÁLCULO!$AX$15:$BH$105,"&lt;="&amp;PLE!Q27,CÁLCULO!$AB$15:$AL$105)*IF(AdmLocal="Automática",(1+_xlfn.SINGLE(CÁLCULO.TotalAdmLocal)/(ORÇAMENTO!$X$15-_xlfn.SINGLE(CÁLCULO.TotalAdmLocal))),1)</f>
        <v>0</v>
      </c>
      <c r="R31" s="776"/>
      <c r="S31" s="778" cm="1">
        <f t="array" aca="1" ref="S31" ca="1">SUMIF(CÁLCULO!$AX$15:$BH$105,"&lt;="&amp;PLE!S27,CÁLCULO!$AB$15:$AL$105)*IF(AdmLocal="Automática",(1+_xlfn.SINGLE(CÁLCULO.TotalAdmLocal)/(ORÇAMENTO!$X$15-_xlfn.SINGLE(CÁLCULO.TotalAdmLocal))),1)</f>
        <v>0</v>
      </c>
      <c r="T31" s="778"/>
      <c r="U31" s="776" cm="1">
        <f t="array" aca="1" ref="U31" ca="1">SUMIF(CÁLCULO!$AX$15:$BH$105,"&lt;="&amp;PLE!U27,CÁLCULO!$AB$15:$AL$105)*IF(AdmLocal="Automática",(1+_xlfn.SINGLE(CÁLCULO.TotalAdmLocal)/(ORÇAMENTO!$X$15-_xlfn.SINGLE(CÁLCULO.TotalAdmLocal))),1)</f>
        <v>0</v>
      </c>
      <c r="V31" s="776"/>
      <c r="W31" s="778" cm="1">
        <f t="array" aca="1" ref="W31" ca="1">SUMIF(CÁLCULO!$AX$15:$BH$105,"&lt;="&amp;PLE!W27,CÁLCULO!$AB$15:$AL$105)*IF(AdmLocal="Automática",(1+_xlfn.SINGLE(CÁLCULO.TotalAdmLocal)/(ORÇAMENTO!$X$15-_xlfn.SINGLE(CÁLCULO.TotalAdmLocal))),1)</f>
        <v>0</v>
      </c>
      <c r="X31" s="778"/>
      <c r="Y31" s="776" cm="1">
        <f t="array" aca="1" ref="Y31" ca="1">SUMIF(CÁLCULO!$AX$15:$BH$105,"&lt;="&amp;PLE!Y27,CÁLCULO!$AB$15:$AL$105)*IF(AdmLocal="Automática",(1+_xlfn.SINGLE(CÁLCULO.TotalAdmLocal)/(ORÇAMENTO!$X$15-_xlfn.SINGLE(CÁLCULO.TotalAdmLocal))),1)</f>
        <v>0</v>
      </c>
      <c r="Z31" s="776"/>
      <c r="AA31" s="778" cm="1">
        <f t="array" aca="1" ref="AA31" ca="1">SUMIF(CÁLCULO!$AX$15:$BH$105,"&lt;="&amp;PLE!AA27,CÁLCULO!$AB$15:$AL$105)*IF(AdmLocal="Automática",(1+_xlfn.SINGLE(CÁLCULO.TotalAdmLocal)/(ORÇAMENTO!$X$15-_xlfn.SINGLE(CÁLCULO.TotalAdmLocal))),1)</f>
        <v>0</v>
      </c>
      <c r="AB31" s="778"/>
      <c r="AC31" s="776" cm="1">
        <f t="array" aca="1" ref="AC31" ca="1">SUMIF(CÁLCULO!$AX$15:$BH$105,"&lt;="&amp;PLE!AC27,CÁLCULO!$AB$15:$AL$105)*IF(AdmLocal="Automática",(1+_xlfn.SINGLE(CÁLCULO.TotalAdmLocal)/(ORÇAMENTO!$X$15-_xlfn.SINGLE(CÁLCULO.TotalAdmLocal))),1)</f>
        <v>0</v>
      </c>
      <c r="AD31" s="776"/>
      <c r="AE31" s="778" cm="1">
        <f t="array" aca="1" ref="AE31" ca="1">SUMIF(CÁLCULO!$AX$15:$BH$105,"&lt;="&amp;PLE!AE27,CÁLCULO!$AB$15:$AL$105)*IF(AdmLocal="Automática",(1+_xlfn.SINGLE(CÁLCULO.TotalAdmLocal)/(ORÇAMENTO!$X$15-_xlfn.SINGLE(CÁLCULO.TotalAdmLocal))),1)</f>
        <v>0</v>
      </c>
      <c r="AF31" s="778"/>
    </row>
    <row r="32" spans="1:32" ht="12.75" customHeight="1" x14ac:dyDescent="0.2">
      <c r="A32" s="7"/>
      <c r="D32" s="553" t="s">
        <v>785</v>
      </c>
      <c r="H32" s="552" t="s">
        <v>782</v>
      </c>
      <c r="I32" s="747" cm="1">
        <f t="array" aca="1" ref="I32" ca="1">IF(OR(_xlfn.SINGLE(ACOMPANHAMENTO)&lt;&gt;"PLE",I27&gt;PLE.Medicao),0,
   IF(AUTOEVENTO="Manual",
      IF(AdmLocal="Automática",I30,
         IF(Import.EventoAdmLocal="","",SUMIF(OFFSET($G$14,CRONOPLE!$A$8+1,1,1,OFFSET($AG$12,0,-1)),"&lt;="&amp;I27,OFFSET(EVENTOS!$G$14,CRONOPLE!$A$8+1,1,1,OFFSET($AG$12,0,-1)))/OFFSET(EVENTOS!$G$14,CRONOPLE!$A$8+1,-1))),
      IF(Import.EventoAdmLocal="","",SUMIF(OFFSET(CÁLCULO!$AW$15,CRONOPLE!$A$10,1,OFFSET(ORÇAMENTO!$D$15,CRONOPLE!$A$10,0),COLUMN(CÁLCULO!$BH$15)-COLUMN(CÁLCULO!$AW$15)-1),"&lt;="&amp;I27,OFFSET(CÁLCULO!$AA$15,CRONOPLE!$A$10,1,OFFSET(ORÇAMENTO!$D$15,CRONOPLE!$A$10,0),COLUMN(CÁLCULO!$AL$15)-COLUMN(CÁLCULO!$AA$15)-1))/OFFSET(ORÇAMENTO!$X$15,CRONOPLE!$A$10,0))))</f>
        <v>0</v>
      </c>
      <c r="J32" s="747"/>
      <c r="K32" s="747" cm="1">
        <f t="array" aca="1" ref="K32" ca="1">IF(OR(_xlfn.SINGLE(ACOMPANHAMENTO)&lt;&gt;"PLE",K27&gt;PLE.Medicao),0,
   IF(AUTOEVENTO="Manual",
      IF(AdmLocal="Automática",K30,
         IF(Import.EventoAdmLocal="","",SUMIF(OFFSET($G$14,CRONOPLE!$A$8+1,1,1,OFFSET($AG$12,0,-1)),"&lt;="&amp;K27,OFFSET(EVENTOS!$G$14,CRONOPLE!$A$8+1,1,1,OFFSET($AG$12,0,-1)))/OFFSET(EVENTOS!$G$14,CRONOPLE!$A$8+1,-1))),
      IF(Import.EventoAdmLocal="","",SUMIF(OFFSET(CÁLCULO!$AW$15,CRONOPLE!$A$10,1,OFFSET(ORÇAMENTO!$D$15,CRONOPLE!$A$10,0),COLUMN(CÁLCULO!$BH$15)-COLUMN(CÁLCULO!$AW$15)-1),"&lt;="&amp;K27,OFFSET(CÁLCULO!$AA$15,CRONOPLE!$A$10,1,OFFSET(ORÇAMENTO!$D$15,CRONOPLE!$A$10,0),COLUMN(CÁLCULO!$AL$15)-COLUMN(CÁLCULO!$AA$15)-1))/OFFSET(ORÇAMENTO!$X$15,CRONOPLE!$A$10,0))))</f>
        <v>0</v>
      </c>
      <c r="L32" s="747"/>
      <c r="M32" s="747" cm="1">
        <f t="array" aca="1" ref="M32" ca="1">IF(OR(_xlfn.SINGLE(ACOMPANHAMENTO)&lt;&gt;"PLE",M27&gt;PLE.Medicao),0,
   IF(AUTOEVENTO="Manual",
      IF(AdmLocal="Automática",M30,
         IF(Import.EventoAdmLocal="","",SUMIF(OFFSET($G$14,CRONOPLE!$A$8+1,1,1,OFFSET($AG$12,0,-1)),"&lt;="&amp;M27,OFFSET(EVENTOS!$G$14,CRONOPLE!$A$8+1,1,1,OFFSET($AG$12,0,-1)))/OFFSET(EVENTOS!$G$14,CRONOPLE!$A$8+1,-1))),
      IF(Import.EventoAdmLocal="","",SUMIF(OFFSET(CÁLCULO!$AW$15,CRONOPLE!$A$10,1,OFFSET(ORÇAMENTO!$D$15,CRONOPLE!$A$10,0),COLUMN(CÁLCULO!$BH$15)-COLUMN(CÁLCULO!$AW$15)-1),"&lt;="&amp;M27,OFFSET(CÁLCULO!$AA$15,CRONOPLE!$A$10,1,OFFSET(ORÇAMENTO!$D$15,CRONOPLE!$A$10,0),COLUMN(CÁLCULO!$AL$15)-COLUMN(CÁLCULO!$AA$15)-1))/OFFSET(ORÇAMENTO!$X$15,CRONOPLE!$A$10,0))))</f>
        <v>0</v>
      </c>
      <c r="N32" s="747"/>
      <c r="O32" s="747" cm="1">
        <f t="array" aca="1" ref="O32" ca="1">IF(OR(_xlfn.SINGLE(ACOMPANHAMENTO)&lt;&gt;"PLE",O27&gt;PLE.Medicao),0,
   IF(AUTOEVENTO="Manual",
      IF(AdmLocal="Automática",O30,
         IF(Import.EventoAdmLocal="","",SUMIF(OFFSET($G$14,CRONOPLE!$A$8+1,1,1,OFFSET($AG$12,0,-1)),"&lt;="&amp;O27,OFFSET(EVENTOS!$G$14,CRONOPLE!$A$8+1,1,1,OFFSET($AG$12,0,-1)))/OFFSET(EVENTOS!$G$14,CRONOPLE!$A$8+1,-1))),
      IF(Import.EventoAdmLocal="","",SUMIF(OFFSET(CÁLCULO!$AW$15,CRONOPLE!$A$10,1,OFFSET(ORÇAMENTO!$D$15,CRONOPLE!$A$10,0),COLUMN(CÁLCULO!$BH$15)-COLUMN(CÁLCULO!$AW$15)-1),"&lt;="&amp;O27,OFFSET(CÁLCULO!$AA$15,CRONOPLE!$A$10,1,OFFSET(ORÇAMENTO!$D$15,CRONOPLE!$A$10,0),COLUMN(CÁLCULO!$AL$15)-COLUMN(CÁLCULO!$AA$15)-1))/OFFSET(ORÇAMENTO!$X$15,CRONOPLE!$A$10,0))))</f>
        <v>0</v>
      </c>
      <c r="P32" s="747"/>
      <c r="Q32" s="747" cm="1">
        <f t="array" aca="1" ref="Q32" ca="1">IF(OR(_xlfn.SINGLE(ACOMPANHAMENTO)&lt;&gt;"PLE",Q27&gt;PLE.Medicao),0,
   IF(AUTOEVENTO="Manual",
      IF(AdmLocal="Automática",Q30,
         IF(Import.EventoAdmLocal="","",SUMIF(OFFSET($G$14,CRONOPLE!$A$8+1,1,1,OFFSET($AG$12,0,-1)),"&lt;="&amp;Q27,OFFSET(EVENTOS!$G$14,CRONOPLE!$A$8+1,1,1,OFFSET($AG$12,0,-1)))/OFFSET(EVENTOS!$G$14,CRONOPLE!$A$8+1,-1))),
      IF(Import.EventoAdmLocal="","",SUMIF(OFFSET(CÁLCULO!$AW$15,CRONOPLE!$A$10,1,OFFSET(ORÇAMENTO!$D$15,CRONOPLE!$A$10,0),COLUMN(CÁLCULO!$BH$15)-COLUMN(CÁLCULO!$AW$15)-1),"&lt;="&amp;Q27,OFFSET(CÁLCULO!$AA$15,CRONOPLE!$A$10,1,OFFSET(ORÇAMENTO!$D$15,CRONOPLE!$A$10,0),COLUMN(CÁLCULO!$AL$15)-COLUMN(CÁLCULO!$AA$15)-1))/OFFSET(ORÇAMENTO!$X$15,CRONOPLE!$A$10,0))))</f>
        <v>0</v>
      </c>
      <c r="R32" s="747"/>
      <c r="S32" s="747" cm="1">
        <f t="array" aca="1" ref="S32" ca="1">IF(OR(_xlfn.SINGLE(ACOMPANHAMENTO)&lt;&gt;"PLE",S27&gt;PLE.Medicao),0,
   IF(AUTOEVENTO="Manual",
      IF(AdmLocal="Automática",S30,
         IF(Import.EventoAdmLocal="","",SUMIF(OFFSET($G$14,CRONOPLE!$A$8+1,1,1,OFFSET($AG$12,0,-1)),"&lt;="&amp;S27,OFFSET(EVENTOS!$G$14,CRONOPLE!$A$8+1,1,1,OFFSET($AG$12,0,-1)))/OFFSET(EVENTOS!$G$14,CRONOPLE!$A$8+1,-1))),
      IF(Import.EventoAdmLocal="","",SUMIF(OFFSET(CÁLCULO!$AW$15,CRONOPLE!$A$10,1,OFFSET(ORÇAMENTO!$D$15,CRONOPLE!$A$10,0),COLUMN(CÁLCULO!$BH$15)-COLUMN(CÁLCULO!$AW$15)-1),"&lt;="&amp;S27,OFFSET(CÁLCULO!$AA$15,CRONOPLE!$A$10,1,OFFSET(ORÇAMENTO!$D$15,CRONOPLE!$A$10,0),COLUMN(CÁLCULO!$AL$15)-COLUMN(CÁLCULO!$AA$15)-1))/OFFSET(ORÇAMENTO!$X$15,CRONOPLE!$A$10,0))))</f>
        <v>0</v>
      </c>
      <c r="T32" s="747"/>
      <c r="U32" s="747" cm="1">
        <f t="array" aca="1" ref="U32" ca="1">IF(OR(_xlfn.SINGLE(ACOMPANHAMENTO)&lt;&gt;"PLE",U27&gt;PLE.Medicao),0,
   IF(AUTOEVENTO="Manual",
      IF(AdmLocal="Automática",U30,
         IF(Import.EventoAdmLocal="","",SUMIF(OFFSET($G$14,CRONOPLE!$A$8+1,1,1,OFFSET($AG$12,0,-1)),"&lt;="&amp;U27,OFFSET(EVENTOS!$G$14,CRONOPLE!$A$8+1,1,1,OFFSET($AG$12,0,-1)))/OFFSET(EVENTOS!$G$14,CRONOPLE!$A$8+1,-1))),
      IF(Import.EventoAdmLocal="","",SUMIF(OFFSET(CÁLCULO!$AW$15,CRONOPLE!$A$10,1,OFFSET(ORÇAMENTO!$D$15,CRONOPLE!$A$10,0),COLUMN(CÁLCULO!$BH$15)-COLUMN(CÁLCULO!$AW$15)-1),"&lt;="&amp;U27,OFFSET(CÁLCULO!$AA$15,CRONOPLE!$A$10,1,OFFSET(ORÇAMENTO!$D$15,CRONOPLE!$A$10,0),COLUMN(CÁLCULO!$AL$15)-COLUMN(CÁLCULO!$AA$15)-1))/OFFSET(ORÇAMENTO!$X$15,CRONOPLE!$A$10,0))))</f>
        <v>0</v>
      </c>
      <c r="V32" s="747"/>
      <c r="W32" s="747" cm="1">
        <f t="array" aca="1" ref="W32" ca="1">IF(OR(_xlfn.SINGLE(ACOMPANHAMENTO)&lt;&gt;"PLE",W27&gt;PLE.Medicao),0,
   IF(AUTOEVENTO="Manual",
      IF(AdmLocal="Automática",W30,
         IF(Import.EventoAdmLocal="","",SUMIF(OFFSET($G$14,CRONOPLE!$A$8+1,1,1,OFFSET($AG$12,0,-1)),"&lt;="&amp;W27,OFFSET(EVENTOS!$G$14,CRONOPLE!$A$8+1,1,1,OFFSET($AG$12,0,-1)))/OFFSET(EVENTOS!$G$14,CRONOPLE!$A$8+1,-1))),
      IF(Import.EventoAdmLocal="","",SUMIF(OFFSET(CÁLCULO!$AW$15,CRONOPLE!$A$10,1,OFFSET(ORÇAMENTO!$D$15,CRONOPLE!$A$10,0),COLUMN(CÁLCULO!$BH$15)-COLUMN(CÁLCULO!$AW$15)-1),"&lt;="&amp;W27,OFFSET(CÁLCULO!$AA$15,CRONOPLE!$A$10,1,OFFSET(ORÇAMENTO!$D$15,CRONOPLE!$A$10,0),COLUMN(CÁLCULO!$AL$15)-COLUMN(CÁLCULO!$AA$15)-1))/OFFSET(ORÇAMENTO!$X$15,CRONOPLE!$A$10,0))))</f>
        <v>0</v>
      </c>
      <c r="X32" s="747"/>
      <c r="Y32" s="747" cm="1">
        <f t="array" aca="1" ref="Y32" ca="1">IF(OR(_xlfn.SINGLE(ACOMPANHAMENTO)&lt;&gt;"PLE",Y27&gt;PLE.Medicao),0,
   IF(AUTOEVENTO="Manual",
      IF(AdmLocal="Automática",Y30,
         IF(Import.EventoAdmLocal="","",SUMIF(OFFSET($G$14,CRONOPLE!$A$8+1,1,1,OFFSET($AG$12,0,-1)),"&lt;="&amp;Y27,OFFSET(EVENTOS!$G$14,CRONOPLE!$A$8+1,1,1,OFFSET($AG$12,0,-1)))/OFFSET(EVENTOS!$G$14,CRONOPLE!$A$8+1,-1))),
      IF(Import.EventoAdmLocal="","",SUMIF(OFFSET(CÁLCULO!$AW$15,CRONOPLE!$A$10,1,OFFSET(ORÇAMENTO!$D$15,CRONOPLE!$A$10,0),COLUMN(CÁLCULO!$BH$15)-COLUMN(CÁLCULO!$AW$15)-1),"&lt;="&amp;Y27,OFFSET(CÁLCULO!$AA$15,CRONOPLE!$A$10,1,OFFSET(ORÇAMENTO!$D$15,CRONOPLE!$A$10,0),COLUMN(CÁLCULO!$AL$15)-COLUMN(CÁLCULO!$AA$15)-1))/OFFSET(ORÇAMENTO!$X$15,CRONOPLE!$A$10,0))))</f>
        <v>0</v>
      </c>
      <c r="Z32" s="747"/>
      <c r="AA32" s="747" cm="1">
        <f t="array" aca="1" ref="AA32" ca="1">IF(OR(_xlfn.SINGLE(ACOMPANHAMENTO)&lt;&gt;"PLE",AA27&gt;PLE.Medicao),0,
   IF(AUTOEVENTO="Manual",
      IF(AdmLocal="Automática",AA30,
         IF(Import.EventoAdmLocal="","",SUMIF(OFFSET($G$14,CRONOPLE!$A$8+1,1,1,OFFSET($AG$12,0,-1)),"&lt;="&amp;AA27,OFFSET(EVENTOS!$G$14,CRONOPLE!$A$8+1,1,1,OFFSET($AG$12,0,-1)))/OFFSET(EVENTOS!$G$14,CRONOPLE!$A$8+1,-1))),
      IF(Import.EventoAdmLocal="","",SUMIF(OFFSET(CÁLCULO!$AW$15,CRONOPLE!$A$10,1,OFFSET(ORÇAMENTO!$D$15,CRONOPLE!$A$10,0),COLUMN(CÁLCULO!$BH$15)-COLUMN(CÁLCULO!$AW$15)-1),"&lt;="&amp;AA27,OFFSET(CÁLCULO!$AA$15,CRONOPLE!$A$10,1,OFFSET(ORÇAMENTO!$D$15,CRONOPLE!$A$10,0),COLUMN(CÁLCULO!$AL$15)-COLUMN(CÁLCULO!$AA$15)-1))/OFFSET(ORÇAMENTO!$X$15,CRONOPLE!$A$10,0))))</f>
        <v>0</v>
      </c>
      <c r="AB32" s="747"/>
      <c r="AC32" s="747" cm="1">
        <f t="array" aca="1" ref="AC32" ca="1">IF(OR(_xlfn.SINGLE(ACOMPANHAMENTO)&lt;&gt;"PLE",AC27&gt;PLE.Medicao),0,
   IF(AUTOEVENTO="Manual",
      IF(AdmLocal="Automática",AC30,
         IF(Import.EventoAdmLocal="","",SUMIF(OFFSET($G$14,CRONOPLE!$A$8+1,1,1,OFFSET($AG$12,0,-1)),"&lt;="&amp;AC27,OFFSET(EVENTOS!$G$14,CRONOPLE!$A$8+1,1,1,OFFSET($AG$12,0,-1)))/OFFSET(EVENTOS!$G$14,CRONOPLE!$A$8+1,-1))),
      IF(Import.EventoAdmLocal="","",SUMIF(OFFSET(CÁLCULO!$AW$15,CRONOPLE!$A$10,1,OFFSET(ORÇAMENTO!$D$15,CRONOPLE!$A$10,0),COLUMN(CÁLCULO!$BH$15)-COLUMN(CÁLCULO!$AW$15)-1),"&lt;="&amp;AC27,OFFSET(CÁLCULO!$AA$15,CRONOPLE!$A$10,1,OFFSET(ORÇAMENTO!$D$15,CRONOPLE!$A$10,0),COLUMN(CÁLCULO!$AL$15)-COLUMN(CÁLCULO!$AA$15)-1))/OFFSET(ORÇAMENTO!$X$15,CRONOPLE!$A$10,0))))</f>
        <v>0</v>
      </c>
      <c r="AD32" s="747"/>
      <c r="AE32" s="747" cm="1">
        <f t="array" aca="1" ref="AE32" ca="1">IF(OR(_xlfn.SINGLE(ACOMPANHAMENTO)&lt;&gt;"PLE",AE27&gt;PLE.Medicao),0,
   IF(AUTOEVENTO="Manual",
      IF(AdmLocal="Automática",AE30,
         IF(Import.EventoAdmLocal="","",SUMIF(OFFSET($G$14,CRONOPLE!$A$8+1,1,1,OFFSET($AG$12,0,-1)),"&lt;="&amp;AE27,OFFSET(EVENTOS!$G$14,CRONOPLE!$A$8+1,1,1,OFFSET($AG$12,0,-1)))/OFFSET(EVENTOS!$G$14,CRONOPLE!$A$8+1,-1))),
      IF(Import.EventoAdmLocal="","",SUMIF(OFFSET(CÁLCULO!$AW$15,CRONOPLE!$A$10,1,OFFSET(ORÇAMENTO!$D$15,CRONOPLE!$A$10,0),COLUMN(CÁLCULO!$BH$15)-COLUMN(CÁLCULO!$AW$15)-1),"&lt;="&amp;AE27,OFFSET(CÁLCULO!$AA$15,CRONOPLE!$A$10,1,OFFSET(ORÇAMENTO!$D$15,CRONOPLE!$A$10,0),COLUMN(CÁLCULO!$AL$15)-COLUMN(CÁLCULO!$AA$15)-1))/OFFSET(ORÇAMENTO!$X$15,CRONOPLE!$A$10,0))))</f>
        <v>0</v>
      </c>
      <c r="AF32" s="747"/>
    </row>
    <row r="33" spans="1:32" ht="13.5" x14ac:dyDescent="0.25">
      <c r="A33" s="7" t="s">
        <v>537</v>
      </c>
      <c r="D33" s="524"/>
      <c r="H33" s="584" t="str">
        <f ca="1">IF(COUNTIF(I33:AG33,"%Adm&gt;%Global")&gt;0,"Verificar proporcionalidade da Administração Local","")</f>
        <v/>
      </c>
      <c r="I33" s="536" t="str">
        <f ca="1">IF(I32="","",IF(ROUND(I32,4)&gt;ROUND(I30,4),"%Adm&gt;%Global",""))</f>
        <v/>
      </c>
      <c r="J33" s="525"/>
      <c r="K33" s="536" t="str">
        <f t="shared" ref="K33" ca="1" si="2">IF(K32="","",IF(ROUND(K32,4)&gt;ROUND(K30,4),"%Adm&gt;%Global",""))</f>
        <v/>
      </c>
      <c r="L33" s="525"/>
      <c r="M33" s="536" t="str">
        <f t="shared" ref="M33" ca="1" si="3">IF(M32="","",IF(ROUND(M32,4)&gt;ROUND(M30,4),"%Adm&gt;%Global",""))</f>
        <v/>
      </c>
      <c r="N33" s="525"/>
      <c r="O33" s="536" t="str">
        <f t="shared" ref="O33" ca="1" si="4">IF(O32="","",IF(ROUND(O32,4)&gt;ROUND(O30,4),"%Adm&gt;%Global",""))</f>
        <v/>
      </c>
      <c r="P33" s="525"/>
      <c r="Q33" s="536" t="str">
        <f t="shared" ref="Q33" ca="1" si="5">IF(Q32="","",IF(ROUND(Q32,4)&gt;ROUND(Q30,4),"%Adm&gt;%Global",""))</f>
        <v/>
      </c>
      <c r="R33" s="525"/>
      <c r="S33" s="536" t="str">
        <f t="shared" ref="S33" ca="1" si="6">IF(S32="","",IF(ROUND(S32,4)&gt;ROUND(S30,4),"%Adm&gt;%Global",""))</f>
        <v/>
      </c>
      <c r="T33" s="525"/>
      <c r="U33" s="536" t="str">
        <f t="shared" ref="U33" ca="1" si="7">IF(U32="","",IF(ROUND(U32,4)&gt;ROUND(U30,4),"%Adm&gt;%Global",""))</f>
        <v/>
      </c>
      <c r="V33" s="525"/>
      <c r="W33" s="536" t="str">
        <f t="shared" ref="W33" ca="1" si="8">IF(W32="","",IF(ROUND(W32,4)&gt;ROUND(W30,4),"%Adm&gt;%Global",""))</f>
        <v/>
      </c>
      <c r="X33" s="525"/>
      <c r="Y33" s="536" t="str">
        <f t="shared" ref="Y33" ca="1" si="9">IF(Y32="","",IF(ROUND(Y32,4)&gt;ROUND(Y30,4),"%Adm&gt;%Global",""))</f>
        <v/>
      </c>
      <c r="Z33" s="525"/>
      <c r="AA33" s="536" t="str">
        <f t="shared" ref="AA33" ca="1" si="10">IF(AA32="","",IF(ROUND(AA32,4)&gt;ROUND(AA30,4),"%Adm&gt;%Global",""))</f>
        <v/>
      </c>
      <c r="AB33" s="525"/>
      <c r="AC33" s="536" t="str">
        <f t="shared" ref="AC33" ca="1" si="11">IF(AC32="","",IF(ROUND(AC32,4)&gt;ROUND(AC30,4),"%Adm&gt;%Global",""))</f>
        <v/>
      </c>
      <c r="AD33" s="525"/>
      <c r="AE33" s="536" t="str">
        <f t="shared" ref="AE33" ca="1" si="12">IF(AE32="","",IF(ROUND(AE32,4)&gt;ROUND(AE30,4),"%Adm&gt;%Global",""))</f>
        <v/>
      </c>
      <c r="AF33" s="525"/>
    </row>
    <row r="34" spans="1:32" ht="20.25" customHeight="1" x14ac:dyDescent="0.2">
      <c r="A34" s="7" t="s">
        <v>537</v>
      </c>
      <c r="I34" s="781"/>
      <c r="J34" s="781"/>
    </row>
    <row r="35" spans="1:32" ht="15" x14ac:dyDescent="0.25">
      <c r="A35" s="7" t="s">
        <v>537</v>
      </c>
      <c r="B35" s="675" t="str">
        <f>Import.Município</f>
        <v>RODEIO BONITO/RS</v>
      </c>
      <c r="C35" s="675"/>
      <c r="D35" s="675"/>
      <c r="S35" s="563" t="str">
        <f ca="1">IF(DADOS!$D$50&lt;&gt;"","Preencher os Dados do Responsável pela Fiscalização, na aba DADOS.","")</f>
        <v/>
      </c>
      <c r="U35" s="140"/>
      <c r="V35" s="140"/>
      <c r="W35" s="140"/>
      <c r="X35" s="140"/>
      <c r="Y35" s="181"/>
      <c r="Z35" s="181"/>
      <c r="AA35" s="181"/>
      <c r="AB35" s="181"/>
      <c r="AC35" s="181"/>
      <c r="AD35" s="181"/>
    </row>
    <row r="36" spans="1:32" x14ac:dyDescent="0.2">
      <c r="A36" s="7" t="s">
        <v>537</v>
      </c>
      <c r="B36" s="9" t="s">
        <v>694</v>
      </c>
      <c r="U36" s="182" t="s">
        <v>842</v>
      </c>
    </row>
    <row r="37" spans="1:32" x14ac:dyDescent="0.2">
      <c r="A37" s="7" t="s">
        <v>537</v>
      </c>
      <c r="I37" s="79"/>
      <c r="U37" s="77" t="s">
        <v>240</v>
      </c>
      <c r="W37" s="272">
        <f t="array" ref="W37:W40">Import.RespFiscalização</f>
        <v>0</v>
      </c>
    </row>
    <row r="38" spans="1:32" x14ac:dyDescent="0.2">
      <c r="A38" s="7" t="s">
        <v>537</v>
      </c>
      <c r="B38" s="723">
        <f>DADOS!$C$48</f>
        <v>0</v>
      </c>
      <c r="C38" s="723"/>
      <c r="D38" s="723"/>
      <c r="I38" s="79"/>
      <c r="U38" s="77" t="s">
        <v>320</v>
      </c>
      <c r="W38" s="272">
        <v>0</v>
      </c>
    </row>
    <row r="39" spans="1:32" x14ac:dyDescent="0.2">
      <c r="A39" s="7" t="s">
        <v>537</v>
      </c>
      <c r="B39" s="141" t="s">
        <v>695</v>
      </c>
      <c r="C39" s="1"/>
      <c r="D39" s="1"/>
      <c r="I39" s="79"/>
      <c r="U39" s="77" t="s">
        <v>243</v>
      </c>
      <c r="W39" s="272">
        <v>0</v>
      </c>
    </row>
    <row r="40" spans="1:32" x14ac:dyDescent="0.2">
      <c r="U40" s="77" t="s">
        <v>246</v>
      </c>
      <c r="W40" s="12">
        <v>0</v>
      </c>
    </row>
  </sheetData>
  <sheetProtection algorithmName="SHA-512" hashValue="+GmZS7i4EIl9+CzEFwRTq+a6cfAp5vvDVzUb7wmthGY9cBTkter5FmV4el+xwk0pEu6M9/G2cMzDwVHGV+wwQA==" saltValue="InOlJwsSoaMszukUj/RtDA==" spinCount="100000" sheet="1" objects="1" scenarios="1" autoFilter="0"/>
  <autoFilter ref="A13:A39" xr:uid="{00000000-0009-0000-0000-00000A000000}"/>
  <mergeCells count="114">
    <mergeCell ref="C19:D19"/>
    <mergeCell ref="C20:D20"/>
    <mergeCell ref="U31:V31"/>
    <mergeCell ref="O32:P32"/>
    <mergeCell ref="Q32:R32"/>
    <mergeCell ref="O31:P31"/>
    <mergeCell ref="O30:P30"/>
    <mergeCell ref="Q30:R30"/>
    <mergeCell ref="Q31:R31"/>
    <mergeCell ref="M26:N26"/>
    <mergeCell ref="O29:P29"/>
    <mergeCell ref="M29:N29"/>
    <mergeCell ref="S29:T29"/>
    <mergeCell ref="O26:P26"/>
    <mergeCell ref="K29:L29"/>
    <mergeCell ref="I29:J29"/>
    <mergeCell ref="I27:J27"/>
    <mergeCell ref="I28:J28"/>
    <mergeCell ref="M27:N27"/>
    <mergeCell ref="Q29:R29"/>
    <mergeCell ref="C21:D21"/>
    <mergeCell ref="C22:D22"/>
    <mergeCell ref="AC32:AD32"/>
    <mergeCell ref="AE32:AF32"/>
    <mergeCell ref="S32:T32"/>
    <mergeCell ref="U32:V32"/>
    <mergeCell ref="W32:X32"/>
    <mergeCell ref="Y32:Z32"/>
    <mergeCell ref="AA32:AB32"/>
    <mergeCell ref="W30:X30"/>
    <mergeCell ref="S30:T30"/>
    <mergeCell ref="AC31:AD31"/>
    <mergeCell ref="AA30:AB30"/>
    <mergeCell ref="AE31:AF31"/>
    <mergeCell ref="AE30:AF30"/>
    <mergeCell ref="Y31:Z31"/>
    <mergeCell ref="AA31:AB31"/>
    <mergeCell ref="S31:T31"/>
    <mergeCell ref="W31:X31"/>
    <mergeCell ref="AC30:AD30"/>
    <mergeCell ref="U30:V30"/>
    <mergeCell ref="Y30:Z30"/>
    <mergeCell ref="AE28:AF28"/>
    <mergeCell ref="W27:X27"/>
    <mergeCell ref="AA29:AB29"/>
    <mergeCell ref="W28:X28"/>
    <mergeCell ref="U28:V28"/>
    <mergeCell ref="AC28:AD28"/>
    <mergeCell ref="AE27:AF27"/>
    <mergeCell ref="W29:X29"/>
    <mergeCell ref="S27:T27"/>
    <mergeCell ref="Y26:Z26"/>
    <mergeCell ref="Q28:R28"/>
    <mergeCell ref="AC27:AD27"/>
    <mergeCell ref="AA27:AB27"/>
    <mergeCell ref="Y28:Z28"/>
    <mergeCell ref="S26:T26"/>
    <mergeCell ref="U26:V26"/>
    <mergeCell ref="Q26:R26"/>
    <mergeCell ref="S28:T28"/>
    <mergeCell ref="U27:V27"/>
    <mergeCell ref="C15:D15"/>
    <mergeCell ref="W26:X26"/>
    <mergeCell ref="AC26:AD26"/>
    <mergeCell ref="Y27:Z27"/>
    <mergeCell ref="AA28:AB28"/>
    <mergeCell ref="Y29:Z29"/>
    <mergeCell ref="U29:V29"/>
    <mergeCell ref="Q27:R27"/>
    <mergeCell ref="K27:L27"/>
    <mergeCell ref="K26:L26"/>
    <mergeCell ref="I26:J26"/>
    <mergeCell ref="AA26:AB26"/>
    <mergeCell ref="C17:D17"/>
    <mergeCell ref="D28:D29"/>
    <mergeCell ref="C16:D16"/>
    <mergeCell ref="C18:D18"/>
    <mergeCell ref="O28:P28"/>
    <mergeCell ref="M28:N28"/>
    <mergeCell ref="K28:L28"/>
    <mergeCell ref="I25:AF25"/>
    <mergeCell ref="AE29:AF29"/>
    <mergeCell ref="O27:P27"/>
    <mergeCell ref="AC29:AD29"/>
    <mergeCell ref="AE26:AF26"/>
    <mergeCell ref="C1:D1"/>
    <mergeCell ref="C11:D11"/>
    <mergeCell ref="C12:D13"/>
    <mergeCell ref="AD3:AF3"/>
    <mergeCell ref="AD4:AF4"/>
    <mergeCell ref="AE6:AF6"/>
    <mergeCell ref="H7:N7"/>
    <mergeCell ref="O7:U7"/>
    <mergeCell ref="AE7:AF7"/>
    <mergeCell ref="V7:AD7"/>
    <mergeCell ref="Y9:Z9"/>
    <mergeCell ref="AE9:AF9"/>
    <mergeCell ref="J9:K9"/>
    <mergeCell ref="N9:T9"/>
    <mergeCell ref="B7:C7"/>
    <mergeCell ref="B12:B13"/>
    <mergeCell ref="B38:D38"/>
    <mergeCell ref="B35:D35"/>
    <mergeCell ref="D30:D31"/>
    <mergeCell ref="M30:N30"/>
    <mergeCell ref="M31:N31"/>
    <mergeCell ref="I31:J31"/>
    <mergeCell ref="K31:L31"/>
    <mergeCell ref="K30:L30"/>
    <mergeCell ref="I30:J30"/>
    <mergeCell ref="I34:J34"/>
    <mergeCell ref="I32:J32"/>
    <mergeCell ref="K32:L32"/>
    <mergeCell ref="M32:N32"/>
  </mergeCells>
  <phoneticPr fontId="38" type="noConversion"/>
  <conditionalFormatting sqref="F1:F2">
    <cfRule type="expression" dxfId="173" priority="2107" stopIfTrue="1">
      <formula>IF(OR(ACOMPANHAMENTO="BM",F$12&gt;CÁLCULO.NúmeroDeFrentes),TRUE,PLE.ValorDoEvento=0)</formula>
    </cfRule>
    <cfRule type="cellIs" dxfId="172" priority="2108" stopIfTrue="1" operator="equal">
      <formula>$J$9</formula>
    </cfRule>
  </conditionalFormatting>
  <conditionalFormatting sqref="I28:AF28">
    <cfRule type="expression" dxfId="171" priority="2109" stopIfTrue="1">
      <formula>I27=$J$9</formula>
    </cfRule>
  </conditionalFormatting>
  <conditionalFormatting sqref="I29:AF29">
    <cfRule type="expression" dxfId="170" priority="2110" stopIfTrue="1">
      <formula>I27=$J$9</formula>
    </cfRule>
  </conditionalFormatting>
  <conditionalFormatting sqref="I30:AF30">
    <cfRule type="expression" dxfId="169" priority="2111" stopIfTrue="1">
      <formula>I27=$J$9</formula>
    </cfRule>
  </conditionalFormatting>
  <conditionalFormatting sqref="I31:AF31">
    <cfRule type="expression" dxfId="168" priority="2112" stopIfTrue="1">
      <formula>I27=$J$9</formula>
    </cfRule>
  </conditionalFormatting>
  <conditionalFormatting sqref="I27:J27">
    <cfRule type="cellIs" dxfId="167" priority="2106" stopIfTrue="1" operator="notEqual">
      <formula>1</formula>
    </cfRule>
  </conditionalFormatting>
  <conditionalFormatting sqref="H1:AF1 H16:AF20">
    <cfRule type="expression" dxfId="166" priority="2124" stopIfTrue="1">
      <formula>IF(OR(ACOMPANHAMENTO="BM",TIPOORCAMENTO="Proposto",H$12&gt;CÁLCULO.NúmeroDeFrentes),TRUE,PLE.ValorDoEvento=0)</formula>
    </cfRule>
    <cfRule type="cellIs" dxfId="165" priority="2125" stopIfTrue="1" operator="equal">
      <formula>$J$9</formula>
    </cfRule>
  </conditionalFormatting>
  <conditionalFormatting sqref="AE6:AE7">
    <cfRule type="expression" dxfId="164" priority="2113" stopIfTrue="1">
      <formula>TIPOORCAMENTO&lt;&gt;"Licitado"</formula>
    </cfRule>
  </conditionalFormatting>
  <conditionalFormatting sqref="N9:T9">
    <cfRule type="expression" dxfId="163" priority="2114" stopIfTrue="1">
      <formula>COLUMN(N9)&gt;COLUMN($AF$12)</formula>
    </cfRule>
    <cfRule type="expression" dxfId="162" priority="2115" stopIfTrue="1">
      <formula>$N$9="DIGITE A DATA DA MEDIÇÃO"</formula>
    </cfRule>
  </conditionalFormatting>
  <conditionalFormatting sqref="I9:M9 U9:AF9">
    <cfRule type="expression" dxfId="161" priority="2116" stopIfTrue="1">
      <formula>COLUMN(I9)&gt;COLUMN($AF$12)</formula>
    </cfRule>
  </conditionalFormatting>
  <conditionalFormatting sqref="K28:AF31">
    <cfRule type="expression" dxfId="160" priority="1122" stopIfTrue="1">
      <formula>I$30=100%</formula>
    </cfRule>
  </conditionalFormatting>
  <conditionalFormatting sqref="J33 L33 N33 P33 R33 T33 V33 X33 Z33 AB33 AD33 AF33">
    <cfRule type="expression" dxfId="159" priority="13833" stopIfTrue="1">
      <formula>J28=$J$9</formula>
    </cfRule>
  </conditionalFormatting>
  <conditionalFormatting sqref="K32:AF32">
    <cfRule type="expression" dxfId="158" priority="1121">
      <formula>OFFSET(K32,-2,-2)=1</formula>
    </cfRule>
  </conditionalFormatting>
  <conditionalFormatting sqref="I32:AF32">
    <cfRule type="expression" dxfId="157" priority="1120">
      <formula>ROUND(I32,4)&gt;ROUND(I30,4)</formula>
    </cfRule>
  </conditionalFormatting>
  <conditionalFormatting sqref="N13">
    <cfRule type="expression" dxfId="156" priority="1119">
      <formula>$Y$9=0</formula>
    </cfRule>
  </conditionalFormatting>
  <conditionalFormatting sqref="F16:F18">
    <cfRule type="expression" dxfId="155" priority="27" stopIfTrue="1">
      <formula>IF(OR(ACOMPANHAMENTO="BM",F$12&gt;CÁLCULO.NúmeroDeFrentes),TRUE,PLE.ValorDoEvento=0)</formula>
    </cfRule>
    <cfRule type="cellIs" dxfId="154" priority="28" stopIfTrue="1" operator="equal">
      <formula>$J$9</formula>
    </cfRule>
  </conditionalFormatting>
  <conditionalFormatting sqref="F19:F20">
    <cfRule type="expression" dxfId="153" priority="5" stopIfTrue="1">
      <formula>IF(OR(ACOMPANHAMENTO="BM",F$12&gt;CÁLCULO.NúmeroDeFrentes),TRUE,PLE.ValorDoEvento=0)</formula>
    </cfRule>
    <cfRule type="cellIs" dxfId="152" priority="6" stopIfTrue="1" operator="equal">
      <formula>$J$9</formula>
    </cfRule>
  </conditionalFormatting>
  <conditionalFormatting sqref="F21:F22">
    <cfRule type="expression" dxfId="151" priority="1" stopIfTrue="1">
      <formula>IF(OR(ACOMPANHAMENTO="BM",F$12&gt;CÁLCULO.NúmeroDeFrentes),TRUE,PLE.ValorDoEvento=0)</formula>
    </cfRule>
    <cfRule type="cellIs" dxfId="150" priority="2" stopIfTrue="1" operator="equal">
      <formula>$J$9</formula>
    </cfRule>
  </conditionalFormatting>
  <conditionalFormatting sqref="H21:AF22">
    <cfRule type="expression" dxfId="149" priority="3" stopIfTrue="1">
      <formula>IF(OR(ACOMPANHAMENTO="BM",TIPOORCAMENTO="Proposto",H$12&gt;CÁLCULO.NúmeroDeFrentes),TRUE,PLE.ValorDoEvento=0)</formula>
    </cfRule>
    <cfRule type="cellIs" dxfId="148" priority="4" stopIfTrue="1" operator="equal">
      <formula>$J$9</formula>
    </cfRule>
  </conditionalFormatting>
  <dataValidations count="3">
    <dataValidation type="whole" operator="greaterThan" allowBlank="1" showErrorMessage="1" sqref="I3:AC4 J9:K9 F1:F4 F16:F22" xr:uid="{00000000-0002-0000-0A00-000000000000}">
      <formula1>0</formula1>
      <formula2>0</formula2>
    </dataValidation>
    <dataValidation allowBlank="1" showInputMessage="1" showErrorMessage="1" prompt="Digite a data de medição abaixo dos eventos." sqref="N9:T9" xr:uid="{00000000-0002-0000-0A00-000001000000}">
      <formula1>0</formula1>
      <formula2>0</formula2>
    </dataValidation>
    <dataValidation type="whole" operator="equal" allowBlank="1" showErrorMessage="1" errorTitle="Errp de entrada" error="Preencha somente com o número da medição atual." sqref="H1:AF1 H16:AF22" xr:uid="{00000000-0002-0000-0A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&amp;LPMv3.12&amp;R&amp;P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120"/>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9" t="str">
        <f>IF(CAIXA.Modo,"BA - Boletim de Aferição","BM - Boletim de Medição")</f>
        <v>BM - Boletim de Medição</v>
      </c>
      <c r="G1" s="320"/>
      <c r="J1" s="320"/>
      <c r="K1" s="320"/>
      <c r="L1" s="320"/>
      <c r="M1" s="320"/>
      <c r="N1" s="320"/>
      <c r="O1" s="52" t="s">
        <v>645</v>
      </c>
    </row>
    <row r="2" spans="1:41" ht="15" x14ac:dyDescent="0.2">
      <c r="A2" s="321" t="s">
        <v>843</v>
      </c>
      <c r="B2" s="2"/>
      <c r="E2" s="322" t="str">
        <f ca="1">IF(Import.RegimeExecução="(SELECIONAR)","Selecione o Regime de Execução na Aba Dados",Import.RegimeExecução&amp;" - "&amp;import.recurso)</f>
        <v>Selecione o Regime de Execução na Aba Dados</v>
      </c>
      <c r="O2" s="11" t="s">
        <v>648</v>
      </c>
    </row>
    <row r="3" spans="1:41" x14ac:dyDescent="0.2">
      <c r="A3" s="809" t="b">
        <v>0</v>
      </c>
      <c r="B3" s="809"/>
      <c r="E3" s="86"/>
    </row>
    <row r="4" spans="1:41" x14ac:dyDescent="0.2">
      <c r="D4" s="708" t="s">
        <v>653</v>
      </c>
      <c r="E4" s="708"/>
      <c r="F4" s="717" t="s">
        <v>651</v>
      </c>
      <c r="G4" s="717"/>
      <c r="H4" s="717"/>
      <c r="I4" s="146" t="s">
        <v>708</v>
      </c>
      <c r="J4" s="708" t="s">
        <v>709</v>
      </c>
      <c r="K4" s="708"/>
      <c r="L4" s="708"/>
      <c r="M4" s="708"/>
      <c r="N4" s="708"/>
      <c r="O4" s="148" t="s">
        <v>844</v>
      </c>
    </row>
    <row r="5" spans="1:41" ht="12.75" customHeight="1" x14ac:dyDescent="0.2">
      <c r="A5" t="s">
        <v>845</v>
      </c>
      <c r="D5" s="711" t="str">
        <f>Import.Proponente</f>
        <v>CONSÓRCIO INTERMUNICIPAL DO MÉDIO ALTO URUGUAI - CIMAU</v>
      </c>
      <c r="E5" s="711"/>
      <c r="F5" s="722" t="str">
        <f>Import.CR</f>
        <v>0</v>
      </c>
      <c r="G5" s="722"/>
      <c r="H5" s="722"/>
      <c r="I5" s="323" t="str">
        <f>Import.TransfereGOV</f>
        <v>0</v>
      </c>
      <c r="J5" s="711" t="str">
        <f>Import.Apelido</f>
        <v>REFORMA CASA DA CRIANÇA</v>
      </c>
      <c r="K5" s="711"/>
      <c r="L5" s="711"/>
      <c r="M5" s="711"/>
      <c r="N5" s="711"/>
      <c r="O5" s="324">
        <f>Import.DataInicioObra</f>
        <v>0</v>
      </c>
      <c r="AO5" s="325" t="s">
        <v>846</v>
      </c>
    </row>
    <row r="6" spans="1:41" ht="5.0999999999999996" customHeight="1" x14ac:dyDescent="0.2">
      <c r="D6" s="94"/>
      <c r="E6" s="95"/>
      <c r="F6" s="94"/>
      <c r="G6" s="94"/>
      <c r="H6" s="94"/>
      <c r="I6" s="94"/>
      <c r="J6" s="94"/>
      <c r="K6" s="94"/>
      <c r="L6" s="94"/>
      <c r="M6" s="94"/>
      <c r="N6" s="94"/>
      <c r="O6" s="94"/>
      <c r="AO6" s="326"/>
    </row>
    <row r="7" spans="1:41" ht="12.75" customHeight="1" x14ac:dyDescent="0.2">
      <c r="A7" t="str">
        <f ca="1">RegimeExecucao</f>
        <v>Unitário</v>
      </c>
      <c r="D7" s="88" t="s">
        <v>847</v>
      </c>
      <c r="E7" s="88" t="s">
        <v>848</v>
      </c>
      <c r="F7" s="708" t="s">
        <v>849</v>
      </c>
      <c r="G7" s="708"/>
      <c r="H7" s="708"/>
      <c r="I7" s="708" t="str">
        <f>IF(TIPOORCAMENTO="Licitado","REGIME DE EXECUÇÃO","MUNICÍPIO / UF")</f>
        <v>MUNICÍPIO / UF</v>
      </c>
      <c r="J7" s="708"/>
      <c r="K7" s="708"/>
      <c r="L7" s="708"/>
      <c r="M7" s="708" t="s">
        <v>850</v>
      </c>
      <c r="N7" s="708"/>
      <c r="O7" s="88" t="s">
        <v>851</v>
      </c>
      <c r="AO7" s="276">
        <f ca="1">BM.MEDAcumulado</f>
        <v>0</v>
      </c>
    </row>
    <row r="8" spans="1:41" ht="12.75" customHeight="1" x14ac:dyDescent="0.2">
      <c r="A8" s="321" t="s">
        <v>852</v>
      </c>
      <c r="B8" s="2"/>
      <c r="C8" s="680" t="s">
        <v>656</v>
      </c>
      <c r="D8" s="327">
        <f>Import.CTEF</f>
        <v>0</v>
      </c>
      <c r="E8" s="56">
        <f>Import.empresa</f>
        <v>0</v>
      </c>
      <c r="F8" s="711">
        <f>Import.CNPJ</f>
        <v>0</v>
      </c>
      <c r="G8" s="711"/>
      <c r="H8" s="711"/>
      <c r="I8" s="711" t="str">
        <f>IF(TIPOORCAMENTO="Licitado",Import.RegimeExecução,Import.Município)</f>
        <v>RODEIO BONITO/RS</v>
      </c>
      <c r="J8" s="711"/>
      <c r="K8" s="711"/>
      <c r="L8" s="711"/>
      <c r="M8" s="711" t="str" cm="1">
        <f t="array" aca="1" ref="M8" ca="1">TEXT(IF(BM.medicao=1,Import.DataInicioObra,OFFSET($AB$12,0,BM.medicao-1-$AB$13)+1),"dd/mm/aaaa")&amp;" a "&amp;TEXT(OFFSET($AB$12,0,BM.medicao-$AB$13),"dd/mm/aaaa")</f>
        <v>00/01/1900 a 00/01/1900</v>
      </c>
      <c r="N8" s="711"/>
      <c r="O8" s="423">
        <v>1</v>
      </c>
    </row>
    <row r="9" spans="1:41" ht="12.75" customHeight="1" x14ac:dyDescent="0.2">
      <c r="A9" s="560" t="b">
        <v>1</v>
      </c>
      <c r="B9" s="4"/>
      <c r="C9" s="680"/>
    </row>
    <row r="10" spans="1:41" ht="13.35" customHeight="1" x14ac:dyDescent="0.2">
      <c r="A10" s="411" t="s">
        <v>853</v>
      </c>
      <c r="B10" s="412"/>
      <c r="C10" s="680"/>
      <c r="E10" s="557"/>
      <c r="F10" s="808" t="str" cm="1">
        <f t="array" ref="F10">IF(_xlfn.SINGLE(ACOMPANHAMENTO)="PLE","Foi selecionado na aba 'MENU' o acompanhamento por PLE.",
  IF(_xlfn.SINGLE(TIPOORCAMENTO)="Proposto","Altere na aba 'MENU' o tipo de orçamento para 'Licitado'.",
  IF(_xlfn.SINGLE(Import.RegimeExecução)="(SELECIONAR)",UPPER($E$2),
  IF(AND(BM.medicao=1,DADOS!$C$47=0),"PREENCHER A DATA DE INÍCIO DA OBRA, NA ABA DADOS",
  IF($N$15=0,"PREENCHER A MEDIÇÃO "&amp;BM.medicao,
  IF($AB$10&lt;&gt;"",UPPER($AB$10),
  IF($J$115&lt;&gt;"",UPPER($J$115),
 "")))))))</f>
        <v>Foi selecionado na aba 'MENU' o acompanhamento por PLE.</v>
      </c>
      <c r="G10" s="808"/>
      <c r="H10" s="808"/>
      <c r="I10" s="808"/>
      <c r="O10" s="559" t="str">
        <f ca="1">"Realizado Acumulado: "&amp;TEXT(P10,"0,00%")</f>
        <v>Realizado Acumulado: 0,00%</v>
      </c>
      <c r="P10" s="562">
        <f ca="1">ROUND($O$15/($I$15+10^-12),4)</f>
        <v>0</v>
      </c>
      <c r="AB10" s="572" t="str">
        <f ca="1">IF(INDEX($AB$12:$AN$12,MATCH($O$8,$AB$13:$AN$13,0))=0,"Preencher a data da medição "&amp;$O$8,"")</f>
        <v>Preencher a data da medição 1</v>
      </c>
    </row>
    <row r="11" spans="1:41" ht="15" customHeight="1" x14ac:dyDescent="0.25">
      <c r="A11" s="561" t="e">
        <f ca="1">OFFSET(CRONO!$F$13,CRONO!$F$49,0)</f>
        <v>#VALUE!</v>
      </c>
      <c r="B11" s="419"/>
      <c r="C11" s="680"/>
      <c r="E11" s="557"/>
      <c r="F11" s="808"/>
      <c r="G11" s="808"/>
      <c r="H11" s="808"/>
      <c r="I11" s="808"/>
      <c r="N11" s="558"/>
      <c r="O11" s="559" t="str">
        <f ca="1">IF(ISERROR(P11),"","Administração Local Acumulada: "&amp;TEXT(P11,"0,00%"))</f>
        <v/>
      </c>
      <c r="P11" s="562" t="e">
        <f ca="1">OFFSET($O$15,$A$11,0)/OFFSET($I$15,$A$11,0)</f>
        <v>#VALUE!</v>
      </c>
      <c r="T11" s="807" t="s">
        <v>854</v>
      </c>
      <c r="U11" s="807"/>
      <c r="Z11" s="4"/>
      <c r="AB11" s="795" t="s">
        <v>855</v>
      </c>
      <c r="AC11" s="795"/>
      <c r="AD11" s="795"/>
      <c r="AE11" s="795"/>
      <c r="AF11" s="795"/>
      <c r="AG11" s="795"/>
      <c r="AH11" s="795"/>
      <c r="AI11" s="795"/>
      <c r="AJ11" s="795"/>
      <c r="AK11" s="795"/>
      <c r="AL11" s="795"/>
      <c r="AM11" s="795"/>
    </row>
    <row r="12" spans="1:41" ht="15" customHeight="1" x14ac:dyDescent="0.25">
      <c r="C12" s="680"/>
      <c r="E12" s="84" t="s">
        <v>856</v>
      </c>
      <c r="J12" s="683" t="str">
        <f ca="1">"Evolução Física "&amp;CHOOSE(MATCH(RegimeExecucao,{"Unitário","Global"},0),"(Qtde.)","(%)")</f>
        <v>Evolução Física (Qtde.)</v>
      </c>
      <c r="K12" s="683"/>
      <c r="L12" s="683"/>
      <c r="M12" s="683" t="s">
        <v>857</v>
      </c>
      <c r="N12" s="683"/>
      <c r="O12" s="683"/>
      <c r="Q12" s="683" t="str">
        <f ca="1">"Aferido (CAIXA) "&amp;CHOOSE(MATCH(RegimeExecucao,{"Unitário","Global"},0),"(Qtde.)","(%)")</f>
        <v>Aferido (CAIXA) (Qtde.)</v>
      </c>
      <c r="R12" s="683"/>
      <c r="T12" s="328" t="s">
        <v>858</v>
      </c>
      <c r="U12" s="181"/>
      <c r="V12" s="181"/>
      <c r="W12" s="181"/>
      <c r="X12" s="181"/>
      <c r="Y12" s="181"/>
      <c r="Z12" s="42"/>
      <c r="AB12" s="329"/>
      <c r="AC12" s="330"/>
      <c r="AD12" s="330"/>
      <c r="AE12" s="330"/>
      <c r="AF12" s="330"/>
      <c r="AG12" s="330"/>
      <c r="AH12" s="330"/>
      <c r="AI12" s="330"/>
      <c r="AJ12" s="330"/>
      <c r="AK12" s="330"/>
      <c r="AL12" s="330"/>
      <c r="AM12" s="331"/>
    </row>
    <row r="13" spans="1:41" ht="45" customHeight="1" x14ac:dyDescent="0.2">
      <c r="A13" s="108" t="s">
        <v>727</v>
      </c>
      <c r="B13" s="108" t="s">
        <v>726</v>
      </c>
      <c r="C13" s="107" t="s">
        <v>661</v>
      </c>
      <c r="D13" s="293" t="s">
        <v>736</v>
      </c>
      <c r="E13" s="293" t="s">
        <v>118</v>
      </c>
      <c r="F13" s="332" t="s">
        <v>739</v>
      </c>
      <c r="G13" s="293" t="s">
        <v>713</v>
      </c>
      <c r="H13" s="293" t="s">
        <v>740</v>
      </c>
      <c r="I13" s="293" t="s">
        <v>741</v>
      </c>
      <c r="J13" s="293" t="s">
        <v>859</v>
      </c>
      <c r="K13" s="293" t="s">
        <v>860</v>
      </c>
      <c r="L13" s="293" t="s">
        <v>861</v>
      </c>
      <c r="M13" s="293" t="s">
        <v>859</v>
      </c>
      <c r="N13" s="293" t="s">
        <v>860</v>
      </c>
      <c r="O13" s="293" t="s">
        <v>861</v>
      </c>
      <c r="Q13" s="293" t="s">
        <v>859</v>
      </c>
      <c r="R13" s="293" t="s">
        <v>861</v>
      </c>
      <c r="T13" s="293" t="s">
        <v>736</v>
      </c>
      <c r="U13" s="293" t="s">
        <v>118</v>
      </c>
      <c r="V13" s="332" t="str">
        <f ca="1">IF(RegimeExecucao="Unitário","Unidade","")</f>
        <v>Unidade</v>
      </c>
      <c r="W13" s="293" t="str">
        <f ca="1">CHOOSE(MATCH(RegimeExecucao,{"Unitário","Global"},0),"Quant. Glosada (unid)","Percentual Glosado (%)")</f>
        <v>Quant. Glosada (unid)</v>
      </c>
      <c r="X13" s="293" t="str">
        <f ca="1">CHOOSE(MATCH(RegimeExecucao,{"Unitário","Global"},0),"Preço Unitário (R$)","Valor Total do Item (R$)")</f>
        <v>Preço Unitário (R$)</v>
      </c>
      <c r="Y13" s="293" t="s">
        <v>862</v>
      </c>
      <c r="Z13" s="293" t="s">
        <v>863</v>
      </c>
      <c r="AA13" s="113"/>
      <c r="AB13" s="333" cm="1">
        <f t="array" aca="1" ref="AB13" ca="1">IF(BM.medicao&lt;=12,1,TRUNC((BM.medicao - 2)/11,0) * 11 + 1)</f>
        <v>1</v>
      </c>
      <c r="AC13" s="333">
        <f ca="1">OFFSET(AC13,0,-1)+1</f>
        <v>2</v>
      </c>
      <c r="AD13" s="333">
        <f t="shared" ref="AD13:AM13" ca="1" si="0">OFFSET(AD13,0,-1)+1</f>
        <v>3</v>
      </c>
      <c r="AE13" s="333">
        <f t="shared" ca="1" si="0"/>
        <v>4</v>
      </c>
      <c r="AF13" s="333">
        <f t="shared" ca="1" si="0"/>
        <v>5</v>
      </c>
      <c r="AG13" s="333">
        <f t="shared" ca="1" si="0"/>
        <v>6</v>
      </c>
      <c r="AH13" s="333">
        <f t="shared" ca="1" si="0"/>
        <v>7</v>
      </c>
      <c r="AI13" s="333">
        <f t="shared" ca="1" si="0"/>
        <v>8</v>
      </c>
      <c r="AJ13" s="333">
        <f t="shared" ca="1" si="0"/>
        <v>9</v>
      </c>
      <c r="AK13" s="333">
        <f t="shared" ca="1" si="0"/>
        <v>10</v>
      </c>
      <c r="AL13" s="333">
        <f t="shared" ca="1" si="0"/>
        <v>11</v>
      </c>
      <c r="AM13" s="333">
        <f t="shared" ca="1" si="0"/>
        <v>12</v>
      </c>
      <c r="AO13" s="108" t="s">
        <v>864</v>
      </c>
    </row>
    <row r="14" spans="1:41" hidden="1" x14ac:dyDescent="0.2">
      <c r="A14" t="str">
        <f ca="1">ORÇAMENTO!C14</f>
        <v>S</v>
      </c>
      <c r="B14">
        <f ca="1">ORÇAMENTO!D14</f>
        <v>0</v>
      </c>
      <c r="C14" s="115" t="str">
        <f ca="1">IF(OR($I14&gt;0,$A14=1,$A14=2,$A14=3,$A14=4),"F","")</f>
        <v/>
      </c>
      <c r="D14" s="118" t="str">
        <f ca="1">ORÇAMENTO!O14</f>
        <v>-</v>
      </c>
      <c r="E14" s="164" t="str">
        <f ca="1">ORÇAMENTO.Descricao</f>
        <v>(Sem Código)</v>
      </c>
      <c r="F14" s="165" t="str">
        <f ca="1">IF(RegimeExecucao="Global","",ORÇAMENTO.Unidade)</f>
        <v>-</v>
      </c>
      <c r="G14" s="123">
        <f ca="1">IF(RegimeExecucao="Global","",ORÇAMENTO!T14)</f>
        <v>0</v>
      </c>
      <c r="H14" s="123">
        <f ca="1">IF(RegimeExecucao="Global","",ORÇAMENTO!W14)</f>
        <v>0</v>
      </c>
      <c r="I14" s="126">
        <f ca="1">ORÇAMENTO!X14</f>
        <v>0</v>
      </c>
      <c r="J14" s="334" cm="1">
        <f t="array" aca="1" ref="J14" ca="1">_xlfn.SINGLE(IF($A14="S",IF(CAIXA.Modo,BM.AFAnterior,BM.MEDAnterior),IF(AND(_xlfn.SINGLE(RegimeExecucao)="Global",$I14&gt;0,COUNTIF($AB$13:$AM$13,BM.medicao-1)&gt;0),M14/$I14*100,0)))</f>
        <v>0</v>
      </c>
      <c r="K14" s="123">
        <f ca="1">L14-J14</f>
        <v>0</v>
      </c>
      <c r="L14" s="335" cm="1">
        <f t="array" aca="1" ref="L14" ca="1">_xlfn.SINGLE(IF($A14="S",IF(CAIXA.Modo,BM.AFAcumulado,BM.MEDAcumulado),IF(AND(_xlfn.SINGLE(RegimeExecucao)="Global",$I14&gt;0,COUNTIF($AB$13:$AM$13,BM.medicao)&gt;0),O14/$I14*100,0)))</f>
        <v>0</v>
      </c>
      <c r="M14" s="336">
        <f ca="1">IF($A14="S",VTOTALBM,IF($A14=0,0,ROUND(SomaAgrupBM,15-13*ORÇAMENTO!$AF$11)))</f>
        <v>0</v>
      </c>
      <c r="N14" s="337">
        <f ca="1">O14-M14</f>
        <v>0</v>
      </c>
      <c r="O14" s="126">
        <f ca="1">IF($A14="S",VTOTALBM,IF($A14=0,0,ROUND(SomaAgrupBM,15-13*ORÇAMENTO!$AF$11)))</f>
        <v>0</v>
      </c>
      <c r="Q14" s="338"/>
      <c r="R14" s="339"/>
      <c r="T14" s="118" t="str">
        <f ca="1">IF($W14&gt;0,$D14,"")</f>
        <v/>
      </c>
      <c r="U14" s="164" t="str">
        <f ca="1">IF($W14&gt;0,$E14,"")</f>
        <v/>
      </c>
      <c r="V14" s="165" t="str">
        <f ca="1">IF(AND($W14&gt;0,RegimeExecucao="Unitário"),$F14,"")</f>
        <v/>
      </c>
      <c r="W14" s="455">
        <f ca="1">IF($Y14&gt;0,CHOOSE(MATCH(RegimeExecucao,{"Unitário","Global"},0),IF($A14="S",$Y14/$X14,""),($Y14/$X14)*100),0)</f>
        <v>0</v>
      </c>
      <c r="X14" s="340" t="str">
        <f ca="1">IF($Y14&gt;0,CHOOSE(MATCH(RegimeExecucao,{"Unitário","Global"},0),IF($A14="S",ROUND($H14,ORÇAMENTO!$AF$10),""),ROUND($I14,ORÇAMENTO!$AF$11)),"")</f>
        <v/>
      </c>
      <c r="Y14" s="340">
        <f ca="1">AO14-O14</f>
        <v>0</v>
      </c>
      <c r="Z14" s="474"/>
      <c r="AB14" s="338"/>
      <c r="AC14" s="438"/>
      <c r="AD14" s="438"/>
      <c r="AE14" s="438"/>
      <c r="AF14" s="438"/>
      <c r="AG14" s="438"/>
      <c r="AH14" s="438"/>
      <c r="AI14" s="438"/>
      <c r="AJ14" s="438"/>
      <c r="AK14" s="438"/>
      <c r="AL14" s="438"/>
      <c r="AM14" s="339"/>
      <c r="AO14">
        <f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5" t="s">
        <v>537</v>
      </c>
      <c r="D15" s="806" t="str">
        <f>"Objeto do CTEF: "&amp;Import.DescLote</f>
        <v>Objeto do CTEF: REFORMA CASA DA CRIANÇA</v>
      </c>
      <c r="E15" s="806"/>
      <c r="F15" s="456"/>
      <c r="G15" s="457"/>
      <c r="H15" s="457" t="s">
        <v>865</v>
      </c>
      <c r="I15" s="458">
        <f>IF(OR(_xlfn.SINGLE(ACOMPANHAMENTO)="PLE",_xlfn.SINGLE(TIPOORCAMENTO)="Proposto"),0,ORÇAMENTO!$X$15)</f>
        <v>0</v>
      </c>
      <c r="J15" s="341">
        <f ca="1">IF(M$15=0,0,IF(RegimeExecucao="Global",M$15/$I$15*100,0))</f>
        <v>0</v>
      </c>
      <c r="K15" s="341">
        <f ca="1">L15-J15</f>
        <v>0</v>
      </c>
      <c r="L15" s="341">
        <f ca="1">IF(O$15=0,0,IF(RegimeExecucao="Global",O$15/$I$15*100,0))</f>
        <v>0</v>
      </c>
      <c r="M15" s="342">
        <f ca="1">IF(OR(_xlfn.SINGLE(ACOMPANHAMENTO)="PLE",_xlfn.SINGLE(TIPOORCAMENTO)="Proposto"),0,SUMIF(OFFSET($A15,1,0):$A$105,"S",OFFSET(M15,1,0):M$105))</f>
        <v>0</v>
      </c>
      <c r="N15" s="342">
        <f ca="1">O15-M15</f>
        <v>0</v>
      </c>
      <c r="O15" s="342">
        <f ca="1">IF(OR(_xlfn.SINGLE(ACOMPANHAMENTO)="PLE",_xlfn.SINGLE(TIPOORCAMENTO)="Proposto"),0,SUMIF(OFFSET($A15,1,0):$A$105,"S",OFFSET(O15,1,0):O$105))</f>
        <v>0</v>
      </c>
      <c r="Q15" s="343"/>
      <c r="R15" s="343"/>
      <c r="T15" s="344"/>
      <c r="U15" s="345"/>
      <c r="V15" s="345"/>
      <c r="W15" s="345"/>
      <c r="X15" s="345"/>
      <c r="Y15" s="345"/>
      <c r="Z15" s="346"/>
      <c r="AB15" s="802" t="str">
        <f ca="1">"Preencher abaixo com a "&amp;CHOOSE(MATCH(RegimeExecucao,{"Unitário","Global"},0),"QUANTIDADE","PORCENTAGEM")&amp;" executada no PERÍODO"</f>
        <v>Preencher abaixo com a QUANTIDADE executada no PERÍODO</v>
      </c>
      <c r="AC15" s="802"/>
      <c r="AD15" s="802"/>
      <c r="AE15" s="802"/>
      <c r="AF15" s="802"/>
      <c r="AG15" s="802"/>
      <c r="AH15" s="802"/>
      <c r="AI15" s="802"/>
      <c r="AJ15" s="802"/>
      <c r="AK15" s="802"/>
      <c r="AL15" s="802"/>
      <c r="AM15" s="802"/>
    </row>
    <row r="16" spans="1:41" x14ac:dyDescent="0.2">
      <c r="A16">
        <f ca="1">ORÇAMENTO!C16</f>
        <v>1</v>
      </c>
      <c r="B16">
        <f ca="1">ORÇAMENTO!D16</f>
        <v>89</v>
      </c>
      <c r="C16" s="115" t="str">
        <f t="shared" ref="C16:C32" ca="1" si="1">IF(OR($I16&gt;0,$A16=1,$A16=2,$A16=3,$A16=4),"F","")</f>
        <v>F</v>
      </c>
      <c r="D16" s="118" t="str">
        <f ca="1">ORÇAMENTO!O16</f>
        <v>1.</v>
      </c>
      <c r="E16" s="164" t="str">
        <f t="shared" ref="E16:E32" si="2">ORÇAMENTO.Descricao</f>
        <v>REFORMA CASA DA CRIANÇA</v>
      </c>
      <c r="F16" s="165" t="str">
        <f ca="1">IF(RegimeExecucao="Global","",ORÇAMENTO.Unidade)</f>
        <v>-</v>
      </c>
      <c r="G16" s="123">
        <f ca="1">IF(RegimeExecucao="Global","",ORÇAMENTO!T16)</f>
        <v>0</v>
      </c>
      <c r="H16" s="123">
        <f ca="1">IF(RegimeExecucao="Global","",ORÇAMENTO!W16)</f>
        <v>0</v>
      </c>
      <c r="I16" s="126">
        <f ca="1">ORÇAMENTO!X16</f>
        <v>290574.24</v>
      </c>
      <c r="J16" s="334" cm="1">
        <f t="array" aca="1" ref="J16" ca="1">_xlfn.SINGLE(IF($A16="S",IF(CAIXA.Modo,BM.AFAnterior,BM.MEDAnterior),IF(AND(_xlfn.SINGLE(RegimeExecucao)="Global",$I16&gt;0,COUNTIF($AB$13:$AM$13,BM.medicao-1)&gt;0),M16/$I16*100,0)))</f>
        <v>0</v>
      </c>
      <c r="K16" s="123">
        <f t="shared" ref="K16:K32" ca="1" si="3">L16-J16</f>
        <v>0</v>
      </c>
      <c r="L16" s="335" cm="1">
        <f t="array" aca="1" ref="L16" ca="1">_xlfn.SINGLE(IF($A16="S",IF(CAIXA.Modo,BM.AFAcumulado,BM.MEDAcumulado),IF(AND(_xlfn.SINGLE(RegimeExecucao)="Global",$I16&gt;0,COUNTIF($AB$13:$AM$13,BM.medicao)&gt;0),O16/$I16*100,0)))</f>
        <v>0</v>
      </c>
      <c r="M16" s="336">
        <f ca="1">IF($A16="S",VTOTALBM,IF($A16=0,0,ROUND(SomaAgrupBM,15-13*ORÇAMENTO!$AF$11)))</f>
        <v>0</v>
      </c>
      <c r="N16" s="337">
        <f t="shared" ref="N16:N32" ca="1" si="4">O16-M16</f>
        <v>0</v>
      </c>
      <c r="O16" s="126">
        <f ca="1">IF($A16="S",VTOTALBM,IF($A16=0,0,ROUND(SomaAgrupBM,15-13*ORÇAMENTO!$AF$11)))</f>
        <v>0</v>
      </c>
      <c r="Q16" s="338"/>
      <c r="R16" s="339"/>
      <c r="T16" s="118" t="str">
        <f t="shared" ref="T16:T32" ca="1" si="5">IF($W16&gt;0,$D16,"")</f>
        <v/>
      </c>
      <c r="U16" s="164" t="str">
        <f t="shared" ref="U16:U32" ca="1" si="6">IF($W16&gt;0,$E16,"")</f>
        <v/>
      </c>
      <c r="V16" s="165" t="str">
        <f ca="1">IF(AND($W16&gt;0,RegimeExecucao="Unitário"),$F16,"")</f>
        <v/>
      </c>
      <c r="W16" s="455">
        <f ca="1">IF($Y16&gt;0,CHOOSE(MATCH(RegimeExecucao,{"Unitário","Global"},0),IF($A16="S",$Y16/$X16,""),($Y16/$X16)*100),0)</f>
        <v>0</v>
      </c>
      <c r="X16" s="340" t="str">
        <f ca="1">IF($Y16&gt;0,CHOOSE(MATCH(RegimeExecucao,{"Unitário","Global"},0),IF($A16="S",ROUND($H16,ORÇAMENTO!$AF$10),""),ROUND($I16,ORÇAMENTO!$AF$11)),"")</f>
        <v/>
      </c>
      <c r="Y16" s="340">
        <f t="shared" ref="Y16:Y32" ca="1" si="7">AO16-O16</f>
        <v>0</v>
      </c>
      <c r="Z16" s="474"/>
      <c r="AB16" s="338"/>
      <c r="AC16" s="438"/>
      <c r="AD16" s="438"/>
      <c r="AE16" s="438"/>
      <c r="AF16" s="438"/>
      <c r="AG16" s="438"/>
      <c r="AH16" s="438"/>
      <c r="AI16" s="438"/>
      <c r="AJ16" s="438"/>
      <c r="AK16" s="438"/>
      <c r="AL16" s="438"/>
      <c r="AM16" s="339"/>
      <c r="AO16">
        <f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13</v>
      </c>
      <c r="C17" s="115" t="str">
        <f t="shared" ca="1" si="1"/>
        <v>F</v>
      </c>
      <c r="D17" s="118" t="str">
        <f ca="1">ORÇAMENTO!O17</f>
        <v>1.1.</v>
      </c>
      <c r="E17" s="164" t="str">
        <f t="shared" si="2"/>
        <v>TROCA DE ESQUADRIAS</v>
      </c>
      <c r="F17" s="165" t="str">
        <f ca="1">IF(RegimeExecucao="Global","",ORÇAMENTO.Unidade)</f>
        <v>-</v>
      </c>
      <c r="G17" s="123">
        <f ca="1">IF(RegimeExecucao="Global","",ORÇAMENTO!T17)</f>
        <v>0</v>
      </c>
      <c r="H17" s="123">
        <f ca="1">IF(RegimeExecucao="Global","",ORÇAMENTO!W17)</f>
        <v>0</v>
      </c>
      <c r="I17" s="126">
        <f ca="1">ORÇAMENTO!X17</f>
        <v>87533.86</v>
      </c>
      <c r="J17" s="334" cm="1">
        <f t="array" aca="1" ref="J17" ca="1">_xlfn.SINGLE(IF($A17="S",IF(CAIXA.Modo,BM.AFAnterior,BM.MEDAnterior),IF(AND(_xlfn.SINGLE(RegimeExecucao)="Global",$I17&gt;0,COUNTIF($AB$13:$AM$13,BM.medicao-1)&gt;0),M17/$I17*100,0)))</f>
        <v>0</v>
      </c>
      <c r="K17" s="123">
        <f t="shared" ca="1" si="3"/>
        <v>0</v>
      </c>
      <c r="L17" s="335" cm="1">
        <f t="array" aca="1" ref="L17" ca="1">_xlfn.SINGLE(IF($A17="S",IF(CAIXA.Modo,BM.AFAcumulado,BM.MEDAcumulado),IF(AND(_xlfn.SINGLE(RegimeExecucao)="Global",$I17&gt;0,COUNTIF($AB$13:$AM$13,BM.medicao)&gt;0),O17/$I17*100,0)))</f>
        <v>0</v>
      </c>
      <c r="M17" s="336">
        <f ca="1">IF($A17="S",VTOTALBM,IF($A17=0,0,ROUND(SomaAgrupBM,15-13*ORÇAMENTO!$AF$11)))</f>
        <v>0</v>
      </c>
      <c r="N17" s="337">
        <f t="shared" ca="1" si="4"/>
        <v>0</v>
      </c>
      <c r="O17" s="126">
        <f ca="1">IF($A17="S",VTOTALBM,IF($A17=0,0,ROUND(SomaAgrupBM,15-13*ORÇAMENTO!$AF$11)))</f>
        <v>0</v>
      </c>
      <c r="Q17" s="338"/>
      <c r="R17" s="339"/>
      <c r="T17" s="118" t="str">
        <f t="shared" ca="1" si="5"/>
        <v/>
      </c>
      <c r="U17" s="164" t="str">
        <f t="shared" ca="1" si="6"/>
        <v/>
      </c>
      <c r="V17" s="165" t="str">
        <f ca="1">IF(AND($W17&gt;0,RegimeExecucao="Unitário"),$F17,"")</f>
        <v/>
      </c>
      <c r="W17" s="455">
        <f ca="1">IF($Y17&gt;0,CHOOSE(MATCH(RegimeExecucao,{"Unitário","Global"},0),IF($A17="S",$Y17/$X17,""),($Y17/$X17)*100),0)</f>
        <v>0</v>
      </c>
      <c r="X17" s="340" t="str">
        <f ca="1">IF($Y17&gt;0,CHOOSE(MATCH(RegimeExecucao,{"Unitário","Global"},0),IF($A17="S",ROUND($H17,ORÇAMENTO!$AF$10),""),ROUND($I17,ORÇAMENTO!$AF$11)),"")</f>
        <v/>
      </c>
      <c r="Y17" s="340">
        <f t="shared" ca="1" si="7"/>
        <v>0</v>
      </c>
      <c r="Z17" s="474"/>
      <c r="AB17" s="338"/>
      <c r="AC17" s="438"/>
      <c r="AD17" s="438"/>
      <c r="AE17" s="438"/>
      <c r="AF17" s="438"/>
      <c r="AG17" s="438"/>
      <c r="AH17" s="438"/>
      <c r="AI17" s="438"/>
      <c r="AJ17" s="438"/>
      <c r="AK17" s="438"/>
      <c r="AL17" s="438"/>
      <c r="AM17" s="339"/>
      <c r="AO17">
        <f ca="1">IF($A17="S",IF(BM!$I17=0,0,CHOOSE(MATCH(RegimeExecucao,{"Global","Unitário"},0),ROUND(ROUND(BM.MEDAcumulado,15-13*BM!$A$9)/100*BM!$I17,15-13*ORÇAMENTO!$AF$11),ROUND(ROUND(BM.MEDAcumulado,15-13*BM!$A$9)*ROUND(BM!$H17,15-13*ORÇAMENTO!$AF$10),15-13*ORÇAMENTO!$AF$11))),IF($A17=0,0,ROUND(SomaAgrupBM,15-13*ORÇAMENTO!$AF$11)))</f>
        <v>0</v>
      </c>
    </row>
    <row r="18" spans="1:41" ht="51" x14ac:dyDescent="0.2">
      <c r="A18" t="str">
        <f ca="1">ORÇAMENTO!C18</f>
        <v>S</v>
      </c>
      <c r="B18">
        <f ca="1">ORÇAMENTO!D18</f>
        <v>0</v>
      </c>
      <c r="C18" s="115" t="str">
        <f t="shared" ca="1" si="1"/>
        <v>F</v>
      </c>
      <c r="D18" s="118" t="str">
        <f ca="1">ORÇAMENTO!O18</f>
        <v>1.1.1.</v>
      </c>
      <c r="E18" s="164" t="str">
        <f t="shared" ca="1" si="2"/>
        <v>ARGAMASSA TRAÇO 1:1,5:7,5 (EM VOLUME DE CIMENTO, CAL E AREIA MÉDIA ÚMIDA) PARA EMBOÇO/MASSA ÚNICA/ASSENTAMENTO DE ALVENARIA DE VEDAÇÃO, PREPARO MECÂNICO COM BETONEIRA ATÉ 600 L. AF_07/2026</v>
      </c>
      <c r="F18" s="165" t="str">
        <f ca="1">IF(RegimeExecucao="Global","",ORÇAMENTO.Unidade)</f>
        <v>M3</v>
      </c>
      <c r="G18" s="123">
        <f ca="1">IF(RegimeExecucao="Global","",ORÇAMENTO!T18)</f>
        <v>3.95</v>
      </c>
      <c r="H18" s="123">
        <f ca="1">IF(RegimeExecucao="Global","",ORÇAMENTO!W18)</f>
        <v>715.53</v>
      </c>
      <c r="I18" s="126">
        <f ca="1">ORÇAMENTO!X18</f>
        <v>2826.34</v>
      </c>
      <c r="J18" s="334" cm="1">
        <f t="array" aca="1" ref="J18" ca="1">_xlfn.SINGLE(IF($A18="S",IF(CAIXA.Modo,BM.AFAnterior,BM.MEDAnterior),IF(AND(_xlfn.SINGLE(RegimeExecucao)="Global",$I18&gt;0,COUNTIF($AB$13:$AM$13,BM.medicao-1)&gt;0),M18/$I18*100,0)))</f>
        <v>0</v>
      </c>
      <c r="K18" s="123">
        <f t="shared" ca="1" si="3"/>
        <v>0</v>
      </c>
      <c r="L18" s="335" cm="1">
        <f t="array" aca="1" ref="L18" ca="1">_xlfn.SINGLE(IF($A18="S",IF(CAIXA.Modo,BM.AFAcumulado,BM.MEDAcumulado),IF(AND(_xlfn.SINGLE(RegimeExecucao)="Global",$I18&gt;0,COUNTIF($AB$13:$AM$13,BM.medicao)&gt;0),O18/$I18*100,0)))</f>
        <v>0</v>
      </c>
      <c r="M18" s="336">
        <f ca="1">IF($A18="S",VTOTALBM,IF($A18=0,0,ROUND(SomaAgrupBM,15-13*ORÇAMENTO!$AF$11)))</f>
        <v>0</v>
      </c>
      <c r="N18" s="337">
        <f t="shared" ca="1" si="4"/>
        <v>0</v>
      </c>
      <c r="O18" s="126">
        <f ca="1">IF($A18="S",VTOTALBM,IF($A18=0,0,ROUND(SomaAgrupBM,15-13*ORÇAMENTO!$AF$11)))</f>
        <v>0</v>
      </c>
      <c r="Q18" s="338"/>
      <c r="R18" s="339"/>
      <c r="T18" s="118" t="str">
        <f t="shared" ca="1" si="5"/>
        <v/>
      </c>
      <c r="U18" s="164" t="str">
        <f t="shared" ca="1" si="6"/>
        <v/>
      </c>
      <c r="V18" s="165" t="str">
        <f ca="1">IF(AND($W18&gt;0,RegimeExecucao="Unitário"),$F18,"")</f>
        <v/>
      </c>
      <c r="W18" s="455">
        <f ca="1">IF($Y18&gt;0,CHOOSE(MATCH(RegimeExecucao,{"Unitário","Global"},0),IF($A18="S",$Y18/$X18,""),($Y18/$X18)*100),0)</f>
        <v>0</v>
      </c>
      <c r="X18" s="340" t="str">
        <f ca="1">IF($Y18&gt;0,CHOOSE(MATCH(RegimeExecucao,{"Unitário","Global"},0),IF($A18="S",ROUND($H18,ORÇAMENTO!$AF$10),""),ROUND($I18,ORÇAMENTO!$AF$11)),"")</f>
        <v/>
      </c>
      <c r="Y18" s="340">
        <f t="shared" ca="1" si="7"/>
        <v>0</v>
      </c>
      <c r="Z18" s="474"/>
      <c r="AB18" s="338"/>
      <c r="AC18" s="438"/>
      <c r="AD18" s="438"/>
      <c r="AE18" s="438"/>
      <c r="AF18" s="438"/>
      <c r="AG18" s="438"/>
      <c r="AH18" s="438"/>
      <c r="AI18" s="438"/>
      <c r="AJ18" s="438"/>
      <c r="AK18" s="438"/>
      <c r="AL18" s="438"/>
      <c r="AM18" s="339"/>
      <c r="AO18">
        <f ca="1">IF($A18="S",IF(BM!$I18=0,0,CHOOSE(MATCH(RegimeExecucao,{"Global","Unitário"},0),ROUND(ROUND(BM.MEDAcumulado,15-13*BM!$A$9)/100*BM!$I18,15-13*ORÇAMENTO!$AF$11),ROUND(ROUND(BM.MEDAcumulado,15-13*BM!$A$9)*ROUND(BM!$H18,15-13*ORÇAMENTO!$AF$10),15-13*ORÇAMENTO!$AF$11))),IF($A18=0,0,ROUND(SomaAgrupBM,15-13*ORÇAMENTO!$AF$11)))</f>
        <v>0</v>
      </c>
    </row>
    <row r="19" spans="1:41" x14ac:dyDescent="0.2">
      <c r="A19" t="str">
        <f ca="1">ORÇAMENTO!C19</f>
        <v>S</v>
      </c>
      <c r="B19">
        <f ca="1">ORÇAMENTO!D19</f>
        <v>0</v>
      </c>
      <c r="C19" s="115" t="str">
        <f t="shared" ca="1" si="1"/>
        <v>F</v>
      </c>
      <c r="D19" s="118" t="str">
        <f ca="1">ORÇAMENTO!O19</f>
        <v>1.1.2.</v>
      </c>
      <c r="E19" s="164" t="str">
        <f t="shared" ca="1" si="2"/>
        <v>CARPINTEIRO DE ESQUADRIAS COM ENCARGOS COMPLEMENTARES</v>
      </c>
      <c r="F19" s="165" t="str">
        <f ca="1">IF(RegimeExecucao="Global","",ORÇAMENTO.Unidade)</f>
        <v>H</v>
      </c>
      <c r="G19" s="123">
        <f ca="1">IF(RegimeExecucao="Global","",ORÇAMENTO!T19)</f>
        <v>80</v>
      </c>
      <c r="H19" s="123">
        <f ca="1">IF(RegimeExecucao="Global","",ORÇAMENTO!W19)</f>
        <v>31.37</v>
      </c>
      <c r="I19" s="126">
        <f ca="1">ORÇAMENTO!X19</f>
        <v>2509.6</v>
      </c>
      <c r="J19" s="334" cm="1">
        <f t="array" aca="1" ref="J19" ca="1">_xlfn.SINGLE(IF($A19="S",IF(CAIXA.Modo,BM.AFAnterior,BM.MEDAnterior),IF(AND(_xlfn.SINGLE(RegimeExecucao)="Global",$I19&gt;0,COUNTIF($AB$13:$AM$13,BM.medicao-1)&gt;0),M19/$I19*100,0)))</f>
        <v>0</v>
      </c>
      <c r="K19" s="123">
        <f t="shared" ca="1" si="3"/>
        <v>0</v>
      </c>
      <c r="L19" s="335" cm="1">
        <f t="array" aca="1" ref="L19" ca="1">_xlfn.SINGLE(IF($A19="S",IF(CAIXA.Modo,BM.AFAcumulado,BM.MEDAcumulado),IF(AND(_xlfn.SINGLE(RegimeExecucao)="Global",$I19&gt;0,COUNTIF($AB$13:$AM$13,BM.medicao)&gt;0),O19/$I19*100,0)))</f>
        <v>0</v>
      </c>
      <c r="M19" s="336">
        <f ca="1">IF($A19="S",VTOTALBM,IF($A19=0,0,ROUND(SomaAgrupBM,15-13*ORÇAMENTO!$AF$11)))</f>
        <v>0</v>
      </c>
      <c r="N19" s="337">
        <f t="shared" ca="1" si="4"/>
        <v>0</v>
      </c>
      <c r="O19" s="126">
        <f ca="1">IF($A19="S",VTOTALBM,IF($A19=0,0,ROUND(SomaAgrupBM,15-13*ORÇAMENTO!$AF$11)))</f>
        <v>0</v>
      </c>
      <c r="Q19" s="338"/>
      <c r="R19" s="339"/>
      <c r="T19" s="118" t="str">
        <f t="shared" ca="1" si="5"/>
        <v/>
      </c>
      <c r="U19" s="164" t="str">
        <f t="shared" ca="1" si="6"/>
        <v/>
      </c>
      <c r="V19" s="165" t="str">
        <f ca="1">IF(AND($W19&gt;0,RegimeExecucao="Unitário"),$F19,"")</f>
        <v/>
      </c>
      <c r="W19" s="455">
        <f ca="1">IF($Y19&gt;0,CHOOSE(MATCH(RegimeExecucao,{"Unitário","Global"},0),IF($A19="S",$Y19/$X19,""),($Y19/$X19)*100),0)</f>
        <v>0</v>
      </c>
      <c r="X19" s="340" t="str">
        <f ca="1">IF($Y19&gt;0,CHOOSE(MATCH(RegimeExecucao,{"Unitário","Global"},0),IF($A19="S",ROUND($H19,ORÇAMENTO!$AF$10),""),ROUND($I19,ORÇAMENTO!$AF$11)),"")</f>
        <v/>
      </c>
      <c r="Y19" s="340">
        <f t="shared" ca="1" si="7"/>
        <v>0</v>
      </c>
      <c r="Z19" s="474"/>
      <c r="AB19" s="338"/>
      <c r="AC19" s="438"/>
      <c r="AD19" s="438"/>
      <c r="AE19" s="438"/>
      <c r="AF19" s="438"/>
      <c r="AG19" s="438"/>
      <c r="AH19" s="438"/>
      <c r="AI19" s="438"/>
      <c r="AJ19" s="438"/>
      <c r="AK19" s="438"/>
      <c r="AL19" s="438"/>
      <c r="AM19" s="339"/>
      <c r="AO19">
        <f ca="1">IF($A19="S",IF(BM!$I19=0,0,CHOOSE(MATCH(RegimeExecucao,{"Global","Unitário"},0),ROUND(ROUND(BM.MEDAcumulado,15-13*BM!$A$9)/100*BM!$I19,15-13*ORÇAMENTO!$AF$11),ROUND(ROUND(BM.MEDAcumulado,15-13*BM!$A$9)*ROUND(BM!$H19,15-13*ORÇAMENTO!$AF$10),15-13*ORÇAMENTO!$AF$11))),IF($A19=0,0,ROUND(SomaAgrupBM,15-13*ORÇAMENTO!$AF$11)))</f>
        <v>0</v>
      </c>
    </row>
    <row r="20" spans="1:41" ht="25.5" x14ac:dyDescent="0.2">
      <c r="A20" t="str">
        <f ca="1">ORÇAMENTO!C20</f>
        <v>S</v>
      </c>
      <c r="B20">
        <f ca="1">ORÇAMENTO!D20</f>
        <v>0</v>
      </c>
      <c r="C20" s="115" t="str">
        <f ca="1">IF(OR($I20&gt;0,$A20=1,$A20=2,$A20=3,$A20=4),"F","")</f>
        <v>F</v>
      </c>
      <c r="D20" s="118" t="str">
        <f ca="1">ORÇAMENTO!O20</f>
        <v>1.1.3.</v>
      </c>
      <c r="E20" s="164" t="str">
        <f t="shared" ref="E20:E29" ca="1" si="8">ORÇAMENTO.Descricao</f>
        <v>REMOÇÃO DE JANELAS, DE FORMA MANUAL, SEM REAPROVEITAMENTO. AF_09/2023</v>
      </c>
      <c r="F20" s="165" t="str">
        <f ca="1">IF(RegimeExecucao="Global","",ORÇAMENTO.Unidade)</f>
        <v>M2</v>
      </c>
      <c r="G20" s="123">
        <f ca="1">IF(RegimeExecucao="Global","",ORÇAMENTO!T20)</f>
        <v>24</v>
      </c>
      <c r="H20" s="123">
        <f ca="1">IF(RegimeExecucao="Global","",ORÇAMENTO!W20)</f>
        <v>31.56</v>
      </c>
      <c r="I20" s="126">
        <f ca="1">ORÇAMENTO!X20</f>
        <v>757.44</v>
      </c>
      <c r="J20" s="334" cm="1">
        <f t="array" aca="1" ref="J20" ca="1">_xlfn.SINGLE(IF($A20="S",IF(CAIXA.Modo,BM.AFAnterior,BM.MEDAnterior),IF(AND(_xlfn.SINGLE(RegimeExecucao)="Global",$I20&gt;0,COUNTIF($AB$13:$AM$13,BM.medicao-1)&gt;0),M20/$I20*100,0)))</f>
        <v>0</v>
      </c>
      <c r="K20" s="123">
        <f ca="1">L20-J20</f>
        <v>0</v>
      </c>
      <c r="L20" s="335" cm="1">
        <f t="array" aca="1" ref="L20" ca="1">_xlfn.SINGLE(IF($A20="S",IF(CAIXA.Modo,BM.AFAcumulado,BM.MEDAcumulado),IF(AND(_xlfn.SINGLE(RegimeExecucao)="Global",$I20&gt;0,COUNTIF($AB$13:$AM$13,BM.medicao)&gt;0),O20/$I20*100,0)))</f>
        <v>0</v>
      </c>
      <c r="M20" s="336">
        <f ca="1">IF($A20="S",VTOTALBM,IF($A20=0,0,ROUND(SomaAgrupBM,15-13*ORÇAMENTO!$AF$11)))</f>
        <v>0</v>
      </c>
      <c r="N20" s="337">
        <f ca="1">O20-M20</f>
        <v>0</v>
      </c>
      <c r="O20" s="126">
        <f ca="1">IF($A20="S",VTOTALBM,IF($A20=0,0,ROUND(SomaAgrupBM,15-13*ORÇAMENTO!$AF$11)))</f>
        <v>0</v>
      </c>
      <c r="Q20" s="338"/>
      <c r="R20" s="339"/>
      <c r="T20" s="118" t="str">
        <f ca="1">IF($W20&gt;0,$D20,"")</f>
        <v/>
      </c>
      <c r="U20" s="164" t="str">
        <f ca="1">IF($W20&gt;0,$E20,"")</f>
        <v/>
      </c>
      <c r="V20" s="165" t="str">
        <f ca="1">IF(AND($W20&gt;0,RegimeExecucao="Unitário"),$F20,"")</f>
        <v/>
      </c>
      <c r="W20" s="455">
        <f ca="1">IF($Y20&gt;0,CHOOSE(MATCH(RegimeExecucao,{"Unitário","Global"},0),IF($A20="S",$Y20/$X20,""),($Y20/$X20)*100),0)</f>
        <v>0</v>
      </c>
      <c r="X20" s="340" t="str">
        <f ca="1">IF($Y20&gt;0,CHOOSE(MATCH(RegimeExecucao,{"Unitário","Global"},0),IF($A20="S",ROUND($H20,ORÇAMENTO!$AF$10),""),ROUND($I20,ORÇAMENTO!$AF$11)),"")</f>
        <v/>
      </c>
      <c r="Y20" s="340">
        <f ca="1">AO20-O20</f>
        <v>0</v>
      </c>
      <c r="Z20" s="474"/>
      <c r="AB20" s="338"/>
      <c r="AC20" s="438"/>
      <c r="AD20" s="438"/>
      <c r="AE20" s="438"/>
      <c r="AF20" s="438"/>
      <c r="AG20" s="438"/>
      <c r="AH20" s="438"/>
      <c r="AI20" s="438"/>
      <c r="AJ20" s="438"/>
      <c r="AK20" s="438"/>
      <c r="AL20" s="438"/>
      <c r="AM20" s="339"/>
      <c r="AO20">
        <f ca="1">IF($A20="S",IF(BM!$I20=0,0,CHOOSE(MATCH(RegimeExecucao,{"Global","Unitário"},0),ROUND(ROUND(BM.MEDAcumulado,15-13*BM!$A$9)/100*BM!$I20,15-13*ORÇAMENTO!$AF$11),ROUND(ROUND(BM.MEDAcumulado,15-13*BM!$A$9)*ROUND(BM!$H20,15-13*ORÇAMENTO!$AF$10),15-13*ORÇAMENTO!$AF$11))),IF($A20=0,0,ROUND(SomaAgrupBM,15-13*ORÇAMENTO!$AF$11)))</f>
        <v>0</v>
      </c>
    </row>
    <row r="21" spans="1:41" ht="25.5" x14ac:dyDescent="0.2">
      <c r="A21" t="str">
        <f ca="1">ORÇAMENTO!C21</f>
        <v>S</v>
      </c>
      <c r="B21">
        <f ca="1">ORÇAMENTO!D21</f>
        <v>0</v>
      </c>
      <c r="C21" s="115" t="str">
        <f ca="1">IF(OR($I21&gt;0,$A21=1,$A21=2,$A21=3,$A21=4),"F","")</f>
        <v>F</v>
      </c>
      <c r="D21" s="118" t="str">
        <f ca="1">ORÇAMENTO!O21</f>
        <v>1.1.4.</v>
      </c>
      <c r="E21" s="164" t="str">
        <f ca="1">ORÇAMENTO.Descricao</f>
        <v>REMOÇÃO DE PORTAS, DE FORMA MANUAL, SEM REAPROVEITAMENTO. AF_09/2023</v>
      </c>
      <c r="F21" s="165" t="str">
        <f ca="1">IF(RegimeExecucao="Global","",ORÇAMENTO.Unidade)</f>
        <v>M2</v>
      </c>
      <c r="G21" s="123">
        <f ca="1">IF(RegimeExecucao="Global","",ORÇAMENTO!T21)</f>
        <v>49.65</v>
      </c>
      <c r="H21" s="123">
        <f ca="1">IF(RegimeExecucao="Global","",ORÇAMENTO!W21)</f>
        <v>12.22</v>
      </c>
      <c r="I21" s="126">
        <f ca="1">ORÇAMENTO!X21</f>
        <v>606.72</v>
      </c>
      <c r="J21" s="334" cm="1">
        <f t="array" aca="1" ref="J21" ca="1">_xlfn.SINGLE(IF($A21="S",IF(CAIXA.Modo,BM.AFAnterior,BM.MEDAnterior),IF(AND(_xlfn.SINGLE(RegimeExecucao)="Global",$I21&gt;0,COUNTIF($AB$13:$AM$13,BM.medicao-1)&gt;0),M21/$I21*100,0)))</f>
        <v>0</v>
      </c>
      <c r="K21" s="123">
        <f ca="1">L21-J21</f>
        <v>0</v>
      </c>
      <c r="L21" s="335" cm="1">
        <f t="array" aca="1" ref="L21" ca="1">_xlfn.SINGLE(IF($A21="S",IF(CAIXA.Modo,BM.AFAcumulado,BM.MEDAcumulado),IF(AND(_xlfn.SINGLE(RegimeExecucao)="Global",$I21&gt;0,COUNTIF($AB$13:$AM$13,BM.medicao)&gt;0),O21/$I21*100,0)))</f>
        <v>0</v>
      </c>
      <c r="M21" s="336">
        <f ca="1">IF($A21="S",VTOTALBM,IF($A21=0,0,ROUND(SomaAgrupBM,15-13*ORÇAMENTO!$AF$11)))</f>
        <v>0</v>
      </c>
      <c r="N21" s="337">
        <f ca="1">O21-M21</f>
        <v>0</v>
      </c>
      <c r="O21" s="126">
        <f ca="1">IF($A21="S",VTOTALBM,IF($A21=0,0,ROUND(SomaAgrupBM,15-13*ORÇAMENTO!$AF$11)))</f>
        <v>0</v>
      </c>
      <c r="Q21" s="338"/>
      <c r="R21" s="339"/>
      <c r="T21" s="118" t="str">
        <f ca="1">IF($W21&gt;0,$D21,"")</f>
        <v/>
      </c>
      <c r="U21" s="164" t="str">
        <f ca="1">IF($W21&gt;0,$E21,"")</f>
        <v/>
      </c>
      <c r="V21" s="165" t="str">
        <f ca="1">IF(AND($W21&gt;0,RegimeExecucao="Unitário"),$F21,"")</f>
        <v/>
      </c>
      <c r="W21" s="455">
        <f ca="1">IF($Y21&gt;0,CHOOSE(MATCH(RegimeExecucao,{"Unitário","Global"},0),IF($A21="S",$Y21/$X21,""),($Y21/$X21)*100),0)</f>
        <v>0</v>
      </c>
      <c r="X21" s="340" t="str">
        <f ca="1">IF($Y21&gt;0,CHOOSE(MATCH(RegimeExecucao,{"Unitário","Global"},0),IF($A21="S",ROUND($H21,ORÇAMENTO!$AF$10),""),ROUND($I21,ORÇAMENTO!$AF$11)),"")</f>
        <v/>
      </c>
      <c r="Y21" s="340">
        <f ca="1">AO21-O21</f>
        <v>0</v>
      </c>
      <c r="Z21" s="474"/>
      <c r="AB21" s="338"/>
      <c r="AC21" s="438"/>
      <c r="AD21" s="438"/>
      <c r="AE21" s="438"/>
      <c r="AF21" s="438"/>
      <c r="AG21" s="438"/>
      <c r="AH21" s="438"/>
      <c r="AI21" s="438"/>
      <c r="AJ21" s="438"/>
      <c r="AK21" s="438"/>
      <c r="AL21" s="438"/>
      <c r="AM21" s="339"/>
      <c r="AO21">
        <f ca="1">IF($A21="S",IF(BM!$I21=0,0,CHOOSE(MATCH(RegimeExecucao,{"Global","Unitário"},0),ROUND(ROUND(BM.MEDAcumulado,15-13*BM!$A$9)/100*BM!$I21,15-13*ORÇAMENTO!$AF$11),ROUND(ROUND(BM.MEDAcumulado,15-13*BM!$A$9)*ROUND(BM!$H21,15-13*ORÇAMENTO!$AF$10),15-13*ORÇAMENTO!$AF$11))),IF($A21=0,0,ROUND(SomaAgrupBM,15-13*ORÇAMENTO!$AF$11)))</f>
        <v>0</v>
      </c>
    </row>
    <row r="22" spans="1:41" ht="63.75" x14ac:dyDescent="0.2">
      <c r="A22" t="str">
        <f ca="1">ORÇAMENTO!C22</f>
        <v>S</v>
      </c>
      <c r="B22">
        <f ca="1">ORÇAMENTO!D22</f>
        <v>0</v>
      </c>
      <c r="C22" s="115" t="str">
        <f t="shared" ref="C22:C23" ca="1" si="9">IF(OR($I22&gt;0,$A22=1,$A22=2,$A22=3,$A22=4),"F","")</f>
        <v>F</v>
      </c>
      <c r="D22" s="118" t="str">
        <f ca="1">ORÇAMENTO!O22</f>
        <v>1.1.5.</v>
      </c>
      <c r="E22" s="164" t="str">
        <f t="shared" ca="1" si="8"/>
        <v>JANELA DE ALUMÍNIO TIPO MAXIM-AR, BATENTE/ REQUADRO 3 A 14 CM, VIDRO INCLUSO, FIXAÇÃO COM PARAFUSO, SEM GUARNIÇÃO/ ALIZAR, DIMENSÕES 60X80 (A X L) CM, SEM ACABAMENTO, VEDAÇÃO COM SILICONE, EXCLUSIVE CONTRAMARCO - FORNECIMENTO E INSTALAÇÃO. AF_11/2024</v>
      </c>
      <c r="F22" s="165" t="str">
        <f ca="1">IF(RegimeExecucao="Global","",ORÇAMENTO.Unidade)</f>
        <v>M2</v>
      </c>
      <c r="G22" s="123">
        <f ca="1">IF(RegimeExecucao="Global","",ORÇAMENTO!T22)</f>
        <v>3.9</v>
      </c>
      <c r="H22" s="123">
        <f ca="1">IF(RegimeExecucao="Global","",ORÇAMENTO!W22)</f>
        <v>945.53</v>
      </c>
      <c r="I22" s="126">
        <f ca="1">ORÇAMENTO!X22</f>
        <v>3687.57</v>
      </c>
      <c r="J22" s="334" cm="1">
        <f t="array" aca="1" ref="J22" ca="1">_xlfn.SINGLE(IF($A22="S",IF(CAIXA.Modo,BM.AFAnterior,BM.MEDAnterior),IF(AND(_xlfn.SINGLE(RegimeExecucao)="Global",$I22&gt;0,COUNTIF($AB$13:$AM$13,BM.medicao-1)&gt;0),M22/$I22*100,0)))</f>
        <v>0</v>
      </c>
      <c r="K22" s="123">
        <f t="shared" ref="K22:K23" ca="1" si="10">L22-J22</f>
        <v>0</v>
      </c>
      <c r="L22" s="335" cm="1">
        <f t="array" aca="1" ref="L22" ca="1">_xlfn.SINGLE(IF($A22="S",IF(CAIXA.Modo,BM.AFAcumulado,BM.MEDAcumulado),IF(AND(_xlfn.SINGLE(RegimeExecucao)="Global",$I22&gt;0,COUNTIF($AB$13:$AM$13,BM.medicao)&gt;0),O22/$I22*100,0)))</f>
        <v>0</v>
      </c>
      <c r="M22" s="336">
        <f ca="1">IF($A22="S",VTOTALBM,IF($A22=0,0,ROUND(SomaAgrupBM,15-13*ORÇAMENTO!$AF$11)))</f>
        <v>0</v>
      </c>
      <c r="N22" s="337">
        <f t="shared" ref="N22:N23" ca="1" si="11">O22-M22</f>
        <v>0</v>
      </c>
      <c r="O22" s="126">
        <f ca="1">IF($A22="S",VTOTALBM,IF($A22=0,0,ROUND(SomaAgrupBM,15-13*ORÇAMENTO!$AF$11)))</f>
        <v>0</v>
      </c>
      <c r="Q22" s="338"/>
      <c r="R22" s="339"/>
      <c r="T22" s="118" t="str">
        <f t="shared" ref="T22:T23" ca="1" si="12">IF($W22&gt;0,$D22,"")</f>
        <v/>
      </c>
      <c r="U22" s="164" t="str">
        <f t="shared" ref="U22:U23" ca="1" si="13">IF($W22&gt;0,$E22,"")</f>
        <v/>
      </c>
      <c r="V22" s="165" t="str">
        <f ca="1">IF(AND($W22&gt;0,RegimeExecucao="Unitário"),$F22,"")</f>
        <v/>
      </c>
      <c r="W22" s="455">
        <f ca="1">IF($Y22&gt;0,CHOOSE(MATCH(RegimeExecucao,{"Unitário","Global"},0),IF($A22="S",$Y22/$X22,""),($Y22/$X22)*100),0)</f>
        <v>0</v>
      </c>
      <c r="X22" s="340" t="str">
        <f ca="1">IF($Y22&gt;0,CHOOSE(MATCH(RegimeExecucao,{"Unitário","Global"},0),IF($A22="S",ROUND($H22,ORÇAMENTO!$AF$10),""),ROUND($I22,ORÇAMENTO!$AF$11)),"")</f>
        <v/>
      </c>
      <c r="Y22" s="340">
        <f t="shared" ref="Y22:Y23" ca="1" si="14">AO22-O22</f>
        <v>0</v>
      </c>
      <c r="Z22" s="474"/>
      <c r="AB22" s="338"/>
      <c r="AC22" s="438"/>
      <c r="AD22" s="438"/>
      <c r="AE22" s="438"/>
      <c r="AF22" s="438"/>
      <c r="AG22" s="438"/>
      <c r="AH22" s="438"/>
      <c r="AI22" s="438"/>
      <c r="AJ22" s="438"/>
      <c r="AK22" s="438"/>
      <c r="AL22" s="438"/>
      <c r="AM22" s="339"/>
      <c r="AO22">
        <f ca="1">IF($A22="S",IF(BM!$I22=0,0,CHOOSE(MATCH(RegimeExecucao,{"Global","Unitário"},0),ROUND(ROUND(BM.MEDAcumulado,15-13*BM!$A$9)/100*BM!$I22,15-13*ORÇAMENTO!$AF$11),ROUND(ROUND(BM.MEDAcumulado,15-13*BM!$A$9)*ROUND(BM!$H22,15-13*ORÇAMENTO!$AF$10),15-13*ORÇAMENTO!$AF$11))),IF($A22=0,0,ROUND(SomaAgrupBM,15-13*ORÇAMENTO!$AF$11)))</f>
        <v>0</v>
      </c>
    </row>
    <row r="23" spans="1:41" ht="51" x14ac:dyDescent="0.2">
      <c r="A23" t="str">
        <f ca="1">ORÇAMENTO!C23</f>
        <v>S</v>
      </c>
      <c r="B23">
        <f ca="1">ORÇAMENTO!D23</f>
        <v>0</v>
      </c>
      <c r="C23" s="115" t="str">
        <f t="shared" ca="1" si="9"/>
        <v>F</v>
      </c>
      <c r="D23" s="118" t="str">
        <f ca="1">ORÇAMENTO!O23</f>
        <v>1.1.6.</v>
      </c>
      <c r="E23" s="164" t="str">
        <f t="shared" ca="1" si="8"/>
        <v>JANELA DE CORRER COM DUAS FOLHAS PARA VIDROS (VIDROS INCLUSOS), EM ALUMÍNIO BRANCO COM PERSIANA EMBUTIDA, DIMENSÃO 150X120 E VEDAÇÃO EM SILICONE - FORNECIMENTO E INSTALAÇÃO</v>
      </c>
      <c r="F23" s="165" t="str">
        <f ca="1">IF(RegimeExecucao="Global","",ORÇAMENTO.Unidade)</f>
        <v>M2</v>
      </c>
      <c r="G23" s="123">
        <f ca="1">IF(RegimeExecucao="Global","",ORÇAMENTO!T23)</f>
        <v>19.8</v>
      </c>
      <c r="H23" s="123">
        <f ca="1">IF(RegimeExecucao="Global","",ORÇAMENTO!W23)</f>
        <v>1259.78</v>
      </c>
      <c r="I23" s="126">
        <f ca="1">ORÇAMENTO!X23</f>
        <v>24943.64</v>
      </c>
      <c r="J23" s="334" cm="1">
        <f t="array" aca="1" ref="J23" ca="1">_xlfn.SINGLE(IF($A23="S",IF(CAIXA.Modo,BM.AFAnterior,BM.MEDAnterior),IF(AND(_xlfn.SINGLE(RegimeExecucao)="Global",$I23&gt;0,COUNTIF($AB$13:$AM$13,BM.medicao-1)&gt;0),M23/$I23*100,0)))</f>
        <v>0</v>
      </c>
      <c r="K23" s="123">
        <f t="shared" ca="1" si="10"/>
        <v>0</v>
      </c>
      <c r="L23" s="335" cm="1">
        <f t="array" aca="1" ref="L23" ca="1">_xlfn.SINGLE(IF($A23="S",IF(CAIXA.Modo,BM.AFAcumulado,BM.MEDAcumulado),IF(AND(_xlfn.SINGLE(RegimeExecucao)="Global",$I23&gt;0,COUNTIF($AB$13:$AM$13,BM.medicao)&gt;0),O23/$I23*100,0)))</f>
        <v>0</v>
      </c>
      <c r="M23" s="336">
        <f ca="1">IF($A23="S",VTOTALBM,IF($A23=0,0,ROUND(SomaAgrupBM,15-13*ORÇAMENTO!$AF$11)))</f>
        <v>0</v>
      </c>
      <c r="N23" s="337">
        <f t="shared" ca="1" si="11"/>
        <v>0</v>
      </c>
      <c r="O23" s="126">
        <f ca="1">IF($A23="S",VTOTALBM,IF($A23=0,0,ROUND(SomaAgrupBM,15-13*ORÇAMENTO!$AF$11)))</f>
        <v>0</v>
      </c>
      <c r="Q23" s="338"/>
      <c r="R23" s="339"/>
      <c r="T23" s="118" t="str">
        <f t="shared" ca="1" si="12"/>
        <v/>
      </c>
      <c r="U23" s="164" t="str">
        <f t="shared" ca="1" si="13"/>
        <v/>
      </c>
      <c r="V23" s="165" t="str">
        <f ca="1">IF(AND($W23&gt;0,RegimeExecucao="Unitário"),$F23,"")</f>
        <v/>
      </c>
      <c r="W23" s="455">
        <f ca="1">IF($Y23&gt;0,CHOOSE(MATCH(RegimeExecucao,{"Unitário","Global"},0),IF($A23="S",$Y23/$X23,""),($Y23/$X23)*100),0)</f>
        <v>0</v>
      </c>
      <c r="X23" s="340" t="str">
        <f ca="1">IF($Y23&gt;0,CHOOSE(MATCH(RegimeExecucao,{"Unitário","Global"},0),IF($A23="S",ROUND($H23,ORÇAMENTO!$AF$10),""),ROUND($I23,ORÇAMENTO!$AF$11)),"")</f>
        <v/>
      </c>
      <c r="Y23" s="340">
        <f t="shared" ca="1" si="14"/>
        <v>0</v>
      </c>
      <c r="Z23" s="474"/>
      <c r="AB23" s="338"/>
      <c r="AC23" s="438"/>
      <c r="AD23" s="438"/>
      <c r="AE23" s="438"/>
      <c r="AF23" s="438"/>
      <c r="AG23" s="438"/>
      <c r="AH23" s="438"/>
      <c r="AI23" s="438"/>
      <c r="AJ23" s="438"/>
      <c r="AK23" s="438"/>
      <c r="AL23" s="438"/>
      <c r="AM23" s="339"/>
      <c r="AO23">
        <f ca="1">IF($A23="S",IF(BM!$I23=0,0,CHOOSE(MATCH(RegimeExecucao,{"Global","Unitário"},0),ROUND(ROUND(BM.MEDAcumulado,15-13*BM!$A$9)/100*BM!$I23,15-13*ORÇAMENTO!$AF$11),ROUND(ROUND(BM.MEDAcumulado,15-13*BM!$A$9)*ROUND(BM!$H23,15-13*ORÇAMENTO!$AF$10),15-13*ORÇAMENTO!$AF$11))),IF($A23=0,0,ROUND(SomaAgrupBM,15-13*ORÇAMENTO!$AF$11)))</f>
        <v>0</v>
      </c>
    </row>
    <row r="24" spans="1:41" ht="76.5" x14ac:dyDescent="0.2">
      <c r="A24" t="str">
        <f ca="1">ORÇAMENTO!C24</f>
        <v>S</v>
      </c>
      <c r="B24">
        <f ca="1">ORÇAMENTO!D24</f>
        <v>0</v>
      </c>
      <c r="C24" s="115" t="str">
        <f ca="1">IF(OR($I24&gt;0,$A24=1,$A24=2,$A24=3,$A24=4),"F","")</f>
        <v>F</v>
      </c>
      <c r="D24" s="118" t="str">
        <f ca="1">ORÇAMENTO!O24</f>
        <v>1.1.7.</v>
      </c>
      <c r="E24" s="164" t="str">
        <f t="shared" ca="1" si="8"/>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F24" s="165" t="str">
        <f ca="1">IF(RegimeExecucao="Global","",ORÇAMENTO.Unidade)</f>
        <v>M2</v>
      </c>
      <c r="G24" s="123">
        <f ca="1">IF(RegimeExecucao="Global","",ORÇAMENTO!T24)</f>
        <v>4.8</v>
      </c>
      <c r="H24" s="123">
        <f ca="1">IF(RegimeExecucao="Global","",ORÇAMENTO!W24)</f>
        <v>502.45</v>
      </c>
      <c r="I24" s="126">
        <f ca="1">ORÇAMENTO!X24</f>
        <v>2411.7600000000002</v>
      </c>
      <c r="J24" s="334" cm="1">
        <f t="array" aca="1" ref="J24" ca="1">_xlfn.SINGLE(IF($A24="S",IF(CAIXA.Modo,BM.AFAnterior,BM.MEDAnterior),IF(AND(_xlfn.SINGLE(RegimeExecucao)="Global",$I24&gt;0,COUNTIF($AB$13:$AM$13,BM.medicao-1)&gt;0),M24/$I24*100,0)))</f>
        <v>0</v>
      </c>
      <c r="K24" s="123">
        <f ca="1">L24-J24</f>
        <v>0</v>
      </c>
      <c r="L24" s="335" cm="1">
        <f t="array" aca="1" ref="L24" ca="1">_xlfn.SINGLE(IF($A24="S",IF(CAIXA.Modo,BM.AFAcumulado,BM.MEDAcumulado),IF(AND(_xlfn.SINGLE(RegimeExecucao)="Global",$I24&gt;0,COUNTIF($AB$13:$AM$13,BM.medicao)&gt;0),O24/$I24*100,0)))</f>
        <v>0</v>
      </c>
      <c r="M24" s="336">
        <f ca="1">IF($A24="S",VTOTALBM,IF($A24=0,0,ROUND(SomaAgrupBM,15-13*ORÇAMENTO!$AF$11)))</f>
        <v>0</v>
      </c>
      <c r="N24" s="337">
        <f ca="1">O24-M24</f>
        <v>0</v>
      </c>
      <c r="O24" s="126">
        <f ca="1">IF($A24="S",VTOTALBM,IF($A24=0,0,ROUND(SomaAgrupBM,15-13*ORÇAMENTO!$AF$11)))</f>
        <v>0</v>
      </c>
      <c r="Q24" s="338"/>
      <c r="R24" s="339"/>
      <c r="T24" s="118" t="str">
        <f ca="1">IF($W24&gt;0,$D24,"")</f>
        <v/>
      </c>
      <c r="U24" s="164" t="str">
        <f ca="1">IF($W24&gt;0,$E24,"")</f>
        <v/>
      </c>
      <c r="V24" s="165" t="str">
        <f ca="1">IF(AND($W24&gt;0,RegimeExecucao="Unitário"),$F24,"")</f>
        <v/>
      </c>
      <c r="W24" s="455">
        <f ca="1">IF($Y24&gt;0,CHOOSE(MATCH(RegimeExecucao,{"Unitário","Global"},0),IF($A24="S",$Y24/$X24,""),($Y24/$X24)*100),0)</f>
        <v>0</v>
      </c>
      <c r="X24" s="340" t="str">
        <f ca="1">IF($Y24&gt;0,CHOOSE(MATCH(RegimeExecucao,{"Unitário","Global"},0),IF($A24="S",ROUND($H24,ORÇAMENTO!$AF$10),""),ROUND($I24,ORÇAMENTO!$AF$11)),"")</f>
        <v/>
      </c>
      <c r="Y24" s="340">
        <f ca="1">AO24-O24</f>
        <v>0</v>
      </c>
      <c r="Z24" s="474"/>
      <c r="AB24" s="338"/>
      <c r="AC24" s="438"/>
      <c r="AD24" s="438"/>
      <c r="AE24" s="438"/>
      <c r="AF24" s="438"/>
      <c r="AG24" s="438"/>
      <c r="AH24" s="438"/>
      <c r="AI24" s="438"/>
      <c r="AJ24" s="438"/>
      <c r="AK24" s="438"/>
      <c r="AL24" s="438"/>
      <c r="AM24" s="339"/>
      <c r="AO24">
        <f ca="1">IF($A24="S",IF(BM!$I24=0,0,CHOOSE(MATCH(RegimeExecucao,{"Global","Unitário"},0),ROUND(ROUND(BM.MEDAcumulado,15-13*BM!$A$9)/100*BM!$I24,15-13*ORÇAMENTO!$AF$11),ROUND(ROUND(BM.MEDAcumulado,15-13*BM!$A$9)*ROUND(BM!$H24,15-13*ORÇAMENTO!$AF$10),15-13*ORÇAMENTO!$AF$11))),IF($A24=0,0,ROUND(SomaAgrupBM,15-13*ORÇAMENTO!$AF$11)))</f>
        <v>0</v>
      </c>
    </row>
    <row r="25" spans="1:41" ht="38.25" x14ac:dyDescent="0.2">
      <c r="A25" t="str">
        <f ca="1">ORÇAMENTO!C25</f>
        <v>S</v>
      </c>
      <c r="B25">
        <f ca="1">ORÇAMENTO!D25</f>
        <v>0</v>
      </c>
      <c r="C25" s="115" t="str">
        <f ca="1">IF(OR($I25&gt;0,$A25=1,$A25=2,$A25=3,$A25=4),"F","")</f>
        <v>F</v>
      </c>
      <c r="D25" s="118" t="str">
        <f ca="1">ORÇAMENTO!O25</f>
        <v>1.1.8.</v>
      </c>
      <c r="E25" s="164" t="str">
        <f t="shared" ca="1" si="8"/>
        <v>PORTA DE ABRIR EM ALUMINIO COM LAMBRI HORIZONTAL/LAMINADA, ACABAMENTO ANODIZADO NATURAL, SEM GUARNICAO/ALIZAR/VISTA</v>
      </c>
      <c r="F25" s="165" t="str">
        <f ca="1">IF(RegimeExecucao="Global","",ORÇAMENTO.Unidade)</f>
        <v>M2</v>
      </c>
      <c r="G25" s="123">
        <f ca="1">IF(RegimeExecucao="Global","",ORÇAMENTO!T25)</f>
        <v>38</v>
      </c>
      <c r="H25" s="123">
        <f ca="1">IF(RegimeExecucao="Global","",ORÇAMENTO!W25)</f>
        <v>940.95</v>
      </c>
      <c r="I25" s="126">
        <f ca="1">ORÇAMENTO!X25</f>
        <v>35756.1</v>
      </c>
      <c r="J25" s="334" cm="1">
        <f t="array" aca="1" ref="J25" ca="1">_xlfn.SINGLE(IF($A25="S",IF(CAIXA.Modo,BM.AFAnterior,BM.MEDAnterior),IF(AND(_xlfn.SINGLE(RegimeExecucao)="Global",$I25&gt;0,COUNTIF($AB$13:$AM$13,BM.medicao-1)&gt;0),M25/$I25*100,0)))</f>
        <v>0</v>
      </c>
      <c r="K25" s="123">
        <f ca="1">L25-J25</f>
        <v>0</v>
      </c>
      <c r="L25" s="335" cm="1">
        <f t="array" aca="1" ref="L25" ca="1">_xlfn.SINGLE(IF($A25="S",IF(CAIXA.Modo,BM.AFAcumulado,BM.MEDAcumulado),IF(AND(_xlfn.SINGLE(RegimeExecucao)="Global",$I25&gt;0,COUNTIF($AB$13:$AM$13,BM.medicao)&gt;0),O25/$I25*100,0)))</f>
        <v>0</v>
      </c>
      <c r="M25" s="336">
        <f ca="1">IF($A25="S",VTOTALBM,IF($A25=0,0,ROUND(SomaAgrupBM,15-13*ORÇAMENTO!$AF$11)))</f>
        <v>0</v>
      </c>
      <c r="N25" s="337">
        <f ca="1">O25-M25</f>
        <v>0</v>
      </c>
      <c r="O25" s="126">
        <f ca="1">IF($A25="S",VTOTALBM,IF($A25=0,0,ROUND(SomaAgrupBM,15-13*ORÇAMENTO!$AF$11)))</f>
        <v>0</v>
      </c>
      <c r="Q25" s="338"/>
      <c r="R25" s="339"/>
      <c r="T25" s="118" t="str">
        <f ca="1">IF($W25&gt;0,$D25,"")</f>
        <v/>
      </c>
      <c r="U25" s="164" t="str">
        <f ca="1">IF($W25&gt;0,$E25,"")</f>
        <v/>
      </c>
      <c r="V25" s="165" t="str">
        <f ca="1">IF(AND($W25&gt;0,RegimeExecucao="Unitário"),$F25,"")</f>
        <v/>
      </c>
      <c r="W25" s="455">
        <f ca="1">IF($Y25&gt;0,CHOOSE(MATCH(RegimeExecucao,{"Unitário","Global"},0),IF($A25="S",$Y25/$X25,""),($Y25/$X25)*100),0)</f>
        <v>0</v>
      </c>
      <c r="X25" s="340" t="str">
        <f ca="1">IF($Y25&gt;0,CHOOSE(MATCH(RegimeExecucao,{"Unitário","Global"},0),IF($A25="S",ROUND($H25,ORÇAMENTO!$AF$10),""),ROUND($I25,ORÇAMENTO!$AF$11)),"")</f>
        <v/>
      </c>
      <c r="Y25" s="340">
        <f ca="1">AO25-O25</f>
        <v>0</v>
      </c>
      <c r="Z25" s="474"/>
      <c r="AB25" s="338"/>
      <c r="AC25" s="438"/>
      <c r="AD25" s="438"/>
      <c r="AE25" s="438"/>
      <c r="AF25" s="438"/>
      <c r="AG25" s="438"/>
      <c r="AH25" s="438"/>
      <c r="AI25" s="438"/>
      <c r="AJ25" s="438"/>
      <c r="AK25" s="438"/>
      <c r="AL25" s="438"/>
      <c r="AM25" s="339"/>
      <c r="AO25">
        <f ca="1">IF($A25="S",IF(BM!$I25=0,0,CHOOSE(MATCH(RegimeExecucao,{"Global","Unitário"},0),ROUND(ROUND(BM.MEDAcumulado,15-13*BM!$A$9)/100*BM!$I25,15-13*ORÇAMENTO!$AF$11),ROUND(ROUND(BM.MEDAcumulado,15-13*BM!$A$9)*ROUND(BM!$H25,15-13*ORÇAMENTO!$AF$10),15-13*ORÇAMENTO!$AF$11))),IF($A25=0,0,ROUND(SomaAgrupBM,15-13*ORÇAMENTO!$AF$11)))</f>
        <v>0</v>
      </c>
    </row>
    <row r="26" spans="1:41" ht="38.25" x14ac:dyDescent="0.2">
      <c r="A26" t="str">
        <f ca="1">ORÇAMENTO!C26</f>
        <v>S</v>
      </c>
      <c r="B26">
        <f ca="1">ORÇAMENTO!D26</f>
        <v>0</v>
      </c>
      <c r="C26" s="115" t="str">
        <f t="shared" ref="C26:C29" ca="1" si="15">IF(OR($I26&gt;0,$A26=1,$A26=2,$A26=3,$A26=4),"F","")</f>
        <v>F</v>
      </c>
      <c r="D26" s="118" t="str">
        <f ca="1">ORÇAMENTO!O26</f>
        <v>1.1.9.</v>
      </c>
      <c r="E26" s="164" t="str">
        <f t="shared" ca="1" si="8"/>
        <v>PORTA DE CORRER EM ALUMINIO, DUAS FOLHAS MOVEIS COM VIDRO, FECHADURA E PUXADOR EMBUTIDO, ACABAMENTO ANODIZADO NATURAL, SEM GUARNICAO/ALIZAR/VISTA</v>
      </c>
      <c r="F26" s="165" t="str">
        <f ca="1">IF(RegimeExecucao="Global","",ORÇAMENTO.Unidade)</f>
        <v>M2</v>
      </c>
      <c r="G26" s="123">
        <f ca="1">IF(RegimeExecucao="Global","",ORÇAMENTO!T26)</f>
        <v>7</v>
      </c>
      <c r="H26" s="123">
        <f ca="1">IF(RegimeExecucao="Global","",ORÇAMENTO!W26)</f>
        <v>602.78</v>
      </c>
      <c r="I26" s="126">
        <f ca="1">ORÇAMENTO!X26</f>
        <v>4219.46</v>
      </c>
      <c r="J26" s="334" cm="1">
        <f t="array" aca="1" ref="J26" ca="1">_xlfn.SINGLE(IF($A26="S",IF(CAIXA.Modo,BM.AFAnterior,BM.MEDAnterior),IF(AND(_xlfn.SINGLE(RegimeExecucao)="Global",$I26&gt;0,COUNTIF($AB$13:$AM$13,BM.medicao-1)&gt;0),M26/$I26*100,0)))</f>
        <v>0</v>
      </c>
      <c r="K26" s="123">
        <f t="shared" ref="K26:K29" ca="1" si="16">L26-J26</f>
        <v>0</v>
      </c>
      <c r="L26" s="335" cm="1">
        <f t="array" aca="1" ref="L26" ca="1">_xlfn.SINGLE(IF($A26="S",IF(CAIXA.Modo,BM.AFAcumulado,BM.MEDAcumulado),IF(AND(_xlfn.SINGLE(RegimeExecucao)="Global",$I26&gt;0,COUNTIF($AB$13:$AM$13,BM.medicao)&gt;0),O26/$I26*100,0)))</f>
        <v>0</v>
      </c>
      <c r="M26" s="336">
        <f ca="1">IF($A26="S",VTOTALBM,IF($A26=0,0,ROUND(SomaAgrupBM,15-13*ORÇAMENTO!$AF$11)))</f>
        <v>0</v>
      </c>
      <c r="N26" s="337">
        <f t="shared" ref="N26:N29" ca="1" si="17">O26-M26</f>
        <v>0</v>
      </c>
      <c r="O26" s="126">
        <f ca="1">IF($A26="S",VTOTALBM,IF($A26=0,0,ROUND(SomaAgrupBM,15-13*ORÇAMENTO!$AF$11)))</f>
        <v>0</v>
      </c>
      <c r="Q26" s="338"/>
      <c r="R26" s="339"/>
      <c r="T26" s="118" t="str">
        <f t="shared" ref="T26:T29" ca="1" si="18">IF($W26&gt;0,$D26,"")</f>
        <v/>
      </c>
      <c r="U26" s="164" t="str">
        <f t="shared" ref="U26:U29" ca="1" si="19">IF($W26&gt;0,$E26,"")</f>
        <v/>
      </c>
      <c r="V26" s="165" t="str">
        <f ca="1">IF(AND($W26&gt;0,RegimeExecucao="Unitário"),$F26,"")</f>
        <v/>
      </c>
      <c r="W26" s="455">
        <f ca="1">IF($Y26&gt;0,CHOOSE(MATCH(RegimeExecucao,{"Unitário","Global"},0),IF($A26="S",$Y26/$X26,""),($Y26/$X26)*100),0)</f>
        <v>0</v>
      </c>
      <c r="X26" s="340" t="str">
        <f ca="1">IF($Y26&gt;0,CHOOSE(MATCH(RegimeExecucao,{"Unitário","Global"},0),IF($A26="S",ROUND($H26,ORÇAMENTO!$AF$10),""),ROUND($I26,ORÇAMENTO!$AF$11)),"")</f>
        <v/>
      </c>
      <c r="Y26" s="340">
        <f t="shared" ref="Y26:Y29" ca="1" si="20">AO26-O26</f>
        <v>0</v>
      </c>
      <c r="Z26" s="474"/>
      <c r="AB26" s="338"/>
      <c r="AC26" s="438"/>
      <c r="AD26" s="438"/>
      <c r="AE26" s="438"/>
      <c r="AF26" s="438"/>
      <c r="AG26" s="438"/>
      <c r="AH26" s="438"/>
      <c r="AI26" s="438"/>
      <c r="AJ26" s="438"/>
      <c r="AK26" s="438"/>
      <c r="AL26" s="438"/>
      <c r="AM26" s="339"/>
      <c r="AO26">
        <f ca="1">IF($A26="S",IF(BM!$I26=0,0,CHOOSE(MATCH(RegimeExecucao,{"Global","Unitário"},0),ROUND(ROUND(BM.MEDAcumulado,15-13*BM!$A$9)/100*BM!$I26,15-13*ORÇAMENTO!$AF$11),ROUND(ROUND(BM.MEDAcumulado,15-13*BM!$A$9)*ROUND(BM!$H26,15-13*ORÇAMENTO!$AF$10),15-13*ORÇAMENTO!$AF$11))),IF($A26=0,0,ROUND(SomaAgrupBM,15-13*ORÇAMENTO!$AF$11)))</f>
        <v>0</v>
      </c>
    </row>
    <row r="27" spans="1:41" ht="25.5" x14ac:dyDescent="0.2">
      <c r="A27" t="str">
        <f ca="1">ORÇAMENTO!C27</f>
        <v>S</v>
      </c>
      <c r="B27">
        <f ca="1">ORÇAMENTO!D27</f>
        <v>0</v>
      </c>
      <c r="C27" s="115" t="str">
        <f t="shared" ca="1" si="15"/>
        <v>F</v>
      </c>
      <c r="D27" s="118" t="str">
        <f ca="1">ORÇAMENTO!O27</f>
        <v>1.1.10.</v>
      </c>
      <c r="E27" s="164" t="str">
        <f t="shared" ca="1" si="8"/>
        <v>PORTA EXTERNA DE CORRER EM VIDRO 10 MM EM TRILHO COM SISTEMA MÃO AMIGA  - FORNECIMENTO E INSTALAÇÃO</v>
      </c>
      <c r="F27" s="165" t="str">
        <f ca="1">IF(RegimeExecucao="Global","",ORÇAMENTO.Unidade)</f>
        <v>M2</v>
      </c>
      <c r="G27" s="123">
        <f ca="1">IF(RegimeExecucao="Global","",ORÇAMENTO!T27)</f>
        <v>13.65</v>
      </c>
      <c r="H27" s="123">
        <f ca="1">IF(RegimeExecucao="Global","",ORÇAMENTO!W27)</f>
        <v>687.15</v>
      </c>
      <c r="I27" s="126">
        <f ca="1">ORÇAMENTO!X27</f>
        <v>9379.6</v>
      </c>
      <c r="J27" s="334" cm="1">
        <f t="array" aca="1" ref="J27" ca="1">_xlfn.SINGLE(IF($A27="S",IF(CAIXA.Modo,BM.AFAnterior,BM.MEDAnterior),IF(AND(_xlfn.SINGLE(RegimeExecucao)="Global",$I27&gt;0,COUNTIF($AB$13:$AM$13,BM.medicao-1)&gt;0),M27/$I27*100,0)))</f>
        <v>0</v>
      </c>
      <c r="K27" s="123">
        <f t="shared" ca="1" si="16"/>
        <v>0</v>
      </c>
      <c r="L27" s="335" cm="1">
        <f t="array" aca="1" ref="L27" ca="1">_xlfn.SINGLE(IF($A27="S",IF(CAIXA.Modo,BM.AFAcumulado,BM.MEDAcumulado),IF(AND(_xlfn.SINGLE(RegimeExecucao)="Global",$I27&gt;0,COUNTIF($AB$13:$AM$13,BM.medicao)&gt;0),O27/$I27*100,0)))</f>
        <v>0</v>
      </c>
      <c r="M27" s="336">
        <f ca="1">IF($A27="S",VTOTALBM,IF($A27=0,0,ROUND(SomaAgrupBM,15-13*ORÇAMENTO!$AF$11)))</f>
        <v>0</v>
      </c>
      <c r="N27" s="337">
        <f t="shared" ca="1" si="17"/>
        <v>0</v>
      </c>
      <c r="O27" s="126">
        <f ca="1">IF($A27="S",VTOTALBM,IF($A27=0,0,ROUND(SomaAgrupBM,15-13*ORÇAMENTO!$AF$11)))</f>
        <v>0</v>
      </c>
      <c r="Q27" s="338"/>
      <c r="R27" s="339"/>
      <c r="T27" s="118" t="str">
        <f t="shared" ca="1" si="18"/>
        <v/>
      </c>
      <c r="U27" s="164" t="str">
        <f t="shared" ca="1" si="19"/>
        <v/>
      </c>
      <c r="V27" s="165" t="str">
        <f ca="1">IF(AND($W27&gt;0,RegimeExecucao="Unitário"),$F27,"")</f>
        <v/>
      </c>
      <c r="W27" s="455">
        <f ca="1">IF($Y27&gt;0,CHOOSE(MATCH(RegimeExecucao,{"Unitário","Global"},0),IF($A27="S",$Y27/$X27,""),($Y27/$X27)*100),0)</f>
        <v>0</v>
      </c>
      <c r="X27" s="340" t="str">
        <f ca="1">IF($Y27&gt;0,CHOOSE(MATCH(RegimeExecucao,{"Unitário","Global"},0),IF($A27="S",ROUND($H27,ORÇAMENTO!$AF$10),""),ROUND($I27,ORÇAMENTO!$AF$11)),"")</f>
        <v/>
      </c>
      <c r="Y27" s="340">
        <f t="shared" ca="1" si="20"/>
        <v>0</v>
      </c>
      <c r="Z27" s="474"/>
      <c r="AB27" s="338"/>
      <c r="AC27" s="438"/>
      <c r="AD27" s="438"/>
      <c r="AE27" s="438"/>
      <c r="AF27" s="438"/>
      <c r="AG27" s="438"/>
      <c r="AH27" s="438"/>
      <c r="AI27" s="438"/>
      <c r="AJ27" s="438"/>
      <c r="AK27" s="438"/>
      <c r="AL27" s="438"/>
      <c r="AM27" s="339"/>
      <c r="AO27">
        <f ca="1">IF($A27="S",IF(BM!$I27=0,0,CHOOSE(MATCH(RegimeExecucao,{"Global","Unitário"},0),ROUND(ROUND(BM.MEDAcumulado,15-13*BM!$A$9)/100*BM!$I27,15-13*ORÇAMENTO!$AF$11),ROUND(ROUND(BM.MEDAcumulado,15-13*BM!$A$9)*ROUND(BM!$H27,15-13*ORÇAMENTO!$AF$10),15-13*ORÇAMENTO!$AF$11))),IF($A27=0,0,ROUND(SomaAgrupBM,15-13*ORÇAMENTO!$AF$11)))</f>
        <v>0</v>
      </c>
    </row>
    <row r="28" spans="1:41" ht="25.5" x14ac:dyDescent="0.2">
      <c r="A28" t="str">
        <f ca="1">ORÇAMENTO!C28</f>
        <v>S</v>
      </c>
      <c r="B28">
        <f ca="1">ORÇAMENTO!D28</f>
        <v>0</v>
      </c>
      <c r="C28" s="115" t="str">
        <f t="shared" ca="1" si="15"/>
        <v>F</v>
      </c>
      <c r="D28" s="118" t="str">
        <f ca="1">ORÇAMENTO!O28</f>
        <v>1.1.11.</v>
      </c>
      <c r="E28" s="164" t="str">
        <f t="shared" ca="1" si="8"/>
        <v>PINTURA LÁTEX ACRÍLICA PREMIUM, APLICAÇÃO MANUAL EM PAREDES, DUAS DEMÃOS. AF_04/2023</v>
      </c>
      <c r="F28" s="165" t="str">
        <f ca="1">IF(RegimeExecucao="Global","",ORÇAMENTO.Unidade)</f>
        <v>M2</v>
      </c>
      <c r="G28" s="123">
        <f ca="1">IF(RegimeExecucao="Global","",ORÇAMENTO!T28)</f>
        <v>20.5</v>
      </c>
      <c r="H28" s="123">
        <f ca="1">IF(RegimeExecucao="Global","",ORÇAMENTO!W28)</f>
        <v>16.03</v>
      </c>
      <c r="I28" s="126">
        <f ca="1">ORÇAMENTO!X28</f>
        <v>328.62</v>
      </c>
      <c r="J28" s="334" cm="1">
        <f t="array" aca="1" ref="J28" ca="1">_xlfn.SINGLE(IF($A28="S",IF(CAIXA.Modo,BM.AFAnterior,BM.MEDAnterior),IF(AND(_xlfn.SINGLE(RegimeExecucao)="Global",$I28&gt;0,COUNTIF($AB$13:$AM$13,BM.medicao-1)&gt;0),M28/$I28*100,0)))</f>
        <v>0</v>
      </c>
      <c r="K28" s="123">
        <f t="shared" ca="1" si="16"/>
        <v>0</v>
      </c>
      <c r="L28" s="335" cm="1">
        <f t="array" aca="1" ref="L28" ca="1">_xlfn.SINGLE(IF($A28="S",IF(CAIXA.Modo,BM.AFAcumulado,BM.MEDAcumulado),IF(AND(_xlfn.SINGLE(RegimeExecucao)="Global",$I28&gt;0,COUNTIF($AB$13:$AM$13,BM.medicao)&gt;0),O28/$I28*100,0)))</f>
        <v>0</v>
      </c>
      <c r="M28" s="336">
        <f ca="1">IF($A28="S",VTOTALBM,IF($A28=0,0,ROUND(SomaAgrupBM,15-13*ORÇAMENTO!$AF$11)))</f>
        <v>0</v>
      </c>
      <c r="N28" s="337">
        <f t="shared" ca="1" si="17"/>
        <v>0</v>
      </c>
      <c r="O28" s="126">
        <f ca="1">IF($A28="S",VTOTALBM,IF($A28=0,0,ROUND(SomaAgrupBM,15-13*ORÇAMENTO!$AF$11)))</f>
        <v>0</v>
      </c>
      <c r="Q28" s="338"/>
      <c r="R28" s="339"/>
      <c r="T28" s="118" t="str">
        <f t="shared" ca="1" si="18"/>
        <v/>
      </c>
      <c r="U28" s="164" t="str">
        <f t="shared" ca="1" si="19"/>
        <v/>
      </c>
      <c r="V28" s="165" t="str">
        <f ca="1">IF(AND($W28&gt;0,RegimeExecucao="Unitário"),$F28,"")</f>
        <v/>
      </c>
      <c r="W28" s="455">
        <f ca="1">IF($Y28&gt;0,CHOOSE(MATCH(RegimeExecucao,{"Unitário","Global"},0),IF($A28="S",$Y28/$X28,""),($Y28/$X28)*100),0)</f>
        <v>0</v>
      </c>
      <c r="X28" s="340" t="str">
        <f ca="1">IF($Y28&gt;0,CHOOSE(MATCH(RegimeExecucao,{"Unitário","Global"},0),IF($A28="S",ROUND($H28,ORÇAMENTO!$AF$10),""),ROUND($I28,ORÇAMENTO!$AF$11)),"")</f>
        <v/>
      </c>
      <c r="Y28" s="340">
        <f t="shared" ca="1" si="20"/>
        <v>0</v>
      </c>
      <c r="Z28" s="474"/>
      <c r="AB28" s="338"/>
      <c r="AC28" s="438"/>
      <c r="AD28" s="438"/>
      <c r="AE28" s="438"/>
      <c r="AF28" s="438"/>
      <c r="AG28" s="438"/>
      <c r="AH28" s="438"/>
      <c r="AI28" s="438"/>
      <c r="AJ28" s="438"/>
      <c r="AK28" s="438"/>
      <c r="AL28" s="438"/>
      <c r="AM28" s="339"/>
      <c r="AO28">
        <f ca="1">IF($A28="S",IF(BM!$I28=0,0,CHOOSE(MATCH(RegimeExecucao,{"Global","Unitário"},0),ROUND(ROUND(BM.MEDAcumulado,15-13*BM!$A$9)/100*BM!$I28,15-13*ORÇAMENTO!$AF$11),ROUND(ROUND(BM.MEDAcumulado,15-13*BM!$A$9)*ROUND(BM!$H28,15-13*ORÇAMENTO!$AF$10),15-13*ORÇAMENTO!$AF$11))),IF($A28=0,0,ROUND(SomaAgrupBM,15-13*ORÇAMENTO!$AF$11)))</f>
        <v>0</v>
      </c>
    </row>
    <row r="29" spans="1:41" ht="25.5" x14ac:dyDescent="0.2">
      <c r="A29" t="str">
        <f ca="1">ORÇAMENTO!C29</f>
        <v>S</v>
      </c>
      <c r="B29">
        <f ca="1">ORÇAMENTO!D29</f>
        <v>0</v>
      </c>
      <c r="C29" s="115" t="str">
        <f t="shared" ca="1" si="15"/>
        <v>F</v>
      </c>
      <c r="D29" s="118" t="str">
        <f ca="1">ORÇAMENTO!O29</f>
        <v>1.1.12.</v>
      </c>
      <c r="E29" s="164" t="str">
        <f t="shared" ca="1" si="8"/>
        <v>APLICAÇÃO MANUAL DE FUNDO SELADOR ACRÍLICO EM PAREDES EXTERNAS DE CASAS. AF_03/2024</v>
      </c>
      <c r="F29" s="165" t="str">
        <f ca="1">IF(RegimeExecucao="Global","",ORÇAMENTO.Unidade)</f>
        <v>M2</v>
      </c>
      <c r="G29" s="123">
        <f ca="1">IF(RegimeExecucao="Global","",ORÇAMENTO!T29)</f>
        <v>20.5</v>
      </c>
      <c r="H29" s="123">
        <f ca="1">IF(RegimeExecucao="Global","",ORÇAMENTO!W29)</f>
        <v>5.22</v>
      </c>
      <c r="I29" s="126">
        <f ca="1">ORÇAMENTO!X29</f>
        <v>107.01</v>
      </c>
      <c r="J29" s="334" cm="1">
        <f t="array" aca="1" ref="J29" ca="1">_xlfn.SINGLE(IF($A29="S",IF(CAIXA.Modo,BM.AFAnterior,BM.MEDAnterior),IF(AND(_xlfn.SINGLE(RegimeExecucao)="Global",$I29&gt;0,COUNTIF($AB$13:$AM$13,BM.medicao-1)&gt;0),M29/$I29*100,0)))</f>
        <v>0</v>
      </c>
      <c r="K29" s="123">
        <f t="shared" ca="1" si="16"/>
        <v>0</v>
      </c>
      <c r="L29" s="335" cm="1">
        <f t="array" aca="1" ref="L29" ca="1">_xlfn.SINGLE(IF($A29="S",IF(CAIXA.Modo,BM.AFAcumulado,BM.MEDAcumulado),IF(AND(_xlfn.SINGLE(RegimeExecucao)="Global",$I29&gt;0,COUNTIF($AB$13:$AM$13,BM.medicao)&gt;0),O29/$I29*100,0)))</f>
        <v>0</v>
      </c>
      <c r="M29" s="336">
        <f ca="1">IF($A29="S",VTOTALBM,IF($A29=0,0,ROUND(SomaAgrupBM,15-13*ORÇAMENTO!$AF$11)))</f>
        <v>0</v>
      </c>
      <c r="N29" s="337">
        <f t="shared" ca="1" si="17"/>
        <v>0</v>
      </c>
      <c r="O29" s="126">
        <f ca="1">IF($A29="S",VTOTALBM,IF($A29=0,0,ROUND(SomaAgrupBM,15-13*ORÇAMENTO!$AF$11)))</f>
        <v>0</v>
      </c>
      <c r="Q29" s="338"/>
      <c r="R29" s="339"/>
      <c r="T29" s="118" t="str">
        <f t="shared" ca="1" si="18"/>
        <v/>
      </c>
      <c r="U29" s="164" t="str">
        <f t="shared" ca="1" si="19"/>
        <v/>
      </c>
      <c r="V29" s="165" t="str">
        <f ca="1">IF(AND($W29&gt;0,RegimeExecucao="Unitário"),$F29,"")</f>
        <v/>
      </c>
      <c r="W29" s="455">
        <f ca="1">IF($Y29&gt;0,CHOOSE(MATCH(RegimeExecucao,{"Unitário","Global"},0),IF($A29="S",$Y29/$X29,""),($Y29/$X29)*100),0)</f>
        <v>0</v>
      </c>
      <c r="X29" s="340" t="str">
        <f ca="1">IF($Y29&gt;0,CHOOSE(MATCH(RegimeExecucao,{"Unitário","Global"},0),IF($A29="S",ROUND($H29,ORÇAMENTO!$AF$10),""),ROUND($I29,ORÇAMENTO!$AF$11)),"")</f>
        <v/>
      </c>
      <c r="Y29" s="340">
        <f t="shared" ca="1" si="20"/>
        <v>0</v>
      </c>
      <c r="Z29" s="474"/>
      <c r="AB29" s="338"/>
      <c r="AC29" s="438"/>
      <c r="AD29" s="438"/>
      <c r="AE29" s="438"/>
      <c r="AF29" s="438"/>
      <c r="AG29" s="438"/>
      <c r="AH29" s="438"/>
      <c r="AI29" s="438"/>
      <c r="AJ29" s="438"/>
      <c r="AK29" s="438"/>
      <c r="AL29" s="438"/>
      <c r="AM29" s="339"/>
      <c r="AO29">
        <f ca="1">IF($A29="S",IF(BM!$I29=0,0,CHOOSE(MATCH(RegimeExecucao,{"Global","Unitário"},0),ROUND(ROUND(BM.MEDAcumulado,15-13*BM!$A$9)/100*BM!$I29,15-13*ORÇAMENTO!$AF$11),ROUND(ROUND(BM.MEDAcumulado,15-13*BM!$A$9)*ROUND(BM!$H29,15-13*ORÇAMENTO!$AF$10),15-13*ORÇAMENTO!$AF$11))),IF($A29=0,0,ROUND(SomaAgrupBM,15-13*ORÇAMENTO!$AF$11)))</f>
        <v>0</v>
      </c>
    </row>
    <row r="30" spans="1:41" x14ac:dyDescent="0.2">
      <c r="A30">
        <f ca="1">ORÇAMENTO!C30</f>
        <v>2</v>
      </c>
      <c r="B30">
        <f ca="1">ORÇAMENTO!D30</f>
        <v>3</v>
      </c>
      <c r="C30" s="115" t="str">
        <f t="shared" ca="1" si="1"/>
        <v>F</v>
      </c>
      <c r="D30" s="118" t="str">
        <f ca="1">ORÇAMENTO!O30</f>
        <v>1.2.</v>
      </c>
      <c r="E30" s="164" t="str">
        <f t="shared" si="2"/>
        <v xml:space="preserve">LIMPEZA E MANUTENÇÃO DE TELHADO </v>
      </c>
      <c r="F30" s="165" t="str">
        <f ca="1">IF(RegimeExecucao="Global","",ORÇAMENTO.Unidade)</f>
        <v>-</v>
      </c>
      <c r="G30" s="123">
        <f ca="1">IF(RegimeExecucao="Global","",ORÇAMENTO!T30)</f>
        <v>0</v>
      </c>
      <c r="H30" s="123">
        <f ca="1">IF(RegimeExecucao="Global","",ORÇAMENTO!W30)</f>
        <v>0</v>
      </c>
      <c r="I30" s="126">
        <f ca="1">ORÇAMENTO!X30</f>
        <v>3589.2</v>
      </c>
      <c r="J30" s="334" cm="1">
        <f t="array" aca="1" ref="J30" ca="1">_xlfn.SINGLE(IF($A30="S",IF(CAIXA.Modo,BM.AFAnterior,BM.MEDAnterior),IF(AND(_xlfn.SINGLE(RegimeExecucao)="Global",$I30&gt;0,COUNTIF($AB$13:$AM$13,BM.medicao-1)&gt;0),M30/$I30*100,0)))</f>
        <v>0</v>
      </c>
      <c r="K30" s="123">
        <f t="shared" ca="1" si="3"/>
        <v>0</v>
      </c>
      <c r="L30" s="335" cm="1">
        <f t="array" aca="1" ref="L30" ca="1">_xlfn.SINGLE(IF($A30="S",IF(CAIXA.Modo,BM.AFAcumulado,BM.MEDAcumulado),IF(AND(_xlfn.SINGLE(RegimeExecucao)="Global",$I30&gt;0,COUNTIF($AB$13:$AM$13,BM.medicao)&gt;0),O30/$I30*100,0)))</f>
        <v>0</v>
      </c>
      <c r="M30" s="336">
        <f ca="1">IF($A30="S",VTOTALBM,IF($A30=0,0,ROUND(SomaAgrupBM,15-13*ORÇAMENTO!$AF$11)))</f>
        <v>0</v>
      </c>
      <c r="N30" s="337">
        <f t="shared" ca="1" si="4"/>
        <v>0</v>
      </c>
      <c r="O30" s="126">
        <f ca="1">IF($A30="S",VTOTALBM,IF($A30=0,0,ROUND(SomaAgrupBM,15-13*ORÇAMENTO!$AF$11)))</f>
        <v>0</v>
      </c>
      <c r="Q30" s="338"/>
      <c r="R30" s="339"/>
      <c r="T30" s="118" t="str">
        <f t="shared" ca="1" si="5"/>
        <v/>
      </c>
      <c r="U30" s="164" t="str">
        <f t="shared" ca="1" si="6"/>
        <v/>
      </c>
      <c r="V30" s="165" t="str">
        <f ca="1">IF(AND($W30&gt;0,RegimeExecucao="Unitário"),$F30,"")</f>
        <v/>
      </c>
      <c r="W30" s="455">
        <f ca="1">IF($Y30&gt;0,CHOOSE(MATCH(RegimeExecucao,{"Unitário","Global"},0),IF($A30="S",$Y30/$X30,""),($Y30/$X30)*100),0)</f>
        <v>0</v>
      </c>
      <c r="X30" s="340" t="str">
        <f ca="1">IF($Y30&gt;0,CHOOSE(MATCH(RegimeExecucao,{"Unitário","Global"},0),IF($A30="S",ROUND($H30,ORÇAMENTO!$AF$10),""),ROUND($I30,ORÇAMENTO!$AF$11)),"")</f>
        <v/>
      </c>
      <c r="Y30" s="340">
        <f t="shared" ca="1" si="7"/>
        <v>0</v>
      </c>
      <c r="Z30" s="474"/>
      <c r="AB30" s="338"/>
      <c r="AC30" s="438"/>
      <c r="AD30" s="438"/>
      <c r="AE30" s="438"/>
      <c r="AF30" s="438"/>
      <c r="AG30" s="438"/>
      <c r="AH30" s="438"/>
      <c r="AI30" s="438"/>
      <c r="AJ30" s="438"/>
      <c r="AK30" s="438"/>
      <c r="AL30" s="438"/>
      <c r="AM30" s="339"/>
      <c r="AO30">
        <f ca="1">IF($A30="S",IF(BM!$I30=0,0,CHOOSE(MATCH(RegimeExecucao,{"Global","Unitário"},0),ROUND(ROUND(BM.MEDAcumulado,15-13*BM!$A$9)/100*BM!$I30,15-13*ORÇAMENTO!$AF$11),ROUND(ROUND(BM.MEDAcumulado,15-13*BM!$A$9)*ROUND(BM!$H30,15-13*ORÇAMENTO!$AF$10),15-13*ORÇAMENTO!$AF$11))),IF($A30=0,0,ROUND(SomaAgrupBM,15-13*ORÇAMENTO!$AF$11)))</f>
        <v>0</v>
      </c>
    </row>
    <row r="31" spans="1:41" ht="25.5" x14ac:dyDescent="0.2">
      <c r="A31" t="str">
        <f ca="1">ORÇAMENTO!C31</f>
        <v>S</v>
      </c>
      <c r="B31">
        <f ca="1">ORÇAMENTO!D31</f>
        <v>0</v>
      </c>
      <c r="C31" s="115" t="str">
        <f t="shared" ca="1" si="1"/>
        <v>F</v>
      </c>
      <c r="D31" s="118" t="str">
        <f ca="1">ORÇAMENTO!O31</f>
        <v>1.2.1.</v>
      </c>
      <c r="E31" s="164" t="str">
        <f t="shared" ca="1" si="2"/>
        <v>LIMPEZA DE SUPERFÍCIE PISO OU PAREDE COM JATO DE ALTA PRESSÃO. AF_10/2025</v>
      </c>
      <c r="F31" s="165" t="str">
        <f ca="1">IF(RegimeExecucao="Global","",ORÇAMENTO.Unidade)</f>
        <v>M2</v>
      </c>
      <c r="G31" s="123">
        <f ca="1">IF(RegimeExecucao="Global","",ORÇAMENTO!T31)</f>
        <v>520</v>
      </c>
      <c r="H31" s="123">
        <f ca="1">IF(RegimeExecucao="Global","",ORÇAMENTO!W31)</f>
        <v>1.91</v>
      </c>
      <c r="I31" s="126">
        <f ca="1">ORÇAMENTO!X31</f>
        <v>993.2</v>
      </c>
      <c r="J31" s="334" cm="1">
        <f t="array" aca="1" ref="J31" ca="1">_xlfn.SINGLE(IF($A31="S",IF(CAIXA.Modo,BM.AFAnterior,BM.MEDAnterior),IF(AND(_xlfn.SINGLE(RegimeExecucao)="Global",$I31&gt;0,COUNTIF($AB$13:$AM$13,BM.medicao-1)&gt;0),M31/$I31*100,0)))</f>
        <v>0</v>
      </c>
      <c r="K31" s="123">
        <f t="shared" ca="1" si="3"/>
        <v>0</v>
      </c>
      <c r="L31" s="335" cm="1">
        <f t="array" aca="1" ref="L31" ca="1">_xlfn.SINGLE(IF($A31="S",IF(CAIXA.Modo,BM.AFAcumulado,BM.MEDAcumulado),IF(AND(_xlfn.SINGLE(RegimeExecucao)="Global",$I31&gt;0,COUNTIF($AB$13:$AM$13,BM.medicao)&gt;0),O31/$I31*100,0)))</f>
        <v>0</v>
      </c>
      <c r="M31" s="336">
        <f ca="1">IF($A31="S",VTOTALBM,IF($A31=0,0,ROUND(SomaAgrupBM,15-13*ORÇAMENTO!$AF$11)))</f>
        <v>0</v>
      </c>
      <c r="N31" s="337">
        <f t="shared" ca="1" si="4"/>
        <v>0</v>
      </c>
      <c r="O31" s="126">
        <f ca="1">IF($A31="S",VTOTALBM,IF($A31=0,0,ROUND(SomaAgrupBM,15-13*ORÇAMENTO!$AF$11)))</f>
        <v>0</v>
      </c>
      <c r="Q31" s="338"/>
      <c r="R31" s="339"/>
      <c r="T31" s="118" t="str">
        <f t="shared" ca="1" si="5"/>
        <v/>
      </c>
      <c r="U31" s="164" t="str">
        <f t="shared" ca="1" si="6"/>
        <v/>
      </c>
      <c r="V31" s="165" t="str">
        <f ca="1">IF(AND($W31&gt;0,RegimeExecucao="Unitário"),$F31,"")</f>
        <v/>
      </c>
      <c r="W31" s="455">
        <f ca="1">IF($Y31&gt;0,CHOOSE(MATCH(RegimeExecucao,{"Unitário","Global"},0),IF($A31="S",$Y31/$X31,""),($Y31/$X31)*100),0)</f>
        <v>0</v>
      </c>
      <c r="X31" s="340" t="str">
        <f ca="1">IF($Y31&gt;0,CHOOSE(MATCH(RegimeExecucao,{"Unitário","Global"},0),IF($A31="S",ROUND($H31,ORÇAMENTO!$AF$10),""),ROUND($I31,ORÇAMENTO!$AF$11)),"")</f>
        <v/>
      </c>
      <c r="Y31" s="340">
        <f t="shared" ca="1" si="7"/>
        <v>0</v>
      </c>
      <c r="Z31" s="474"/>
      <c r="AB31" s="338"/>
      <c r="AC31" s="438"/>
      <c r="AD31" s="438"/>
      <c r="AE31" s="438"/>
      <c r="AF31" s="438"/>
      <c r="AG31" s="438"/>
      <c r="AH31" s="438"/>
      <c r="AI31" s="438"/>
      <c r="AJ31" s="438"/>
      <c r="AK31" s="438"/>
      <c r="AL31" s="438"/>
      <c r="AM31" s="339"/>
      <c r="AO31">
        <f ca="1">IF($A31="S",IF(BM!$I31=0,0,CHOOSE(MATCH(RegimeExecucao,{"Global","Unitário"},0),ROUND(ROUND(BM.MEDAcumulado,15-13*BM!$A$9)/100*BM!$I31,15-13*ORÇAMENTO!$AF$11),ROUND(ROUND(BM.MEDAcumulado,15-13*BM!$A$9)*ROUND(BM!$H31,15-13*ORÇAMENTO!$AF$10),15-13*ORÇAMENTO!$AF$11))),IF($A31=0,0,ROUND(SomaAgrupBM,15-13*ORÇAMENTO!$AF$11)))</f>
        <v>0</v>
      </c>
    </row>
    <row r="32" spans="1:41" x14ac:dyDescent="0.2">
      <c r="A32" t="str">
        <f ca="1">ORÇAMENTO!C32</f>
        <v>S</v>
      </c>
      <c r="B32">
        <f ca="1">ORÇAMENTO!D32</f>
        <v>0</v>
      </c>
      <c r="C32" s="115" t="str">
        <f t="shared" ca="1" si="1"/>
        <v>F</v>
      </c>
      <c r="D32" s="118" t="str">
        <f ca="1">ORÇAMENTO!O32</f>
        <v>1.2.2.</v>
      </c>
      <c r="E32" s="164" t="str">
        <f t="shared" ca="1" si="2"/>
        <v>TELHADISTA COM ENCARGOS COMPLEMENTARES</v>
      </c>
      <c r="F32" s="165" t="str">
        <f ca="1">IF(RegimeExecucao="Global","",ORÇAMENTO.Unidade)</f>
        <v>H</v>
      </c>
      <c r="G32" s="123">
        <f ca="1">IF(RegimeExecucao="Global","",ORÇAMENTO!T32)</f>
        <v>80</v>
      </c>
      <c r="H32" s="123">
        <f ca="1">IF(RegimeExecucao="Global","",ORÇAMENTO!W32)</f>
        <v>32.450000000000003</v>
      </c>
      <c r="I32" s="126">
        <f ca="1">ORÇAMENTO!X32</f>
        <v>2596</v>
      </c>
      <c r="J32" s="334" cm="1">
        <f t="array" aca="1" ref="J32" ca="1">_xlfn.SINGLE(IF($A32="S",IF(CAIXA.Modo,BM.AFAnterior,BM.MEDAnterior),IF(AND(_xlfn.SINGLE(RegimeExecucao)="Global",$I32&gt;0,COUNTIF($AB$13:$AM$13,BM.medicao-1)&gt;0),M32/$I32*100,0)))</f>
        <v>0</v>
      </c>
      <c r="K32" s="123">
        <f t="shared" ca="1" si="3"/>
        <v>0</v>
      </c>
      <c r="L32" s="335" cm="1">
        <f t="array" aca="1" ref="L32" ca="1">_xlfn.SINGLE(IF($A32="S",IF(CAIXA.Modo,BM.AFAcumulado,BM.MEDAcumulado),IF(AND(_xlfn.SINGLE(RegimeExecucao)="Global",$I32&gt;0,COUNTIF($AB$13:$AM$13,BM.medicao)&gt;0),O32/$I32*100,0)))</f>
        <v>0</v>
      </c>
      <c r="M32" s="336">
        <f ca="1">IF($A32="S",VTOTALBM,IF($A32=0,0,ROUND(SomaAgrupBM,15-13*ORÇAMENTO!$AF$11)))</f>
        <v>0</v>
      </c>
      <c r="N32" s="337">
        <f t="shared" ca="1" si="4"/>
        <v>0</v>
      </c>
      <c r="O32" s="126">
        <f ca="1">IF($A32="S",VTOTALBM,IF($A32=0,0,ROUND(SomaAgrupBM,15-13*ORÇAMENTO!$AF$11)))</f>
        <v>0</v>
      </c>
      <c r="Q32" s="338"/>
      <c r="R32" s="339"/>
      <c r="T32" s="118" t="str">
        <f t="shared" ca="1" si="5"/>
        <v/>
      </c>
      <c r="U32" s="164" t="str">
        <f t="shared" ca="1" si="6"/>
        <v/>
      </c>
      <c r="V32" s="165" t="str">
        <f ca="1">IF(AND($W32&gt;0,RegimeExecucao="Unitário"),$F32,"")</f>
        <v/>
      </c>
      <c r="W32" s="455">
        <f ca="1">IF($Y32&gt;0,CHOOSE(MATCH(RegimeExecucao,{"Unitário","Global"},0),IF($A32="S",$Y32/$X32,""),($Y32/$X32)*100),0)</f>
        <v>0</v>
      </c>
      <c r="X32" s="340" t="str">
        <f ca="1">IF($Y32&gt;0,CHOOSE(MATCH(RegimeExecucao,{"Unitário","Global"},0),IF($A32="S",ROUND($H32,ORÇAMENTO!$AF$10),""),ROUND($I32,ORÇAMENTO!$AF$11)),"")</f>
        <v/>
      </c>
      <c r="Y32" s="340">
        <f t="shared" ca="1" si="7"/>
        <v>0</v>
      </c>
      <c r="Z32" s="474"/>
      <c r="AB32" s="338"/>
      <c r="AC32" s="438"/>
      <c r="AD32" s="438"/>
      <c r="AE32" s="438"/>
      <c r="AF32" s="438"/>
      <c r="AG32" s="438"/>
      <c r="AH32" s="438"/>
      <c r="AI32" s="438"/>
      <c r="AJ32" s="438"/>
      <c r="AK32" s="438"/>
      <c r="AL32" s="438"/>
      <c r="AM32" s="339"/>
      <c r="AO32">
        <f ca="1">IF($A32="S",IF(BM!$I32=0,0,CHOOSE(MATCH(RegimeExecucao,{"Global","Unitário"},0),ROUND(ROUND(BM.MEDAcumulado,15-13*BM!$A$9)/100*BM!$I32,15-13*ORÇAMENTO!$AF$11),ROUND(ROUND(BM.MEDAcumulado,15-13*BM!$A$9)*ROUND(BM!$H32,15-13*ORÇAMENTO!$AF$10),15-13*ORÇAMENTO!$AF$11))),IF($A32=0,0,ROUND(SomaAgrupBM,15-13*ORÇAMENTO!$AF$11)))</f>
        <v>0</v>
      </c>
    </row>
    <row r="33" spans="1:41" x14ac:dyDescent="0.2">
      <c r="A33">
        <f ca="1">ORÇAMENTO!C33</f>
        <v>2</v>
      </c>
      <c r="B33">
        <f ca="1">ORÇAMENTO!D33</f>
        <v>8</v>
      </c>
      <c r="C33" s="115" t="str">
        <f t="shared" ref="C33:C36" ca="1" si="21">IF(OR($I33&gt;0,$A33=1,$A33=2,$A33=3,$A33=4),"F","")</f>
        <v>F</v>
      </c>
      <c r="D33" s="118" t="str">
        <f ca="1">ORÇAMENTO!O33</f>
        <v>1.3.</v>
      </c>
      <c r="E33" s="164" t="str">
        <f t="shared" ref="E33:E56" si="22">ORÇAMENTO.Descricao</f>
        <v>PISOS E DRENAGEM</v>
      </c>
      <c r="F33" s="165" t="str">
        <f ca="1">IF(RegimeExecucao="Global","",ORÇAMENTO.Unidade)</f>
        <v>-</v>
      </c>
      <c r="G33" s="123">
        <f ca="1">IF(RegimeExecucao="Global","",ORÇAMENTO!T33)</f>
        <v>0</v>
      </c>
      <c r="H33" s="123">
        <f ca="1">IF(RegimeExecucao="Global","",ORÇAMENTO!W33)</f>
        <v>0</v>
      </c>
      <c r="I33" s="126">
        <f ca="1">ORÇAMENTO!X33</f>
        <v>48427.06</v>
      </c>
      <c r="J33" s="334" cm="1">
        <f t="array" aca="1" ref="J33" ca="1">_xlfn.SINGLE(IF($A33="S",IF(CAIXA.Modo,BM.AFAnterior,BM.MEDAnterior),IF(AND(_xlfn.SINGLE(RegimeExecucao)="Global",$I33&gt;0,COUNTIF($AB$13:$AM$13,BM.medicao-1)&gt;0),M33/$I33*100,0)))</f>
        <v>0</v>
      </c>
      <c r="K33" s="123">
        <f t="shared" ref="K33:K36" ca="1" si="23">L33-J33</f>
        <v>0</v>
      </c>
      <c r="L33" s="335" cm="1">
        <f t="array" aca="1" ref="L33" ca="1">_xlfn.SINGLE(IF($A33="S",IF(CAIXA.Modo,BM.AFAcumulado,BM.MEDAcumulado),IF(AND(_xlfn.SINGLE(RegimeExecucao)="Global",$I33&gt;0,COUNTIF($AB$13:$AM$13,BM.medicao)&gt;0),O33/$I33*100,0)))</f>
        <v>0</v>
      </c>
      <c r="M33" s="336">
        <f ca="1">IF($A33="S",VTOTALBM,IF($A33=0,0,ROUND(SomaAgrupBM,15-13*ORÇAMENTO!$AF$11)))</f>
        <v>0</v>
      </c>
      <c r="N33" s="337">
        <f t="shared" ref="N33:N36" ca="1" si="24">O33-M33</f>
        <v>0</v>
      </c>
      <c r="O33" s="126">
        <f ca="1">IF($A33="S",VTOTALBM,IF($A33=0,0,ROUND(SomaAgrupBM,15-13*ORÇAMENTO!$AF$11)))</f>
        <v>0</v>
      </c>
      <c r="Q33" s="338"/>
      <c r="R33" s="339"/>
      <c r="T33" s="118" t="str">
        <f t="shared" ref="T33:T36" ca="1" si="25">IF($W33&gt;0,$D33,"")</f>
        <v/>
      </c>
      <c r="U33" s="164" t="str">
        <f t="shared" ref="U33:U36" ca="1" si="26">IF($W33&gt;0,$E33,"")</f>
        <v/>
      </c>
      <c r="V33" s="165" t="str">
        <f ca="1">IF(AND($W33&gt;0,RegimeExecucao="Unitário"),$F33,"")</f>
        <v/>
      </c>
      <c r="W33" s="455">
        <f ca="1">IF($Y33&gt;0,CHOOSE(MATCH(RegimeExecucao,{"Unitário","Global"},0),IF($A33="S",$Y33/$X33,""),($Y33/$X33)*100),0)</f>
        <v>0</v>
      </c>
      <c r="X33" s="340" t="str">
        <f ca="1">IF($Y33&gt;0,CHOOSE(MATCH(RegimeExecucao,{"Unitário","Global"},0),IF($A33="S",ROUND($H33,ORÇAMENTO!$AF$10),""),ROUND($I33,ORÇAMENTO!$AF$11)),"")</f>
        <v/>
      </c>
      <c r="Y33" s="340">
        <f t="shared" ref="Y33:Y36" ca="1" si="27">AO33-O33</f>
        <v>0</v>
      </c>
      <c r="Z33" s="474"/>
      <c r="AB33" s="338"/>
      <c r="AC33" s="438"/>
      <c r="AD33" s="438"/>
      <c r="AE33" s="438"/>
      <c r="AF33" s="438"/>
      <c r="AG33" s="438"/>
      <c r="AH33" s="438"/>
      <c r="AI33" s="438"/>
      <c r="AJ33" s="438"/>
      <c r="AK33" s="438"/>
      <c r="AL33" s="438"/>
      <c r="AM33" s="339"/>
      <c r="AO33">
        <f ca="1">IF($A33="S",IF(BM!$I33=0,0,CHOOSE(MATCH(RegimeExecucao,{"Global","Unitário"},0),ROUND(ROUND(BM.MEDAcumulado,15-13*BM!$A$9)/100*BM!$I33,15-13*ORÇAMENTO!$AF$11),ROUND(ROUND(BM.MEDAcumulado,15-13*BM!$A$9)*ROUND(BM!$H33,15-13*ORÇAMENTO!$AF$10),15-13*ORÇAMENTO!$AF$11))),IF($A33=0,0,ROUND(SomaAgrupBM,15-13*ORÇAMENTO!$AF$11)))</f>
        <v>0</v>
      </c>
    </row>
    <row r="34" spans="1:41" ht="38.25" x14ac:dyDescent="0.2">
      <c r="A34" t="str">
        <f ca="1">ORÇAMENTO!C34</f>
        <v>S</v>
      </c>
      <c r="B34">
        <f ca="1">ORÇAMENTO!D34</f>
        <v>0</v>
      </c>
      <c r="C34" s="115" t="str">
        <f t="shared" ca="1" si="21"/>
        <v>F</v>
      </c>
      <c r="D34" s="118" t="str">
        <f ca="1">ORÇAMENTO!O34</f>
        <v>1.3.1.</v>
      </c>
      <c r="E34" s="164" t="str">
        <f t="shared" ca="1" si="22"/>
        <v>EXECUÇÃO DE PISO DE CONCRETO, COM ACABAMENTO SUPERFICIAL, ESPESSURA DE 15 CM, FCK = 30 MPA, COM USO DE FORMAS EM MADEIRA SERRADA. AF_07/2026</v>
      </c>
      <c r="F34" s="165" t="str">
        <f ca="1">IF(RegimeExecucao="Global","",ORÇAMENTO.Unidade)</f>
        <v>M2</v>
      </c>
      <c r="G34" s="123">
        <f ca="1">IF(RegimeExecucao="Global","",ORÇAMENTO!T34)</f>
        <v>115.05</v>
      </c>
      <c r="H34" s="123">
        <f ca="1">IF(RegimeExecucao="Global","",ORÇAMENTO!W34)</f>
        <v>285.42</v>
      </c>
      <c r="I34" s="126">
        <f ca="1">ORÇAMENTO!X34</f>
        <v>32837.57</v>
      </c>
      <c r="J34" s="334" cm="1">
        <f t="array" aca="1" ref="J34" ca="1">_xlfn.SINGLE(IF($A34="S",IF(CAIXA.Modo,BM.AFAnterior,BM.MEDAnterior),IF(AND(_xlfn.SINGLE(RegimeExecucao)="Global",$I34&gt;0,COUNTIF($AB$13:$AM$13,BM.medicao-1)&gt;0),M34/$I34*100,0)))</f>
        <v>0</v>
      </c>
      <c r="K34" s="123">
        <f t="shared" ca="1" si="23"/>
        <v>0</v>
      </c>
      <c r="L34" s="335" cm="1">
        <f t="array" aca="1" ref="L34" ca="1">_xlfn.SINGLE(IF($A34="S",IF(CAIXA.Modo,BM.AFAcumulado,BM.MEDAcumulado),IF(AND(_xlfn.SINGLE(RegimeExecucao)="Global",$I34&gt;0,COUNTIF($AB$13:$AM$13,BM.medicao)&gt;0),O34/$I34*100,0)))</f>
        <v>0</v>
      </c>
      <c r="M34" s="336">
        <f ca="1">IF($A34="S",VTOTALBM,IF($A34=0,0,ROUND(SomaAgrupBM,15-13*ORÇAMENTO!$AF$11)))</f>
        <v>0</v>
      </c>
      <c r="N34" s="337">
        <f t="shared" ca="1" si="24"/>
        <v>0</v>
      </c>
      <c r="O34" s="126">
        <f ca="1">IF($A34="S",VTOTALBM,IF($A34=0,0,ROUND(SomaAgrupBM,15-13*ORÇAMENTO!$AF$11)))</f>
        <v>0</v>
      </c>
      <c r="Q34" s="338"/>
      <c r="R34" s="339"/>
      <c r="T34" s="118" t="str">
        <f t="shared" ca="1" si="25"/>
        <v/>
      </c>
      <c r="U34" s="164" t="str">
        <f t="shared" ca="1" si="26"/>
        <v/>
      </c>
      <c r="V34" s="165" t="str">
        <f ca="1">IF(AND($W34&gt;0,RegimeExecucao="Unitário"),$F34,"")</f>
        <v/>
      </c>
      <c r="W34" s="455">
        <f ca="1">IF($Y34&gt;0,CHOOSE(MATCH(RegimeExecucao,{"Unitário","Global"},0),IF($A34="S",$Y34/$X34,""),($Y34/$X34)*100),0)</f>
        <v>0</v>
      </c>
      <c r="X34" s="340" t="str">
        <f ca="1">IF($Y34&gt;0,CHOOSE(MATCH(RegimeExecucao,{"Unitário","Global"},0),IF($A34="S",ROUND($H34,ORÇAMENTO!$AF$10),""),ROUND($I34,ORÇAMENTO!$AF$11)),"")</f>
        <v/>
      </c>
      <c r="Y34" s="340">
        <f t="shared" ca="1" si="27"/>
        <v>0</v>
      </c>
      <c r="Z34" s="474"/>
      <c r="AB34" s="338"/>
      <c r="AC34" s="438"/>
      <c r="AD34" s="438"/>
      <c r="AE34" s="438"/>
      <c r="AF34" s="438"/>
      <c r="AG34" s="438"/>
      <c r="AH34" s="438"/>
      <c r="AI34" s="438"/>
      <c r="AJ34" s="438"/>
      <c r="AK34" s="438"/>
      <c r="AL34" s="438"/>
      <c r="AM34" s="339"/>
      <c r="AO34">
        <f ca="1">IF($A34="S",IF(BM!$I34=0,0,CHOOSE(MATCH(RegimeExecucao,{"Global","Unitário"},0),ROUND(ROUND(BM.MEDAcumulado,15-13*BM!$A$9)/100*BM!$I34,15-13*ORÇAMENTO!$AF$11),ROUND(ROUND(BM.MEDAcumulado,15-13*BM!$A$9)*ROUND(BM!$H34,15-13*ORÇAMENTO!$AF$10),15-13*ORÇAMENTO!$AF$11))),IF($A34=0,0,ROUND(SomaAgrupBM,15-13*ORÇAMENTO!$AF$11)))</f>
        <v>0</v>
      </c>
    </row>
    <row r="35" spans="1:41" ht="38.25" x14ac:dyDescent="0.2">
      <c r="A35" t="str">
        <f ca="1">ORÇAMENTO!C35</f>
        <v>S</v>
      </c>
      <c r="B35">
        <f ca="1">ORÇAMENTO!D35</f>
        <v>0</v>
      </c>
      <c r="C35" s="115" t="str">
        <f ca="1">IF(OR($I35&gt;0,$A35=1,$A35=2,$A35=3,$A35=4),"F","")</f>
        <v>F</v>
      </c>
      <c r="D35" s="118" t="str">
        <f ca="1">ORÇAMENTO!O35</f>
        <v>1.3.2.</v>
      </c>
      <c r="E35" s="164" t="str">
        <f ca="1">ORÇAMENTO.Descricao</f>
        <v>TELA DE ACO SOLDADA NERVURADA, CA-60, Q-92, (1,48 KG/M2), DIAMETRO DO FIO = 4,2 MM, LARGURA = 2,45 X 60 M DE COMPRIMENTO, ESPACAMENTO DA MALHA = 15 X 15 CM</v>
      </c>
      <c r="F35" s="165" t="str">
        <f ca="1">IF(RegimeExecucao="Global","",ORÇAMENTO.Unidade)</f>
        <v>M2</v>
      </c>
      <c r="G35" s="123">
        <f ca="1">IF(RegimeExecucao="Global","",ORÇAMENTO!T35)</f>
        <v>115.05</v>
      </c>
      <c r="H35" s="123">
        <f ca="1">IF(RegimeExecucao="Global","",ORÇAMENTO!W35)</f>
        <v>14.95</v>
      </c>
      <c r="I35" s="126">
        <f ca="1">ORÇAMENTO!X35</f>
        <v>1720</v>
      </c>
      <c r="J35" s="334" cm="1">
        <f t="array" aca="1" ref="J35" ca="1">_xlfn.SINGLE(IF($A35="S",IF(CAIXA.Modo,BM.AFAnterior,BM.MEDAnterior),IF(AND(_xlfn.SINGLE(RegimeExecucao)="Global",$I35&gt;0,COUNTIF($AB$13:$AM$13,BM.medicao-1)&gt;0),M35/$I35*100,0)))</f>
        <v>0</v>
      </c>
      <c r="K35" s="123">
        <f ca="1">L35-J35</f>
        <v>0</v>
      </c>
      <c r="L35" s="335" cm="1">
        <f t="array" aca="1" ref="L35" ca="1">_xlfn.SINGLE(IF($A35="S",IF(CAIXA.Modo,BM.AFAcumulado,BM.MEDAcumulado),IF(AND(_xlfn.SINGLE(RegimeExecucao)="Global",$I35&gt;0,COUNTIF($AB$13:$AM$13,BM.medicao)&gt;0),O35/$I35*100,0)))</f>
        <v>0</v>
      </c>
      <c r="M35" s="336">
        <f ca="1">IF($A35="S",VTOTALBM,IF($A35=0,0,ROUND(SomaAgrupBM,15-13*ORÇAMENTO!$AF$11)))</f>
        <v>0</v>
      </c>
      <c r="N35" s="337">
        <f ca="1">O35-M35</f>
        <v>0</v>
      </c>
      <c r="O35" s="126">
        <f ca="1">IF($A35="S",VTOTALBM,IF($A35=0,0,ROUND(SomaAgrupBM,15-13*ORÇAMENTO!$AF$11)))</f>
        <v>0</v>
      </c>
      <c r="Q35" s="338"/>
      <c r="R35" s="339"/>
      <c r="T35" s="118" t="str">
        <f ca="1">IF($W35&gt;0,$D35,"")</f>
        <v/>
      </c>
      <c r="U35" s="164" t="str">
        <f ca="1">IF($W35&gt;0,$E35,"")</f>
        <v/>
      </c>
      <c r="V35" s="165" t="str">
        <f ca="1">IF(AND($W35&gt;0,RegimeExecucao="Unitário"),$F35,"")</f>
        <v/>
      </c>
      <c r="W35" s="455">
        <f ca="1">IF($Y35&gt;0,CHOOSE(MATCH(RegimeExecucao,{"Unitário","Global"},0),IF($A35="S",$Y35/$X35,""),($Y35/$X35)*100),0)</f>
        <v>0</v>
      </c>
      <c r="X35" s="340" t="str">
        <f ca="1">IF($Y35&gt;0,CHOOSE(MATCH(RegimeExecucao,{"Unitário","Global"},0),IF($A35="S",ROUND($H35,ORÇAMENTO!$AF$10),""),ROUND($I35,ORÇAMENTO!$AF$11)),"")</f>
        <v/>
      </c>
      <c r="Y35" s="340">
        <f ca="1">AO35-O35</f>
        <v>0</v>
      </c>
      <c r="Z35" s="474"/>
      <c r="AB35" s="338"/>
      <c r="AC35" s="438"/>
      <c r="AD35" s="438"/>
      <c r="AE35" s="438"/>
      <c r="AF35" s="438"/>
      <c r="AG35" s="438"/>
      <c r="AH35" s="438"/>
      <c r="AI35" s="438"/>
      <c r="AJ35" s="438"/>
      <c r="AK35" s="438"/>
      <c r="AL35" s="438"/>
      <c r="AM35" s="339"/>
      <c r="AO35">
        <f ca="1">IF($A35="S",IF(BM!$I35=0,0,CHOOSE(MATCH(RegimeExecucao,{"Global","Unitário"},0),ROUND(ROUND(BM.MEDAcumulado,15-13*BM!$A$9)/100*BM!$I35,15-13*ORÇAMENTO!$AF$11),ROUND(ROUND(BM.MEDAcumulado,15-13*BM!$A$9)*ROUND(BM!$H35,15-13*ORÇAMENTO!$AF$10),15-13*ORÇAMENTO!$AF$11))),IF($A35=0,0,ROUND(SomaAgrupBM,15-13*ORÇAMENTO!$AF$11)))</f>
        <v>0</v>
      </c>
    </row>
    <row r="36" spans="1:41" ht="25.5" x14ac:dyDescent="0.2">
      <c r="A36" t="str">
        <f ca="1">ORÇAMENTO!C36</f>
        <v>S</v>
      </c>
      <c r="B36">
        <f ca="1">ORÇAMENTO!D36</f>
        <v>0</v>
      </c>
      <c r="C36" s="115" t="str">
        <f t="shared" ca="1" si="21"/>
        <v>F</v>
      </c>
      <c r="D36" s="118" t="str">
        <f ca="1">ORÇAMENTO!O36</f>
        <v>1.3.3.</v>
      </c>
      <c r="E36" s="164" t="str">
        <f t="shared" ca="1" si="22"/>
        <v>GRAMA SINTÉTICA PARA PLAYGROUND - FORNECIMENTO E INSTALAÇÃO</v>
      </c>
      <c r="F36" s="165" t="str">
        <f ca="1">IF(RegimeExecucao="Global","",ORÇAMENTO.Unidade)</f>
        <v>M2</v>
      </c>
      <c r="G36" s="123">
        <f ca="1">IF(RegimeExecucao="Global","",ORÇAMENTO!T36)</f>
        <v>120</v>
      </c>
      <c r="H36" s="123">
        <f ca="1">IF(RegimeExecucao="Global","",ORÇAMENTO!W36)</f>
        <v>57.26</v>
      </c>
      <c r="I36" s="126">
        <f ca="1">ORÇAMENTO!X36</f>
        <v>6871.2</v>
      </c>
      <c r="J36" s="334" cm="1">
        <f t="array" aca="1" ref="J36" ca="1">_xlfn.SINGLE(IF($A36="S",IF(CAIXA.Modo,BM.AFAnterior,BM.MEDAnterior),IF(AND(_xlfn.SINGLE(RegimeExecucao)="Global",$I36&gt;0,COUNTIF($AB$13:$AM$13,BM.medicao-1)&gt;0),M36/$I36*100,0)))</f>
        <v>0</v>
      </c>
      <c r="K36" s="123">
        <f t="shared" ca="1" si="23"/>
        <v>0</v>
      </c>
      <c r="L36" s="335" cm="1">
        <f t="array" aca="1" ref="L36" ca="1">_xlfn.SINGLE(IF($A36="S",IF(CAIXA.Modo,BM.AFAcumulado,BM.MEDAcumulado),IF(AND(_xlfn.SINGLE(RegimeExecucao)="Global",$I36&gt;0,COUNTIF($AB$13:$AM$13,BM.medicao)&gt;0),O36/$I36*100,0)))</f>
        <v>0</v>
      </c>
      <c r="M36" s="336">
        <f ca="1">IF($A36="S",VTOTALBM,IF($A36=0,0,ROUND(SomaAgrupBM,15-13*ORÇAMENTO!$AF$11)))</f>
        <v>0</v>
      </c>
      <c r="N36" s="337">
        <f t="shared" ca="1" si="24"/>
        <v>0</v>
      </c>
      <c r="O36" s="126">
        <f ca="1">IF($A36="S",VTOTALBM,IF($A36=0,0,ROUND(SomaAgrupBM,15-13*ORÇAMENTO!$AF$11)))</f>
        <v>0</v>
      </c>
      <c r="Q36" s="338"/>
      <c r="R36" s="339"/>
      <c r="T36" s="118" t="str">
        <f t="shared" ca="1" si="25"/>
        <v/>
      </c>
      <c r="U36" s="164" t="str">
        <f t="shared" ca="1" si="26"/>
        <v/>
      </c>
      <c r="V36" s="165" t="str">
        <f ca="1">IF(AND($W36&gt;0,RegimeExecucao="Unitário"),$F36,"")</f>
        <v/>
      </c>
      <c r="W36" s="455">
        <f ca="1">IF($Y36&gt;0,CHOOSE(MATCH(RegimeExecucao,{"Unitário","Global"},0),IF($A36="S",$Y36/$X36,""),($Y36/$X36)*100),0)</f>
        <v>0</v>
      </c>
      <c r="X36" s="340" t="str">
        <f ca="1">IF($Y36&gt;0,CHOOSE(MATCH(RegimeExecucao,{"Unitário","Global"},0),IF($A36="S",ROUND($H36,ORÇAMENTO!$AF$10),""),ROUND($I36,ORÇAMENTO!$AF$11)),"")</f>
        <v/>
      </c>
      <c r="Y36" s="340">
        <f t="shared" ca="1" si="27"/>
        <v>0</v>
      </c>
      <c r="Z36" s="474"/>
      <c r="AB36" s="338"/>
      <c r="AC36" s="438"/>
      <c r="AD36" s="438"/>
      <c r="AE36" s="438"/>
      <c r="AF36" s="438"/>
      <c r="AG36" s="438"/>
      <c r="AH36" s="438"/>
      <c r="AI36" s="438"/>
      <c r="AJ36" s="438"/>
      <c r="AK36" s="438"/>
      <c r="AL36" s="438"/>
      <c r="AM36" s="339"/>
      <c r="AO36">
        <f ca="1">IF($A36="S",IF(BM!$I36=0,0,CHOOSE(MATCH(RegimeExecucao,{"Global","Unitário"},0),ROUND(ROUND(BM.MEDAcumulado,15-13*BM!$A$9)/100*BM!$I36,15-13*ORÇAMENTO!$AF$11),ROUND(ROUND(BM.MEDAcumulado,15-13*BM!$A$9)*ROUND(BM!$H36,15-13*ORÇAMENTO!$AF$10),15-13*ORÇAMENTO!$AF$11))),IF($A36=0,0,ROUND(SomaAgrupBM,15-13*ORÇAMENTO!$AF$11)))</f>
        <v>0</v>
      </c>
    </row>
    <row r="37" spans="1:41" ht="38.25" x14ac:dyDescent="0.2">
      <c r="A37" t="str">
        <f ca="1">ORÇAMENTO!C37</f>
        <v>S</v>
      </c>
      <c r="B37">
        <f ca="1">ORÇAMENTO!D37</f>
        <v>0</v>
      </c>
      <c r="C37" s="115" t="str">
        <f ca="1">IF(OR($I37&gt;0,$A37=1,$A37=2,$A37=3,$A37=4),"F","")</f>
        <v>F</v>
      </c>
      <c r="D37" s="118" t="str">
        <f ca="1">ORÇAMENTO!O37</f>
        <v>1.3.4.</v>
      </c>
      <c r="E37" s="164" t="str">
        <f ca="1">ORÇAMENTO.Descricao</f>
        <v>ALVENARIA DE EMBASAMENTO COM BLOCO ESTRUTURAL DE CERÂMICA, DE 14X19X29CM E ARGAMASSA DE ASSENTAMENTO COM PREPARO EM BETONEIRA. AF_05/2020</v>
      </c>
      <c r="F37" s="165" t="str">
        <f ca="1">IF(RegimeExecucao="Global","",ORÇAMENTO.Unidade)</f>
        <v>M3</v>
      </c>
      <c r="G37" s="123">
        <f ca="1">IF(RegimeExecucao="Global","",ORÇAMENTO!T37)</f>
        <v>0.5</v>
      </c>
      <c r="H37" s="123">
        <f ca="1">IF(RegimeExecucao="Global","",ORÇAMENTO!W37)</f>
        <v>811.03</v>
      </c>
      <c r="I37" s="126">
        <f ca="1">ORÇAMENTO!X37</f>
        <v>405.52</v>
      </c>
      <c r="J37" s="334" cm="1">
        <f t="array" aca="1" ref="J37" ca="1">_xlfn.SINGLE(IF($A37="S",IF(CAIXA.Modo,BM.AFAnterior,BM.MEDAnterior),IF(AND(_xlfn.SINGLE(RegimeExecucao)="Global",$I37&gt;0,COUNTIF($AB$13:$AM$13,BM.medicao-1)&gt;0),M37/$I37*100,0)))</f>
        <v>0</v>
      </c>
      <c r="K37" s="123">
        <f ca="1">L37-J37</f>
        <v>0</v>
      </c>
      <c r="L37" s="335" cm="1">
        <f t="array" aca="1" ref="L37" ca="1">_xlfn.SINGLE(IF($A37="S",IF(CAIXA.Modo,BM.AFAcumulado,BM.MEDAcumulado),IF(AND(_xlfn.SINGLE(RegimeExecucao)="Global",$I37&gt;0,COUNTIF($AB$13:$AM$13,BM.medicao)&gt;0),O37/$I37*100,0)))</f>
        <v>0</v>
      </c>
      <c r="M37" s="336">
        <f ca="1">IF($A37="S",VTOTALBM,IF($A37=0,0,ROUND(SomaAgrupBM,15-13*ORÇAMENTO!$AF$11)))</f>
        <v>0</v>
      </c>
      <c r="N37" s="337">
        <f ca="1">O37-M37</f>
        <v>0</v>
      </c>
      <c r="O37" s="126">
        <f ca="1">IF($A37="S",VTOTALBM,IF($A37=0,0,ROUND(SomaAgrupBM,15-13*ORÇAMENTO!$AF$11)))</f>
        <v>0</v>
      </c>
      <c r="Q37" s="338"/>
      <c r="R37" s="339"/>
      <c r="T37" s="118" t="str">
        <f ca="1">IF($W37&gt;0,$D37,"")</f>
        <v/>
      </c>
      <c r="U37" s="164" t="str">
        <f ca="1">IF($W37&gt;0,$E37,"")</f>
        <v/>
      </c>
      <c r="V37" s="165" t="str">
        <f ca="1">IF(AND($W37&gt;0,RegimeExecucao="Unitário"),$F37,"")</f>
        <v/>
      </c>
      <c r="W37" s="455">
        <f ca="1">IF($Y37&gt;0,CHOOSE(MATCH(RegimeExecucao,{"Unitário","Global"},0),IF($A37="S",$Y37/$X37,""),($Y37/$X37)*100),0)</f>
        <v>0</v>
      </c>
      <c r="X37" s="340" t="str">
        <f ca="1">IF($Y37&gt;0,CHOOSE(MATCH(RegimeExecucao,{"Unitário","Global"},0),IF($A37="S",ROUND($H37,ORÇAMENTO!$AF$10),""),ROUND($I37,ORÇAMENTO!$AF$11)),"")</f>
        <v/>
      </c>
      <c r="Y37" s="340">
        <f ca="1">AO37-O37</f>
        <v>0</v>
      </c>
      <c r="Z37" s="474"/>
      <c r="AB37" s="338"/>
      <c r="AC37" s="438"/>
      <c r="AD37" s="438"/>
      <c r="AE37" s="438"/>
      <c r="AF37" s="438"/>
      <c r="AG37" s="438"/>
      <c r="AH37" s="438"/>
      <c r="AI37" s="438"/>
      <c r="AJ37" s="438"/>
      <c r="AK37" s="438"/>
      <c r="AL37" s="438"/>
      <c r="AM37" s="339"/>
      <c r="AO37">
        <f ca="1">IF($A37="S",IF(BM!$I37=0,0,CHOOSE(MATCH(RegimeExecucao,{"Global","Unitário"},0),ROUND(ROUND(BM.MEDAcumulado,15-13*BM!$A$9)/100*BM!$I37,15-13*ORÇAMENTO!$AF$11),ROUND(ROUND(BM.MEDAcumulado,15-13*BM!$A$9)*ROUND(BM!$H37,15-13*ORÇAMENTO!$AF$10),15-13*ORÇAMENTO!$AF$11))),IF($A37=0,0,ROUND(SomaAgrupBM,15-13*ORÇAMENTO!$AF$11)))</f>
        <v>0</v>
      </c>
    </row>
    <row r="38" spans="1:41" ht="25.5" x14ac:dyDescent="0.2">
      <c r="A38" t="str">
        <f ca="1">ORÇAMENTO!C38</f>
        <v>S</v>
      </c>
      <c r="B38">
        <f ca="1">ORÇAMENTO!D38</f>
        <v>0</v>
      </c>
      <c r="C38" s="115" t="str">
        <f ca="1">IF(OR($I38&gt;0,$A38=1,$A38=2,$A38=3,$A38=4),"F","")</f>
        <v>F</v>
      </c>
      <c r="D38" s="118" t="str">
        <f ca="1">ORÇAMENTO!O38</f>
        <v>1.3.5.</v>
      </c>
      <c r="E38" s="164" t="str">
        <f ca="1">ORÇAMENTO.Descricao</f>
        <v>REATERRO MANUAL DE VALAS, COM COMPACTADOR DE SOLOS DE PERCUSSÃO. AF_08/2023</v>
      </c>
      <c r="F38" s="165" t="str">
        <f ca="1">IF(RegimeExecucao="Global","",ORÇAMENTO.Unidade)</f>
        <v>M3</v>
      </c>
      <c r="G38" s="123">
        <f ca="1">IF(RegimeExecucao="Global","",ORÇAMENTO!T38)</f>
        <v>51.05</v>
      </c>
      <c r="H38" s="123">
        <f ca="1">IF(RegimeExecucao="Global","",ORÇAMENTO!W38)</f>
        <v>33.590000000000003</v>
      </c>
      <c r="I38" s="126">
        <f ca="1">ORÇAMENTO!X38</f>
        <v>1714.77</v>
      </c>
      <c r="J38" s="334" cm="1">
        <f t="array" aca="1" ref="J38" ca="1">_xlfn.SINGLE(IF($A38="S",IF(CAIXA.Modo,BM.AFAnterior,BM.MEDAnterior),IF(AND(_xlfn.SINGLE(RegimeExecucao)="Global",$I38&gt;0,COUNTIF($AB$13:$AM$13,BM.medicao-1)&gt;0),M38/$I38*100,0)))</f>
        <v>0</v>
      </c>
      <c r="K38" s="123">
        <f ca="1">L38-J38</f>
        <v>0</v>
      </c>
      <c r="L38" s="335" cm="1">
        <f t="array" aca="1" ref="L38" ca="1">_xlfn.SINGLE(IF($A38="S",IF(CAIXA.Modo,BM.AFAcumulado,BM.MEDAcumulado),IF(AND(_xlfn.SINGLE(RegimeExecucao)="Global",$I38&gt;0,COUNTIF($AB$13:$AM$13,BM.medicao)&gt;0),O38/$I38*100,0)))</f>
        <v>0</v>
      </c>
      <c r="M38" s="336">
        <f ca="1">IF($A38="S",VTOTALBM,IF($A38=0,0,ROUND(SomaAgrupBM,15-13*ORÇAMENTO!$AF$11)))</f>
        <v>0</v>
      </c>
      <c r="N38" s="337">
        <f ca="1">O38-M38</f>
        <v>0</v>
      </c>
      <c r="O38" s="126">
        <f ca="1">IF($A38="S",VTOTALBM,IF($A38=0,0,ROUND(SomaAgrupBM,15-13*ORÇAMENTO!$AF$11)))</f>
        <v>0</v>
      </c>
      <c r="Q38" s="338"/>
      <c r="R38" s="339"/>
      <c r="T38" s="118" t="str">
        <f ca="1">IF($W38&gt;0,$D38,"")</f>
        <v/>
      </c>
      <c r="U38" s="164" t="str">
        <f ca="1">IF($W38&gt;0,$E38,"")</f>
        <v/>
      </c>
      <c r="V38" s="165" t="str">
        <f ca="1">IF(AND($W38&gt;0,RegimeExecucao="Unitário"),$F38,"")</f>
        <v/>
      </c>
      <c r="W38" s="455">
        <f ca="1">IF($Y38&gt;0,CHOOSE(MATCH(RegimeExecucao,{"Unitário","Global"},0),IF($A38="S",$Y38/$X38,""),($Y38/$X38)*100),0)</f>
        <v>0</v>
      </c>
      <c r="X38" s="340" t="str">
        <f ca="1">IF($Y38&gt;0,CHOOSE(MATCH(RegimeExecucao,{"Unitário","Global"},0),IF($A38="S",ROUND($H38,ORÇAMENTO!$AF$10),""),ROUND($I38,ORÇAMENTO!$AF$11)),"")</f>
        <v/>
      </c>
      <c r="Y38" s="340">
        <f ca="1">AO38-O38</f>
        <v>0</v>
      </c>
      <c r="Z38" s="474"/>
      <c r="AB38" s="338"/>
      <c r="AC38" s="438"/>
      <c r="AD38" s="438"/>
      <c r="AE38" s="438"/>
      <c r="AF38" s="438"/>
      <c r="AG38" s="438"/>
      <c r="AH38" s="438"/>
      <c r="AI38" s="438"/>
      <c r="AJ38" s="438"/>
      <c r="AK38" s="438"/>
      <c r="AL38" s="438"/>
      <c r="AM38" s="339"/>
      <c r="AO38">
        <f ca="1">IF($A38="S",IF(BM!$I38=0,0,CHOOSE(MATCH(RegimeExecucao,{"Global","Unitário"},0),ROUND(ROUND(BM.MEDAcumulado,15-13*BM!$A$9)/100*BM!$I38,15-13*ORÇAMENTO!$AF$11),ROUND(ROUND(BM.MEDAcumulado,15-13*BM!$A$9)*ROUND(BM!$H38,15-13*ORÇAMENTO!$AF$10),15-13*ORÇAMENTO!$AF$11))),IF($A38=0,0,ROUND(SomaAgrupBM,15-13*ORÇAMENTO!$AF$11)))</f>
        <v>0</v>
      </c>
    </row>
    <row r="39" spans="1:41" ht="38.25" x14ac:dyDescent="0.2">
      <c r="A39" t="str">
        <f ca="1">ORÇAMENTO!C39</f>
        <v>S</v>
      </c>
      <c r="B39">
        <f ca="1">ORÇAMENTO!D39</f>
        <v>0</v>
      </c>
      <c r="C39" s="115" t="str">
        <f t="shared" ref="C39:C40" ca="1" si="28">IF(OR($I39&gt;0,$A39=1,$A39=2,$A39=3,$A39=4),"F","")</f>
        <v>F</v>
      </c>
      <c r="D39" s="118" t="str">
        <f ca="1">ORÇAMENTO!O39</f>
        <v>1.3.6.</v>
      </c>
      <c r="E39" s="164" t="str">
        <f ca="1">ORÇAMENTO.Descricao</f>
        <v>CAIXA COM GRELHA RETANGULAR DE FERRO FUNDIDO, EM ALVENARIA COM TIJOLOS CERÂMICOS MACIÇOS, DIMENSÕES INTERNAS: 0,15 X 1,00 X 0,3 M. AF_05/2025</v>
      </c>
      <c r="F39" s="165" t="str">
        <f ca="1">IF(RegimeExecucao="Global","",ORÇAMENTO.Unidade)</f>
        <v>UN</v>
      </c>
      <c r="G39" s="123">
        <f ca="1">IF(RegimeExecucao="Global","",ORÇAMENTO!T39)</f>
        <v>6</v>
      </c>
      <c r="H39" s="123">
        <f ca="1">IF(RegimeExecucao="Global","",ORÇAMENTO!W39)</f>
        <v>734.36</v>
      </c>
      <c r="I39" s="126">
        <f ca="1">ORÇAMENTO!X39</f>
        <v>4406.16</v>
      </c>
      <c r="J39" s="334" cm="1">
        <f t="array" aca="1" ref="J39" ca="1">_xlfn.SINGLE(IF($A39="S",IF(CAIXA.Modo,BM.AFAnterior,BM.MEDAnterior),IF(AND(_xlfn.SINGLE(RegimeExecucao)="Global",$I39&gt;0,COUNTIF($AB$13:$AM$13,BM.medicao-1)&gt;0),M39/$I39*100,0)))</f>
        <v>0</v>
      </c>
      <c r="K39" s="123">
        <f t="shared" ref="K39:K40" ca="1" si="29">L39-J39</f>
        <v>0</v>
      </c>
      <c r="L39" s="335" cm="1">
        <f t="array" aca="1" ref="L39" ca="1">_xlfn.SINGLE(IF($A39="S",IF(CAIXA.Modo,BM.AFAcumulado,BM.MEDAcumulado),IF(AND(_xlfn.SINGLE(RegimeExecucao)="Global",$I39&gt;0,COUNTIF($AB$13:$AM$13,BM.medicao)&gt;0),O39/$I39*100,0)))</f>
        <v>0</v>
      </c>
      <c r="M39" s="336">
        <f ca="1">IF($A39="S",VTOTALBM,IF($A39=0,0,ROUND(SomaAgrupBM,15-13*ORÇAMENTO!$AF$11)))</f>
        <v>0</v>
      </c>
      <c r="N39" s="337">
        <f t="shared" ref="N39:N40" ca="1" si="30">O39-M39</f>
        <v>0</v>
      </c>
      <c r="O39" s="126">
        <f ca="1">IF($A39="S",VTOTALBM,IF($A39=0,0,ROUND(SomaAgrupBM,15-13*ORÇAMENTO!$AF$11)))</f>
        <v>0</v>
      </c>
      <c r="Q39" s="338"/>
      <c r="R39" s="339"/>
      <c r="T39" s="118" t="str">
        <f t="shared" ref="T39:T40" ca="1" si="31">IF($W39&gt;0,$D39,"")</f>
        <v/>
      </c>
      <c r="U39" s="164" t="str">
        <f t="shared" ref="U39:U40" ca="1" si="32">IF($W39&gt;0,$E39,"")</f>
        <v/>
      </c>
      <c r="V39" s="165" t="str">
        <f ca="1">IF(AND($W39&gt;0,RegimeExecucao="Unitário"),$F39,"")</f>
        <v/>
      </c>
      <c r="W39" s="455">
        <f ca="1">IF($Y39&gt;0,CHOOSE(MATCH(RegimeExecucao,{"Unitário","Global"},0),IF($A39="S",$Y39/$X39,""),($Y39/$X39)*100),0)</f>
        <v>0</v>
      </c>
      <c r="X39" s="340" t="str">
        <f ca="1">IF($Y39&gt;0,CHOOSE(MATCH(RegimeExecucao,{"Unitário","Global"},0),IF($A39="S",ROUND($H39,ORÇAMENTO!$AF$10),""),ROUND($I39,ORÇAMENTO!$AF$11)),"")</f>
        <v/>
      </c>
      <c r="Y39" s="340">
        <f t="shared" ref="Y39:Y40" ca="1" si="33">AO39-O39</f>
        <v>0</v>
      </c>
      <c r="Z39" s="474"/>
      <c r="AB39" s="338"/>
      <c r="AC39" s="438"/>
      <c r="AD39" s="438"/>
      <c r="AE39" s="438"/>
      <c r="AF39" s="438"/>
      <c r="AG39" s="438"/>
      <c r="AH39" s="438"/>
      <c r="AI39" s="438"/>
      <c r="AJ39" s="438"/>
      <c r="AK39" s="438"/>
      <c r="AL39" s="438"/>
      <c r="AM39" s="339"/>
      <c r="AO39">
        <f ca="1">IF($A39="S",IF(BM!$I39=0,0,CHOOSE(MATCH(RegimeExecucao,{"Global","Unitário"},0),ROUND(ROUND(BM.MEDAcumulado,15-13*BM!$A$9)/100*BM!$I39,15-13*ORÇAMENTO!$AF$11),ROUND(ROUND(BM.MEDAcumulado,15-13*BM!$A$9)*ROUND(BM!$H39,15-13*ORÇAMENTO!$AF$10),15-13*ORÇAMENTO!$AF$11))),IF($A39=0,0,ROUND(SomaAgrupBM,15-13*ORÇAMENTO!$AF$11)))</f>
        <v>0</v>
      </c>
    </row>
    <row r="40" spans="1:41" ht="38.25" x14ac:dyDescent="0.2">
      <c r="A40" t="str">
        <f ca="1">ORÇAMENTO!C40</f>
        <v>S</v>
      </c>
      <c r="B40">
        <f ca="1">ORÇAMENTO!D40</f>
        <v>0</v>
      </c>
      <c r="C40" s="115" t="str">
        <f t="shared" ca="1" si="28"/>
        <v>F</v>
      </c>
      <c r="D40" s="118" t="str">
        <f ca="1">ORÇAMENTO!O40</f>
        <v>1.3.7.</v>
      </c>
      <c r="E40" s="164" t="str">
        <f ca="1">ORÇAMENTO.Descricao</f>
        <v>TUBO PVC, SÉRIE R, ÁGUA PLUVIAL, DN 75 MM, FORNECIDO E INSTALADO EM CONDUTORES VERTICAIS DE ÁGUAS PLUVIAIS. AF_06/2022</v>
      </c>
      <c r="F40" s="165" t="str">
        <f ca="1">IF(RegimeExecucao="Global","",ORÇAMENTO.Unidade)</f>
        <v>M</v>
      </c>
      <c r="G40" s="123">
        <f ca="1">IF(RegimeExecucao="Global","",ORÇAMENTO!T40)</f>
        <v>12</v>
      </c>
      <c r="H40" s="123">
        <f ca="1">IF(RegimeExecucao="Global","",ORÇAMENTO!W40)</f>
        <v>39.32</v>
      </c>
      <c r="I40" s="126">
        <f ca="1">ORÇAMENTO!X40</f>
        <v>471.84</v>
      </c>
      <c r="J40" s="334" cm="1">
        <f t="array" aca="1" ref="J40" ca="1">_xlfn.SINGLE(IF($A40="S",IF(CAIXA.Modo,BM.AFAnterior,BM.MEDAnterior),IF(AND(_xlfn.SINGLE(RegimeExecucao)="Global",$I40&gt;0,COUNTIF($AB$13:$AM$13,BM.medicao-1)&gt;0),M40/$I40*100,0)))</f>
        <v>0</v>
      </c>
      <c r="K40" s="123">
        <f t="shared" ca="1" si="29"/>
        <v>0</v>
      </c>
      <c r="L40" s="335" cm="1">
        <f t="array" aca="1" ref="L40" ca="1">_xlfn.SINGLE(IF($A40="S",IF(CAIXA.Modo,BM.AFAcumulado,BM.MEDAcumulado),IF(AND(_xlfn.SINGLE(RegimeExecucao)="Global",$I40&gt;0,COUNTIF($AB$13:$AM$13,BM.medicao)&gt;0),O40/$I40*100,0)))</f>
        <v>0</v>
      </c>
      <c r="M40" s="336">
        <f ca="1">IF($A40="S",VTOTALBM,IF($A40=0,0,ROUND(SomaAgrupBM,15-13*ORÇAMENTO!$AF$11)))</f>
        <v>0</v>
      </c>
      <c r="N40" s="337">
        <f t="shared" ca="1" si="30"/>
        <v>0</v>
      </c>
      <c r="O40" s="126">
        <f ca="1">IF($A40="S",VTOTALBM,IF($A40=0,0,ROUND(SomaAgrupBM,15-13*ORÇAMENTO!$AF$11)))</f>
        <v>0</v>
      </c>
      <c r="Q40" s="338"/>
      <c r="R40" s="339"/>
      <c r="T40" s="118" t="str">
        <f t="shared" ca="1" si="31"/>
        <v/>
      </c>
      <c r="U40" s="164" t="str">
        <f t="shared" ca="1" si="32"/>
        <v/>
      </c>
      <c r="V40" s="165" t="str">
        <f ca="1">IF(AND($W40&gt;0,RegimeExecucao="Unitário"),$F40,"")</f>
        <v/>
      </c>
      <c r="W40" s="455">
        <f ca="1">IF($Y40&gt;0,CHOOSE(MATCH(RegimeExecucao,{"Unitário","Global"},0),IF($A40="S",$Y40/$X40,""),($Y40/$X40)*100),0)</f>
        <v>0</v>
      </c>
      <c r="X40" s="340" t="str">
        <f ca="1">IF($Y40&gt;0,CHOOSE(MATCH(RegimeExecucao,{"Unitário","Global"},0),IF($A40="S",ROUND($H40,ORÇAMENTO!$AF$10),""),ROUND($I40,ORÇAMENTO!$AF$11)),"")</f>
        <v/>
      </c>
      <c r="Y40" s="340">
        <f t="shared" ca="1" si="33"/>
        <v>0</v>
      </c>
      <c r="Z40" s="474"/>
      <c r="AB40" s="338"/>
      <c r="AC40" s="438"/>
      <c r="AD40" s="438"/>
      <c r="AE40" s="438"/>
      <c r="AF40" s="438"/>
      <c r="AG40" s="438"/>
      <c r="AH40" s="438"/>
      <c r="AI40" s="438"/>
      <c r="AJ40" s="438"/>
      <c r="AK40" s="438"/>
      <c r="AL40" s="438"/>
      <c r="AM40" s="339"/>
      <c r="AO40">
        <f ca="1">IF($A40="S",IF(BM!$I40=0,0,CHOOSE(MATCH(RegimeExecucao,{"Global","Unitário"},0),ROUND(ROUND(BM.MEDAcumulado,15-13*BM!$A$9)/100*BM!$I40,15-13*ORÇAMENTO!$AF$11),ROUND(ROUND(BM.MEDAcumulado,15-13*BM!$A$9)*ROUND(BM!$H40,15-13*ORÇAMENTO!$AF$10),15-13*ORÇAMENTO!$AF$11))),IF($A40=0,0,ROUND(SomaAgrupBM,15-13*ORÇAMENTO!$AF$11)))</f>
        <v>0</v>
      </c>
    </row>
    <row r="41" spans="1:41" x14ac:dyDescent="0.2">
      <c r="A41">
        <f ca="1">ORÇAMENTO!C41</f>
        <v>2</v>
      </c>
      <c r="B41">
        <f ca="1">ORÇAMENTO!D41</f>
        <v>7</v>
      </c>
      <c r="C41" s="115" t="str">
        <f ca="1">IF(OR($I41&gt;0,$A41=1,$A41=2,$A41=3,$A41=4),"F","")</f>
        <v>F</v>
      </c>
      <c r="D41" s="118" t="str">
        <f ca="1">ORÇAMENTO!O41</f>
        <v>1.4.</v>
      </c>
      <c r="E41" s="164" t="str">
        <f t="shared" si="22"/>
        <v xml:space="preserve">PAREDES E MURROS </v>
      </c>
      <c r="F41" s="165" t="str">
        <f ca="1">IF(RegimeExecucao="Global","",ORÇAMENTO.Unidade)</f>
        <v>-</v>
      </c>
      <c r="G41" s="123">
        <f ca="1">IF(RegimeExecucao="Global","",ORÇAMENTO!T41)</f>
        <v>0</v>
      </c>
      <c r="H41" s="123">
        <f ca="1">IF(RegimeExecucao="Global","",ORÇAMENTO!W41)</f>
        <v>0</v>
      </c>
      <c r="I41" s="126">
        <f ca="1">ORÇAMENTO!X41</f>
        <v>15699.13</v>
      </c>
      <c r="J41" s="334" cm="1">
        <f t="array" aca="1" ref="J41" ca="1">_xlfn.SINGLE(IF($A41="S",IF(CAIXA.Modo,BM.AFAnterior,BM.MEDAnterior),IF(AND(_xlfn.SINGLE(RegimeExecucao)="Global",$I41&gt;0,COUNTIF($AB$13:$AM$13,BM.medicao-1)&gt;0),M41/$I41*100,0)))</f>
        <v>0</v>
      </c>
      <c r="K41" s="123">
        <f ca="1">L41-J41</f>
        <v>0</v>
      </c>
      <c r="L41" s="335" cm="1">
        <f t="array" aca="1" ref="L41" ca="1">_xlfn.SINGLE(IF($A41="S",IF(CAIXA.Modo,BM.AFAcumulado,BM.MEDAcumulado),IF(AND(_xlfn.SINGLE(RegimeExecucao)="Global",$I41&gt;0,COUNTIF($AB$13:$AM$13,BM.medicao)&gt;0),O41/$I41*100,0)))</f>
        <v>0</v>
      </c>
      <c r="M41" s="336">
        <f ca="1">IF($A41="S",VTOTALBM,IF($A41=0,0,ROUND(SomaAgrupBM,15-13*ORÇAMENTO!$AF$11)))</f>
        <v>0</v>
      </c>
      <c r="N41" s="337">
        <f ca="1">O41-M41</f>
        <v>0</v>
      </c>
      <c r="O41" s="126">
        <f ca="1">IF($A41="S",VTOTALBM,IF($A41=0,0,ROUND(SomaAgrupBM,15-13*ORÇAMENTO!$AF$11)))</f>
        <v>0</v>
      </c>
      <c r="Q41" s="338"/>
      <c r="R41" s="339"/>
      <c r="T41" s="118" t="str">
        <f ca="1">IF($W41&gt;0,$D41,"")</f>
        <v/>
      </c>
      <c r="U41" s="164" t="str">
        <f ca="1">IF($W41&gt;0,$E41,"")</f>
        <v/>
      </c>
      <c r="V41" s="165" t="str">
        <f ca="1">IF(AND($W41&gt;0,RegimeExecucao="Unitário"),$F41,"")</f>
        <v/>
      </c>
      <c r="W41" s="455">
        <f ca="1">IF($Y41&gt;0,CHOOSE(MATCH(RegimeExecucao,{"Unitário","Global"},0),IF($A41="S",$Y41/$X41,""),($Y41/$X41)*100),0)</f>
        <v>0</v>
      </c>
      <c r="X41" s="340" t="str">
        <f ca="1">IF($Y41&gt;0,CHOOSE(MATCH(RegimeExecucao,{"Unitário","Global"},0),IF($A41="S",ROUND($H41,ORÇAMENTO!$AF$10),""),ROUND($I41,ORÇAMENTO!$AF$11)),"")</f>
        <v/>
      </c>
      <c r="Y41" s="340">
        <f ca="1">AO41-O41</f>
        <v>0</v>
      </c>
      <c r="Z41" s="474"/>
      <c r="AB41" s="338"/>
      <c r="AC41" s="438"/>
      <c r="AD41" s="438"/>
      <c r="AE41" s="438"/>
      <c r="AF41" s="438"/>
      <c r="AG41" s="438"/>
      <c r="AH41" s="438"/>
      <c r="AI41" s="438"/>
      <c r="AJ41" s="438"/>
      <c r="AK41" s="438"/>
      <c r="AL41" s="438"/>
      <c r="AM41" s="339"/>
      <c r="AO41">
        <f ca="1">IF($A41="S",IF(BM!$I41=0,0,CHOOSE(MATCH(RegimeExecucao,{"Global","Unitário"},0),ROUND(ROUND(BM.MEDAcumulado,15-13*BM!$A$9)/100*BM!$I41,15-13*ORÇAMENTO!$AF$11),ROUND(ROUND(BM.MEDAcumulado,15-13*BM!$A$9)*ROUND(BM!$H41,15-13*ORÇAMENTO!$AF$10),15-13*ORÇAMENTO!$AF$11))),IF($A41=0,0,ROUND(SomaAgrupBM,15-13*ORÇAMENTO!$AF$11)))</f>
        <v>0</v>
      </c>
    </row>
    <row r="42" spans="1:41" ht="25.5" x14ac:dyDescent="0.2">
      <c r="A42" t="str">
        <f ca="1">ORÇAMENTO!C42</f>
        <v>S</v>
      </c>
      <c r="B42">
        <f ca="1">ORÇAMENTO!D42</f>
        <v>0</v>
      </c>
      <c r="C42" s="115" t="str">
        <f t="shared" ref="C42:C56" ca="1" si="34">IF(OR($I42&gt;0,$A42=1,$A42=2,$A42=3,$A42=4),"F","")</f>
        <v>F</v>
      </c>
      <c r="D42" s="118" t="str">
        <f ca="1">ORÇAMENTO!O42</f>
        <v>1.4.1.</v>
      </c>
      <c r="E42" s="164" t="str">
        <f t="shared" ca="1" si="22"/>
        <v>PINTURA LÁTEX ACRÍLICA PREMIUM, APLICAÇÃO MANUAL EM PAREDES, DUAS DEMÃOS. AF_04/2023</v>
      </c>
      <c r="F42" s="165" t="str">
        <f ca="1">IF(RegimeExecucao="Global","",ORÇAMENTO.Unidade)</f>
        <v>M2</v>
      </c>
      <c r="G42" s="123">
        <f ca="1">IF(RegimeExecucao="Global","",ORÇAMENTO!T42)</f>
        <v>590</v>
      </c>
      <c r="H42" s="123">
        <f ca="1">IF(RegimeExecucao="Global","",ORÇAMENTO!W42)</f>
        <v>15.97</v>
      </c>
      <c r="I42" s="126">
        <f ca="1">ORÇAMENTO!X42</f>
        <v>9422.2999999999993</v>
      </c>
      <c r="J42" s="334" cm="1">
        <f t="array" aca="1" ref="J42" ca="1">_xlfn.SINGLE(IF($A42="S",IF(CAIXA.Modo,BM.AFAnterior,BM.MEDAnterior),IF(AND(_xlfn.SINGLE(RegimeExecucao)="Global",$I42&gt;0,COUNTIF($AB$13:$AM$13,BM.medicao-1)&gt;0),M42/$I42*100,0)))</f>
        <v>0</v>
      </c>
      <c r="K42" s="123">
        <f t="shared" ref="K42:K56" ca="1" si="35">L42-J42</f>
        <v>0</v>
      </c>
      <c r="L42" s="335" cm="1">
        <f t="array" aca="1" ref="L42" ca="1">_xlfn.SINGLE(IF($A42="S",IF(CAIXA.Modo,BM.AFAcumulado,BM.MEDAcumulado),IF(AND(_xlfn.SINGLE(RegimeExecucao)="Global",$I42&gt;0,COUNTIF($AB$13:$AM$13,BM.medicao)&gt;0),O42/$I42*100,0)))</f>
        <v>0</v>
      </c>
      <c r="M42" s="336">
        <f ca="1">IF($A42="S",VTOTALBM,IF($A42=0,0,ROUND(SomaAgrupBM,15-13*ORÇAMENTO!$AF$11)))</f>
        <v>0</v>
      </c>
      <c r="N42" s="337">
        <f t="shared" ref="N42:N56" ca="1" si="36">O42-M42</f>
        <v>0</v>
      </c>
      <c r="O42" s="126">
        <f ca="1">IF($A42="S",VTOTALBM,IF($A42=0,0,ROUND(SomaAgrupBM,15-13*ORÇAMENTO!$AF$11)))</f>
        <v>0</v>
      </c>
      <c r="Q42" s="338"/>
      <c r="R42" s="339"/>
      <c r="T42" s="118" t="str">
        <f t="shared" ref="T42:T56" ca="1" si="37">IF($W42&gt;0,$D42,"")</f>
        <v/>
      </c>
      <c r="U42" s="164" t="str">
        <f t="shared" ref="U42:U56" ca="1" si="38">IF($W42&gt;0,$E42,"")</f>
        <v/>
      </c>
      <c r="V42" s="165" t="str">
        <f ca="1">IF(AND($W42&gt;0,RegimeExecucao="Unitário"),$F42,"")</f>
        <v/>
      </c>
      <c r="W42" s="455">
        <f ca="1">IF($Y42&gt;0,CHOOSE(MATCH(RegimeExecucao,{"Unitário","Global"},0),IF($A42="S",$Y42/$X42,""),($Y42/$X42)*100),0)</f>
        <v>0</v>
      </c>
      <c r="X42" s="340" t="str">
        <f ca="1">IF($Y42&gt;0,CHOOSE(MATCH(RegimeExecucao,{"Unitário","Global"},0),IF($A42="S",ROUND($H42,ORÇAMENTO!$AF$10),""),ROUND($I42,ORÇAMENTO!$AF$11)),"")</f>
        <v/>
      </c>
      <c r="Y42" s="340">
        <f t="shared" ref="Y42:Y56" ca="1" si="39">AO42-O42</f>
        <v>0</v>
      </c>
      <c r="Z42" s="474"/>
      <c r="AB42" s="338"/>
      <c r="AC42" s="438"/>
      <c r="AD42" s="438"/>
      <c r="AE42" s="438"/>
      <c r="AF42" s="438"/>
      <c r="AG42" s="438"/>
      <c r="AH42" s="438"/>
      <c r="AI42" s="438"/>
      <c r="AJ42" s="438"/>
      <c r="AK42" s="438"/>
      <c r="AL42" s="438"/>
      <c r="AM42" s="339"/>
      <c r="AO42">
        <f ca="1">IF($A42="S",IF(BM!$I42=0,0,CHOOSE(MATCH(RegimeExecucao,{"Global","Unitário"},0),ROUND(ROUND(BM.MEDAcumulado,15-13*BM!$A$9)/100*BM!$I42,15-13*ORÇAMENTO!$AF$11),ROUND(ROUND(BM.MEDAcumulado,15-13*BM!$A$9)*ROUND(BM!$H42,15-13*ORÇAMENTO!$AF$10),15-13*ORÇAMENTO!$AF$11))),IF($A42=0,0,ROUND(SomaAgrupBM,15-13*ORÇAMENTO!$AF$11)))</f>
        <v>0</v>
      </c>
    </row>
    <row r="43" spans="1:41" ht="25.5" x14ac:dyDescent="0.2">
      <c r="A43" t="str">
        <f ca="1">ORÇAMENTO!C43</f>
        <v>S</v>
      </c>
      <c r="B43">
        <f ca="1">ORÇAMENTO!D43</f>
        <v>0</v>
      </c>
      <c r="C43" s="115" t="str">
        <f t="shared" ca="1" si="34"/>
        <v>F</v>
      </c>
      <c r="D43" s="118" t="str">
        <f ca="1">ORÇAMENTO!O43</f>
        <v>1.4.2.</v>
      </c>
      <c r="E43" s="164" t="str">
        <f t="shared" ca="1" si="22"/>
        <v>APLICAÇÃO MANUAL DE FUNDO SELADOR ACRÍLICO EM PAREDES EXTERNAS DE CASAS. AF_03/2024</v>
      </c>
      <c r="F43" s="165" t="str">
        <f ca="1">IF(RegimeExecucao="Global","",ORÇAMENTO.Unidade)</f>
        <v>M2</v>
      </c>
      <c r="G43" s="123">
        <f ca="1">IF(RegimeExecucao="Global","",ORÇAMENTO!T43)</f>
        <v>7</v>
      </c>
      <c r="H43" s="123">
        <f ca="1">IF(RegimeExecucao="Global","",ORÇAMENTO!W43)</f>
        <v>5.22</v>
      </c>
      <c r="I43" s="126">
        <f ca="1">ORÇAMENTO!X43</f>
        <v>36.54</v>
      </c>
      <c r="J43" s="334" cm="1">
        <f t="array" aca="1" ref="J43" ca="1">_xlfn.SINGLE(IF($A43="S",IF(CAIXA.Modo,BM.AFAnterior,BM.MEDAnterior),IF(AND(_xlfn.SINGLE(RegimeExecucao)="Global",$I43&gt;0,COUNTIF($AB$13:$AM$13,BM.medicao-1)&gt;0),M43/$I43*100,0)))</f>
        <v>0</v>
      </c>
      <c r="K43" s="123">
        <f t="shared" ca="1" si="35"/>
        <v>0</v>
      </c>
      <c r="L43" s="335" cm="1">
        <f t="array" aca="1" ref="L43" ca="1">_xlfn.SINGLE(IF($A43="S",IF(CAIXA.Modo,BM.AFAcumulado,BM.MEDAcumulado),IF(AND(_xlfn.SINGLE(RegimeExecucao)="Global",$I43&gt;0,COUNTIF($AB$13:$AM$13,BM.medicao)&gt;0),O43/$I43*100,0)))</f>
        <v>0</v>
      </c>
      <c r="M43" s="336">
        <f ca="1">IF($A43="S",VTOTALBM,IF($A43=0,0,ROUND(SomaAgrupBM,15-13*ORÇAMENTO!$AF$11)))</f>
        <v>0</v>
      </c>
      <c r="N43" s="337">
        <f t="shared" ca="1" si="36"/>
        <v>0</v>
      </c>
      <c r="O43" s="126">
        <f ca="1">IF($A43="S",VTOTALBM,IF($A43=0,0,ROUND(SomaAgrupBM,15-13*ORÇAMENTO!$AF$11)))</f>
        <v>0</v>
      </c>
      <c r="Q43" s="338"/>
      <c r="R43" s="339"/>
      <c r="T43" s="118" t="str">
        <f t="shared" ca="1" si="37"/>
        <v/>
      </c>
      <c r="U43" s="164" t="str">
        <f t="shared" ca="1" si="38"/>
        <v/>
      </c>
      <c r="V43" s="165" t="str">
        <f ca="1">IF(AND($W43&gt;0,RegimeExecucao="Unitário"),$F43,"")</f>
        <v/>
      </c>
      <c r="W43" s="455">
        <f ca="1">IF($Y43&gt;0,CHOOSE(MATCH(RegimeExecucao,{"Unitário","Global"},0),IF($A43="S",$Y43/$X43,""),($Y43/$X43)*100),0)</f>
        <v>0</v>
      </c>
      <c r="X43" s="340" t="str">
        <f ca="1">IF($Y43&gt;0,CHOOSE(MATCH(RegimeExecucao,{"Unitário","Global"},0),IF($A43="S",ROUND($H43,ORÇAMENTO!$AF$10),""),ROUND($I43,ORÇAMENTO!$AF$11)),"")</f>
        <v/>
      </c>
      <c r="Y43" s="340">
        <f t="shared" ca="1" si="39"/>
        <v>0</v>
      </c>
      <c r="Z43" s="474"/>
      <c r="AB43" s="338"/>
      <c r="AC43" s="438"/>
      <c r="AD43" s="438"/>
      <c r="AE43" s="438"/>
      <c r="AF43" s="438"/>
      <c r="AG43" s="438"/>
      <c r="AH43" s="438"/>
      <c r="AI43" s="438"/>
      <c r="AJ43" s="438"/>
      <c r="AK43" s="438"/>
      <c r="AL43" s="438"/>
      <c r="AM43" s="339"/>
      <c r="AO43">
        <f ca="1">IF($A43="S",IF(BM!$I43=0,0,CHOOSE(MATCH(RegimeExecucao,{"Global","Unitário"},0),ROUND(ROUND(BM.MEDAcumulado,15-13*BM!$A$9)/100*BM!$I43,15-13*ORÇAMENTO!$AF$11),ROUND(ROUND(BM.MEDAcumulado,15-13*BM!$A$9)*ROUND(BM!$H43,15-13*ORÇAMENTO!$AF$10),15-13*ORÇAMENTO!$AF$11))),IF($A43=0,0,ROUND(SomaAgrupBM,15-13*ORÇAMENTO!$AF$11)))</f>
        <v>0</v>
      </c>
    </row>
    <row r="44" spans="1:41" x14ac:dyDescent="0.2">
      <c r="A44" t="str">
        <f ca="1">ORÇAMENTO!C44</f>
        <v>S</v>
      </c>
      <c r="B44">
        <f ca="1">ORÇAMENTO!D44</f>
        <v>0</v>
      </c>
      <c r="C44" s="115" t="str">
        <f ca="1">IF(OR($I44&gt;0,$A44=1,$A44=2,$A44=3,$A44=4),"F","")</f>
        <v>F</v>
      </c>
      <c r="D44" s="118" t="str">
        <f ca="1">ORÇAMENTO!O44</f>
        <v>1.4.3.</v>
      </c>
      <c r="E44" s="164" t="str">
        <f ca="1">ORÇAMENTO.Descricao</f>
        <v>PINTOR COM ENCARGOS COMPLEMENTARES</v>
      </c>
      <c r="F44" s="165" t="str">
        <f ca="1">IF(RegimeExecucao="Global","",ORÇAMENTO.Unidade)</f>
        <v>H</v>
      </c>
      <c r="G44" s="123">
        <f ca="1">IF(RegimeExecucao="Global","",ORÇAMENTO!T44)</f>
        <v>80</v>
      </c>
      <c r="H44" s="123">
        <f ca="1">IF(RegimeExecucao="Global","",ORÇAMENTO!W44)</f>
        <v>35.5</v>
      </c>
      <c r="I44" s="126">
        <f ca="1">ORÇAMENTO!X44</f>
        <v>2840</v>
      </c>
      <c r="J44" s="334" cm="1">
        <f t="array" aca="1" ref="J44" ca="1">_xlfn.SINGLE(IF($A44="S",IF(CAIXA.Modo,BM.AFAnterior,BM.MEDAnterior),IF(AND(_xlfn.SINGLE(RegimeExecucao)="Global",$I44&gt;0,COUNTIF($AB$13:$AM$13,BM.medicao-1)&gt;0),M44/$I44*100,0)))</f>
        <v>0</v>
      </c>
      <c r="K44" s="123">
        <f ca="1">L44-J44</f>
        <v>0</v>
      </c>
      <c r="L44" s="335" cm="1">
        <f t="array" aca="1" ref="L44" ca="1">_xlfn.SINGLE(IF($A44="S",IF(CAIXA.Modo,BM.AFAcumulado,BM.MEDAcumulado),IF(AND(_xlfn.SINGLE(RegimeExecucao)="Global",$I44&gt;0,COUNTIF($AB$13:$AM$13,BM.medicao)&gt;0),O44/$I44*100,0)))</f>
        <v>0</v>
      </c>
      <c r="M44" s="336">
        <f ca="1">IF($A44="S",VTOTALBM,IF($A44=0,0,ROUND(SomaAgrupBM,15-13*ORÇAMENTO!$AF$11)))</f>
        <v>0</v>
      </c>
      <c r="N44" s="337">
        <f ca="1">O44-M44</f>
        <v>0</v>
      </c>
      <c r="O44" s="126">
        <f ca="1">IF($A44="S",VTOTALBM,IF($A44=0,0,ROUND(SomaAgrupBM,15-13*ORÇAMENTO!$AF$11)))</f>
        <v>0</v>
      </c>
      <c r="Q44" s="338"/>
      <c r="R44" s="339"/>
      <c r="T44" s="118" t="str">
        <f ca="1">IF($W44&gt;0,$D44,"")</f>
        <v/>
      </c>
      <c r="U44" s="164" t="str">
        <f ca="1">IF($W44&gt;0,$E44,"")</f>
        <v/>
      </c>
      <c r="V44" s="165" t="str">
        <f ca="1">IF(AND($W44&gt;0,RegimeExecucao="Unitário"),$F44,"")</f>
        <v/>
      </c>
      <c r="W44" s="455">
        <f ca="1">IF($Y44&gt;0,CHOOSE(MATCH(RegimeExecucao,{"Unitário","Global"},0),IF($A44="S",$Y44/$X44,""),($Y44/$X44)*100),0)</f>
        <v>0</v>
      </c>
      <c r="X44" s="340" t="str">
        <f ca="1">IF($Y44&gt;0,CHOOSE(MATCH(RegimeExecucao,{"Unitário","Global"},0),IF($A44="S",ROUND($H44,ORÇAMENTO!$AF$10),""),ROUND($I44,ORÇAMENTO!$AF$11)),"")</f>
        <v/>
      </c>
      <c r="Y44" s="340">
        <f ca="1">AO44-O44</f>
        <v>0</v>
      </c>
      <c r="Z44" s="474"/>
      <c r="AB44" s="338"/>
      <c r="AC44" s="438"/>
      <c r="AD44" s="438"/>
      <c r="AE44" s="438"/>
      <c r="AF44" s="438"/>
      <c r="AG44" s="438"/>
      <c r="AH44" s="438"/>
      <c r="AI44" s="438"/>
      <c r="AJ44" s="438"/>
      <c r="AK44" s="438"/>
      <c r="AL44" s="438"/>
      <c r="AM44" s="339"/>
      <c r="AO44">
        <f ca="1">IF($A44="S",IF(BM!$I44=0,0,CHOOSE(MATCH(RegimeExecucao,{"Global","Unitário"},0),ROUND(ROUND(BM.MEDAcumulado,15-13*BM!$A$9)/100*BM!$I44,15-13*ORÇAMENTO!$AF$11),ROUND(ROUND(BM.MEDAcumulado,15-13*BM!$A$9)*ROUND(BM!$H44,15-13*ORÇAMENTO!$AF$10),15-13*ORÇAMENTO!$AF$11))),IF($A44=0,0,ROUND(SomaAgrupBM,15-13*ORÇAMENTO!$AF$11)))</f>
        <v>0</v>
      </c>
    </row>
    <row r="45" spans="1:41" x14ac:dyDescent="0.2">
      <c r="A45" t="str">
        <f ca="1">ORÇAMENTO!C45</f>
        <v>S</v>
      </c>
      <c r="B45">
        <f ca="1">ORÇAMENTO!D45</f>
        <v>0</v>
      </c>
      <c r="C45" s="115" t="str">
        <f ca="1">IF(OR($I45&gt;0,$A45=1,$A45=2,$A45=3,$A45=4),"F","")</f>
        <v>F</v>
      </c>
      <c r="D45" s="118" t="str">
        <f ca="1">ORÇAMENTO!O45</f>
        <v>1.4.4.</v>
      </c>
      <c r="E45" s="164" t="str">
        <f ca="1">ORÇAMENTO.Descricao</f>
        <v>AJUDANTE DE PINTOR COM ENCARGOS COMPLEMENTARES</v>
      </c>
      <c r="F45" s="165" t="str">
        <f ca="1">IF(RegimeExecucao="Global","",ORÇAMENTO.Unidade)</f>
        <v>H</v>
      </c>
      <c r="G45" s="123">
        <f ca="1">IF(RegimeExecucao="Global","",ORÇAMENTO!T45)</f>
        <v>80</v>
      </c>
      <c r="H45" s="123">
        <f ca="1">IF(RegimeExecucao="Global","",ORÇAMENTO!W45)</f>
        <v>31.49</v>
      </c>
      <c r="I45" s="126">
        <f ca="1">ORÇAMENTO!X45</f>
        <v>2519.1999999999998</v>
      </c>
      <c r="J45" s="334" cm="1">
        <f t="array" aca="1" ref="J45" ca="1">_xlfn.SINGLE(IF($A45="S",IF(CAIXA.Modo,BM.AFAnterior,BM.MEDAnterior),IF(AND(_xlfn.SINGLE(RegimeExecucao)="Global",$I45&gt;0,COUNTIF($AB$13:$AM$13,BM.medicao-1)&gt;0),M45/$I45*100,0)))</f>
        <v>0</v>
      </c>
      <c r="K45" s="123">
        <f ca="1">L45-J45</f>
        <v>0</v>
      </c>
      <c r="L45" s="335" cm="1">
        <f t="array" aca="1" ref="L45" ca="1">_xlfn.SINGLE(IF($A45="S",IF(CAIXA.Modo,BM.AFAcumulado,BM.MEDAcumulado),IF(AND(_xlfn.SINGLE(RegimeExecucao)="Global",$I45&gt;0,COUNTIF($AB$13:$AM$13,BM.medicao)&gt;0),O45/$I45*100,0)))</f>
        <v>0</v>
      </c>
      <c r="M45" s="336">
        <f ca="1">IF($A45="S",VTOTALBM,IF($A45=0,0,ROUND(SomaAgrupBM,15-13*ORÇAMENTO!$AF$11)))</f>
        <v>0</v>
      </c>
      <c r="N45" s="337">
        <f ca="1">O45-M45</f>
        <v>0</v>
      </c>
      <c r="O45" s="126">
        <f ca="1">IF($A45="S",VTOTALBM,IF($A45=0,0,ROUND(SomaAgrupBM,15-13*ORÇAMENTO!$AF$11)))</f>
        <v>0</v>
      </c>
      <c r="Q45" s="338"/>
      <c r="R45" s="339"/>
      <c r="T45" s="118" t="str">
        <f ca="1">IF($W45&gt;0,$D45,"")</f>
        <v/>
      </c>
      <c r="U45" s="164" t="str">
        <f ca="1">IF($W45&gt;0,$E45,"")</f>
        <v/>
      </c>
      <c r="V45" s="165" t="str">
        <f ca="1">IF(AND($W45&gt;0,RegimeExecucao="Unitário"),$F45,"")</f>
        <v/>
      </c>
      <c r="W45" s="455">
        <f ca="1">IF($Y45&gt;0,CHOOSE(MATCH(RegimeExecucao,{"Unitário","Global"},0),IF($A45="S",$Y45/$X45,""),($Y45/$X45)*100),0)</f>
        <v>0</v>
      </c>
      <c r="X45" s="340" t="str">
        <f ca="1">IF($Y45&gt;0,CHOOSE(MATCH(RegimeExecucao,{"Unitário","Global"},0),IF($A45="S",ROUND($H45,ORÇAMENTO!$AF$10),""),ROUND($I45,ORÇAMENTO!$AF$11)),"")</f>
        <v/>
      </c>
      <c r="Y45" s="340">
        <f ca="1">AO45-O45</f>
        <v>0</v>
      </c>
      <c r="Z45" s="474"/>
      <c r="AB45" s="338"/>
      <c r="AC45" s="438"/>
      <c r="AD45" s="438"/>
      <c r="AE45" s="438"/>
      <c r="AF45" s="438"/>
      <c r="AG45" s="438"/>
      <c r="AH45" s="438"/>
      <c r="AI45" s="438"/>
      <c r="AJ45" s="438"/>
      <c r="AK45" s="438"/>
      <c r="AL45" s="438"/>
      <c r="AM45" s="339"/>
      <c r="AO45">
        <f ca="1">IF($A45="S",IF(BM!$I45=0,0,CHOOSE(MATCH(RegimeExecucao,{"Global","Unitário"},0),ROUND(ROUND(BM.MEDAcumulado,15-13*BM!$A$9)/100*BM!$I45,15-13*ORÇAMENTO!$AF$11),ROUND(ROUND(BM.MEDAcumulado,15-13*BM!$A$9)*ROUND(BM!$H45,15-13*ORÇAMENTO!$AF$10),15-13*ORÇAMENTO!$AF$11))),IF($A45=0,0,ROUND(SomaAgrupBM,15-13*ORÇAMENTO!$AF$11)))</f>
        <v>0</v>
      </c>
    </row>
    <row r="46" spans="1:41" ht="51" x14ac:dyDescent="0.2">
      <c r="A46" t="str">
        <f ca="1">ORÇAMENTO!C46</f>
        <v>S</v>
      </c>
      <c r="B46">
        <f ca="1">ORÇAMENTO!D46</f>
        <v>0</v>
      </c>
      <c r="C46" s="115" t="str">
        <f t="shared" ca="1" si="34"/>
        <v>F</v>
      </c>
      <c r="D46" s="118" t="str">
        <f ca="1">ORÇAMENTO!O46</f>
        <v>1.4.5.</v>
      </c>
      <c r="E46" s="164" t="str">
        <f t="shared" ca="1" si="22"/>
        <v>ALVENARIA DE VEDAÇÃO DE BLOCOS CERÂMICOS FURADOS NA HORIZONTAL DE 11,5X19X39 CM (ESPESSURA 11,5 CM) E ARGAMASSA DE ASSENTAMENTO COM PREPARO EM BETONEIRA. AF_12/2021</v>
      </c>
      <c r="F46" s="165" t="str">
        <f ca="1">IF(RegimeExecucao="Global","",ORÇAMENTO.Unidade)</f>
        <v>M2</v>
      </c>
      <c r="G46" s="123">
        <f ca="1">IF(RegimeExecucao="Global","",ORÇAMENTO!T46)</f>
        <v>7</v>
      </c>
      <c r="H46" s="123">
        <f ca="1">IF(RegimeExecucao="Global","",ORÇAMENTO!W46)</f>
        <v>74.760000000000005</v>
      </c>
      <c r="I46" s="126">
        <f ca="1">ORÇAMENTO!X46</f>
        <v>523.32000000000005</v>
      </c>
      <c r="J46" s="334" cm="1">
        <f t="array" aca="1" ref="J46" ca="1">_xlfn.SINGLE(IF($A46="S",IF(CAIXA.Modo,BM.AFAnterior,BM.MEDAnterior),IF(AND(_xlfn.SINGLE(RegimeExecucao)="Global",$I46&gt;0,COUNTIF($AB$13:$AM$13,BM.medicao-1)&gt;0),M46/$I46*100,0)))</f>
        <v>0</v>
      </c>
      <c r="K46" s="123">
        <f t="shared" ca="1" si="35"/>
        <v>0</v>
      </c>
      <c r="L46" s="335" cm="1">
        <f t="array" aca="1" ref="L46" ca="1">_xlfn.SINGLE(IF($A46="S",IF(CAIXA.Modo,BM.AFAcumulado,BM.MEDAcumulado),IF(AND(_xlfn.SINGLE(RegimeExecucao)="Global",$I46&gt;0,COUNTIF($AB$13:$AM$13,BM.medicao)&gt;0),O46/$I46*100,0)))</f>
        <v>0</v>
      </c>
      <c r="M46" s="336">
        <f ca="1">IF($A46="S",VTOTALBM,IF($A46=0,0,ROUND(SomaAgrupBM,15-13*ORÇAMENTO!$AF$11)))</f>
        <v>0</v>
      </c>
      <c r="N46" s="337">
        <f t="shared" ca="1" si="36"/>
        <v>0</v>
      </c>
      <c r="O46" s="126">
        <f ca="1">IF($A46="S",VTOTALBM,IF($A46=0,0,ROUND(SomaAgrupBM,15-13*ORÇAMENTO!$AF$11)))</f>
        <v>0</v>
      </c>
      <c r="Q46" s="338"/>
      <c r="R46" s="339"/>
      <c r="T46" s="118" t="str">
        <f t="shared" ca="1" si="37"/>
        <v/>
      </c>
      <c r="U46" s="164" t="str">
        <f t="shared" ca="1" si="38"/>
        <v/>
      </c>
      <c r="V46" s="165" t="str">
        <f ca="1">IF(AND($W46&gt;0,RegimeExecucao="Unitário"),$F46,"")</f>
        <v/>
      </c>
      <c r="W46" s="455">
        <f ca="1">IF($Y46&gt;0,CHOOSE(MATCH(RegimeExecucao,{"Unitário","Global"},0),IF($A46="S",$Y46/$X46,""),($Y46/$X46)*100),0)</f>
        <v>0</v>
      </c>
      <c r="X46" s="340" t="str">
        <f ca="1">IF($Y46&gt;0,CHOOSE(MATCH(RegimeExecucao,{"Unitário","Global"},0),IF($A46="S",ROUND($H46,ORÇAMENTO!$AF$10),""),ROUND($I46,ORÇAMENTO!$AF$11)),"")</f>
        <v/>
      </c>
      <c r="Y46" s="340">
        <f t="shared" ca="1" si="39"/>
        <v>0</v>
      </c>
      <c r="Z46" s="474"/>
      <c r="AB46" s="338"/>
      <c r="AC46" s="438"/>
      <c r="AD46" s="438"/>
      <c r="AE46" s="438"/>
      <c r="AF46" s="438"/>
      <c r="AG46" s="438"/>
      <c r="AH46" s="438"/>
      <c r="AI46" s="438"/>
      <c r="AJ46" s="438"/>
      <c r="AK46" s="438"/>
      <c r="AL46" s="438"/>
      <c r="AM46" s="339"/>
      <c r="AO46">
        <f ca="1">IF($A46="S",IF(BM!$I46=0,0,CHOOSE(MATCH(RegimeExecucao,{"Global","Unitário"},0),ROUND(ROUND(BM.MEDAcumulado,15-13*BM!$A$9)/100*BM!$I46,15-13*ORÇAMENTO!$AF$11),ROUND(ROUND(BM.MEDAcumulado,15-13*BM!$A$9)*ROUND(BM!$H46,15-13*ORÇAMENTO!$AF$10),15-13*ORÇAMENTO!$AF$11))),IF($A46=0,0,ROUND(SomaAgrupBM,15-13*ORÇAMENTO!$AF$11)))</f>
        <v>0</v>
      </c>
    </row>
    <row r="47" spans="1:41" ht="51" x14ac:dyDescent="0.2">
      <c r="A47" t="str">
        <f ca="1">ORÇAMENTO!C47</f>
        <v>S</v>
      </c>
      <c r="B47">
        <f ca="1">ORÇAMENTO!D47</f>
        <v>0</v>
      </c>
      <c r="C47" s="115" t="str">
        <f t="shared" ca="1" si="34"/>
        <v>F</v>
      </c>
      <c r="D47" s="118" t="str">
        <f ca="1">ORÇAMENTO!O47</f>
        <v>1.4.6.</v>
      </c>
      <c r="E47" s="164" t="str">
        <f t="shared" ca="1" si="22"/>
        <v>ARGAMASSA TRAÇO 1:1,5:7,5 (EM VOLUME DE CIMENTO, CAL E AREIA MÉDIA ÚMIDA) PARA EMBOÇO/MASSA ÚNICA/ASSENTAMENTO DE ALVENARIA DE VEDAÇÃO, PREPARO MECÂNICO COM BETONEIRA ATÉ 600 L. AF_07/2026</v>
      </c>
      <c r="F47" s="165" t="str">
        <f ca="1">IF(RegimeExecucao="Global","",ORÇAMENTO.Unidade)</f>
        <v>M3</v>
      </c>
      <c r="G47" s="123">
        <f ca="1">IF(RegimeExecucao="Global","",ORÇAMENTO!T47)</f>
        <v>0.5</v>
      </c>
      <c r="H47" s="123">
        <f ca="1">IF(RegimeExecucao="Global","",ORÇAMENTO!W47)</f>
        <v>715.53</v>
      </c>
      <c r="I47" s="126">
        <f ca="1">ORÇAMENTO!X47</f>
        <v>357.77</v>
      </c>
      <c r="J47" s="334" cm="1">
        <f t="array" aca="1" ref="J47" ca="1">_xlfn.SINGLE(IF($A47="S",IF(CAIXA.Modo,BM.AFAnterior,BM.MEDAnterior),IF(AND(_xlfn.SINGLE(RegimeExecucao)="Global",$I47&gt;0,COUNTIF($AB$13:$AM$13,BM.medicao-1)&gt;0),M47/$I47*100,0)))</f>
        <v>0</v>
      </c>
      <c r="K47" s="123">
        <f t="shared" ca="1" si="35"/>
        <v>0</v>
      </c>
      <c r="L47" s="335" cm="1">
        <f t="array" aca="1" ref="L47" ca="1">_xlfn.SINGLE(IF($A47="S",IF(CAIXA.Modo,BM.AFAcumulado,BM.MEDAcumulado),IF(AND(_xlfn.SINGLE(RegimeExecucao)="Global",$I47&gt;0,COUNTIF($AB$13:$AM$13,BM.medicao)&gt;0),O47/$I47*100,0)))</f>
        <v>0</v>
      </c>
      <c r="M47" s="336">
        <f ca="1">IF($A47="S",VTOTALBM,IF($A47=0,0,ROUND(SomaAgrupBM,15-13*ORÇAMENTO!$AF$11)))</f>
        <v>0</v>
      </c>
      <c r="N47" s="337">
        <f t="shared" ca="1" si="36"/>
        <v>0</v>
      </c>
      <c r="O47" s="126">
        <f ca="1">IF($A47="S",VTOTALBM,IF($A47=0,0,ROUND(SomaAgrupBM,15-13*ORÇAMENTO!$AF$11)))</f>
        <v>0</v>
      </c>
      <c r="Q47" s="338"/>
      <c r="R47" s="339"/>
      <c r="T47" s="118" t="str">
        <f t="shared" ca="1" si="37"/>
        <v/>
      </c>
      <c r="U47" s="164" t="str">
        <f t="shared" ca="1" si="38"/>
        <v/>
      </c>
      <c r="V47" s="165" t="str">
        <f ca="1">IF(AND($W47&gt;0,RegimeExecucao="Unitário"),$F47,"")</f>
        <v/>
      </c>
      <c r="W47" s="455">
        <f ca="1">IF($Y47&gt;0,CHOOSE(MATCH(RegimeExecucao,{"Unitário","Global"},0),IF($A47="S",$Y47/$X47,""),($Y47/$X47)*100),0)</f>
        <v>0</v>
      </c>
      <c r="X47" s="340" t="str">
        <f ca="1">IF($Y47&gt;0,CHOOSE(MATCH(RegimeExecucao,{"Unitário","Global"},0),IF($A47="S",ROUND($H47,ORÇAMENTO!$AF$10),""),ROUND($I47,ORÇAMENTO!$AF$11)),"")</f>
        <v/>
      </c>
      <c r="Y47" s="340">
        <f t="shared" ca="1" si="39"/>
        <v>0</v>
      </c>
      <c r="Z47" s="474"/>
      <c r="AB47" s="338"/>
      <c r="AC47" s="438"/>
      <c r="AD47" s="438"/>
      <c r="AE47" s="438"/>
      <c r="AF47" s="438"/>
      <c r="AG47" s="438"/>
      <c r="AH47" s="438"/>
      <c r="AI47" s="438"/>
      <c r="AJ47" s="438"/>
      <c r="AK47" s="438"/>
      <c r="AL47" s="438"/>
      <c r="AM47" s="339"/>
      <c r="AO47">
        <f ca="1">IF($A47="S",IF(BM!$I47=0,0,CHOOSE(MATCH(RegimeExecucao,{"Global","Unitário"},0),ROUND(ROUND(BM.MEDAcumulado,15-13*BM!$A$9)/100*BM!$I47,15-13*ORÇAMENTO!$AF$11),ROUND(ROUND(BM.MEDAcumulado,15-13*BM!$A$9)*ROUND(BM!$H47,15-13*ORÇAMENTO!$AF$10),15-13*ORÇAMENTO!$AF$11))),IF($A47=0,0,ROUND(SomaAgrupBM,15-13*ORÇAMENTO!$AF$11)))</f>
        <v>0</v>
      </c>
    </row>
    <row r="48" spans="1:41" x14ac:dyDescent="0.2">
      <c r="A48">
        <f ca="1">ORÇAMENTO!C48</f>
        <v>2</v>
      </c>
      <c r="B48">
        <f ca="1">ORÇAMENTO!D48</f>
        <v>2</v>
      </c>
      <c r="C48" s="115" t="str">
        <f t="shared" ca="1" si="34"/>
        <v>F</v>
      </c>
      <c r="D48" s="118" t="str">
        <f ca="1">ORÇAMENTO!O48</f>
        <v>1.5.</v>
      </c>
      <c r="E48" s="164" t="str">
        <f t="shared" si="22"/>
        <v>CORRIMÕES E GRADES - PINTURA</v>
      </c>
      <c r="F48" s="165" t="str">
        <f ca="1">IF(RegimeExecucao="Global","",ORÇAMENTO.Unidade)</f>
        <v>-</v>
      </c>
      <c r="G48" s="123">
        <f ca="1">IF(RegimeExecucao="Global","",ORÇAMENTO!T48)</f>
        <v>0</v>
      </c>
      <c r="H48" s="123">
        <f ca="1">IF(RegimeExecucao="Global","",ORÇAMENTO!W48)</f>
        <v>0</v>
      </c>
      <c r="I48" s="126">
        <f ca="1">ORÇAMENTO!X48</f>
        <v>2857.22</v>
      </c>
      <c r="J48" s="334" cm="1">
        <f t="array" aca="1" ref="J48" ca="1">_xlfn.SINGLE(IF($A48="S",IF(CAIXA.Modo,BM.AFAnterior,BM.MEDAnterior),IF(AND(_xlfn.SINGLE(RegimeExecucao)="Global",$I48&gt;0,COUNTIF($AB$13:$AM$13,BM.medicao-1)&gt;0),M48/$I48*100,0)))</f>
        <v>0</v>
      </c>
      <c r="K48" s="123">
        <f t="shared" ca="1" si="35"/>
        <v>0</v>
      </c>
      <c r="L48" s="335" cm="1">
        <f t="array" aca="1" ref="L48" ca="1">_xlfn.SINGLE(IF($A48="S",IF(CAIXA.Modo,BM.AFAcumulado,BM.MEDAcumulado),IF(AND(_xlfn.SINGLE(RegimeExecucao)="Global",$I48&gt;0,COUNTIF($AB$13:$AM$13,BM.medicao)&gt;0),O48/$I48*100,0)))</f>
        <v>0</v>
      </c>
      <c r="M48" s="336">
        <f ca="1">IF($A48="S",VTOTALBM,IF($A48=0,0,ROUND(SomaAgrupBM,15-13*ORÇAMENTO!$AF$11)))</f>
        <v>0</v>
      </c>
      <c r="N48" s="337">
        <f t="shared" ca="1" si="36"/>
        <v>0</v>
      </c>
      <c r="O48" s="126">
        <f ca="1">IF($A48="S",VTOTALBM,IF($A48=0,0,ROUND(SomaAgrupBM,15-13*ORÇAMENTO!$AF$11)))</f>
        <v>0</v>
      </c>
      <c r="Q48" s="338"/>
      <c r="R48" s="339"/>
      <c r="T48" s="118" t="str">
        <f t="shared" ca="1" si="37"/>
        <v/>
      </c>
      <c r="U48" s="164" t="str">
        <f t="shared" ca="1" si="38"/>
        <v/>
      </c>
      <c r="V48" s="165" t="str">
        <f ca="1">IF(AND($W48&gt;0,RegimeExecucao="Unitário"),$F48,"")</f>
        <v/>
      </c>
      <c r="W48" s="455">
        <f ca="1">IF($Y48&gt;0,CHOOSE(MATCH(RegimeExecucao,{"Unitário","Global"},0),IF($A48="S",$Y48/$X48,""),($Y48/$X48)*100),0)</f>
        <v>0</v>
      </c>
      <c r="X48" s="340" t="str">
        <f ca="1">IF($Y48&gt;0,CHOOSE(MATCH(RegimeExecucao,{"Unitário","Global"},0),IF($A48="S",ROUND($H48,ORÇAMENTO!$AF$10),""),ROUND($I48,ORÇAMENTO!$AF$11)),"")</f>
        <v/>
      </c>
      <c r="Y48" s="340">
        <f t="shared" ca="1" si="39"/>
        <v>0</v>
      </c>
      <c r="Z48" s="474"/>
      <c r="AB48" s="338"/>
      <c r="AC48" s="438"/>
      <c r="AD48" s="438"/>
      <c r="AE48" s="438"/>
      <c r="AF48" s="438"/>
      <c r="AG48" s="438"/>
      <c r="AH48" s="438"/>
      <c r="AI48" s="438"/>
      <c r="AJ48" s="438"/>
      <c r="AK48" s="438"/>
      <c r="AL48" s="438"/>
      <c r="AM48" s="339"/>
      <c r="AO48">
        <f ca="1">IF($A48="S",IF(BM!$I48=0,0,CHOOSE(MATCH(RegimeExecucao,{"Global","Unitário"},0),ROUND(ROUND(BM.MEDAcumulado,15-13*BM!$A$9)/100*BM!$I48,15-13*ORÇAMENTO!$AF$11),ROUND(ROUND(BM.MEDAcumulado,15-13*BM!$A$9)*ROUND(BM!$H48,15-13*ORÇAMENTO!$AF$10),15-13*ORÇAMENTO!$AF$11))),IF($A48=0,0,ROUND(SomaAgrupBM,15-13*ORÇAMENTO!$AF$11)))</f>
        <v>0</v>
      </c>
    </row>
    <row r="49" spans="1:41" ht="38.25" x14ac:dyDescent="0.2">
      <c r="A49" t="str">
        <f ca="1">ORÇAMENTO!C49</f>
        <v>S</v>
      </c>
      <c r="B49">
        <f ca="1">ORÇAMENTO!D49</f>
        <v>0</v>
      </c>
      <c r="C49" s="115" t="str">
        <f t="shared" ca="1" si="34"/>
        <v>F</v>
      </c>
      <c r="D49" s="118" t="str">
        <f ca="1">ORÇAMENTO!O49</f>
        <v>1.5.1.</v>
      </c>
      <c r="E49" s="164" t="str">
        <f t="shared" ca="1" si="22"/>
        <v>PINTURA COM TINTA ACRILICA DE ACABAMENTO PULVERIZADA SOBRE SUPERFICIES METALICAS (EXCETO PERFIL) EXECUTADO EM OBRA (02 DEMAOS). AF_01/2020</v>
      </c>
      <c r="F49" s="165" t="str">
        <f ca="1">IF(RegimeExecucao="Global","",ORÇAMENTO.Unidade)</f>
        <v>M2</v>
      </c>
      <c r="G49" s="123">
        <f ca="1">IF(RegimeExecucao="Global","",ORÇAMENTO!T49)</f>
        <v>103</v>
      </c>
      <c r="H49" s="123">
        <f ca="1">IF(RegimeExecucao="Global","",ORÇAMENTO!W49)</f>
        <v>27.74</v>
      </c>
      <c r="I49" s="126">
        <f ca="1">ORÇAMENTO!X49</f>
        <v>2857.22</v>
      </c>
      <c r="J49" s="334" cm="1">
        <f t="array" aca="1" ref="J49" ca="1">_xlfn.SINGLE(IF($A49="S",IF(CAIXA.Modo,BM.AFAnterior,BM.MEDAnterior),IF(AND(_xlfn.SINGLE(RegimeExecucao)="Global",$I49&gt;0,COUNTIF($AB$13:$AM$13,BM.medicao-1)&gt;0),M49/$I49*100,0)))</f>
        <v>0</v>
      </c>
      <c r="K49" s="123">
        <f t="shared" ca="1" si="35"/>
        <v>0</v>
      </c>
      <c r="L49" s="335" cm="1">
        <f t="array" aca="1" ref="L49" ca="1">_xlfn.SINGLE(IF($A49="S",IF(CAIXA.Modo,BM.AFAcumulado,BM.MEDAcumulado),IF(AND(_xlfn.SINGLE(RegimeExecucao)="Global",$I49&gt;0,COUNTIF($AB$13:$AM$13,BM.medicao)&gt;0),O49/$I49*100,0)))</f>
        <v>0</v>
      </c>
      <c r="M49" s="336">
        <f ca="1">IF($A49="S",VTOTALBM,IF($A49=0,0,ROUND(SomaAgrupBM,15-13*ORÇAMENTO!$AF$11)))</f>
        <v>0</v>
      </c>
      <c r="N49" s="337">
        <f t="shared" ca="1" si="36"/>
        <v>0</v>
      </c>
      <c r="O49" s="126">
        <f ca="1">IF($A49="S",VTOTALBM,IF($A49=0,0,ROUND(SomaAgrupBM,15-13*ORÇAMENTO!$AF$11)))</f>
        <v>0</v>
      </c>
      <c r="Q49" s="338"/>
      <c r="R49" s="339"/>
      <c r="T49" s="118" t="str">
        <f t="shared" ca="1" si="37"/>
        <v/>
      </c>
      <c r="U49" s="164" t="str">
        <f t="shared" ca="1" si="38"/>
        <v/>
      </c>
      <c r="V49" s="165" t="str">
        <f ca="1">IF(AND($W49&gt;0,RegimeExecucao="Unitário"),$F49,"")</f>
        <v/>
      </c>
      <c r="W49" s="455">
        <f ca="1">IF($Y49&gt;0,CHOOSE(MATCH(RegimeExecucao,{"Unitário","Global"},0),IF($A49="S",$Y49/$X49,""),($Y49/$X49)*100),0)</f>
        <v>0</v>
      </c>
      <c r="X49" s="340" t="str">
        <f ca="1">IF($Y49&gt;0,CHOOSE(MATCH(RegimeExecucao,{"Unitário","Global"},0),IF($A49="S",ROUND($H49,ORÇAMENTO!$AF$10),""),ROUND($I49,ORÇAMENTO!$AF$11)),"")</f>
        <v/>
      </c>
      <c r="Y49" s="340">
        <f t="shared" ca="1" si="39"/>
        <v>0</v>
      </c>
      <c r="Z49" s="474"/>
      <c r="AB49" s="338"/>
      <c r="AC49" s="438"/>
      <c r="AD49" s="438"/>
      <c r="AE49" s="438"/>
      <c r="AF49" s="438"/>
      <c r="AG49" s="438"/>
      <c r="AH49" s="438"/>
      <c r="AI49" s="438"/>
      <c r="AJ49" s="438"/>
      <c r="AK49" s="438"/>
      <c r="AL49" s="438"/>
      <c r="AM49" s="339"/>
      <c r="AO49">
        <f ca="1">IF($A49="S",IF(BM!$I49=0,0,CHOOSE(MATCH(RegimeExecucao,{"Global","Unitário"},0),ROUND(ROUND(BM.MEDAcumulado,15-13*BM!$A$9)/100*BM!$I49,15-13*ORÇAMENTO!$AF$11),ROUND(ROUND(BM.MEDAcumulado,15-13*BM!$A$9)*ROUND(BM!$H49,15-13*ORÇAMENTO!$AF$10),15-13*ORÇAMENTO!$AF$11))),IF($A49=0,0,ROUND(SomaAgrupBM,15-13*ORÇAMENTO!$AF$11)))</f>
        <v>0</v>
      </c>
    </row>
    <row r="50" spans="1:41" x14ac:dyDescent="0.2">
      <c r="A50">
        <f ca="1">ORÇAMENTO!C50</f>
        <v>2</v>
      </c>
      <c r="B50">
        <f ca="1">ORÇAMENTO!D50</f>
        <v>37</v>
      </c>
      <c r="C50" s="115" t="str">
        <f t="shared" ca="1" si="34"/>
        <v>F</v>
      </c>
      <c r="D50" s="118" t="str">
        <f ca="1">ORÇAMENTO!O50</f>
        <v>1.6.</v>
      </c>
      <c r="E50" s="164" t="str">
        <f t="shared" si="22"/>
        <v>READEQUAÇÃO DA FACHADA PRINCIPAL</v>
      </c>
      <c r="F50" s="165" t="str">
        <f ca="1">IF(RegimeExecucao="Global","",ORÇAMENTO.Unidade)</f>
        <v>-</v>
      </c>
      <c r="G50" s="123">
        <f ca="1">IF(RegimeExecucao="Global","",ORÇAMENTO!T50)</f>
        <v>0</v>
      </c>
      <c r="H50" s="123">
        <f ca="1">IF(RegimeExecucao="Global","",ORÇAMENTO!W50)</f>
        <v>0</v>
      </c>
      <c r="I50" s="126">
        <f ca="1">ORÇAMENTO!X50</f>
        <v>61486.400000000001</v>
      </c>
      <c r="J50" s="334" cm="1">
        <f t="array" aca="1" ref="J50" ca="1">_xlfn.SINGLE(IF($A50="S",IF(CAIXA.Modo,BM.AFAnterior,BM.MEDAnterior),IF(AND(_xlfn.SINGLE(RegimeExecucao)="Global",$I50&gt;0,COUNTIF($AB$13:$AM$13,BM.medicao-1)&gt;0),M50/$I50*100,0)))</f>
        <v>0</v>
      </c>
      <c r="K50" s="123">
        <f t="shared" ca="1" si="35"/>
        <v>0</v>
      </c>
      <c r="L50" s="335" cm="1">
        <f t="array" aca="1" ref="L50" ca="1">_xlfn.SINGLE(IF($A50="S",IF(CAIXA.Modo,BM.AFAcumulado,BM.MEDAcumulado),IF(AND(_xlfn.SINGLE(RegimeExecucao)="Global",$I50&gt;0,COUNTIF($AB$13:$AM$13,BM.medicao)&gt;0),O50/$I50*100,0)))</f>
        <v>0</v>
      </c>
      <c r="M50" s="336">
        <f ca="1">IF($A50="S",VTOTALBM,IF($A50=0,0,ROUND(SomaAgrupBM,15-13*ORÇAMENTO!$AF$11)))</f>
        <v>0</v>
      </c>
      <c r="N50" s="337">
        <f t="shared" ca="1" si="36"/>
        <v>0</v>
      </c>
      <c r="O50" s="126">
        <f ca="1">IF($A50="S",VTOTALBM,IF($A50=0,0,ROUND(SomaAgrupBM,15-13*ORÇAMENTO!$AF$11)))</f>
        <v>0</v>
      </c>
      <c r="Q50" s="338"/>
      <c r="R50" s="339"/>
      <c r="T50" s="118" t="str">
        <f t="shared" ca="1" si="37"/>
        <v/>
      </c>
      <c r="U50" s="164" t="str">
        <f t="shared" ca="1" si="38"/>
        <v/>
      </c>
      <c r="V50" s="165" t="str">
        <f ca="1">IF(AND($W50&gt;0,RegimeExecucao="Unitário"),$F50,"")</f>
        <v/>
      </c>
      <c r="W50" s="455">
        <f ca="1">IF($Y50&gt;0,CHOOSE(MATCH(RegimeExecucao,{"Unitário","Global"},0),IF($A50="S",$Y50/$X50,""),($Y50/$X50)*100),0)</f>
        <v>0</v>
      </c>
      <c r="X50" s="340" t="str">
        <f ca="1">IF($Y50&gt;0,CHOOSE(MATCH(RegimeExecucao,{"Unitário","Global"},0),IF($A50="S",ROUND($H50,ORÇAMENTO!$AF$10),""),ROUND($I50,ORÇAMENTO!$AF$11)),"")</f>
        <v/>
      </c>
      <c r="Y50" s="340">
        <f t="shared" ca="1" si="39"/>
        <v>0</v>
      </c>
      <c r="Z50" s="474"/>
      <c r="AB50" s="338"/>
      <c r="AC50" s="438"/>
      <c r="AD50" s="438"/>
      <c r="AE50" s="438"/>
      <c r="AF50" s="438"/>
      <c r="AG50" s="438"/>
      <c r="AH50" s="438"/>
      <c r="AI50" s="438"/>
      <c r="AJ50" s="438"/>
      <c r="AK50" s="438"/>
      <c r="AL50" s="438"/>
      <c r="AM50" s="339"/>
      <c r="AO50">
        <f ca="1">IF($A50="S",IF(BM!$I50=0,0,CHOOSE(MATCH(RegimeExecucao,{"Global","Unitário"},0),ROUND(ROUND(BM.MEDAcumulado,15-13*BM!$A$9)/100*BM!$I50,15-13*ORÇAMENTO!$AF$11),ROUND(ROUND(BM.MEDAcumulado,15-13*BM!$A$9)*ROUND(BM!$H50,15-13*ORÇAMENTO!$AF$10),15-13*ORÇAMENTO!$AF$11))),IF($A50=0,0,ROUND(SomaAgrupBM,15-13*ORÇAMENTO!$AF$11)))</f>
        <v>0</v>
      </c>
    </row>
    <row r="51" spans="1:41" ht="51" x14ac:dyDescent="0.2">
      <c r="A51" t="str">
        <f ca="1">ORÇAMENTO!C51</f>
        <v>S</v>
      </c>
      <c r="B51">
        <f ca="1">ORÇAMENTO!D51</f>
        <v>0</v>
      </c>
      <c r="C51" s="115" t="str">
        <f t="shared" ca="1" si="34"/>
        <v>F</v>
      </c>
      <c r="D51" s="118" t="str">
        <f ca="1">ORÇAMENTO!O51</f>
        <v>1.6.1.</v>
      </c>
      <c r="E51" s="164" t="str">
        <f t="shared" ca="1" si="22"/>
        <v>LAJE PRÉ-MOLDADA UNIDIRECIONAL COM VÃOS MAIORES QUE 3,0 M, BIAPOIADA, PARA PISO, ENCHIMENTO EM CERÂMICA, VIGOTA PROTENDIDA, ALTURA TOTAL DA LAJE "LT" = 16 CM (ENCHIMENTO+CAPA) = (12+4). AF_08/2025</v>
      </c>
      <c r="F51" s="165" t="str">
        <f ca="1">IF(RegimeExecucao="Global","",ORÇAMENTO.Unidade)</f>
        <v>M2</v>
      </c>
      <c r="G51" s="123">
        <f ca="1">IF(RegimeExecucao="Global","",ORÇAMENTO!T51)</f>
        <v>22.25</v>
      </c>
      <c r="H51" s="123">
        <f ca="1">IF(RegimeExecucao="Global","",ORÇAMENTO!W51)</f>
        <v>231.15</v>
      </c>
      <c r="I51" s="126">
        <f ca="1">ORÇAMENTO!X51</f>
        <v>5143.09</v>
      </c>
      <c r="J51" s="334" cm="1">
        <f t="array" aca="1" ref="J51" ca="1">_xlfn.SINGLE(IF($A51="S",IF(CAIXA.Modo,BM.AFAnterior,BM.MEDAnterior),IF(AND(_xlfn.SINGLE(RegimeExecucao)="Global",$I51&gt;0,COUNTIF($AB$13:$AM$13,BM.medicao-1)&gt;0),M51/$I51*100,0)))</f>
        <v>0</v>
      </c>
      <c r="K51" s="123">
        <f t="shared" ca="1" si="35"/>
        <v>0</v>
      </c>
      <c r="L51" s="335" cm="1">
        <f t="array" aca="1" ref="L51" ca="1">_xlfn.SINGLE(IF($A51="S",IF(CAIXA.Modo,BM.AFAcumulado,BM.MEDAcumulado),IF(AND(_xlfn.SINGLE(RegimeExecucao)="Global",$I51&gt;0,COUNTIF($AB$13:$AM$13,BM.medicao)&gt;0),O51/$I51*100,0)))</f>
        <v>0</v>
      </c>
      <c r="M51" s="336">
        <f ca="1">IF($A51="S",VTOTALBM,IF($A51=0,0,ROUND(SomaAgrupBM,15-13*ORÇAMENTO!$AF$11)))</f>
        <v>0</v>
      </c>
      <c r="N51" s="337">
        <f t="shared" ca="1" si="36"/>
        <v>0</v>
      </c>
      <c r="O51" s="126">
        <f ca="1">IF($A51="S",VTOTALBM,IF($A51=0,0,ROUND(SomaAgrupBM,15-13*ORÇAMENTO!$AF$11)))</f>
        <v>0</v>
      </c>
      <c r="Q51" s="338"/>
      <c r="R51" s="339"/>
      <c r="T51" s="118" t="str">
        <f t="shared" ca="1" si="37"/>
        <v/>
      </c>
      <c r="U51" s="164" t="str">
        <f t="shared" ca="1" si="38"/>
        <v/>
      </c>
      <c r="V51" s="165" t="str">
        <f ca="1">IF(AND($W51&gt;0,RegimeExecucao="Unitário"),$F51,"")</f>
        <v/>
      </c>
      <c r="W51" s="455">
        <f ca="1">IF($Y51&gt;0,CHOOSE(MATCH(RegimeExecucao,{"Unitário","Global"},0),IF($A51="S",$Y51/$X51,""),($Y51/$X51)*100),0)</f>
        <v>0</v>
      </c>
      <c r="X51" s="340" t="str">
        <f ca="1">IF($Y51&gt;0,CHOOSE(MATCH(RegimeExecucao,{"Unitário","Global"},0),IF($A51="S",ROUND($H51,ORÇAMENTO!$AF$10),""),ROUND($I51,ORÇAMENTO!$AF$11)),"")</f>
        <v/>
      </c>
      <c r="Y51" s="340">
        <f t="shared" ca="1" si="39"/>
        <v>0</v>
      </c>
      <c r="Z51" s="474"/>
      <c r="AB51" s="338"/>
      <c r="AC51" s="438"/>
      <c r="AD51" s="438"/>
      <c r="AE51" s="438"/>
      <c r="AF51" s="438"/>
      <c r="AG51" s="438"/>
      <c r="AH51" s="438"/>
      <c r="AI51" s="438"/>
      <c r="AJ51" s="438"/>
      <c r="AK51" s="438"/>
      <c r="AL51" s="438"/>
      <c r="AM51" s="339"/>
      <c r="AO51">
        <f ca="1">IF($A51="S",IF(BM!$I51=0,0,CHOOSE(MATCH(RegimeExecucao,{"Global","Unitário"},0),ROUND(ROUND(BM.MEDAcumulado,15-13*BM!$A$9)/100*BM!$I51,15-13*ORÇAMENTO!$AF$11),ROUND(ROUND(BM.MEDAcumulado,15-13*BM!$A$9)*ROUND(BM!$H51,15-13*ORÇAMENTO!$AF$10),15-13*ORÇAMENTO!$AF$11))),IF($A51=0,0,ROUND(SomaAgrupBM,15-13*ORÇAMENTO!$AF$11)))</f>
        <v>0</v>
      </c>
    </row>
    <row r="52" spans="1:41" ht="38.25" x14ac:dyDescent="0.2">
      <c r="A52" t="str">
        <f ca="1">ORÇAMENTO!C52</f>
        <v>S</v>
      </c>
      <c r="B52">
        <f ca="1">ORÇAMENTO!D52</f>
        <v>0</v>
      </c>
      <c r="C52" s="115" t="str">
        <f t="shared" ca="1" si="34"/>
        <v>F</v>
      </c>
      <c r="D52" s="118" t="str">
        <f ca="1">ORÇAMENTO!O52</f>
        <v>1.6.2.</v>
      </c>
      <c r="E52" s="164" t="str">
        <f t="shared" ca="1" si="22"/>
        <v>PONTALETE ROLICO SEM TRATAMENTO, D = 8 A 11 CM, H = 6 M, EM EUCALIPTO OU EQUIVALENTE DA REGIAO - BRUTA (PARA ESCORAMENTO)</v>
      </c>
      <c r="F52" s="165" t="str">
        <f ca="1">IF(RegimeExecucao="Global","",ORÇAMENTO.Unidade)</f>
        <v>M</v>
      </c>
      <c r="G52" s="123">
        <f ca="1">IF(RegimeExecucao="Global","",ORÇAMENTO!T52)</f>
        <v>158</v>
      </c>
      <c r="H52" s="123">
        <f ca="1">IF(RegimeExecucao="Global","",ORÇAMENTO!W52)</f>
        <v>8.4600000000000009</v>
      </c>
      <c r="I52" s="126">
        <f ca="1">ORÇAMENTO!X52</f>
        <v>1336.68</v>
      </c>
      <c r="J52" s="334" cm="1">
        <f t="array" aca="1" ref="J52" ca="1">_xlfn.SINGLE(IF($A52="S",IF(CAIXA.Modo,BM.AFAnterior,BM.MEDAnterior),IF(AND(_xlfn.SINGLE(RegimeExecucao)="Global",$I52&gt;0,COUNTIF($AB$13:$AM$13,BM.medicao-1)&gt;0),M52/$I52*100,0)))</f>
        <v>0</v>
      </c>
      <c r="K52" s="123">
        <f t="shared" ca="1" si="35"/>
        <v>0</v>
      </c>
      <c r="L52" s="335" cm="1">
        <f t="array" aca="1" ref="L52" ca="1">_xlfn.SINGLE(IF($A52="S",IF(CAIXA.Modo,BM.AFAcumulado,BM.MEDAcumulado),IF(AND(_xlfn.SINGLE(RegimeExecucao)="Global",$I52&gt;0,COUNTIF($AB$13:$AM$13,BM.medicao)&gt;0),O52/$I52*100,0)))</f>
        <v>0</v>
      </c>
      <c r="M52" s="336">
        <f ca="1">IF($A52="S",VTOTALBM,IF($A52=0,0,ROUND(SomaAgrupBM,15-13*ORÇAMENTO!$AF$11)))</f>
        <v>0</v>
      </c>
      <c r="N52" s="337">
        <f t="shared" ca="1" si="36"/>
        <v>0</v>
      </c>
      <c r="O52" s="126">
        <f ca="1">IF($A52="S",VTOTALBM,IF($A52=0,0,ROUND(SomaAgrupBM,15-13*ORÇAMENTO!$AF$11)))</f>
        <v>0</v>
      </c>
      <c r="Q52" s="338"/>
      <c r="R52" s="339"/>
      <c r="T52" s="118" t="str">
        <f t="shared" ca="1" si="37"/>
        <v/>
      </c>
      <c r="U52" s="164" t="str">
        <f t="shared" ca="1" si="38"/>
        <v/>
      </c>
      <c r="V52" s="165" t="str">
        <f ca="1">IF(AND($W52&gt;0,RegimeExecucao="Unitário"),$F52,"")</f>
        <v/>
      </c>
      <c r="W52" s="455">
        <f ca="1">IF($Y52&gt;0,CHOOSE(MATCH(RegimeExecucao,{"Unitário","Global"},0),IF($A52="S",$Y52/$X52,""),($Y52/$X52)*100),0)</f>
        <v>0</v>
      </c>
      <c r="X52" s="340" t="str">
        <f ca="1">IF($Y52&gt;0,CHOOSE(MATCH(RegimeExecucao,{"Unitário","Global"},0),IF($A52="S",ROUND($H52,ORÇAMENTO!$AF$10),""),ROUND($I52,ORÇAMENTO!$AF$11)),"")</f>
        <v/>
      </c>
      <c r="Y52" s="340">
        <f t="shared" ca="1" si="39"/>
        <v>0</v>
      </c>
      <c r="Z52" s="474"/>
      <c r="AB52" s="338"/>
      <c r="AC52" s="438"/>
      <c r="AD52" s="438"/>
      <c r="AE52" s="438"/>
      <c r="AF52" s="438"/>
      <c r="AG52" s="438"/>
      <c r="AH52" s="438"/>
      <c r="AI52" s="438"/>
      <c r="AJ52" s="438"/>
      <c r="AK52" s="438"/>
      <c r="AL52" s="438"/>
      <c r="AM52" s="339"/>
      <c r="AO52">
        <f ca="1">IF($A52="S",IF(BM!$I52=0,0,CHOOSE(MATCH(RegimeExecucao,{"Global","Unitário"},0),ROUND(ROUND(BM.MEDAcumulado,15-13*BM!$A$9)/100*BM!$I52,15-13*ORÇAMENTO!$AF$11),ROUND(ROUND(BM.MEDAcumulado,15-13*BM!$A$9)*ROUND(BM!$H52,15-13*ORÇAMENTO!$AF$10),15-13*ORÇAMENTO!$AF$11))),IF($A52=0,0,ROUND(SomaAgrupBM,15-13*ORÇAMENTO!$AF$11)))</f>
        <v>0</v>
      </c>
    </row>
    <row r="53" spans="1:41" ht="25.5" x14ac:dyDescent="0.2">
      <c r="A53" t="str">
        <f ca="1">ORÇAMENTO!C53</f>
        <v>S</v>
      </c>
      <c r="B53">
        <f ca="1">ORÇAMENTO!D53</f>
        <v>0</v>
      </c>
      <c r="C53" s="115" t="str">
        <f t="shared" ca="1" si="34"/>
        <v>F</v>
      </c>
      <c r="D53" s="118" t="str">
        <f ca="1">ORÇAMENTO!O53</f>
        <v>1.6.3.</v>
      </c>
      <c r="E53" s="164" t="str">
        <f t="shared" ca="1" si="22"/>
        <v>FABRICAÇÃO DE FÔRMA PARA PILARES E ESTRUTURAS SIMILARES, EM MADEIRA SERRADA, E=25 MM. AF_09/2020</v>
      </c>
      <c r="F53" s="165" t="str">
        <f ca="1">IF(RegimeExecucao="Global","",ORÇAMENTO.Unidade)</f>
        <v>M2</v>
      </c>
      <c r="G53" s="123">
        <f ca="1">IF(RegimeExecucao="Global","",ORÇAMENTO!T53)</f>
        <v>12.6</v>
      </c>
      <c r="H53" s="123">
        <f ca="1">IF(RegimeExecucao="Global","",ORÇAMENTO!W53)</f>
        <v>136.47999999999999</v>
      </c>
      <c r="I53" s="126">
        <f ca="1">ORÇAMENTO!X53</f>
        <v>1719.65</v>
      </c>
      <c r="J53" s="334" cm="1">
        <f t="array" aca="1" ref="J53" ca="1">_xlfn.SINGLE(IF($A53="S",IF(CAIXA.Modo,BM.AFAnterior,BM.MEDAnterior),IF(AND(_xlfn.SINGLE(RegimeExecucao)="Global",$I53&gt;0,COUNTIF($AB$13:$AM$13,BM.medicao-1)&gt;0),M53/$I53*100,0)))</f>
        <v>0</v>
      </c>
      <c r="K53" s="123">
        <f t="shared" ca="1" si="35"/>
        <v>0</v>
      </c>
      <c r="L53" s="335" cm="1">
        <f t="array" aca="1" ref="L53" ca="1">_xlfn.SINGLE(IF($A53="S",IF(CAIXA.Modo,BM.AFAcumulado,BM.MEDAcumulado),IF(AND(_xlfn.SINGLE(RegimeExecucao)="Global",$I53&gt;0,COUNTIF($AB$13:$AM$13,BM.medicao)&gt;0),O53/$I53*100,0)))</f>
        <v>0</v>
      </c>
      <c r="M53" s="336">
        <f ca="1">IF($A53="S",VTOTALBM,IF($A53=0,0,ROUND(SomaAgrupBM,15-13*ORÇAMENTO!$AF$11)))</f>
        <v>0</v>
      </c>
      <c r="N53" s="337">
        <f t="shared" ca="1" si="36"/>
        <v>0</v>
      </c>
      <c r="O53" s="126">
        <f ca="1">IF($A53="S",VTOTALBM,IF($A53=0,0,ROUND(SomaAgrupBM,15-13*ORÇAMENTO!$AF$11)))</f>
        <v>0</v>
      </c>
      <c r="Q53" s="338"/>
      <c r="R53" s="339"/>
      <c r="T53" s="118" t="str">
        <f t="shared" ca="1" si="37"/>
        <v/>
      </c>
      <c r="U53" s="164" t="str">
        <f t="shared" ca="1" si="38"/>
        <v/>
      </c>
      <c r="V53" s="165" t="str">
        <f ca="1">IF(AND($W53&gt;0,RegimeExecucao="Unitário"),$F53,"")</f>
        <v/>
      </c>
      <c r="W53" s="455">
        <f ca="1">IF($Y53&gt;0,CHOOSE(MATCH(RegimeExecucao,{"Unitário","Global"},0),IF($A53="S",$Y53/$X53,""),($Y53/$X53)*100),0)</f>
        <v>0</v>
      </c>
      <c r="X53" s="340" t="str">
        <f ca="1">IF($Y53&gt;0,CHOOSE(MATCH(RegimeExecucao,{"Unitário","Global"},0),IF($A53="S",ROUND($H53,ORÇAMENTO!$AF$10),""),ROUND($I53,ORÇAMENTO!$AF$11)),"")</f>
        <v/>
      </c>
      <c r="Y53" s="340">
        <f t="shared" ca="1" si="39"/>
        <v>0</v>
      </c>
      <c r="Z53" s="474"/>
      <c r="AB53" s="338"/>
      <c r="AC53" s="438"/>
      <c r="AD53" s="438"/>
      <c r="AE53" s="438"/>
      <c r="AF53" s="438"/>
      <c r="AG53" s="438"/>
      <c r="AH53" s="438"/>
      <c r="AI53" s="438"/>
      <c r="AJ53" s="438"/>
      <c r="AK53" s="438"/>
      <c r="AL53" s="438"/>
      <c r="AM53" s="339"/>
      <c r="AO53">
        <f ca="1">IF($A53="S",IF(BM!$I53=0,0,CHOOSE(MATCH(RegimeExecucao,{"Global","Unitário"},0),ROUND(ROUND(BM.MEDAcumulado,15-13*BM!$A$9)/100*BM!$I53,15-13*ORÇAMENTO!$AF$11),ROUND(ROUND(BM.MEDAcumulado,15-13*BM!$A$9)*ROUND(BM!$H53,15-13*ORÇAMENTO!$AF$10),15-13*ORÇAMENTO!$AF$11))),IF($A53=0,0,ROUND(SomaAgrupBM,15-13*ORÇAMENTO!$AF$11)))</f>
        <v>0</v>
      </c>
    </row>
    <row r="54" spans="1:41" ht="25.5" x14ac:dyDescent="0.2">
      <c r="A54" t="str">
        <f ca="1">ORÇAMENTO!C54</f>
        <v>S</v>
      </c>
      <c r="B54">
        <f ca="1">ORÇAMENTO!D54</f>
        <v>0</v>
      </c>
      <c r="C54" s="115" t="str">
        <f t="shared" ca="1" si="34"/>
        <v>F</v>
      </c>
      <c r="D54" s="118" t="str">
        <f ca="1">ORÇAMENTO!O54</f>
        <v>1.6.4.</v>
      </c>
      <c r="E54" s="164" t="str">
        <f t="shared" ca="1" si="22"/>
        <v>FABRICAÇÃO DE FÔRMA PARA VIGAS, COM MADEIRA SERRADA, E = 25 MM. AF_09/2020</v>
      </c>
      <c r="F54" s="165" t="str">
        <f ca="1">IF(RegimeExecucao="Global","",ORÇAMENTO.Unidade)</f>
        <v>M2</v>
      </c>
      <c r="G54" s="123">
        <f ca="1">IF(RegimeExecucao="Global","",ORÇAMENTO!T54)</f>
        <v>31.1</v>
      </c>
      <c r="H54" s="123">
        <f ca="1">IF(RegimeExecucao="Global","",ORÇAMENTO!W54)</f>
        <v>199.72</v>
      </c>
      <c r="I54" s="126">
        <f ca="1">ORÇAMENTO!X54</f>
        <v>6211.29</v>
      </c>
      <c r="J54" s="334" cm="1">
        <f t="array" aca="1" ref="J54" ca="1">_xlfn.SINGLE(IF($A54="S",IF(CAIXA.Modo,BM.AFAnterior,BM.MEDAnterior),IF(AND(_xlfn.SINGLE(RegimeExecucao)="Global",$I54&gt;0,COUNTIF($AB$13:$AM$13,BM.medicao-1)&gt;0),M54/$I54*100,0)))</f>
        <v>0</v>
      </c>
      <c r="K54" s="123">
        <f t="shared" ca="1" si="35"/>
        <v>0</v>
      </c>
      <c r="L54" s="335" cm="1">
        <f t="array" aca="1" ref="L54" ca="1">_xlfn.SINGLE(IF($A54="S",IF(CAIXA.Modo,BM.AFAcumulado,BM.MEDAcumulado),IF(AND(_xlfn.SINGLE(RegimeExecucao)="Global",$I54&gt;0,COUNTIF($AB$13:$AM$13,BM.medicao)&gt;0),O54/$I54*100,0)))</f>
        <v>0</v>
      </c>
      <c r="M54" s="336">
        <f ca="1">IF($A54="S",VTOTALBM,IF($A54=0,0,ROUND(SomaAgrupBM,15-13*ORÇAMENTO!$AF$11)))</f>
        <v>0</v>
      </c>
      <c r="N54" s="337">
        <f t="shared" ca="1" si="36"/>
        <v>0</v>
      </c>
      <c r="O54" s="126">
        <f ca="1">IF($A54="S",VTOTALBM,IF($A54=0,0,ROUND(SomaAgrupBM,15-13*ORÇAMENTO!$AF$11)))</f>
        <v>0</v>
      </c>
      <c r="Q54" s="338"/>
      <c r="R54" s="339"/>
      <c r="T54" s="118" t="str">
        <f t="shared" ca="1" si="37"/>
        <v/>
      </c>
      <c r="U54" s="164" t="str">
        <f t="shared" ca="1" si="38"/>
        <v/>
      </c>
      <c r="V54" s="165" t="str">
        <f ca="1">IF(AND($W54&gt;0,RegimeExecucao="Unitário"),$F54,"")</f>
        <v/>
      </c>
      <c r="W54" s="455">
        <f ca="1">IF($Y54&gt;0,CHOOSE(MATCH(RegimeExecucao,{"Unitário","Global"},0),IF($A54="S",$Y54/$X54,""),($Y54/$X54)*100),0)</f>
        <v>0</v>
      </c>
      <c r="X54" s="340" t="str">
        <f ca="1">IF($Y54&gt;0,CHOOSE(MATCH(RegimeExecucao,{"Unitário","Global"},0),IF($A54="S",ROUND($H54,ORÇAMENTO!$AF$10),""),ROUND($I54,ORÇAMENTO!$AF$11)),"")</f>
        <v/>
      </c>
      <c r="Y54" s="340">
        <f t="shared" ca="1" si="39"/>
        <v>0</v>
      </c>
      <c r="Z54" s="474"/>
      <c r="AB54" s="338"/>
      <c r="AC54" s="438"/>
      <c r="AD54" s="438"/>
      <c r="AE54" s="438"/>
      <c r="AF54" s="438"/>
      <c r="AG54" s="438"/>
      <c r="AH54" s="438"/>
      <c r="AI54" s="438"/>
      <c r="AJ54" s="438"/>
      <c r="AK54" s="438"/>
      <c r="AL54" s="438"/>
      <c r="AM54" s="339"/>
      <c r="AO54">
        <f ca="1">IF($A54="S",IF(BM!$I54=0,0,CHOOSE(MATCH(RegimeExecucao,{"Global","Unitário"},0),ROUND(ROUND(BM.MEDAcumulado,15-13*BM!$A$9)/100*BM!$I54,15-13*ORÇAMENTO!$AF$11),ROUND(ROUND(BM.MEDAcumulado,15-13*BM!$A$9)*ROUND(BM!$H54,15-13*ORÇAMENTO!$AF$10),15-13*ORÇAMENTO!$AF$11))),IF($A54=0,0,ROUND(SomaAgrupBM,15-13*ORÇAMENTO!$AF$11)))</f>
        <v>0</v>
      </c>
    </row>
    <row r="55" spans="1:41" ht="38.25" x14ac:dyDescent="0.2">
      <c r="A55" t="str">
        <f ca="1">ORÇAMENTO!C55</f>
        <v>S</v>
      </c>
      <c r="B55">
        <f ca="1">ORÇAMENTO!D55</f>
        <v>0</v>
      </c>
      <c r="C55" s="115" t="str">
        <f t="shared" ca="1" si="34"/>
        <v>F</v>
      </c>
      <c r="D55" s="118" t="str">
        <f ca="1">ORÇAMENTO!O55</f>
        <v>1.6.5.</v>
      </c>
      <c r="E55" s="164" t="str">
        <f t="shared" ca="1" si="22"/>
        <v>FABRICAÇÃO, MONTAGEM E DESMONTAGEM DE FÔRMA PARA SAPATA, EM MADEIRA SERRADA, E=25 MM, 1 UTILIZAÇÃO. AF_01/2024</v>
      </c>
      <c r="F55" s="165" t="str">
        <f ca="1">IF(RegimeExecucao="Global","",ORÇAMENTO.Unidade)</f>
        <v>M2</v>
      </c>
      <c r="G55" s="123">
        <f ca="1">IF(RegimeExecucao="Global","",ORÇAMENTO!T55)</f>
        <v>3.85</v>
      </c>
      <c r="H55" s="123">
        <f ca="1">IF(RegimeExecucao="Global","",ORÇAMENTO!W55)</f>
        <v>291.58999999999997</v>
      </c>
      <c r="I55" s="126">
        <f ca="1">ORÇAMENTO!X55</f>
        <v>1122.6199999999999</v>
      </c>
      <c r="J55" s="334" cm="1">
        <f t="array" aca="1" ref="J55" ca="1">_xlfn.SINGLE(IF($A55="S",IF(CAIXA.Modo,BM.AFAnterior,BM.MEDAnterior),IF(AND(_xlfn.SINGLE(RegimeExecucao)="Global",$I55&gt;0,COUNTIF($AB$13:$AM$13,BM.medicao-1)&gt;0),M55/$I55*100,0)))</f>
        <v>0</v>
      </c>
      <c r="K55" s="123">
        <f t="shared" ca="1" si="35"/>
        <v>0</v>
      </c>
      <c r="L55" s="335" cm="1">
        <f t="array" aca="1" ref="L55" ca="1">_xlfn.SINGLE(IF($A55="S",IF(CAIXA.Modo,BM.AFAcumulado,BM.MEDAcumulado),IF(AND(_xlfn.SINGLE(RegimeExecucao)="Global",$I55&gt;0,COUNTIF($AB$13:$AM$13,BM.medicao)&gt;0),O55/$I55*100,0)))</f>
        <v>0</v>
      </c>
      <c r="M55" s="336">
        <f ca="1">IF($A55="S",VTOTALBM,IF($A55=0,0,ROUND(SomaAgrupBM,15-13*ORÇAMENTO!$AF$11)))</f>
        <v>0</v>
      </c>
      <c r="N55" s="337">
        <f t="shared" ca="1" si="36"/>
        <v>0</v>
      </c>
      <c r="O55" s="126">
        <f ca="1">IF($A55="S",VTOTALBM,IF($A55=0,0,ROUND(SomaAgrupBM,15-13*ORÇAMENTO!$AF$11)))</f>
        <v>0</v>
      </c>
      <c r="Q55" s="338"/>
      <c r="R55" s="339"/>
      <c r="T55" s="118" t="str">
        <f t="shared" ca="1" si="37"/>
        <v/>
      </c>
      <c r="U55" s="164" t="str">
        <f t="shared" ca="1" si="38"/>
        <v/>
      </c>
      <c r="V55" s="165" t="str">
        <f ca="1">IF(AND($W55&gt;0,RegimeExecucao="Unitário"),$F55,"")</f>
        <v/>
      </c>
      <c r="W55" s="455">
        <f ca="1">IF($Y55&gt;0,CHOOSE(MATCH(RegimeExecucao,{"Unitário","Global"},0),IF($A55="S",$Y55/$X55,""),($Y55/$X55)*100),0)</f>
        <v>0</v>
      </c>
      <c r="X55" s="340" t="str">
        <f ca="1">IF($Y55&gt;0,CHOOSE(MATCH(RegimeExecucao,{"Unitário","Global"},0),IF($A55="S",ROUND($H55,ORÇAMENTO!$AF$10),""),ROUND($I55,ORÇAMENTO!$AF$11)),"")</f>
        <v/>
      </c>
      <c r="Y55" s="340">
        <f t="shared" ca="1" si="39"/>
        <v>0</v>
      </c>
      <c r="Z55" s="474"/>
      <c r="AB55" s="338"/>
      <c r="AC55" s="438"/>
      <c r="AD55" s="438"/>
      <c r="AE55" s="438"/>
      <c r="AF55" s="438"/>
      <c r="AG55" s="438"/>
      <c r="AH55" s="438"/>
      <c r="AI55" s="438"/>
      <c r="AJ55" s="438"/>
      <c r="AK55" s="438"/>
      <c r="AL55" s="438"/>
      <c r="AM55" s="339"/>
      <c r="AO55">
        <f ca="1">IF($A55="S",IF(BM!$I55=0,0,CHOOSE(MATCH(RegimeExecucao,{"Global","Unitário"},0),ROUND(ROUND(BM.MEDAcumulado,15-13*BM!$A$9)/100*BM!$I55,15-13*ORÇAMENTO!$AF$11),ROUND(ROUND(BM.MEDAcumulado,15-13*BM!$A$9)*ROUND(BM!$H55,15-13*ORÇAMENTO!$AF$10),15-13*ORÇAMENTO!$AF$11))),IF($A55=0,0,ROUND(SomaAgrupBM,15-13*ORÇAMENTO!$AF$11)))</f>
        <v>0</v>
      </c>
    </row>
    <row r="56" spans="1:41" ht="38.25" x14ac:dyDescent="0.2">
      <c r="A56" t="str">
        <f ca="1">ORÇAMENTO!C56</f>
        <v>S</v>
      </c>
      <c r="B56">
        <f ca="1">ORÇAMENTO!D56</f>
        <v>0</v>
      </c>
      <c r="C56" s="115" t="str">
        <f t="shared" ca="1" si="34"/>
        <v>F</v>
      </c>
      <c r="D56" s="118" t="str">
        <f ca="1">ORÇAMENTO!O56</f>
        <v>1.6.6.</v>
      </c>
      <c r="E56" s="164" t="str">
        <f t="shared" ca="1" si="22"/>
        <v>CONCRETO FCK = 25MPA, TRAÇO 1:2,3:2,7 (EM MASSA SECA DE CIMENTO/ AREIA MÉDIA/ BRITA 1) - PREPARO MECÂNICO COM BETONEIRA 600 L. AF_05/2021</v>
      </c>
      <c r="F56" s="165" t="str">
        <f ca="1">IF(RegimeExecucao="Global","",ORÇAMENTO.Unidade)</f>
        <v>M3</v>
      </c>
      <c r="G56" s="123">
        <f ca="1">IF(RegimeExecucao="Global","",ORÇAMENTO!T56)</f>
        <v>5.2</v>
      </c>
      <c r="H56" s="123">
        <f ca="1">IF(RegimeExecucao="Global","",ORÇAMENTO!W56)</f>
        <v>652.41</v>
      </c>
      <c r="I56" s="126">
        <f ca="1">ORÇAMENTO!X56</f>
        <v>3392.53</v>
      </c>
      <c r="J56" s="334" cm="1">
        <f t="array" aca="1" ref="J56" ca="1">_xlfn.SINGLE(IF($A56="S",IF(CAIXA.Modo,BM.AFAnterior,BM.MEDAnterior),IF(AND(_xlfn.SINGLE(RegimeExecucao)="Global",$I56&gt;0,COUNTIF($AB$13:$AM$13,BM.medicao-1)&gt;0),M56/$I56*100,0)))</f>
        <v>0</v>
      </c>
      <c r="K56" s="123">
        <f t="shared" ca="1" si="35"/>
        <v>0</v>
      </c>
      <c r="L56" s="335" cm="1">
        <f t="array" aca="1" ref="L56" ca="1">_xlfn.SINGLE(IF($A56="S",IF(CAIXA.Modo,BM.AFAcumulado,BM.MEDAcumulado),IF(AND(_xlfn.SINGLE(RegimeExecucao)="Global",$I56&gt;0,COUNTIF($AB$13:$AM$13,BM.medicao)&gt;0),O56/$I56*100,0)))</f>
        <v>0</v>
      </c>
      <c r="M56" s="336">
        <f ca="1">IF($A56="S",VTOTALBM,IF($A56=0,0,ROUND(SomaAgrupBM,15-13*ORÇAMENTO!$AF$11)))</f>
        <v>0</v>
      </c>
      <c r="N56" s="337">
        <f t="shared" ca="1" si="36"/>
        <v>0</v>
      </c>
      <c r="O56" s="126">
        <f ca="1">IF($A56="S",VTOTALBM,IF($A56=0,0,ROUND(SomaAgrupBM,15-13*ORÇAMENTO!$AF$11)))</f>
        <v>0</v>
      </c>
      <c r="Q56" s="338"/>
      <c r="R56" s="339"/>
      <c r="T56" s="118" t="str">
        <f t="shared" ca="1" si="37"/>
        <v/>
      </c>
      <c r="U56" s="164" t="str">
        <f t="shared" ca="1" si="38"/>
        <v/>
      </c>
      <c r="V56" s="165" t="str">
        <f ca="1">IF(AND($W56&gt;0,RegimeExecucao="Unitário"),$F56,"")</f>
        <v/>
      </c>
      <c r="W56" s="455">
        <f ca="1">IF($Y56&gt;0,CHOOSE(MATCH(RegimeExecucao,{"Unitário","Global"},0),IF($A56="S",$Y56/$X56,""),($Y56/$X56)*100),0)</f>
        <v>0</v>
      </c>
      <c r="X56" s="340" t="str">
        <f ca="1">IF($Y56&gt;0,CHOOSE(MATCH(RegimeExecucao,{"Unitário","Global"},0),IF($A56="S",ROUND($H56,ORÇAMENTO!$AF$10),""),ROUND($I56,ORÇAMENTO!$AF$11)),"")</f>
        <v/>
      </c>
      <c r="Y56" s="340">
        <f t="shared" ca="1" si="39"/>
        <v>0</v>
      </c>
      <c r="Z56" s="474"/>
      <c r="AB56" s="338"/>
      <c r="AC56" s="438"/>
      <c r="AD56" s="438"/>
      <c r="AE56" s="438"/>
      <c r="AF56" s="438"/>
      <c r="AG56" s="438"/>
      <c r="AH56" s="438"/>
      <c r="AI56" s="438"/>
      <c r="AJ56" s="438"/>
      <c r="AK56" s="438"/>
      <c r="AL56" s="438"/>
      <c r="AM56" s="339"/>
      <c r="AO56">
        <f ca="1">IF($A56="S",IF(BM!$I56=0,0,CHOOSE(MATCH(RegimeExecucao,{"Global","Unitário"},0),ROUND(ROUND(BM.MEDAcumulado,15-13*BM!$A$9)/100*BM!$I56,15-13*ORÇAMENTO!$AF$11),ROUND(ROUND(BM.MEDAcumulado,15-13*BM!$A$9)*ROUND(BM!$H56,15-13*ORÇAMENTO!$AF$10),15-13*ORÇAMENTO!$AF$11))),IF($A56=0,0,ROUND(SomaAgrupBM,15-13*ORÇAMENTO!$AF$11)))</f>
        <v>0</v>
      </c>
    </row>
    <row r="57" spans="1:41" ht="25.5" x14ac:dyDescent="0.2">
      <c r="A57" t="str">
        <f ca="1">ORÇAMENTO!C57</f>
        <v>S</v>
      </c>
      <c r="B57">
        <f ca="1">ORÇAMENTO!D57</f>
        <v>0</v>
      </c>
      <c r="C57" s="115" t="str">
        <f ca="1">IF(OR($I57&gt;0,$A57=1,$A57=2,$A57=3,$A57=4),"F","")</f>
        <v>F</v>
      </c>
      <c r="D57" s="118" t="str">
        <f ca="1">ORÇAMENTO!O57</f>
        <v>1.6.7.</v>
      </c>
      <c r="E57" s="164" t="str">
        <f t="shared" ref="E57:E68" ca="1" si="40">ORÇAMENTO.Descricao</f>
        <v>LANÇAMENTO COM USO DE BALDES, ADENSAMENTO E ACABAMENTO DE CONCRETO EM ESTRUTURAS. AF_02/2022</v>
      </c>
      <c r="F57" s="165" t="str">
        <f ca="1">IF(RegimeExecucao="Global","",ORÇAMENTO.Unidade)</f>
        <v>M3</v>
      </c>
      <c r="G57" s="123">
        <f ca="1">IF(RegimeExecucao="Global","",ORÇAMENTO!T57)</f>
        <v>5.2</v>
      </c>
      <c r="H57" s="123">
        <f ca="1">IF(RegimeExecucao="Global","",ORÇAMENTO!W57)</f>
        <v>371.57</v>
      </c>
      <c r="I57" s="126">
        <f ca="1">ORÇAMENTO!X57</f>
        <v>1932.16</v>
      </c>
      <c r="J57" s="334" cm="1">
        <f t="array" aca="1" ref="J57" ca="1">_xlfn.SINGLE(IF($A57="S",IF(CAIXA.Modo,BM.AFAnterior,BM.MEDAnterior),IF(AND(_xlfn.SINGLE(RegimeExecucao)="Global",$I57&gt;0,COUNTIF($AB$13:$AM$13,BM.medicao-1)&gt;0),M57/$I57*100,0)))</f>
        <v>0</v>
      </c>
      <c r="K57" s="123">
        <f ca="1">L57-J57</f>
        <v>0</v>
      </c>
      <c r="L57" s="335" cm="1">
        <f t="array" aca="1" ref="L57" ca="1">_xlfn.SINGLE(IF($A57="S",IF(CAIXA.Modo,BM.AFAcumulado,BM.MEDAcumulado),IF(AND(_xlfn.SINGLE(RegimeExecucao)="Global",$I57&gt;0,COUNTIF($AB$13:$AM$13,BM.medicao)&gt;0),O57/$I57*100,0)))</f>
        <v>0</v>
      </c>
      <c r="M57" s="336">
        <f ca="1">IF($A57="S",VTOTALBM,IF($A57=0,0,ROUND(SomaAgrupBM,15-13*ORÇAMENTO!$AF$11)))</f>
        <v>0</v>
      </c>
      <c r="N57" s="337">
        <f ca="1">O57-M57</f>
        <v>0</v>
      </c>
      <c r="O57" s="126">
        <f ca="1">IF($A57="S",VTOTALBM,IF($A57=0,0,ROUND(SomaAgrupBM,15-13*ORÇAMENTO!$AF$11)))</f>
        <v>0</v>
      </c>
      <c r="Q57" s="338"/>
      <c r="R57" s="339"/>
      <c r="T57" s="118" t="str">
        <f ca="1">IF($W57&gt;0,$D57,"")</f>
        <v/>
      </c>
      <c r="U57" s="164" t="str">
        <f ca="1">IF($W57&gt;0,$E57,"")</f>
        <v/>
      </c>
      <c r="V57" s="165" t="str">
        <f ca="1">IF(AND($W57&gt;0,RegimeExecucao="Unitário"),$F57,"")</f>
        <v/>
      </c>
      <c r="W57" s="455">
        <f ca="1">IF($Y57&gt;0,CHOOSE(MATCH(RegimeExecucao,{"Unitário","Global"},0),IF($A57="S",$Y57/$X57,""),($Y57/$X57)*100),0)</f>
        <v>0</v>
      </c>
      <c r="X57" s="340" t="str">
        <f ca="1">IF($Y57&gt;0,CHOOSE(MATCH(RegimeExecucao,{"Unitário","Global"},0),IF($A57="S",ROUND($H57,ORÇAMENTO!$AF$10),""),ROUND($I57,ORÇAMENTO!$AF$11)),"")</f>
        <v/>
      </c>
      <c r="Y57" s="340">
        <f ca="1">AO57-O57</f>
        <v>0</v>
      </c>
      <c r="Z57" s="474"/>
      <c r="AB57" s="338"/>
      <c r="AC57" s="438"/>
      <c r="AD57" s="438"/>
      <c r="AE57" s="438"/>
      <c r="AF57" s="438"/>
      <c r="AG57" s="438"/>
      <c r="AH57" s="438"/>
      <c r="AI57" s="438"/>
      <c r="AJ57" s="438"/>
      <c r="AK57" s="438"/>
      <c r="AL57" s="438"/>
      <c r="AM57" s="339"/>
      <c r="AO57">
        <f ca="1">IF($A57="S",IF(BM!$I57=0,0,CHOOSE(MATCH(RegimeExecucao,{"Global","Unitário"},0),ROUND(ROUND(BM.MEDAcumulado,15-13*BM!$A$9)/100*BM!$I57,15-13*ORÇAMENTO!$AF$11),ROUND(ROUND(BM.MEDAcumulado,15-13*BM!$A$9)*ROUND(BM!$H57,15-13*ORÇAMENTO!$AF$10),15-13*ORÇAMENTO!$AF$11))),IF($A57=0,0,ROUND(SomaAgrupBM,15-13*ORÇAMENTO!$AF$11)))</f>
        <v>0</v>
      </c>
    </row>
    <row r="58" spans="1:41" ht="38.25" x14ac:dyDescent="0.2">
      <c r="A58" t="str">
        <f ca="1">ORÇAMENTO!C58</f>
        <v>S</v>
      </c>
      <c r="B58">
        <f ca="1">ORÇAMENTO!D58</f>
        <v>0</v>
      </c>
      <c r="C58" s="115" t="str">
        <f t="shared" ref="C58:C68" ca="1" si="41">IF(OR($I58&gt;0,$A58=1,$A58=2,$A58=3,$A58=4),"F","")</f>
        <v>F</v>
      </c>
      <c r="D58" s="118" t="str">
        <f ca="1">ORÇAMENTO!O58</f>
        <v>1.6.8.</v>
      </c>
      <c r="E58" s="164" t="str">
        <f t="shared" ca="1" si="40"/>
        <v>ARMAÇÃO DE PILAR OU VIGA DE ESTRUTURA CONVENCIONAL DE CONCRETO ARMADO UTILIZANDO AÇO CA-50 DE 10,0 MM - MONTAGEM. AF_06/2022</v>
      </c>
      <c r="F58" s="165" t="str">
        <f ca="1">IF(RegimeExecucao="Global","",ORÇAMENTO.Unidade)</f>
        <v>KG</v>
      </c>
      <c r="G58" s="123">
        <f ca="1">IF(RegimeExecucao="Global","",ORÇAMENTO!T58)</f>
        <v>140.5</v>
      </c>
      <c r="H58" s="123">
        <f ca="1">IF(RegimeExecucao="Global","",ORÇAMENTO!W58)</f>
        <v>11.52</v>
      </c>
      <c r="I58" s="126">
        <f ca="1">ORÇAMENTO!X58</f>
        <v>1618.56</v>
      </c>
      <c r="J58" s="334" cm="1">
        <f t="array" aca="1" ref="J58" ca="1">_xlfn.SINGLE(IF($A58="S",IF(CAIXA.Modo,BM.AFAnterior,BM.MEDAnterior),IF(AND(_xlfn.SINGLE(RegimeExecucao)="Global",$I58&gt;0,COUNTIF($AB$13:$AM$13,BM.medicao-1)&gt;0),M58/$I58*100,0)))</f>
        <v>0</v>
      </c>
      <c r="K58" s="123">
        <f t="shared" ref="K58:K68" ca="1" si="42">L58-J58</f>
        <v>0</v>
      </c>
      <c r="L58" s="335" cm="1">
        <f t="array" aca="1" ref="L58" ca="1">_xlfn.SINGLE(IF($A58="S",IF(CAIXA.Modo,BM.AFAcumulado,BM.MEDAcumulado),IF(AND(_xlfn.SINGLE(RegimeExecucao)="Global",$I58&gt;0,COUNTIF($AB$13:$AM$13,BM.medicao)&gt;0),O58/$I58*100,0)))</f>
        <v>0</v>
      </c>
      <c r="M58" s="336">
        <f ca="1">IF($A58="S",VTOTALBM,IF($A58=0,0,ROUND(SomaAgrupBM,15-13*ORÇAMENTO!$AF$11)))</f>
        <v>0</v>
      </c>
      <c r="N58" s="337">
        <f t="shared" ref="N58:N68" ca="1" si="43">O58-M58</f>
        <v>0</v>
      </c>
      <c r="O58" s="126">
        <f ca="1">IF($A58="S",VTOTALBM,IF($A58=0,0,ROUND(SomaAgrupBM,15-13*ORÇAMENTO!$AF$11)))</f>
        <v>0</v>
      </c>
      <c r="Q58" s="338"/>
      <c r="R58" s="339"/>
      <c r="T58" s="118" t="str">
        <f t="shared" ref="T58:T68" ca="1" si="44">IF($W58&gt;0,$D58,"")</f>
        <v/>
      </c>
      <c r="U58" s="164" t="str">
        <f t="shared" ref="U58:U68" ca="1" si="45">IF($W58&gt;0,$E58,"")</f>
        <v/>
      </c>
      <c r="V58" s="165" t="str">
        <f ca="1">IF(AND($W58&gt;0,RegimeExecucao="Unitário"),$F58,"")</f>
        <v/>
      </c>
      <c r="W58" s="455">
        <f ca="1">IF($Y58&gt;0,CHOOSE(MATCH(RegimeExecucao,{"Unitário","Global"},0),IF($A58="S",$Y58/$X58,""),($Y58/$X58)*100),0)</f>
        <v>0</v>
      </c>
      <c r="X58" s="340" t="str">
        <f ca="1">IF($Y58&gt;0,CHOOSE(MATCH(RegimeExecucao,{"Unitário","Global"},0),IF($A58="S",ROUND($H58,ORÇAMENTO!$AF$10),""),ROUND($I58,ORÇAMENTO!$AF$11)),"")</f>
        <v/>
      </c>
      <c r="Y58" s="340">
        <f t="shared" ref="Y58:Y68" ca="1" si="46">AO58-O58</f>
        <v>0</v>
      </c>
      <c r="Z58" s="474"/>
      <c r="AB58" s="338"/>
      <c r="AC58" s="438"/>
      <c r="AD58" s="438"/>
      <c r="AE58" s="438"/>
      <c r="AF58" s="438"/>
      <c r="AG58" s="438"/>
      <c r="AH58" s="438"/>
      <c r="AI58" s="438"/>
      <c r="AJ58" s="438"/>
      <c r="AK58" s="438"/>
      <c r="AL58" s="438"/>
      <c r="AM58" s="339"/>
      <c r="AO58">
        <f ca="1">IF($A58="S",IF(BM!$I58=0,0,CHOOSE(MATCH(RegimeExecucao,{"Global","Unitário"},0),ROUND(ROUND(BM.MEDAcumulado,15-13*BM!$A$9)/100*BM!$I58,15-13*ORÇAMENTO!$AF$11),ROUND(ROUND(BM.MEDAcumulado,15-13*BM!$A$9)*ROUND(BM!$H58,15-13*ORÇAMENTO!$AF$10),15-13*ORÇAMENTO!$AF$11))),IF($A58=0,0,ROUND(SomaAgrupBM,15-13*ORÇAMENTO!$AF$11)))</f>
        <v>0</v>
      </c>
    </row>
    <row r="59" spans="1:41" ht="38.25" x14ac:dyDescent="0.2">
      <c r="A59" t="str">
        <f ca="1">ORÇAMENTO!C59</f>
        <v>S</v>
      </c>
      <c r="B59">
        <f ca="1">ORÇAMENTO!D59</f>
        <v>0</v>
      </c>
      <c r="C59" s="115" t="str">
        <f t="shared" ca="1" si="41"/>
        <v>F</v>
      </c>
      <c r="D59" s="118" t="str">
        <f ca="1">ORÇAMENTO!O59</f>
        <v>1.6.9.</v>
      </c>
      <c r="E59" s="164" t="str">
        <f t="shared" ca="1" si="40"/>
        <v>ARMAÇÃO DE PILAR OU VIGA DE ESTRUTURA CONVENCIONAL DE CONCRETO ARMADO UTILIZANDO AÇO CA-60 DE 5,0 MM - MONTAGEM. AF_06/2022</v>
      </c>
      <c r="F59" s="165" t="str">
        <f ca="1">IF(RegimeExecucao="Global","",ORÇAMENTO.Unidade)</f>
        <v>KG</v>
      </c>
      <c r="G59" s="123">
        <f ca="1">IF(RegimeExecucao="Global","",ORÇAMENTO!T59)</f>
        <v>58.5</v>
      </c>
      <c r="H59" s="123">
        <f ca="1">IF(RegimeExecucao="Global","",ORÇAMENTO!W59)</f>
        <v>15.27</v>
      </c>
      <c r="I59" s="126">
        <f ca="1">ORÇAMENTO!X59</f>
        <v>893.3</v>
      </c>
      <c r="J59" s="334" cm="1">
        <f t="array" aca="1" ref="J59" ca="1">_xlfn.SINGLE(IF($A59="S",IF(CAIXA.Modo,BM.AFAnterior,BM.MEDAnterior),IF(AND(_xlfn.SINGLE(RegimeExecucao)="Global",$I59&gt;0,COUNTIF($AB$13:$AM$13,BM.medicao-1)&gt;0),M59/$I59*100,0)))</f>
        <v>0</v>
      </c>
      <c r="K59" s="123">
        <f t="shared" ca="1" si="42"/>
        <v>0</v>
      </c>
      <c r="L59" s="335" cm="1">
        <f t="array" aca="1" ref="L59" ca="1">_xlfn.SINGLE(IF($A59="S",IF(CAIXA.Modo,BM.AFAcumulado,BM.MEDAcumulado),IF(AND(_xlfn.SINGLE(RegimeExecucao)="Global",$I59&gt;0,COUNTIF($AB$13:$AM$13,BM.medicao)&gt;0),O59/$I59*100,0)))</f>
        <v>0</v>
      </c>
      <c r="M59" s="336">
        <f ca="1">IF($A59="S",VTOTALBM,IF($A59=0,0,ROUND(SomaAgrupBM,15-13*ORÇAMENTO!$AF$11)))</f>
        <v>0</v>
      </c>
      <c r="N59" s="337">
        <f t="shared" ca="1" si="43"/>
        <v>0</v>
      </c>
      <c r="O59" s="126">
        <f ca="1">IF($A59="S",VTOTALBM,IF($A59=0,0,ROUND(SomaAgrupBM,15-13*ORÇAMENTO!$AF$11)))</f>
        <v>0</v>
      </c>
      <c r="Q59" s="338"/>
      <c r="R59" s="339"/>
      <c r="T59" s="118" t="str">
        <f t="shared" ca="1" si="44"/>
        <v/>
      </c>
      <c r="U59" s="164" t="str">
        <f t="shared" ca="1" si="45"/>
        <v/>
      </c>
      <c r="V59" s="165" t="str">
        <f ca="1">IF(AND($W59&gt;0,RegimeExecucao="Unitário"),$F59,"")</f>
        <v/>
      </c>
      <c r="W59" s="455">
        <f ca="1">IF($Y59&gt;0,CHOOSE(MATCH(RegimeExecucao,{"Unitário","Global"},0),IF($A59="S",$Y59/$X59,""),($Y59/$X59)*100),0)</f>
        <v>0</v>
      </c>
      <c r="X59" s="340" t="str">
        <f ca="1">IF($Y59&gt;0,CHOOSE(MATCH(RegimeExecucao,{"Unitário","Global"},0),IF($A59="S",ROUND($H59,ORÇAMENTO!$AF$10),""),ROUND($I59,ORÇAMENTO!$AF$11)),"")</f>
        <v/>
      </c>
      <c r="Y59" s="340">
        <f t="shared" ca="1" si="46"/>
        <v>0</v>
      </c>
      <c r="Z59" s="474"/>
      <c r="AB59" s="338"/>
      <c r="AC59" s="438"/>
      <c r="AD59" s="438"/>
      <c r="AE59" s="438"/>
      <c r="AF59" s="438"/>
      <c r="AG59" s="438"/>
      <c r="AH59" s="438"/>
      <c r="AI59" s="438"/>
      <c r="AJ59" s="438"/>
      <c r="AK59" s="438"/>
      <c r="AL59" s="438"/>
      <c r="AM59" s="339"/>
      <c r="AO59">
        <f ca="1">IF($A59="S",IF(BM!$I59=0,0,CHOOSE(MATCH(RegimeExecucao,{"Global","Unitário"},0),ROUND(ROUND(BM.MEDAcumulado,15-13*BM!$A$9)/100*BM!$I59,15-13*ORÇAMENTO!$AF$11),ROUND(ROUND(BM.MEDAcumulado,15-13*BM!$A$9)*ROUND(BM!$H59,15-13*ORÇAMENTO!$AF$10),15-13*ORÇAMENTO!$AF$11))),IF($A59=0,0,ROUND(SomaAgrupBM,15-13*ORÇAMENTO!$AF$11)))</f>
        <v>0</v>
      </c>
    </row>
    <row r="60" spans="1:41" ht="25.5" x14ac:dyDescent="0.2">
      <c r="A60" t="str">
        <f ca="1">ORÇAMENTO!C60</f>
        <v>S</v>
      </c>
      <c r="B60">
        <f ca="1">ORÇAMENTO!D60</f>
        <v>0</v>
      </c>
      <c r="C60" s="115" t="str">
        <f t="shared" ca="1" si="41"/>
        <v>F</v>
      </c>
      <c r="D60" s="118" t="str">
        <f ca="1">ORÇAMENTO!O60</f>
        <v>1.6.10.</v>
      </c>
      <c r="E60" s="164" t="str">
        <f t="shared" ca="1" si="40"/>
        <v>ARMAÇÃO DE SAPATA ISOLADA, VIGA BALDRAME E SAPATA CORRIDA UTILIZANDO AÇO CA-50 DE 8 MM - MONTAGEM. AF_01/2024</v>
      </c>
      <c r="F60" s="165" t="str">
        <f ca="1">IF(RegimeExecucao="Global","",ORÇAMENTO.Unidade)</f>
        <v>KG</v>
      </c>
      <c r="G60" s="123">
        <f ca="1">IF(RegimeExecucao="Global","",ORÇAMENTO!T60)</f>
        <v>17.100000000000001</v>
      </c>
      <c r="H60" s="123">
        <f ca="1">IF(RegimeExecucao="Global","",ORÇAMENTO!W60)</f>
        <v>15.4</v>
      </c>
      <c r="I60" s="126">
        <f ca="1">ORÇAMENTO!X60</f>
        <v>263.33999999999997</v>
      </c>
      <c r="J60" s="334" cm="1">
        <f t="array" aca="1" ref="J60" ca="1">_xlfn.SINGLE(IF($A60="S",IF(CAIXA.Modo,BM.AFAnterior,BM.MEDAnterior),IF(AND(_xlfn.SINGLE(RegimeExecucao)="Global",$I60&gt;0,COUNTIF($AB$13:$AM$13,BM.medicao-1)&gt;0),M60/$I60*100,0)))</f>
        <v>0</v>
      </c>
      <c r="K60" s="123">
        <f t="shared" ca="1" si="42"/>
        <v>0</v>
      </c>
      <c r="L60" s="335" cm="1">
        <f t="array" aca="1" ref="L60" ca="1">_xlfn.SINGLE(IF($A60="S",IF(CAIXA.Modo,BM.AFAcumulado,BM.MEDAcumulado),IF(AND(_xlfn.SINGLE(RegimeExecucao)="Global",$I60&gt;0,COUNTIF($AB$13:$AM$13,BM.medicao)&gt;0),O60/$I60*100,0)))</f>
        <v>0</v>
      </c>
      <c r="M60" s="336">
        <f ca="1">IF($A60="S",VTOTALBM,IF($A60=0,0,ROUND(SomaAgrupBM,15-13*ORÇAMENTO!$AF$11)))</f>
        <v>0</v>
      </c>
      <c r="N60" s="337">
        <f t="shared" ca="1" si="43"/>
        <v>0</v>
      </c>
      <c r="O60" s="126">
        <f ca="1">IF($A60="S",VTOTALBM,IF($A60=0,0,ROUND(SomaAgrupBM,15-13*ORÇAMENTO!$AF$11)))</f>
        <v>0</v>
      </c>
      <c r="Q60" s="338"/>
      <c r="R60" s="339"/>
      <c r="T60" s="118" t="str">
        <f t="shared" ca="1" si="44"/>
        <v/>
      </c>
      <c r="U60" s="164" t="str">
        <f t="shared" ca="1" si="45"/>
        <v/>
      </c>
      <c r="V60" s="165" t="str">
        <f ca="1">IF(AND($W60&gt;0,RegimeExecucao="Unitário"),$F60,"")</f>
        <v/>
      </c>
      <c r="W60" s="455">
        <f ca="1">IF($Y60&gt;0,CHOOSE(MATCH(RegimeExecucao,{"Unitário","Global"},0),IF($A60="S",$Y60/$X60,""),($Y60/$X60)*100),0)</f>
        <v>0</v>
      </c>
      <c r="X60" s="340" t="str">
        <f ca="1">IF($Y60&gt;0,CHOOSE(MATCH(RegimeExecucao,{"Unitário","Global"},0),IF($A60="S",ROUND($H60,ORÇAMENTO!$AF$10),""),ROUND($I60,ORÇAMENTO!$AF$11)),"")</f>
        <v/>
      </c>
      <c r="Y60" s="340">
        <f t="shared" ca="1" si="46"/>
        <v>0</v>
      </c>
      <c r="Z60" s="474"/>
      <c r="AB60" s="338"/>
      <c r="AC60" s="438"/>
      <c r="AD60" s="438"/>
      <c r="AE60" s="438"/>
      <c r="AF60" s="438"/>
      <c r="AG60" s="438"/>
      <c r="AH60" s="438"/>
      <c r="AI60" s="438"/>
      <c r="AJ60" s="438"/>
      <c r="AK60" s="438"/>
      <c r="AL60" s="438"/>
      <c r="AM60" s="339"/>
      <c r="AO60">
        <f ca="1">IF($A60="S",IF(BM!$I60=0,0,CHOOSE(MATCH(RegimeExecucao,{"Global","Unitário"},0),ROUND(ROUND(BM.MEDAcumulado,15-13*BM!$A$9)/100*BM!$I60,15-13*ORÇAMENTO!$AF$11),ROUND(ROUND(BM.MEDAcumulado,15-13*BM!$A$9)*ROUND(BM!$H60,15-13*ORÇAMENTO!$AF$10),15-13*ORÇAMENTO!$AF$11))),IF($A60=0,0,ROUND(SomaAgrupBM,15-13*ORÇAMENTO!$AF$11)))</f>
        <v>0</v>
      </c>
    </row>
    <row r="61" spans="1:41" ht="38.25" x14ac:dyDescent="0.2">
      <c r="A61" t="str">
        <f ca="1">ORÇAMENTO!C61</f>
        <v>S</v>
      </c>
      <c r="B61">
        <f ca="1">ORÇAMENTO!D61</f>
        <v>0</v>
      </c>
      <c r="C61" s="115" t="str">
        <f t="shared" ca="1" si="41"/>
        <v>F</v>
      </c>
      <c r="D61" s="118" t="str">
        <f ca="1">ORÇAMENTO!O61</f>
        <v>1.6.11.</v>
      </c>
      <c r="E61" s="164" t="str">
        <f t="shared" ca="1" si="40"/>
        <v>TELA DE ACO SOLDADA NERVURADA, CA-60, Q-92, (1,48 KG/M2), DIAMETRO DO FIO = 4,2 MM, LARGURA = 2,45 X 60 M DE COMPRIMENTO, ESPACAMENTO DA MALHA = 15 X 15 CM</v>
      </c>
      <c r="F61" s="165" t="str">
        <f ca="1">IF(RegimeExecucao="Global","",ORÇAMENTO.Unidade)</f>
        <v>M2</v>
      </c>
      <c r="G61" s="123">
        <f ca="1">IF(RegimeExecucao="Global","",ORÇAMENTO!T61)</f>
        <v>22.25</v>
      </c>
      <c r="H61" s="123">
        <f ca="1">IF(RegimeExecucao="Global","",ORÇAMENTO!W61)</f>
        <v>14.95</v>
      </c>
      <c r="I61" s="126">
        <f ca="1">ORÇAMENTO!X61</f>
        <v>332.64</v>
      </c>
      <c r="J61" s="334" cm="1">
        <f t="array" aca="1" ref="J61" ca="1">_xlfn.SINGLE(IF($A61="S",IF(CAIXA.Modo,BM.AFAnterior,BM.MEDAnterior),IF(AND(_xlfn.SINGLE(RegimeExecucao)="Global",$I61&gt;0,COUNTIF($AB$13:$AM$13,BM.medicao-1)&gt;0),M61/$I61*100,0)))</f>
        <v>0</v>
      </c>
      <c r="K61" s="123">
        <f t="shared" ca="1" si="42"/>
        <v>0</v>
      </c>
      <c r="L61" s="335" cm="1">
        <f t="array" aca="1" ref="L61" ca="1">_xlfn.SINGLE(IF($A61="S",IF(CAIXA.Modo,BM.AFAcumulado,BM.MEDAcumulado),IF(AND(_xlfn.SINGLE(RegimeExecucao)="Global",$I61&gt;0,COUNTIF($AB$13:$AM$13,BM.medicao)&gt;0),O61/$I61*100,0)))</f>
        <v>0</v>
      </c>
      <c r="M61" s="336">
        <f ca="1">IF($A61="S",VTOTALBM,IF($A61=0,0,ROUND(SomaAgrupBM,15-13*ORÇAMENTO!$AF$11)))</f>
        <v>0</v>
      </c>
      <c r="N61" s="337">
        <f t="shared" ca="1" si="43"/>
        <v>0</v>
      </c>
      <c r="O61" s="126">
        <f ca="1">IF($A61="S",VTOTALBM,IF($A61=0,0,ROUND(SomaAgrupBM,15-13*ORÇAMENTO!$AF$11)))</f>
        <v>0</v>
      </c>
      <c r="Q61" s="338"/>
      <c r="R61" s="339"/>
      <c r="T61" s="118" t="str">
        <f t="shared" ca="1" si="44"/>
        <v/>
      </c>
      <c r="U61" s="164" t="str">
        <f t="shared" ca="1" si="45"/>
        <v/>
      </c>
      <c r="V61" s="165" t="str">
        <f ca="1">IF(AND($W61&gt;0,RegimeExecucao="Unitário"),$F61,"")</f>
        <v/>
      </c>
      <c r="W61" s="455">
        <f ca="1">IF($Y61&gt;0,CHOOSE(MATCH(RegimeExecucao,{"Unitário","Global"},0),IF($A61="S",$Y61/$X61,""),($Y61/$X61)*100),0)</f>
        <v>0</v>
      </c>
      <c r="X61" s="340" t="str">
        <f ca="1">IF($Y61&gt;0,CHOOSE(MATCH(RegimeExecucao,{"Unitário","Global"},0),IF($A61="S",ROUND($H61,ORÇAMENTO!$AF$10),""),ROUND($I61,ORÇAMENTO!$AF$11)),"")</f>
        <v/>
      </c>
      <c r="Y61" s="340">
        <f t="shared" ca="1" si="46"/>
        <v>0</v>
      </c>
      <c r="Z61" s="474"/>
      <c r="AB61" s="338"/>
      <c r="AC61" s="438"/>
      <c r="AD61" s="438"/>
      <c r="AE61" s="438"/>
      <c r="AF61" s="438"/>
      <c r="AG61" s="438"/>
      <c r="AH61" s="438"/>
      <c r="AI61" s="438"/>
      <c r="AJ61" s="438"/>
      <c r="AK61" s="438"/>
      <c r="AL61" s="438"/>
      <c r="AM61" s="339"/>
      <c r="AO61">
        <f ca="1">IF($A61="S",IF(BM!$I61=0,0,CHOOSE(MATCH(RegimeExecucao,{"Global","Unitário"},0),ROUND(ROUND(BM.MEDAcumulado,15-13*BM!$A$9)/100*BM!$I61,15-13*ORÇAMENTO!$AF$11),ROUND(ROUND(BM.MEDAcumulado,15-13*BM!$A$9)*ROUND(BM!$H61,15-13*ORÇAMENTO!$AF$10),15-13*ORÇAMENTO!$AF$11))),IF($A61=0,0,ROUND(SomaAgrupBM,15-13*ORÇAMENTO!$AF$11)))</f>
        <v>0</v>
      </c>
    </row>
    <row r="62" spans="1:41" ht="25.5" x14ac:dyDescent="0.2">
      <c r="A62" t="str">
        <f ca="1">ORÇAMENTO!C62</f>
        <v>S</v>
      </c>
      <c r="B62">
        <f ca="1">ORÇAMENTO!D62</f>
        <v>0</v>
      </c>
      <c r="C62" s="115" t="str">
        <f t="shared" ca="1" si="41"/>
        <v>F</v>
      </c>
      <c r="D62" s="118" t="str">
        <f ca="1">ORÇAMENTO!O62</f>
        <v>1.6.12.</v>
      </c>
      <c r="E62" s="164" t="str">
        <f t="shared" ca="1" si="40"/>
        <v>ARAME RECOZIDO 16 BWG, D = 1,65 MM (0,016 KG/M) OU 18 BWG, D = 1,25 MM (0,01 KG/M)</v>
      </c>
      <c r="F62" s="165" t="str">
        <f ca="1">IF(RegimeExecucao="Global","",ORÇAMENTO.Unidade)</f>
        <v>KG</v>
      </c>
      <c r="G62" s="123">
        <f ca="1">IF(RegimeExecucao="Global","",ORÇAMENTO!T62)</f>
        <v>9</v>
      </c>
      <c r="H62" s="123">
        <f ca="1">IF(RegimeExecucao="Global","",ORÇAMENTO!W62)</f>
        <v>23.99</v>
      </c>
      <c r="I62" s="126">
        <f ca="1">ORÇAMENTO!X62</f>
        <v>215.91</v>
      </c>
      <c r="J62" s="334" cm="1">
        <f t="array" aca="1" ref="J62" ca="1">_xlfn.SINGLE(IF($A62="S",IF(CAIXA.Modo,BM.AFAnterior,BM.MEDAnterior),IF(AND(_xlfn.SINGLE(RegimeExecucao)="Global",$I62&gt;0,COUNTIF($AB$13:$AM$13,BM.medicao-1)&gt;0),M62/$I62*100,0)))</f>
        <v>0</v>
      </c>
      <c r="K62" s="123">
        <f t="shared" ca="1" si="42"/>
        <v>0</v>
      </c>
      <c r="L62" s="335" cm="1">
        <f t="array" aca="1" ref="L62" ca="1">_xlfn.SINGLE(IF($A62="S",IF(CAIXA.Modo,BM.AFAcumulado,BM.MEDAcumulado),IF(AND(_xlfn.SINGLE(RegimeExecucao)="Global",$I62&gt;0,COUNTIF($AB$13:$AM$13,BM.medicao)&gt;0),O62/$I62*100,0)))</f>
        <v>0</v>
      </c>
      <c r="M62" s="336">
        <f ca="1">IF($A62="S",VTOTALBM,IF($A62=0,0,ROUND(SomaAgrupBM,15-13*ORÇAMENTO!$AF$11)))</f>
        <v>0</v>
      </c>
      <c r="N62" s="337">
        <f t="shared" ca="1" si="43"/>
        <v>0</v>
      </c>
      <c r="O62" s="126">
        <f ca="1">IF($A62="S",VTOTALBM,IF($A62=0,0,ROUND(SomaAgrupBM,15-13*ORÇAMENTO!$AF$11)))</f>
        <v>0</v>
      </c>
      <c r="Q62" s="338"/>
      <c r="R62" s="339"/>
      <c r="T62" s="118" t="str">
        <f t="shared" ca="1" si="44"/>
        <v/>
      </c>
      <c r="U62" s="164" t="str">
        <f t="shared" ca="1" si="45"/>
        <v/>
      </c>
      <c r="V62" s="165" t="str">
        <f ca="1">IF(AND($W62&gt;0,RegimeExecucao="Unitário"),$F62,"")</f>
        <v/>
      </c>
      <c r="W62" s="455">
        <f ca="1">IF($Y62&gt;0,CHOOSE(MATCH(RegimeExecucao,{"Unitário","Global"},0),IF($A62="S",$Y62/$X62,""),($Y62/$X62)*100),0)</f>
        <v>0</v>
      </c>
      <c r="X62" s="340" t="str">
        <f ca="1">IF($Y62&gt;0,CHOOSE(MATCH(RegimeExecucao,{"Unitário","Global"},0),IF($A62="S",ROUND($H62,ORÇAMENTO!$AF$10),""),ROUND($I62,ORÇAMENTO!$AF$11)),"")</f>
        <v/>
      </c>
      <c r="Y62" s="340">
        <f t="shared" ca="1" si="46"/>
        <v>0</v>
      </c>
      <c r="Z62" s="474"/>
      <c r="AB62" s="338"/>
      <c r="AC62" s="438"/>
      <c r="AD62" s="438"/>
      <c r="AE62" s="438"/>
      <c r="AF62" s="438"/>
      <c r="AG62" s="438"/>
      <c r="AH62" s="438"/>
      <c r="AI62" s="438"/>
      <c r="AJ62" s="438"/>
      <c r="AK62" s="438"/>
      <c r="AL62" s="438"/>
      <c r="AM62" s="339"/>
      <c r="AO62">
        <f ca="1">IF($A62="S",IF(BM!$I62=0,0,CHOOSE(MATCH(RegimeExecucao,{"Global","Unitário"},0),ROUND(ROUND(BM.MEDAcumulado,15-13*BM!$A$9)/100*BM!$I62,15-13*ORÇAMENTO!$AF$11),ROUND(ROUND(BM.MEDAcumulado,15-13*BM!$A$9)*ROUND(BM!$H62,15-13*ORÇAMENTO!$AF$10),15-13*ORÇAMENTO!$AF$11))),IF($A62=0,0,ROUND(SomaAgrupBM,15-13*ORÇAMENTO!$AF$11)))</f>
        <v>0</v>
      </c>
    </row>
    <row r="63" spans="1:41" x14ac:dyDescent="0.2">
      <c r="A63" t="str">
        <f ca="1">ORÇAMENTO!C63</f>
        <v>S</v>
      </c>
      <c r="B63">
        <f ca="1">ORÇAMENTO!D63</f>
        <v>0</v>
      </c>
      <c r="C63" s="115" t="str">
        <f t="shared" ca="1" si="41"/>
        <v>F</v>
      </c>
      <c r="D63" s="118" t="str">
        <f ca="1">ORÇAMENTO!O63</f>
        <v>1.6.13.</v>
      </c>
      <c r="E63" s="164" t="str">
        <f t="shared" ca="1" si="40"/>
        <v>PREGO DE ACO POLIDO COM CABECA 18 X 30 (2 3/4 X 10)</v>
      </c>
      <c r="F63" s="165" t="str">
        <f ca="1">IF(RegimeExecucao="Global","",ORÇAMENTO.Unidade)</f>
        <v>KG</v>
      </c>
      <c r="G63" s="123">
        <f ca="1">IF(RegimeExecucao="Global","",ORÇAMENTO!T63)</f>
        <v>7</v>
      </c>
      <c r="H63" s="123">
        <f ca="1">IF(RegimeExecucao="Global","",ORÇAMENTO!W63)</f>
        <v>16.8</v>
      </c>
      <c r="I63" s="126">
        <f ca="1">ORÇAMENTO!X63</f>
        <v>117.6</v>
      </c>
      <c r="J63" s="334" cm="1">
        <f t="array" aca="1" ref="J63" ca="1">_xlfn.SINGLE(IF($A63="S",IF(CAIXA.Modo,BM.AFAnterior,BM.MEDAnterior),IF(AND(_xlfn.SINGLE(RegimeExecucao)="Global",$I63&gt;0,COUNTIF($AB$13:$AM$13,BM.medicao-1)&gt;0),M63/$I63*100,0)))</f>
        <v>0</v>
      </c>
      <c r="K63" s="123">
        <f t="shared" ca="1" si="42"/>
        <v>0</v>
      </c>
      <c r="L63" s="335" cm="1">
        <f t="array" aca="1" ref="L63" ca="1">_xlfn.SINGLE(IF($A63="S",IF(CAIXA.Modo,BM.AFAcumulado,BM.MEDAcumulado),IF(AND(_xlfn.SINGLE(RegimeExecucao)="Global",$I63&gt;0,COUNTIF($AB$13:$AM$13,BM.medicao)&gt;0),O63/$I63*100,0)))</f>
        <v>0</v>
      </c>
      <c r="M63" s="336">
        <f ca="1">IF($A63="S",VTOTALBM,IF($A63=0,0,ROUND(SomaAgrupBM,15-13*ORÇAMENTO!$AF$11)))</f>
        <v>0</v>
      </c>
      <c r="N63" s="337">
        <f t="shared" ca="1" si="43"/>
        <v>0</v>
      </c>
      <c r="O63" s="126">
        <f ca="1">IF($A63="S",VTOTALBM,IF($A63=0,0,ROUND(SomaAgrupBM,15-13*ORÇAMENTO!$AF$11)))</f>
        <v>0</v>
      </c>
      <c r="Q63" s="338"/>
      <c r="R63" s="339"/>
      <c r="T63" s="118" t="str">
        <f t="shared" ca="1" si="44"/>
        <v/>
      </c>
      <c r="U63" s="164" t="str">
        <f t="shared" ca="1" si="45"/>
        <v/>
      </c>
      <c r="V63" s="165" t="str">
        <f ca="1">IF(AND($W63&gt;0,RegimeExecucao="Unitário"),$F63,"")</f>
        <v/>
      </c>
      <c r="W63" s="455">
        <f ca="1">IF($Y63&gt;0,CHOOSE(MATCH(RegimeExecucao,{"Unitário","Global"},0),IF($A63="S",$Y63/$X63,""),($Y63/$X63)*100),0)</f>
        <v>0</v>
      </c>
      <c r="X63" s="340" t="str">
        <f ca="1">IF($Y63&gt;0,CHOOSE(MATCH(RegimeExecucao,{"Unitário","Global"},0),IF($A63="S",ROUND($H63,ORÇAMENTO!$AF$10),""),ROUND($I63,ORÇAMENTO!$AF$11)),"")</f>
        <v/>
      </c>
      <c r="Y63" s="340">
        <f t="shared" ca="1" si="46"/>
        <v>0</v>
      </c>
      <c r="Z63" s="474"/>
      <c r="AB63" s="338"/>
      <c r="AC63" s="438"/>
      <c r="AD63" s="438"/>
      <c r="AE63" s="438"/>
      <c r="AF63" s="438"/>
      <c r="AG63" s="438"/>
      <c r="AH63" s="438"/>
      <c r="AI63" s="438"/>
      <c r="AJ63" s="438"/>
      <c r="AK63" s="438"/>
      <c r="AL63" s="438"/>
      <c r="AM63" s="339"/>
      <c r="AO63">
        <f ca="1">IF($A63="S",IF(BM!$I63=0,0,CHOOSE(MATCH(RegimeExecucao,{"Global","Unitário"},0),ROUND(ROUND(BM.MEDAcumulado,15-13*BM!$A$9)/100*BM!$I63,15-13*ORÇAMENTO!$AF$11),ROUND(ROUND(BM.MEDAcumulado,15-13*BM!$A$9)*ROUND(BM!$H63,15-13*ORÇAMENTO!$AF$10),15-13*ORÇAMENTO!$AF$11))),IF($A63=0,0,ROUND(SomaAgrupBM,15-13*ORÇAMENTO!$AF$11)))</f>
        <v>0</v>
      </c>
    </row>
    <row r="64" spans="1:41" ht="51" x14ac:dyDescent="0.2">
      <c r="A64" t="str">
        <f ca="1">ORÇAMENTO!C64</f>
        <v>S</v>
      </c>
      <c r="B64">
        <f ca="1">ORÇAMENTO!D64</f>
        <v>0</v>
      </c>
      <c r="C64" s="115" t="str">
        <f t="shared" ca="1" si="41"/>
        <v>F</v>
      </c>
      <c r="D64" s="118" t="str">
        <f ca="1">ORÇAMENTO!O64</f>
        <v>1.6.14.</v>
      </c>
      <c r="E64" s="164" t="str">
        <f t="shared" ca="1" si="40"/>
        <v>ALVENARIA DE VEDAÇÃO DE BLOCOS CERÂMICOS FURADOS NA HORIZONTAL DE 11,5X19X39 CM (ESPESSURA 11,5 CM) E ARGAMASSA DE ASSENTAMENTO COM PREPARO EM BETONEIRA. AF_12/2021</v>
      </c>
      <c r="F64" s="165" t="str">
        <f ca="1">IF(RegimeExecucao="Global","",ORÇAMENTO.Unidade)</f>
        <v>M2</v>
      </c>
      <c r="G64" s="123">
        <f ca="1">IF(RegimeExecucao="Global","",ORÇAMENTO!T64)</f>
        <v>20.25</v>
      </c>
      <c r="H64" s="123">
        <f ca="1">IF(RegimeExecucao="Global","",ORÇAMENTO!W64)</f>
        <v>74.760000000000005</v>
      </c>
      <c r="I64" s="126">
        <f ca="1">ORÇAMENTO!X64</f>
        <v>1513.89</v>
      </c>
      <c r="J64" s="334" cm="1">
        <f t="array" aca="1" ref="J64" ca="1">_xlfn.SINGLE(IF($A64="S",IF(CAIXA.Modo,BM.AFAnterior,BM.MEDAnterior),IF(AND(_xlfn.SINGLE(RegimeExecucao)="Global",$I64&gt;0,COUNTIF($AB$13:$AM$13,BM.medicao-1)&gt;0),M64/$I64*100,0)))</f>
        <v>0</v>
      </c>
      <c r="K64" s="123">
        <f t="shared" ca="1" si="42"/>
        <v>0</v>
      </c>
      <c r="L64" s="335" cm="1">
        <f t="array" aca="1" ref="L64" ca="1">_xlfn.SINGLE(IF($A64="S",IF(CAIXA.Modo,BM.AFAcumulado,BM.MEDAcumulado),IF(AND(_xlfn.SINGLE(RegimeExecucao)="Global",$I64&gt;0,COUNTIF($AB$13:$AM$13,BM.medicao)&gt;0),O64/$I64*100,0)))</f>
        <v>0</v>
      </c>
      <c r="M64" s="336">
        <f ca="1">IF($A64="S",VTOTALBM,IF($A64=0,0,ROUND(SomaAgrupBM,15-13*ORÇAMENTO!$AF$11)))</f>
        <v>0</v>
      </c>
      <c r="N64" s="337">
        <f t="shared" ca="1" si="43"/>
        <v>0</v>
      </c>
      <c r="O64" s="126">
        <f ca="1">IF($A64="S",VTOTALBM,IF($A64=0,0,ROUND(SomaAgrupBM,15-13*ORÇAMENTO!$AF$11)))</f>
        <v>0</v>
      </c>
      <c r="Q64" s="338"/>
      <c r="R64" s="339"/>
      <c r="T64" s="118" t="str">
        <f t="shared" ca="1" si="44"/>
        <v/>
      </c>
      <c r="U64" s="164" t="str">
        <f t="shared" ca="1" si="45"/>
        <v/>
      </c>
      <c r="V64" s="165" t="str">
        <f ca="1">IF(AND($W64&gt;0,RegimeExecucao="Unitário"),$F64,"")</f>
        <v/>
      </c>
      <c r="W64" s="455">
        <f ca="1">IF($Y64&gt;0,CHOOSE(MATCH(RegimeExecucao,{"Unitário","Global"},0),IF($A64="S",$Y64/$X64,""),($Y64/$X64)*100),0)</f>
        <v>0</v>
      </c>
      <c r="X64" s="340" t="str">
        <f ca="1">IF($Y64&gt;0,CHOOSE(MATCH(RegimeExecucao,{"Unitário","Global"},0),IF($A64="S",ROUND($H64,ORÇAMENTO!$AF$10),""),ROUND($I64,ORÇAMENTO!$AF$11)),"")</f>
        <v/>
      </c>
      <c r="Y64" s="340">
        <f t="shared" ca="1" si="46"/>
        <v>0</v>
      </c>
      <c r="Z64" s="474"/>
      <c r="AB64" s="338"/>
      <c r="AC64" s="438"/>
      <c r="AD64" s="438"/>
      <c r="AE64" s="438"/>
      <c r="AF64" s="438"/>
      <c r="AG64" s="438"/>
      <c r="AH64" s="438"/>
      <c r="AI64" s="438"/>
      <c r="AJ64" s="438"/>
      <c r="AK64" s="438"/>
      <c r="AL64" s="438"/>
      <c r="AM64" s="339"/>
      <c r="AO64">
        <f ca="1">IF($A64="S",IF(BM!$I64=0,0,CHOOSE(MATCH(RegimeExecucao,{"Global","Unitário"},0),ROUND(ROUND(BM.MEDAcumulado,15-13*BM!$A$9)/100*BM!$I64,15-13*ORÇAMENTO!$AF$11),ROUND(ROUND(BM.MEDAcumulado,15-13*BM!$A$9)*ROUND(BM!$H64,15-13*ORÇAMENTO!$AF$10),15-13*ORÇAMENTO!$AF$11))),IF($A64=0,0,ROUND(SomaAgrupBM,15-13*ORÇAMENTO!$AF$11)))</f>
        <v>0</v>
      </c>
    </row>
    <row r="65" spans="1:41" ht="51" x14ac:dyDescent="0.2">
      <c r="A65" t="str">
        <f ca="1">ORÇAMENTO!C65</f>
        <v>S</v>
      </c>
      <c r="B65">
        <f ca="1">ORÇAMENTO!D65</f>
        <v>0</v>
      </c>
      <c r="C65" s="115" t="str">
        <f ca="1">IF(OR($I65&gt;0,$A65=1,$A65=2,$A65=3,$A65=4),"F","")</f>
        <v>F</v>
      </c>
      <c r="D65" s="118" t="str">
        <f ca="1">ORÇAMENTO!O65</f>
        <v>1.6.15.</v>
      </c>
      <c r="E65" s="164" t="str">
        <f ca="1">ORÇAMENTO.Descricao</f>
        <v>ARGAMASSA TRAÇO 1:1,5:7,5 (EM VOLUME DE CIMENTO, CAL E AREIA MÉDIA ÚMIDA) PARA EMBOÇO/MASSA ÚNICA/ASSENTAMENTO DE ALVENARIA DE VEDAÇÃO, PREPARO MECÂNICO COM BETONEIRA ATÉ 600 L. AF_07/2026</v>
      </c>
      <c r="F65" s="165" t="str">
        <f ca="1">IF(RegimeExecucao="Global","",ORÇAMENTO.Unidade)</f>
        <v>M3</v>
      </c>
      <c r="G65" s="123">
        <f ca="1">IF(RegimeExecucao="Global","",ORÇAMENTO!T65)</f>
        <v>0.6</v>
      </c>
      <c r="H65" s="123">
        <f ca="1">IF(RegimeExecucao="Global","",ORÇAMENTO!W65)</f>
        <v>715.53</v>
      </c>
      <c r="I65" s="126">
        <f ca="1">ORÇAMENTO!X65</f>
        <v>429.32</v>
      </c>
      <c r="J65" s="334" cm="1">
        <f t="array" aca="1" ref="J65" ca="1">_xlfn.SINGLE(IF($A65="S",IF(CAIXA.Modo,BM.AFAnterior,BM.MEDAnterior),IF(AND(_xlfn.SINGLE(RegimeExecucao)="Global",$I65&gt;0,COUNTIF($AB$13:$AM$13,BM.medicao-1)&gt;0),M65/$I65*100,0)))</f>
        <v>0</v>
      </c>
      <c r="K65" s="123">
        <f ca="1">L65-J65</f>
        <v>0</v>
      </c>
      <c r="L65" s="335" cm="1">
        <f t="array" aca="1" ref="L65" ca="1">_xlfn.SINGLE(IF($A65="S",IF(CAIXA.Modo,BM.AFAcumulado,BM.MEDAcumulado),IF(AND(_xlfn.SINGLE(RegimeExecucao)="Global",$I65&gt;0,COUNTIF($AB$13:$AM$13,BM.medicao)&gt;0),O65/$I65*100,0)))</f>
        <v>0</v>
      </c>
      <c r="M65" s="336">
        <f ca="1">IF($A65="S",VTOTALBM,IF($A65=0,0,ROUND(SomaAgrupBM,15-13*ORÇAMENTO!$AF$11)))</f>
        <v>0</v>
      </c>
      <c r="N65" s="337">
        <f ca="1">O65-M65</f>
        <v>0</v>
      </c>
      <c r="O65" s="126">
        <f ca="1">IF($A65="S",VTOTALBM,IF($A65=0,0,ROUND(SomaAgrupBM,15-13*ORÇAMENTO!$AF$11)))</f>
        <v>0</v>
      </c>
      <c r="Q65" s="338"/>
      <c r="R65" s="339"/>
      <c r="T65" s="118" t="str">
        <f ca="1">IF($W65&gt;0,$D65,"")</f>
        <v/>
      </c>
      <c r="U65" s="164" t="str">
        <f ca="1">IF($W65&gt;0,$E65,"")</f>
        <v/>
      </c>
      <c r="V65" s="165" t="str">
        <f ca="1">IF(AND($W65&gt;0,RegimeExecucao="Unitário"),$F65,"")</f>
        <v/>
      </c>
      <c r="W65" s="455">
        <f ca="1">IF($Y65&gt;0,CHOOSE(MATCH(RegimeExecucao,{"Unitário","Global"},0),IF($A65="S",$Y65/$X65,""),($Y65/$X65)*100),0)</f>
        <v>0</v>
      </c>
      <c r="X65" s="340" t="str">
        <f ca="1">IF($Y65&gt;0,CHOOSE(MATCH(RegimeExecucao,{"Unitário","Global"},0),IF($A65="S",ROUND($H65,ORÇAMENTO!$AF$10),""),ROUND($I65,ORÇAMENTO!$AF$11)),"")</f>
        <v/>
      </c>
      <c r="Y65" s="340">
        <f ca="1">AO65-O65</f>
        <v>0</v>
      </c>
      <c r="Z65" s="474"/>
      <c r="AB65" s="338"/>
      <c r="AC65" s="438"/>
      <c r="AD65" s="438"/>
      <c r="AE65" s="438"/>
      <c r="AF65" s="438"/>
      <c r="AG65" s="438"/>
      <c r="AH65" s="438"/>
      <c r="AI65" s="438"/>
      <c r="AJ65" s="438"/>
      <c r="AK65" s="438"/>
      <c r="AL65" s="438"/>
      <c r="AM65" s="339"/>
      <c r="AO65">
        <f ca="1">IF($A65="S",IF(BM!$I65=0,0,CHOOSE(MATCH(RegimeExecucao,{"Global","Unitário"},0),ROUND(ROUND(BM.MEDAcumulado,15-13*BM!$A$9)/100*BM!$I65,15-13*ORÇAMENTO!$AF$11),ROUND(ROUND(BM.MEDAcumulado,15-13*BM!$A$9)*ROUND(BM!$H65,15-13*ORÇAMENTO!$AF$10),15-13*ORÇAMENTO!$AF$11))),IF($A65=0,0,ROUND(SomaAgrupBM,15-13*ORÇAMENTO!$AF$11)))</f>
        <v>0</v>
      </c>
    </row>
    <row r="66" spans="1:41" ht="38.25" x14ac:dyDescent="0.2">
      <c r="A66" t="str">
        <f ca="1">ORÇAMENTO!C66</f>
        <v>S</v>
      </c>
      <c r="B66">
        <f ca="1">ORÇAMENTO!D66</f>
        <v>0</v>
      </c>
      <c r="C66" s="115" t="str">
        <f ca="1">IF(OR($I66&gt;0,$A66=1,$A66=2,$A66=3,$A66=4),"F","")</f>
        <v>F</v>
      </c>
      <c r="D66" s="118" t="str">
        <f ca="1">ORÇAMENTO!O66</f>
        <v>1.6.16.</v>
      </c>
      <c r="E66" s="164" t="str">
        <f ca="1">ORÇAMENTO.Descricao</f>
        <v>ARGAMASSA TRAÇO 1:3 (EM VOLUME DE CIMENTO E AREIA GROSSA ÚMIDA) PARA CHAPISCO CONVENCIONAL, PREPARO MECÂNICO COM BETONEIRA ATÉ 600 L. AF_07/2026</v>
      </c>
      <c r="F66" s="165" t="str">
        <f ca="1">IF(RegimeExecucao="Global","",ORÇAMENTO.Unidade)</f>
        <v>M3</v>
      </c>
      <c r="G66" s="123">
        <f ca="1">IF(RegimeExecucao="Global","",ORÇAMENTO!T66)</f>
        <v>1.6</v>
      </c>
      <c r="H66" s="123">
        <f ca="1">IF(RegimeExecucao="Global","",ORÇAMENTO!W66)</f>
        <v>731.5</v>
      </c>
      <c r="I66" s="126">
        <f ca="1">ORÇAMENTO!X66</f>
        <v>1170.4000000000001</v>
      </c>
      <c r="J66" s="334" cm="1">
        <f t="array" aca="1" ref="J66" ca="1">_xlfn.SINGLE(IF($A66="S",IF(CAIXA.Modo,BM.AFAnterior,BM.MEDAnterior),IF(AND(_xlfn.SINGLE(RegimeExecucao)="Global",$I66&gt;0,COUNTIF($AB$13:$AM$13,BM.medicao-1)&gt;0),M66/$I66*100,0)))</f>
        <v>0</v>
      </c>
      <c r="K66" s="123">
        <f ca="1">L66-J66</f>
        <v>0</v>
      </c>
      <c r="L66" s="335" cm="1">
        <f t="array" aca="1" ref="L66" ca="1">_xlfn.SINGLE(IF($A66="S",IF(CAIXA.Modo,BM.AFAcumulado,BM.MEDAcumulado),IF(AND(_xlfn.SINGLE(RegimeExecucao)="Global",$I66&gt;0,COUNTIF($AB$13:$AM$13,BM.medicao)&gt;0),O66/$I66*100,0)))</f>
        <v>0</v>
      </c>
      <c r="M66" s="336">
        <f ca="1">IF($A66="S",VTOTALBM,IF($A66=0,0,ROUND(SomaAgrupBM,15-13*ORÇAMENTO!$AF$11)))</f>
        <v>0</v>
      </c>
      <c r="N66" s="337">
        <f ca="1">O66-M66</f>
        <v>0</v>
      </c>
      <c r="O66" s="126">
        <f ca="1">IF($A66="S",VTOTALBM,IF($A66=0,0,ROUND(SomaAgrupBM,15-13*ORÇAMENTO!$AF$11)))</f>
        <v>0</v>
      </c>
      <c r="Q66" s="338"/>
      <c r="R66" s="339"/>
      <c r="T66" s="118" t="str">
        <f ca="1">IF($W66&gt;0,$D66,"")</f>
        <v/>
      </c>
      <c r="U66" s="164" t="str">
        <f ca="1">IF($W66&gt;0,$E66,"")</f>
        <v/>
      </c>
      <c r="V66" s="165" t="str">
        <f ca="1">IF(AND($W66&gt;0,RegimeExecucao="Unitário"),$F66,"")</f>
        <v/>
      </c>
      <c r="W66" s="455">
        <f ca="1">IF($Y66&gt;0,CHOOSE(MATCH(RegimeExecucao,{"Unitário","Global"},0),IF($A66="S",$Y66/$X66,""),($Y66/$X66)*100),0)</f>
        <v>0</v>
      </c>
      <c r="X66" s="340" t="str">
        <f ca="1">IF($Y66&gt;0,CHOOSE(MATCH(RegimeExecucao,{"Unitário","Global"},0),IF($A66="S",ROUND($H66,ORÇAMENTO!$AF$10),""),ROUND($I66,ORÇAMENTO!$AF$11)),"")</f>
        <v/>
      </c>
      <c r="Y66" s="340">
        <f ca="1">AO66-O66</f>
        <v>0</v>
      </c>
      <c r="Z66" s="474"/>
      <c r="AB66" s="338"/>
      <c r="AC66" s="438"/>
      <c r="AD66" s="438"/>
      <c r="AE66" s="438"/>
      <c r="AF66" s="438"/>
      <c r="AG66" s="438"/>
      <c r="AH66" s="438"/>
      <c r="AI66" s="438"/>
      <c r="AJ66" s="438"/>
      <c r="AK66" s="438"/>
      <c r="AL66" s="438"/>
      <c r="AM66" s="339"/>
      <c r="AO66">
        <f ca="1">IF($A66="S",IF(BM!$I66=0,0,CHOOSE(MATCH(RegimeExecucao,{"Global","Unitário"},0),ROUND(ROUND(BM.MEDAcumulado,15-13*BM!$A$9)/100*BM!$I66,15-13*ORÇAMENTO!$AF$11),ROUND(ROUND(BM.MEDAcumulado,15-13*BM!$A$9)*ROUND(BM!$H66,15-13*ORÇAMENTO!$AF$10),15-13*ORÇAMENTO!$AF$11))),IF($A66=0,0,ROUND(SomaAgrupBM,15-13*ORÇAMENTO!$AF$11)))</f>
        <v>0</v>
      </c>
    </row>
    <row r="67" spans="1:41" ht="38.25" x14ac:dyDescent="0.2">
      <c r="A67" t="str">
        <f ca="1">ORÇAMENTO!C67</f>
        <v>S</v>
      </c>
      <c r="B67">
        <f ca="1">ORÇAMENTO!D67</f>
        <v>0</v>
      </c>
      <c r="C67" s="115" t="str">
        <f t="shared" ca="1" si="41"/>
        <v>F</v>
      </c>
      <c r="D67" s="118" t="str">
        <f ca="1">ORÇAMENTO!O67</f>
        <v>1.6.17.</v>
      </c>
      <c r="E67" s="164" t="str">
        <f t="shared" ca="1" si="40"/>
        <v>DEMOLIÇÃO DE PISO DE CONCRETO SIMPLES, DE FORMA MECANIZADA COM MARTELETE, SEM REAPROVEITAMENTO. AF_09/2023</v>
      </c>
      <c r="F67" s="165" t="str">
        <f ca="1">IF(RegimeExecucao="Global","",ORÇAMENTO.Unidade)</f>
        <v>M3</v>
      </c>
      <c r="G67" s="123">
        <f ca="1">IF(RegimeExecucao="Global","",ORÇAMENTO!T67)</f>
        <v>0.35</v>
      </c>
      <c r="H67" s="123">
        <f ca="1">IF(RegimeExecucao="Global","",ORÇAMENTO!W67)</f>
        <v>135.19999999999999</v>
      </c>
      <c r="I67" s="126">
        <f ca="1">ORÇAMENTO!X67</f>
        <v>47.32</v>
      </c>
      <c r="J67" s="334" cm="1">
        <f t="array" aca="1" ref="J67" ca="1">_xlfn.SINGLE(IF($A67="S",IF(CAIXA.Modo,BM.AFAnterior,BM.MEDAnterior),IF(AND(_xlfn.SINGLE(RegimeExecucao)="Global",$I67&gt;0,COUNTIF($AB$13:$AM$13,BM.medicao-1)&gt;0),M67/$I67*100,0)))</f>
        <v>0</v>
      </c>
      <c r="K67" s="123">
        <f t="shared" ca="1" si="42"/>
        <v>0</v>
      </c>
      <c r="L67" s="335" cm="1">
        <f t="array" aca="1" ref="L67" ca="1">_xlfn.SINGLE(IF($A67="S",IF(CAIXA.Modo,BM.AFAcumulado,BM.MEDAcumulado),IF(AND(_xlfn.SINGLE(RegimeExecucao)="Global",$I67&gt;0,COUNTIF($AB$13:$AM$13,BM.medicao)&gt;0),O67/$I67*100,0)))</f>
        <v>0</v>
      </c>
      <c r="M67" s="336">
        <f ca="1">IF($A67="S",VTOTALBM,IF($A67=0,0,ROUND(SomaAgrupBM,15-13*ORÇAMENTO!$AF$11)))</f>
        <v>0</v>
      </c>
      <c r="N67" s="337">
        <f t="shared" ca="1" si="43"/>
        <v>0</v>
      </c>
      <c r="O67" s="126">
        <f ca="1">IF($A67="S",VTOTALBM,IF($A67=0,0,ROUND(SomaAgrupBM,15-13*ORÇAMENTO!$AF$11)))</f>
        <v>0</v>
      </c>
      <c r="Q67" s="338"/>
      <c r="R67" s="339"/>
      <c r="T67" s="118" t="str">
        <f t="shared" ca="1" si="44"/>
        <v/>
      </c>
      <c r="U67" s="164" t="str">
        <f t="shared" ca="1" si="45"/>
        <v/>
      </c>
      <c r="V67" s="165" t="str">
        <f ca="1">IF(AND($W67&gt;0,RegimeExecucao="Unitário"),$F67,"")</f>
        <v/>
      </c>
      <c r="W67" s="455">
        <f ca="1">IF($Y67&gt;0,CHOOSE(MATCH(RegimeExecucao,{"Unitário","Global"},0),IF($A67="S",$Y67/$X67,""),($Y67/$X67)*100),0)</f>
        <v>0</v>
      </c>
      <c r="X67" s="340" t="str">
        <f ca="1">IF($Y67&gt;0,CHOOSE(MATCH(RegimeExecucao,{"Unitário","Global"},0),IF($A67="S",ROUND($H67,ORÇAMENTO!$AF$10),""),ROUND($I67,ORÇAMENTO!$AF$11)),"")</f>
        <v/>
      </c>
      <c r="Y67" s="340">
        <f t="shared" ca="1" si="46"/>
        <v>0</v>
      </c>
      <c r="Z67" s="474"/>
      <c r="AB67" s="338"/>
      <c r="AC67" s="438"/>
      <c r="AD67" s="438"/>
      <c r="AE67" s="438"/>
      <c r="AF67" s="438"/>
      <c r="AG67" s="438"/>
      <c r="AH67" s="438"/>
      <c r="AI67" s="438"/>
      <c r="AJ67" s="438"/>
      <c r="AK67" s="438"/>
      <c r="AL67" s="438"/>
      <c r="AM67" s="339"/>
      <c r="AO67">
        <f ca="1">IF($A67="S",IF(BM!$I67=0,0,CHOOSE(MATCH(RegimeExecucao,{"Global","Unitário"},0),ROUND(ROUND(BM.MEDAcumulado,15-13*BM!$A$9)/100*BM!$I67,15-13*ORÇAMENTO!$AF$11),ROUND(ROUND(BM.MEDAcumulado,15-13*BM!$A$9)*ROUND(BM!$H67,15-13*ORÇAMENTO!$AF$10),15-13*ORÇAMENTO!$AF$11))),IF($A67=0,0,ROUND(SomaAgrupBM,15-13*ORÇAMENTO!$AF$11)))</f>
        <v>0</v>
      </c>
    </row>
    <row r="68" spans="1:41" x14ac:dyDescent="0.2">
      <c r="A68" t="str">
        <f ca="1">ORÇAMENTO!C68</f>
        <v>S</v>
      </c>
      <c r="B68">
        <f ca="1">ORÇAMENTO!D68</f>
        <v>0</v>
      </c>
      <c r="C68" s="115" t="str">
        <f t="shared" ca="1" si="41"/>
        <v>F</v>
      </c>
      <c r="D68" s="118" t="str">
        <f ca="1">ORÇAMENTO!O68</f>
        <v>1.6.18.</v>
      </c>
      <c r="E68" s="164" t="str">
        <f t="shared" ca="1" si="40"/>
        <v>AJUDANTE DE PEDREIRO COM ENCARGOS COMPLEMENTARES</v>
      </c>
      <c r="F68" s="165" t="str">
        <f ca="1">IF(RegimeExecucao="Global","",ORÇAMENTO.Unidade)</f>
        <v>H</v>
      </c>
      <c r="G68" s="123">
        <f ca="1">IF(RegimeExecucao="Global","",ORÇAMENTO!T68)</f>
        <v>230</v>
      </c>
      <c r="H68" s="123">
        <f ca="1">IF(RegimeExecucao="Global","",ORÇAMENTO!W68)</f>
        <v>29.33</v>
      </c>
      <c r="I68" s="126">
        <f ca="1">ORÇAMENTO!X68</f>
        <v>6745.9</v>
      </c>
      <c r="J68" s="334" cm="1">
        <f t="array" aca="1" ref="J68" ca="1">_xlfn.SINGLE(IF($A68="S",IF(CAIXA.Modo,BM.AFAnterior,BM.MEDAnterior),IF(AND(_xlfn.SINGLE(RegimeExecucao)="Global",$I68&gt;0,COUNTIF($AB$13:$AM$13,BM.medicao-1)&gt;0),M68/$I68*100,0)))</f>
        <v>0</v>
      </c>
      <c r="K68" s="123">
        <f t="shared" ca="1" si="42"/>
        <v>0</v>
      </c>
      <c r="L68" s="335" cm="1">
        <f t="array" aca="1" ref="L68" ca="1">_xlfn.SINGLE(IF($A68="S",IF(CAIXA.Modo,BM.AFAcumulado,BM.MEDAcumulado),IF(AND(_xlfn.SINGLE(RegimeExecucao)="Global",$I68&gt;0,COUNTIF($AB$13:$AM$13,BM.medicao)&gt;0),O68/$I68*100,0)))</f>
        <v>0</v>
      </c>
      <c r="M68" s="336">
        <f ca="1">IF($A68="S",VTOTALBM,IF($A68=0,0,ROUND(SomaAgrupBM,15-13*ORÇAMENTO!$AF$11)))</f>
        <v>0</v>
      </c>
      <c r="N68" s="337">
        <f t="shared" ca="1" si="43"/>
        <v>0</v>
      </c>
      <c r="O68" s="126">
        <f ca="1">IF($A68="S",VTOTALBM,IF($A68=0,0,ROUND(SomaAgrupBM,15-13*ORÇAMENTO!$AF$11)))</f>
        <v>0</v>
      </c>
      <c r="Q68" s="338"/>
      <c r="R68" s="339"/>
      <c r="T68" s="118" t="str">
        <f t="shared" ca="1" si="44"/>
        <v/>
      </c>
      <c r="U68" s="164" t="str">
        <f t="shared" ca="1" si="45"/>
        <v/>
      </c>
      <c r="V68" s="165" t="str">
        <f ca="1">IF(AND($W68&gt;0,RegimeExecucao="Unitário"),$F68,"")</f>
        <v/>
      </c>
      <c r="W68" s="455">
        <f ca="1">IF($Y68&gt;0,CHOOSE(MATCH(RegimeExecucao,{"Unitário","Global"},0),IF($A68="S",$Y68/$X68,""),($Y68/$X68)*100),0)</f>
        <v>0</v>
      </c>
      <c r="X68" s="340" t="str">
        <f ca="1">IF($Y68&gt;0,CHOOSE(MATCH(RegimeExecucao,{"Unitário","Global"},0),IF($A68="S",ROUND($H68,ORÇAMENTO!$AF$10),""),ROUND($I68,ORÇAMENTO!$AF$11)),"")</f>
        <v/>
      </c>
      <c r="Y68" s="340">
        <f t="shared" ca="1" si="46"/>
        <v>0</v>
      </c>
      <c r="Z68" s="474"/>
      <c r="AB68" s="338"/>
      <c r="AC68" s="438"/>
      <c r="AD68" s="438"/>
      <c r="AE68" s="438"/>
      <c r="AF68" s="438"/>
      <c r="AG68" s="438"/>
      <c r="AH68" s="438"/>
      <c r="AI68" s="438"/>
      <c r="AJ68" s="438"/>
      <c r="AK68" s="438"/>
      <c r="AL68" s="438"/>
      <c r="AM68" s="339"/>
      <c r="AO68">
        <f ca="1">IF($A68="S",IF(BM!$I68=0,0,CHOOSE(MATCH(RegimeExecucao,{"Global","Unitário"},0),ROUND(ROUND(BM.MEDAcumulado,15-13*BM!$A$9)/100*BM!$I68,15-13*ORÇAMENTO!$AF$11),ROUND(ROUND(BM.MEDAcumulado,15-13*BM!$A$9)*ROUND(BM!$H68,15-13*ORÇAMENTO!$AF$10),15-13*ORÇAMENTO!$AF$11))),IF($A68=0,0,ROUND(SomaAgrupBM,15-13*ORÇAMENTO!$AF$11)))</f>
        <v>0</v>
      </c>
    </row>
    <row r="69" spans="1:41" x14ac:dyDescent="0.2">
      <c r="A69" t="str">
        <f ca="1">ORÇAMENTO!C69</f>
        <v>S</v>
      </c>
      <c r="B69">
        <f ca="1">ORÇAMENTO!D69</f>
        <v>0</v>
      </c>
      <c r="C69" s="115" t="str">
        <f ca="1">IF(OR($I69&gt;0,$A69=1,$A69=2,$A69=3,$A69=4),"F","")</f>
        <v>F</v>
      </c>
      <c r="D69" s="118" t="str">
        <f ca="1">ORÇAMENTO!O69</f>
        <v>1.6.19.</v>
      </c>
      <c r="E69" s="164" t="str">
        <f t="shared" ref="E69:E95" ca="1" si="47">ORÇAMENTO.Descricao</f>
        <v>PEDREIRO COM ENCARGOS COMPLEMENTARES</v>
      </c>
      <c r="F69" s="165" t="str">
        <f ca="1">IF(RegimeExecucao="Global","",ORÇAMENTO.Unidade)</f>
        <v>H</v>
      </c>
      <c r="G69" s="123">
        <f ca="1">IF(RegimeExecucao="Global","",ORÇAMENTO!T69)</f>
        <v>230</v>
      </c>
      <c r="H69" s="123">
        <f ca="1">IF(RegimeExecucao="Global","",ORÇAMENTO!W69)</f>
        <v>33.53</v>
      </c>
      <c r="I69" s="126">
        <f ca="1">ORÇAMENTO!X69</f>
        <v>7711.9</v>
      </c>
      <c r="J69" s="334" cm="1">
        <f t="array" aca="1" ref="J69" ca="1">_xlfn.SINGLE(IF($A69="S",IF(CAIXA.Modo,BM.AFAnterior,BM.MEDAnterior),IF(AND(_xlfn.SINGLE(RegimeExecucao)="Global",$I69&gt;0,COUNTIF($AB$13:$AM$13,BM.medicao-1)&gt;0),M69/$I69*100,0)))</f>
        <v>0</v>
      </c>
      <c r="K69" s="123">
        <f ca="1">L69-J69</f>
        <v>0</v>
      </c>
      <c r="L69" s="335" cm="1">
        <f t="array" aca="1" ref="L69" ca="1">_xlfn.SINGLE(IF($A69="S",IF(CAIXA.Modo,BM.AFAcumulado,BM.MEDAcumulado),IF(AND(_xlfn.SINGLE(RegimeExecucao)="Global",$I69&gt;0,COUNTIF($AB$13:$AM$13,BM.medicao)&gt;0),O69/$I69*100,0)))</f>
        <v>0</v>
      </c>
      <c r="M69" s="336">
        <f ca="1">IF($A69="S",VTOTALBM,IF($A69=0,0,ROUND(SomaAgrupBM,15-13*ORÇAMENTO!$AF$11)))</f>
        <v>0</v>
      </c>
      <c r="N69" s="337">
        <f ca="1">O69-M69</f>
        <v>0</v>
      </c>
      <c r="O69" s="126">
        <f ca="1">IF($A69="S",VTOTALBM,IF($A69=0,0,ROUND(SomaAgrupBM,15-13*ORÇAMENTO!$AF$11)))</f>
        <v>0</v>
      </c>
      <c r="Q69" s="338"/>
      <c r="R69" s="339"/>
      <c r="T69" s="118" t="str">
        <f ca="1">IF($W69&gt;0,$D69,"")</f>
        <v/>
      </c>
      <c r="U69" s="164" t="str">
        <f ca="1">IF($W69&gt;0,$E69,"")</f>
        <v/>
      </c>
      <c r="V69" s="165" t="str">
        <f ca="1">IF(AND($W69&gt;0,RegimeExecucao="Unitário"),$F69,"")</f>
        <v/>
      </c>
      <c r="W69" s="455">
        <f ca="1">IF($Y69&gt;0,CHOOSE(MATCH(RegimeExecucao,{"Unitário","Global"},0),IF($A69="S",$Y69/$X69,""),($Y69/$X69)*100),0)</f>
        <v>0</v>
      </c>
      <c r="X69" s="340" t="str">
        <f ca="1">IF($Y69&gt;0,CHOOSE(MATCH(RegimeExecucao,{"Unitário","Global"},0),IF($A69="S",ROUND($H69,ORÇAMENTO!$AF$10),""),ROUND($I69,ORÇAMENTO!$AF$11)),"")</f>
        <v/>
      </c>
      <c r="Y69" s="340">
        <f ca="1">AO69-O69</f>
        <v>0</v>
      </c>
      <c r="Z69" s="474"/>
      <c r="AB69" s="338"/>
      <c r="AC69" s="438"/>
      <c r="AD69" s="438"/>
      <c r="AE69" s="438"/>
      <c r="AF69" s="438"/>
      <c r="AG69" s="438"/>
      <c r="AH69" s="438"/>
      <c r="AI69" s="438"/>
      <c r="AJ69" s="438"/>
      <c r="AK69" s="438"/>
      <c r="AL69" s="438"/>
      <c r="AM69" s="339"/>
      <c r="AO69">
        <f ca="1">IF($A69="S",IF(BM!$I69=0,0,CHOOSE(MATCH(RegimeExecucao,{"Global","Unitário"},0),ROUND(ROUND(BM.MEDAcumulado,15-13*BM!$A$9)/100*BM!$I69,15-13*ORÇAMENTO!$AF$11),ROUND(ROUND(BM.MEDAcumulado,15-13*BM!$A$9)*ROUND(BM!$H69,15-13*ORÇAMENTO!$AF$10),15-13*ORÇAMENTO!$AF$11))),IF($A69=0,0,ROUND(SomaAgrupBM,15-13*ORÇAMENTO!$AF$11)))</f>
        <v>0</v>
      </c>
    </row>
    <row r="70" spans="1:41" ht="38.25" x14ac:dyDescent="0.2">
      <c r="A70" t="str">
        <f ca="1">ORÇAMENTO!C70</f>
        <v>S</v>
      </c>
      <c r="B70">
        <f ca="1">ORÇAMENTO!D70</f>
        <v>0</v>
      </c>
      <c r="C70" s="115" t="str">
        <f t="shared" ref="C70:C72" ca="1" si="48">IF(OR($I70&gt;0,$A70=1,$A70=2,$A70=3,$A70=4),"F","")</f>
        <v>F</v>
      </c>
      <c r="D70" s="118" t="str">
        <f ca="1">ORÇAMENTO!O70</f>
        <v>1.6.20.</v>
      </c>
      <c r="E70" s="164" t="str">
        <f t="shared" ca="1" si="47"/>
        <v>TRAMA DE MADEIRA COMPOSTA POR RIPAS, CAIBROS E TERÇAS PARA TELHADOS DE MAIS QUE 2 ÁGUAS PARA TELHA CERÂMICA OU DE CONCRETO, INCLUSO TRANSPORTE VERTICAL. AF_10/2025</v>
      </c>
      <c r="F70" s="165" t="str">
        <f ca="1">IF(RegimeExecucao="Global","",ORÇAMENTO.Unidade)</f>
        <v>M2</v>
      </c>
      <c r="G70" s="123">
        <f ca="1">IF(RegimeExecucao="Global","",ORÇAMENTO!T70)</f>
        <v>22.25</v>
      </c>
      <c r="H70" s="123">
        <f ca="1">IF(RegimeExecucao="Global","",ORÇAMENTO!W70)</f>
        <v>114.59</v>
      </c>
      <c r="I70" s="126">
        <f ca="1">ORÇAMENTO!X70</f>
        <v>2549.63</v>
      </c>
      <c r="J70" s="334" cm="1">
        <f t="array" aca="1" ref="J70" ca="1">_xlfn.SINGLE(IF($A70="S",IF(CAIXA.Modo,BM.AFAnterior,BM.MEDAnterior),IF(AND(_xlfn.SINGLE(RegimeExecucao)="Global",$I70&gt;0,COUNTIF($AB$13:$AM$13,BM.medicao-1)&gt;0),M70/$I70*100,0)))</f>
        <v>0</v>
      </c>
      <c r="K70" s="123">
        <f t="shared" ref="K70:K72" ca="1" si="49">L70-J70</f>
        <v>0</v>
      </c>
      <c r="L70" s="335" cm="1">
        <f t="array" aca="1" ref="L70" ca="1">_xlfn.SINGLE(IF($A70="S",IF(CAIXA.Modo,BM.AFAcumulado,BM.MEDAcumulado),IF(AND(_xlfn.SINGLE(RegimeExecucao)="Global",$I70&gt;0,COUNTIF($AB$13:$AM$13,BM.medicao)&gt;0),O70/$I70*100,0)))</f>
        <v>0</v>
      </c>
      <c r="M70" s="336">
        <f ca="1">IF($A70="S",VTOTALBM,IF($A70=0,0,ROUND(SomaAgrupBM,15-13*ORÇAMENTO!$AF$11)))</f>
        <v>0</v>
      </c>
      <c r="N70" s="337">
        <f t="shared" ref="N70:N72" ca="1" si="50">O70-M70</f>
        <v>0</v>
      </c>
      <c r="O70" s="126">
        <f ca="1">IF($A70="S",VTOTALBM,IF($A70=0,0,ROUND(SomaAgrupBM,15-13*ORÇAMENTO!$AF$11)))</f>
        <v>0</v>
      </c>
      <c r="Q70" s="338"/>
      <c r="R70" s="339"/>
      <c r="T70" s="118" t="str">
        <f t="shared" ref="T70:T72" ca="1" si="51">IF($W70&gt;0,$D70,"")</f>
        <v/>
      </c>
      <c r="U70" s="164" t="str">
        <f t="shared" ref="U70:U72" ca="1" si="52">IF($W70&gt;0,$E70,"")</f>
        <v/>
      </c>
      <c r="V70" s="165" t="str">
        <f ca="1">IF(AND($W70&gt;0,RegimeExecucao="Unitário"),$F70,"")</f>
        <v/>
      </c>
      <c r="W70" s="455">
        <f ca="1">IF($Y70&gt;0,CHOOSE(MATCH(RegimeExecucao,{"Unitário","Global"},0),IF($A70="S",$Y70/$X70,""),($Y70/$X70)*100),0)</f>
        <v>0</v>
      </c>
      <c r="X70" s="340" t="str">
        <f ca="1">IF($Y70&gt;0,CHOOSE(MATCH(RegimeExecucao,{"Unitário","Global"},0),IF($A70="S",ROUND($H70,ORÇAMENTO!$AF$10),""),ROUND($I70,ORÇAMENTO!$AF$11)),"")</f>
        <v/>
      </c>
      <c r="Y70" s="340">
        <f t="shared" ref="Y70:Y72" ca="1" si="53">AO70-O70</f>
        <v>0</v>
      </c>
      <c r="Z70" s="474"/>
      <c r="AB70" s="338"/>
      <c r="AC70" s="438"/>
      <c r="AD70" s="438"/>
      <c r="AE70" s="438"/>
      <c r="AF70" s="438"/>
      <c r="AG70" s="438"/>
      <c r="AH70" s="438"/>
      <c r="AI70" s="438"/>
      <c r="AJ70" s="438"/>
      <c r="AK70" s="438"/>
      <c r="AL70" s="438"/>
      <c r="AM70" s="339"/>
      <c r="AO70">
        <f ca="1">IF($A70="S",IF(BM!$I70=0,0,CHOOSE(MATCH(RegimeExecucao,{"Global","Unitário"},0),ROUND(ROUND(BM.MEDAcumulado,15-13*BM!$A$9)/100*BM!$I70,15-13*ORÇAMENTO!$AF$11),ROUND(ROUND(BM.MEDAcumulado,15-13*BM!$A$9)*ROUND(BM!$H70,15-13*ORÇAMENTO!$AF$10),15-13*ORÇAMENTO!$AF$11))),IF($A70=0,0,ROUND(SomaAgrupBM,15-13*ORÇAMENTO!$AF$11)))</f>
        <v>0</v>
      </c>
    </row>
    <row r="71" spans="1:41" ht="38.25" x14ac:dyDescent="0.2">
      <c r="A71" t="str">
        <f ca="1">ORÇAMENTO!C71</f>
        <v>S</v>
      </c>
      <c r="B71">
        <f ca="1">ORÇAMENTO!D71</f>
        <v>0</v>
      </c>
      <c r="C71" s="115" t="str">
        <f t="shared" ca="1" si="48"/>
        <v>F</v>
      </c>
      <c r="D71" s="118" t="str">
        <f ca="1">ORÇAMENTO!O71</f>
        <v>1.6.21.</v>
      </c>
      <c r="E71" s="164" t="str">
        <f t="shared" ca="1" si="47"/>
        <v>CALHA EM CHAPA DE AÇO GALVANIZADO NÚMERO 24, DESENVOLVIMENTO DE 33 CM, INCLUSO TRANSPORTE VERTICAL. AF_06/2026</v>
      </c>
      <c r="F71" s="165" t="str">
        <f ca="1">IF(RegimeExecucao="Global","",ORÇAMENTO.Unidade)</f>
        <v>M</v>
      </c>
      <c r="G71" s="123">
        <f ca="1">IF(RegimeExecucao="Global","",ORÇAMENTO!T71)</f>
        <v>6</v>
      </c>
      <c r="H71" s="123">
        <f ca="1">IF(RegimeExecucao="Global","",ORÇAMENTO!W71)</f>
        <v>84.75</v>
      </c>
      <c r="I71" s="126">
        <f ca="1">ORÇAMENTO!X71</f>
        <v>508.5</v>
      </c>
      <c r="J71" s="334" cm="1">
        <f t="array" aca="1" ref="J71" ca="1">_xlfn.SINGLE(IF($A71="S",IF(CAIXA.Modo,BM.AFAnterior,BM.MEDAnterior),IF(AND(_xlfn.SINGLE(RegimeExecucao)="Global",$I71&gt;0,COUNTIF($AB$13:$AM$13,BM.medicao-1)&gt;0),M71/$I71*100,0)))</f>
        <v>0</v>
      </c>
      <c r="K71" s="123">
        <f t="shared" ca="1" si="49"/>
        <v>0</v>
      </c>
      <c r="L71" s="335" cm="1">
        <f t="array" aca="1" ref="L71" ca="1">_xlfn.SINGLE(IF($A71="S",IF(CAIXA.Modo,BM.AFAcumulado,BM.MEDAcumulado),IF(AND(_xlfn.SINGLE(RegimeExecucao)="Global",$I71&gt;0,COUNTIF($AB$13:$AM$13,BM.medicao)&gt;0),O71/$I71*100,0)))</f>
        <v>0</v>
      </c>
      <c r="M71" s="336">
        <f ca="1">IF($A71="S",VTOTALBM,IF($A71=0,0,ROUND(SomaAgrupBM,15-13*ORÇAMENTO!$AF$11)))</f>
        <v>0</v>
      </c>
      <c r="N71" s="337">
        <f t="shared" ca="1" si="50"/>
        <v>0</v>
      </c>
      <c r="O71" s="126">
        <f ca="1">IF($A71="S",VTOTALBM,IF($A71=0,0,ROUND(SomaAgrupBM,15-13*ORÇAMENTO!$AF$11)))</f>
        <v>0</v>
      </c>
      <c r="Q71" s="338"/>
      <c r="R71" s="339"/>
      <c r="T71" s="118" t="str">
        <f t="shared" ca="1" si="51"/>
        <v/>
      </c>
      <c r="U71" s="164" t="str">
        <f t="shared" ca="1" si="52"/>
        <v/>
      </c>
      <c r="V71" s="165" t="str">
        <f ca="1">IF(AND($W71&gt;0,RegimeExecucao="Unitário"),$F71,"")</f>
        <v/>
      </c>
      <c r="W71" s="455">
        <f ca="1">IF($Y71&gt;0,CHOOSE(MATCH(RegimeExecucao,{"Unitário","Global"},0),IF($A71="S",$Y71/$X71,""),($Y71/$X71)*100),0)</f>
        <v>0</v>
      </c>
      <c r="X71" s="340" t="str">
        <f ca="1">IF($Y71&gt;0,CHOOSE(MATCH(RegimeExecucao,{"Unitário","Global"},0),IF($A71="S",ROUND($H71,ORÇAMENTO!$AF$10),""),ROUND($I71,ORÇAMENTO!$AF$11)),"")</f>
        <v/>
      </c>
      <c r="Y71" s="340">
        <f t="shared" ca="1" si="53"/>
        <v>0</v>
      </c>
      <c r="Z71" s="474"/>
      <c r="AB71" s="338"/>
      <c r="AC71" s="438"/>
      <c r="AD71" s="438"/>
      <c r="AE71" s="438"/>
      <c r="AF71" s="438"/>
      <c r="AG71" s="438"/>
      <c r="AH71" s="438"/>
      <c r="AI71" s="438"/>
      <c r="AJ71" s="438"/>
      <c r="AK71" s="438"/>
      <c r="AL71" s="438"/>
      <c r="AM71" s="339"/>
      <c r="AO71">
        <f ca="1">IF($A71="S",IF(BM!$I71=0,0,CHOOSE(MATCH(RegimeExecucao,{"Global","Unitário"},0),ROUND(ROUND(BM.MEDAcumulado,15-13*BM!$A$9)/100*BM!$I71,15-13*ORÇAMENTO!$AF$11),ROUND(ROUND(BM.MEDAcumulado,15-13*BM!$A$9)*ROUND(BM!$H71,15-13*ORÇAMENTO!$AF$10),15-13*ORÇAMENTO!$AF$11))),IF($A71=0,0,ROUND(SomaAgrupBM,15-13*ORÇAMENTO!$AF$11)))</f>
        <v>0</v>
      </c>
    </row>
    <row r="72" spans="1:41" ht="38.25" x14ac:dyDescent="0.2">
      <c r="A72" t="str">
        <f ca="1">ORÇAMENTO!C72</f>
        <v>S</v>
      </c>
      <c r="B72">
        <f ca="1">ORÇAMENTO!D72</f>
        <v>0</v>
      </c>
      <c r="C72" s="115" t="str">
        <f t="shared" ca="1" si="48"/>
        <v>F</v>
      </c>
      <c r="D72" s="118" t="str">
        <f ca="1">ORÇAMENTO!O72</f>
        <v>1.6.22.</v>
      </c>
      <c r="E72" s="164" t="str">
        <f t="shared" ca="1" si="47"/>
        <v>TELHA ONDULADA EM ACO ZINCADO, ALTURA DE 17 MM, ESPESSURA DE 0,50 MM, LARGURA UTIL DE APROXIMADAMENTE 985 MM, SEM PINTURA</v>
      </c>
      <c r="F72" s="165" t="str">
        <f ca="1">IF(RegimeExecucao="Global","",ORÇAMENTO.Unidade)</f>
        <v>M2</v>
      </c>
      <c r="G72" s="123">
        <f ca="1">IF(RegimeExecucao="Global","",ORÇAMENTO!T72)</f>
        <v>22.25</v>
      </c>
      <c r="H72" s="123">
        <f ca="1">IF(RegimeExecucao="Global","",ORÇAMENTO!W72)</f>
        <v>51.92</v>
      </c>
      <c r="I72" s="126">
        <f ca="1">ORÇAMENTO!X72</f>
        <v>1155.22</v>
      </c>
      <c r="J72" s="334" cm="1">
        <f t="array" aca="1" ref="J72" ca="1">_xlfn.SINGLE(IF($A72="S",IF(CAIXA.Modo,BM.AFAnterior,BM.MEDAnterior),IF(AND(_xlfn.SINGLE(RegimeExecucao)="Global",$I72&gt;0,COUNTIF($AB$13:$AM$13,BM.medicao-1)&gt;0),M72/$I72*100,0)))</f>
        <v>0</v>
      </c>
      <c r="K72" s="123">
        <f t="shared" ca="1" si="49"/>
        <v>0</v>
      </c>
      <c r="L72" s="335" cm="1">
        <f t="array" aca="1" ref="L72" ca="1">_xlfn.SINGLE(IF($A72="S",IF(CAIXA.Modo,BM.AFAcumulado,BM.MEDAcumulado),IF(AND(_xlfn.SINGLE(RegimeExecucao)="Global",$I72&gt;0,COUNTIF($AB$13:$AM$13,BM.medicao)&gt;0),O72/$I72*100,0)))</f>
        <v>0</v>
      </c>
      <c r="M72" s="336">
        <f ca="1">IF($A72="S",VTOTALBM,IF($A72=0,0,ROUND(SomaAgrupBM,15-13*ORÇAMENTO!$AF$11)))</f>
        <v>0</v>
      </c>
      <c r="N72" s="337">
        <f t="shared" ca="1" si="50"/>
        <v>0</v>
      </c>
      <c r="O72" s="126">
        <f ca="1">IF($A72="S",VTOTALBM,IF($A72=0,0,ROUND(SomaAgrupBM,15-13*ORÇAMENTO!$AF$11)))</f>
        <v>0</v>
      </c>
      <c r="Q72" s="338"/>
      <c r="R72" s="339"/>
      <c r="T72" s="118" t="str">
        <f t="shared" ca="1" si="51"/>
        <v/>
      </c>
      <c r="U72" s="164" t="str">
        <f t="shared" ca="1" si="52"/>
        <v/>
      </c>
      <c r="V72" s="165" t="str">
        <f ca="1">IF(AND($W72&gt;0,RegimeExecucao="Unitário"),$F72,"")</f>
        <v/>
      </c>
      <c r="W72" s="455">
        <f ca="1">IF($Y72&gt;0,CHOOSE(MATCH(RegimeExecucao,{"Unitário","Global"},0),IF($A72="S",$Y72/$X72,""),($Y72/$X72)*100),0)</f>
        <v>0</v>
      </c>
      <c r="X72" s="340" t="str">
        <f ca="1">IF($Y72&gt;0,CHOOSE(MATCH(RegimeExecucao,{"Unitário","Global"},0),IF($A72="S",ROUND($H72,ORÇAMENTO!$AF$10),""),ROUND($I72,ORÇAMENTO!$AF$11)),"")</f>
        <v/>
      </c>
      <c r="Y72" s="340">
        <f t="shared" ca="1" si="53"/>
        <v>0</v>
      </c>
      <c r="Z72" s="474"/>
      <c r="AB72" s="338"/>
      <c r="AC72" s="438"/>
      <c r="AD72" s="438"/>
      <c r="AE72" s="438"/>
      <c r="AF72" s="438"/>
      <c r="AG72" s="438"/>
      <c r="AH72" s="438"/>
      <c r="AI72" s="438"/>
      <c r="AJ72" s="438"/>
      <c r="AK72" s="438"/>
      <c r="AL72" s="438"/>
      <c r="AM72" s="339"/>
      <c r="AO72">
        <f ca="1">IF($A72="S",IF(BM!$I72=0,0,CHOOSE(MATCH(RegimeExecucao,{"Global","Unitário"},0),ROUND(ROUND(BM.MEDAcumulado,15-13*BM!$A$9)/100*BM!$I72,15-13*ORÇAMENTO!$AF$11),ROUND(ROUND(BM.MEDAcumulado,15-13*BM!$A$9)*ROUND(BM!$H72,15-13*ORÇAMENTO!$AF$10),15-13*ORÇAMENTO!$AF$11))),IF($A72=0,0,ROUND(SomaAgrupBM,15-13*ORÇAMENTO!$AF$11)))</f>
        <v>0</v>
      </c>
    </row>
    <row r="73" spans="1:41" ht="38.25" x14ac:dyDescent="0.2">
      <c r="A73" t="str">
        <f ca="1">ORÇAMENTO!C73</f>
        <v>S</v>
      </c>
      <c r="B73">
        <f ca="1">ORÇAMENTO!D73</f>
        <v>0</v>
      </c>
      <c r="C73" s="115" t="str">
        <f ca="1">IF(OR($I73&gt;0,$A73=1,$A73=2,$A73=3,$A73=4),"F","")</f>
        <v>F</v>
      </c>
      <c r="D73" s="118" t="str">
        <f ca="1">ORÇAMENTO!O73</f>
        <v>1.6.23.</v>
      </c>
      <c r="E73" s="164" t="str">
        <f t="shared" ca="1" si="47"/>
        <v>TUBO PVC, SÉRIE R, ÁGUA PLUVIAL, DN 100 MM, FORNECIDO E INSTALADO EM CONDUTORES VERTICAIS DE ÁGUAS PLUVIAIS. AF_06/2022</v>
      </c>
      <c r="F73" s="165" t="str">
        <f ca="1">IF(RegimeExecucao="Global","",ORÇAMENTO.Unidade)</f>
        <v>M</v>
      </c>
      <c r="G73" s="123">
        <f ca="1">IF(RegimeExecucao="Global","",ORÇAMENTO!T73)</f>
        <v>5</v>
      </c>
      <c r="H73" s="123">
        <f ca="1">IF(RegimeExecucao="Global","",ORÇAMENTO!W73)</f>
        <v>48.61</v>
      </c>
      <c r="I73" s="126">
        <f ca="1">ORÇAMENTO!X73</f>
        <v>243.05</v>
      </c>
      <c r="J73" s="334" cm="1">
        <f t="array" aca="1" ref="J73" ca="1">_xlfn.SINGLE(IF($A73="S",IF(CAIXA.Modo,BM.AFAnterior,BM.MEDAnterior),IF(AND(_xlfn.SINGLE(RegimeExecucao)="Global",$I73&gt;0,COUNTIF($AB$13:$AM$13,BM.medicao-1)&gt;0),M73/$I73*100,0)))</f>
        <v>0</v>
      </c>
      <c r="K73" s="123">
        <f ca="1">L73-J73</f>
        <v>0</v>
      </c>
      <c r="L73" s="335" cm="1">
        <f t="array" aca="1" ref="L73" ca="1">_xlfn.SINGLE(IF($A73="S",IF(CAIXA.Modo,BM.AFAcumulado,BM.MEDAcumulado),IF(AND(_xlfn.SINGLE(RegimeExecucao)="Global",$I73&gt;0,COUNTIF($AB$13:$AM$13,BM.medicao)&gt;0),O73/$I73*100,0)))</f>
        <v>0</v>
      </c>
      <c r="M73" s="336">
        <f ca="1">IF($A73="S",VTOTALBM,IF($A73=0,0,ROUND(SomaAgrupBM,15-13*ORÇAMENTO!$AF$11)))</f>
        <v>0</v>
      </c>
      <c r="N73" s="337">
        <f ca="1">O73-M73</f>
        <v>0</v>
      </c>
      <c r="O73" s="126">
        <f ca="1">IF($A73="S",VTOTALBM,IF($A73=0,0,ROUND(SomaAgrupBM,15-13*ORÇAMENTO!$AF$11)))</f>
        <v>0</v>
      </c>
      <c r="Q73" s="338"/>
      <c r="R73" s="339"/>
      <c r="T73" s="118" t="str">
        <f ca="1">IF($W73&gt;0,$D73,"")</f>
        <v/>
      </c>
      <c r="U73" s="164" t="str">
        <f ca="1">IF($W73&gt;0,$E73,"")</f>
        <v/>
      </c>
      <c r="V73" s="165" t="str">
        <f ca="1">IF(AND($W73&gt;0,RegimeExecucao="Unitário"),$F73,"")</f>
        <v/>
      </c>
      <c r="W73" s="455">
        <f ca="1">IF($Y73&gt;0,CHOOSE(MATCH(RegimeExecucao,{"Unitário","Global"},0),IF($A73="S",$Y73/$X73,""),($Y73/$X73)*100),0)</f>
        <v>0</v>
      </c>
      <c r="X73" s="340" t="str">
        <f ca="1">IF($Y73&gt;0,CHOOSE(MATCH(RegimeExecucao,{"Unitário","Global"},0),IF($A73="S",ROUND($H73,ORÇAMENTO!$AF$10),""),ROUND($I73,ORÇAMENTO!$AF$11)),"")</f>
        <v/>
      </c>
      <c r="Y73" s="340">
        <f ca="1">AO73-O73</f>
        <v>0</v>
      </c>
      <c r="Z73" s="474"/>
      <c r="AB73" s="338"/>
      <c r="AC73" s="438"/>
      <c r="AD73" s="438"/>
      <c r="AE73" s="438"/>
      <c r="AF73" s="438"/>
      <c r="AG73" s="438"/>
      <c r="AH73" s="438"/>
      <c r="AI73" s="438"/>
      <c r="AJ73" s="438"/>
      <c r="AK73" s="438"/>
      <c r="AL73" s="438"/>
      <c r="AM73" s="339"/>
      <c r="AO73">
        <f ca="1">IF($A73="S",IF(BM!$I73=0,0,CHOOSE(MATCH(RegimeExecucao,{"Global","Unitário"},0),ROUND(ROUND(BM.MEDAcumulado,15-13*BM!$A$9)/100*BM!$I73,15-13*ORÇAMENTO!$AF$11),ROUND(ROUND(BM.MEDAcumulado,15-13*BM!$A$9)*ROUND(BM!$H73,15-13*ORÇAMENTO!$AF$10),15-13*ORÇAMENTO!$AF$11))),IF($A73=0,0,ROUND(SomaAgrupBM,15-13*ORÇAMENTO!$AF$11)))</f>
        <v>0</v>
      </c>
    </row>
    <row r="74" spans="1:41" ht="25.5" x14ac:dyDescent="0.2">
      <c r="A74" t="str">
        <f ca="1">ORÇAMENTO!C74</f>
        <v>S</v>
      </c>
      <c r="B74">
        <f ca="1">ORÇAMENTO!D74</f>
        <v>0</v>
      </c>
      <c r="C74" s="115" t="str">
        <f t="shared" ref="C74:C76" ca="1" si="54">IF(OR($I74&gt;0,$A74=1,$A74=2,$A74=3,$A74=4),"F","")</f>
        <v>F</v>
      </c>
      <c r="D74" s="118" t="str">
        <f ca="1">ORÇAMENTO!O74</f>
        <v>1.6.24.</v>
      </c>
      <c r="E74" s="164" t="str">
        <f t="shared" ca="1" si="47"/>
        <v>APLICAÇÃO MANUAL DE FUNDO SELADOR ACRÍLICO EM PAREDES EXTERNAS DE CASAS. AF_03/2024</v>
      </c>
      <c r="F74" s="165" t="str">
        <f ca="1">IF(RegimeExecucao="Global","",ORÇAMENTO.Unidade)</f>
        <v>M2</v>
      </c>
      <c r="G74" s="123">
        <f ca="1">IF(RegimeExecucao="Global","",ORÇAMENTO!T74)</f>
        <v>84.2</v>
      </c>
      <c r="H74" s="123">
        <f ca="1">IF(RegimeExecucao="Global","",ORÇAMENTO!W74)</f>
        <v>5.22</v>
      </c>
      <c r="I74" s="126">
        <f ca="1">ORÇAMENTO!X74</f>
        <v>439.52</v>
      </c>
      <c r="J74" s="334" cm="1">
        <f t="array" aca="1" ref="J74" ca="1">_xlfn.SINGLE(IF($A74="S",IF(CAIXA.Modo,BM.AFAnterior,BM.MEDAnterior),IF(AND(_xlfn.SINGLE(RegimeExecucao)="Global",$I74&gt;0,COUNTIF($AB$13:$AM$13,BM.medicao-1)&gt;0),M74/$I74*100,0)))</f>
        <v>0</v>
      </c>
      <c r="K74" s="123">
        <f t="shared" ref="K74:K76" ca="1" si="55">L74-J74</f>
        <v>0</v>
      </c>
      <c r="L74" s="335" cm="1">
        <f t="array" aca="1" ref="L74" ca="1">_xlfn.SINGLE(IF($A74="S",IF(CAIXA.Modo,BM.AFAcumulado,BM.MEDAcumulado),IF(AND(_xlfn.SINGLE(RegimeExecucao)="Global",$I74&gt;0,COUNTIF($AB$13:$AM$13,BM.medicao)&gt;0),O74/$I74*100,0)))</f>
        <v>0</v>
      </c>
      <c r="M74" s="336">
        <f ca="1">IF($A74="S",VTOTALBM,IF($A74=0,0,ROUND(SomaAgrupBM,15-13*ORÇAMENTO!$AF$11)))</f>
        <v>0</v>
      </c>
      <c r="N74" s="337">
        <f t="shared" ref="N74:N76" ca="1" si="56">O74-M74</f>
        <v>0</v>
      </c>
      <c r="O74" s="126">
        <f ca="1">IF($A74="S",VTOTALBM,IF($A74=0,0,ROUND(SomaAgrupBM,15-13*ORÇAMENTO!$AF$11)))</f>
        <v>0</v>
      </c>
      <c r="Q74" s="338"/>
      <c r="R74" s="339"/>
      <c r="T74" s="118" t="str">
        <f t="shared" ref="T74:T76" ca="1" si="57">IF($W74&gt;0,$D74,"")</f>
        <v/>
      </c>
      <c r="U74" s="164" t="str">
        <f t="shared" ref="U74:U76" ca="1" si="58">IF($W74&gt;0,$E74,"")</f>
        <v/>
      </c>
      <c r="V74" s="165" t="str">
        <f ca="1">IF(AND($W74&gt;0,RegimeExecucao="Unitário"),$F74,"")</f>
        <v/>
      </c>
      <c r="W74" s="455">
        <f ca="1">IF($Y74&gt;0,CHOOSE(MATCH(RegimeExecucao,{"Unitário","Global"},0),IF($A74="S",$Y74/$X74,""),($Y74/$X74)*100),0)</f>
        <v>0</v>
      </c>
      <c r="X74" s="340" t="str">
        <f ca="1">IF($Y74&gt;0,CHOOSE(MATCH(RegimeExecucao,{"Unitário","Global"},0),IF($A74="S",ROUND($H74,ORÇAMENTO!$AF$10),""),ROUND($I74,ORÇAMENTO!$AF$11)),"")</f>
        <v/>
      </c>
      <c r="Y74" s="340">
        <f t="shared" ref="Y74:Y76" ca="1" si="59">AO74-O74</f>
        <v>0</v>
      </c>
      <c r="Z74" s="474"/>
      <c r="AB74" s="338"/>
      <c r="AC74" s="438"/>
      <c r="AD74" s="438"/>
      <c r="AE74" s="438"/>
      <c r="AF74" s="438"/>
      <c r="AG74" s="438"/>
      <c r="AH74" s="438"/>
      <c r="AI74" s="438"/>
      <c r="AJ74" s="438"/>
      <c r="AK74" s="438"/>
      <c r="AL74" s="438"/>
      <c r="AM74" s="339"/>
      <c r="AO74">
        <f ca="1">IF($A74="S",IF(BM!$I74=0,0,CHOOSE(MATCH(RegimeExecucao,{"Global","Unitário"},0),ROUND(ROUND(BM.MEDAcumulado,15-13*BM!$A$9)/100*BM!$I74,15-13*ORÇAMENTO!$AF$11),ROUND(ROUND(BM.MEDAcumulado,15-13*BM!$A$9)*ROUND(BM!$H74,15-13*ORÇAMENTO!$AF$10),15-13*ORÇAMENTO!$AF$11))),IF($A74=0,0,ROUND(SomaAgrupBM,15-13*ORÇAMENTO!$AF$11)))</f>
        <v>0</v>
      </c>
    </row>
    <row r="75" spans="1:41" ht="25.5" x14ac:dyDescent="0.2">
      <c r="A75" t="str">
        <f ca="1">ORÇAMENTO!C75</f>
        <v>S</v>
      </c>
      <c r="B75">
        <f ca="1">ORÇAMENTO!D75</f>
        <v>0</v>
      </c>
      <c r="C75" s="115" t="str">
        <f t="shared" ca="1" si="54"/>
        <v>F</v>
      </c>
      <c r="D75" s="118" t="str">
        <f ca="1">ORÇAMENTO!O75</f>
        <v>1.6.25.</v>
      </c>
      <c r="E75" s="164" t="str">
        <f t="shared" ca="1" si="47"/>
        <v>PINTURA LÁTEX ACRÍLICA PREMIUM, APLICAÇÃO MANUAL EM PAREDES, DUAS DEMÃOS. AF_04/2023</v>
      </c>
      <c r="F75" s="165" t="str">
        <f ca="1">IF(RegimeExecucao="Global","",ORÇAMENTO.Unidade)</f>
        <v>M2</v>
      </c>
      <c r="G75" s="123">
        <f ca="1">IF(RegimeExecucao="Global","",ORÇAMENTO!T75)</f>
        <v>84.2</v>
      </c>
      <c r="H75" s="123">
        <f ca="1">IF(RegimeExecucao="Global","",ORÇAMENTO!W75)</f>
        <v>15.97</v>
      </c>
      <c r="I75" s="126">
        <f ca="1">ORÇAMENTO!X75</f>
        <v>1344.67</v>
      </c>
      <c r="J75" s="334" cm="1">
        <f t="array" aca="1" ref="J75" ca="1">_xlfn.SINGLE(IF($A75="S",IF(CAIXA.Modo,BM.AFAnterior,BM.MEDAnterior),IF(AND(_xlfn.SINGLE(RegimeExecucao)="Global",$I75&gt;0,COUNTIF($AB$13:$AM$13,BM.medicao-1)&gt;0),M75/$I75*100,0)))</f>
        <v>0</v>
      </c>
      <c r="K75" s="123">
        <f t="shared" ca="1" si="55"/>
        <v>0</v>
      </c>
      <c r="L75" s="335" cm="1">
        <f t="array" aca="1" ref="L75" ca="1">_xlfn.SINGLE(IF($A75="S",IF(CAIXA.Modo,BM.AFAcumulado,BM.MEDAcumulado),IF(AND(_xlfn.SINGLE(RegimeExecucao)="Global",$I75&gt;0,COUNTIF($AB$13:$AM$13,BM.medicao)&gt;0),O75/$I75*100,0)))</f>
        <v>0</v>
      </c>
      <c r="M75" s="336">
        <f ca="1">IF($A75="S",VTOTALBM,IF($A75=0,0,ROUND(SomaAgrupBM,15-13*ORÇAMENTO!$AF$11)))</f>
        <v>0</v>
      </c>
      <c r="N75" s="337">
        <f t="shared" ca="1" si="56"/>
        <v>0</v>
      </c>
      <c r="O75" s="126">
        <f ca="1">IF($A75="S",VTOTALBM,IF($A75=0,0,ROUND(SomaAgrupBM,15-13*ORÇAMENTO!$AF$11)))</f>
        <v>0</v>
      </c>
      <c r="Q75" s="338"/>
      <c r="R75" s="339"/>
      <c r="T75" s="118" t="str">
        <f t="shared" ca="1" si="57"/>
        <v/>
      </c>
      <c r="U75" s="164" t="str">
        <f t="shared" ca="1" si="58"/>
        <v/>
      </c>
      <c r="V75" s="165" t="str">
        <f ca="1">IF(AND($W75&gt;0,RegimeExecucao="Unitário"),$F75,"")</f>
        <v/>
      </c>
      <c r="W75" s="455">
        <f ca="1">IF($Y75&gt;0,CHOOSE(MATCH(RegimeExecucao,{"Unitário","Global"},0),IF($A75="S",$Y75/$X75,""),($Y75/$X75)*100),0)</f>
        <v>0</v>
      </c>
      <c r="X75" s="340" t="str">
        <f ca="1">IF($Y75&gt;0,CHOOSE(MATCH(RegimeExecucao,{"Unitário","Global"},0),IF($A75="S",ROUND($H75,ORÇAMENTO!$AF$10),""),ROUND($I75,ORÇAMENTO!$AF$11)),"")</f>
        <v/>
      </c>
      <c r="Y75" s="340">
        <f t="shared" ca="1" si="59"/>
        <v>0</v>
      </c>
      <c r="Z75" s="474"/>
      <c r="AB75" s="338"/>
      <c r="AC75" s="438"/>
      <c r="AD75" s="438"/>
      <c r="AE75" s="438"/>
      <c r="AF75" s="438"/>
      <c r="AG75" s="438"/>
      <c r="AH75" s="438"/>
      <c r="AI75" s="438"/>
      <c r="AJ75" s="438"/>
      <c r="AK75" s="438"/>
      <c r="AL75" s="438"/>
      <c r="AM75" s="339"/>
      <c r="AO75">
        <f ca="1">IF($A75="S",IF(BM!$I75=0,0,CHOOSE(MATCH(RegimeExecucao,{"Global","Unitário"},0),ROUND(ROUND(BM.MEDAcumulado,15-13*BM!$A$9)/100*BM!$I75,15-13*ORÇAMENTO!$AF$11),ROUND(ROUND(BM.MEDAcumulado,15-13*BM!$A$9)*ROUND(BM!$H75,15-13*ORÇAMENTO!$AF$10),15-13*ORÇAMENTO!$AF$11))),IF($A75=0,0,ROUND(SomaAgrupBM,15-13*ORÇAMENTO!$AF$11)))</f>
        <v>0</v>
      </c>
    </row>
    <row r="76" spans="1:41" x14ac:dyDescent="0.2">
      <c r="A76" t="str">
        <f ca="1">ORÇAMENTO!C76</f>
        <v>S</v>
      </c>
      <c r="B76">
        <f ca="1">ORÇAMENTO!D76</f>
        <v>0</v>
      </c>
      <c r="C76" s="115" t="str">
        <f t="shared" ca="1" si="54"/>
        <v>F</v>
      </c>
      <c r="D76" s="118" t="str">
        <f ca="1">ORÇAMENTO!O76</f>
        <v>1.6.26.</v>
      </c>
      <c r="E76" s="164" t="str">
        <f t="shared" ca="1" si="47"/>
        <v>PINTOR COM ENCARGOS COMPLEMENTARES</v>
      </c>
      <c r="F76" s="165" t="str">
        <f ca="1">IF(RegimeExecucao="Global","",ORÇAMENTO.Unidade)</f>
        <v>H</v>
      </c>
      <c r="G76" s="123">
        <f ca="1">IF(RegimeExecucao="Global","",ORÇAMENTO!T76)</f>
        <v>56</v>
      </c>
      <c r="H76" s="123">
        <f ca="1">IF(RegimeExecucao="Global","",ORÇAMENTO!W76)</f>
        <v>35.5</v>
      </c>
      <c r="I76" s="126">
        <f ca="1">ORÇAMENTO!X76</f>
        <v>1988</v>
      </c>
      <c r="J76" s="334" cm="1">
        <f t="array" aca="1" ref="J76" ca="1">_xlfn.SINGLE(IF($A76="S",IF(CAIXA.Modo,BM.AFAnterior,BM.MEDAnterior),IF(AND(_xlfn.SINGLE(RegimeExecucao)="Global",$I76&gt;0,COUNTIF($AB$13:$AM$13,BM.medicao-1)&gt;0),M76/$I76*100,0)))</f>
        <v>0</v>
      </c>
      <c r="K76" s="123">
        <f t="shared" ca="1" si="55"/>
        <v>0</v>
      </c>
      <c r="L76" s="335" cm="1">
        <f t="array" aca="1" ref="L76" ca="1">_xlfn.SINGLE(IF($A76="S",IF(CAIXA.Modo,BM.AFAcumulado,BM.MEDAcumulado),IF(AND(_xlfn.SINGLE(RegimeExecucao)="Global",$I76&gt;0,COUNTIF($AB$13:$AM$13,BM.medicao)&gt;0),O76/$I76*100,0)))</f>
        <v>0</v>
      </c>
      <c r="M76" s="336">
        <f ca="1">IF($A76="S",VTOTALBM,IF($A76=0,0,ROUND(SomaAgrupBM,15-13*ORÇAMENTO!$AF$11)))</f>
        <v>0</v>
      </c>
      <c r="N76" s="337">
        <f t="shared" ca="1" si="56"/>
        <v>0</v>
      </c>
      <c r="O76" s="126">
        <f ca="1">IF($A76="S",VTOTALBM,IF($A76=0,0,ROUND(SomaAgrupBM,15-13*ORÇAMENTO!$AF$11)))</f>
        <v>0</v>
      </c>
      <c r="Q76" s="338"/>
      <c r="R76" s="339"/>
      <c r="T76" s="118" t="str">
        <f t="shared" ca="1" si="57"/>
        <v/>
      </c>
      <c r="U76" s="164" t="str">
        <f t="shared" ca="1" si="58"/>
        <v/>
      </c>
      <c r="V76" s="165" t="str">
        <f ca="1">IF(AND($W76&gt;0,RegimeExecucao="Unitário"),$F76,"")</f>
        <v/>
      </c>
      <c r="W76" s="455">
        <f ca="1">IF($Y76&gt;0,CHOOSE(MATCH(RegimeExecucao,{"Unitário","Global"},0),IF($A76="S",$Y76/$X76,""),($Y76/$X76)*100),0)</f>
        <v>0</v>
      </c>
      <c r="X76" s="340" t="str">
        <f ca="1">IF($Y76&gt;0,CHOOSE(MATCH(RegimeExecucao,{"Unitário","Global"},0),IF($A76="S",ROUND($H76,ORÇAMENTO!$AF$10),""),ROUND($I76,ORÇAMENTO!$AF$11)),"")</f>
        <v/>
      </c>
      <c r="Y76" s="340">
        <f t="shared" ca="1" si="59"/>
        <v>0</v>
      </c>
      <c r="Z76" s="474"/>
      <c r="AB76" s="338"/>
      <c r="AC76" s="438"/>
      <c r="AD76" s="438"/>
      <c r="AE76" s="438"/>
      <c r="AF76" s="438"/>
      <c r="AG76" s="438"/>
      <c r="AH76" s="438"/>
      <c r="AI76" s="438"/>
      <c r="AJ76" s="438"/>
      <c r="AK76" s="438"/>
      <c r="AL76" s="438"/>
      <c r="AM76" s="339"/>
      <c r="AO76">
        <f ca="1">IF($A76="S",IF(BM!$I76=0,0,CHOOSE(MATCH(RegimeExecucao,{"Global","Unitário"},0),ROUND(ROUND(BM.MEDAcumulado,15-13*BM!$A$9)/100*BM!$I76,15-13*ORÇAMENTO!$AF$11),ROUND(ROUND(BM.MEDAcumulado,15-13*BM!$A$9)*ROUND(BM!$H76,15-13*ORÇAMENTO!$AF$10),15-13*ORÇAMENTO!$AF$11))),IF($A76=0,0,ROUND(SomaAgrupBM,15-13*ORÇAMENTO!$AF$11)))</f>
        <v>0</v>
      </c>
    </row>
    <row r="77" spans="1:41" x14ac:dyDescent="0.2">
      <c r="A77" t="str">
        <f ca="1">ORÇAMENTO!C77</f>
        <v>S</v>
      </c>
      <c r="B77">
        <f ca="1">ORÇAMENTO!D77</f>
        <v>0</v>
      </c>
      <c r="C77" s="115" t="str">
        <f ca="1">IF(OR($I77&gt;0,$A77=1,$A77=2,$A77=3,$A77=4),"F","")</f>
        <v>F</v>
      </c>
      <c r="D77" s="118" t="str">
        <f ca="1">ORÇAMENTO!O77</f>
        <v>1.6.27.</v>
      </c>
      <c r="E77" s="164" t="str">
        <f t="shared" ca="1" si="47"/>
        <v>AJUDANTE DE PINTOR COM ENCARGOS COMPLEMENTARES</v>
      </c>
      <c r="F77" s="165" t="str">
        <f ca="1">IF(RegimeExecucao="Global","",ORÇAMENTO.Unidade)</f>
        <v>H</v>
      </c>
      <c r="G77" s="123">
        <f ca="1">IF(RegimeExecucao="Global","",ORÇAMENTO!T77)</f>
        <v>56</v>
      </c>
      <c r="H77" s="123">
        <f ca="1">IF(RegimeExecucao="Global","",ORÇAMENTO!W77)</f>
        <v>31.49</v>
      </c>
      <c r="I77" s="126">
        <f ca="1">ORÇAMENTO!X77</f>
        <v>1763.44</v>
      </c>
      <c r="J77" s="334" cm="1">
        <f t="array" aca="1" ref="J77" ca="1">_xlfn.SINGLE(IF($A77="S",IF(CAIXA.Modo,BM.AFAnterior,BM.MEDAnterior),IF(AND(_xlfn.SINGLE(RegimeExecucao)="Global",$I77&gt;0,COUNTIF($AB$13:$AM$13,BM.medicao-1)&gt;0),M77/$I77*100,0)))</f>
        <v>0</v>
      </c>
      <c r="K77" s="123">
        <f ca="1">L77-J77</f>
        <v>0</v>
      </c>
      <c r="L77" s="335" cm="1">
        <f t="array" aca="1" ref="L77" ca="1">_xlfn.SINGLE(IF($A77="S",IF(CAIXA.Modo,BM.AFAcumulado,BM.MEDAcumulado),IF(AND(_xlfn.SINGLE(RegimeExecucao)="Global",$I77&gt;0,COUNTIF($AB$13:$AM$13,BM.medicao)&gt;0),O77/$I77*100,0)))</f>
        <v>0</v>
      </c>
      <c r="M77" s="336">
        <f ca="1">IF($A77="S",VTOTALBM,IF($A77=0,0,ROUND(SomaAgrupBM,15-13*ORÇAMENTO!$AF$11)))</f>
        <v>0</v>
      </c>
      <c r="N77" s="337">
        <f ca="1">O77-M77</f>
        <v>0</v>
      </c>
      <c r="O77" s="126">
        <f ca="1">IF($A77="S",VTOTALBM,IF($A77=0,0,ROUND(SomaAgrupBM,15-13*ORÇAMENTO!$AF$11)))</f>
        <v>0</v>
      </c>
      <c r="Q77" s="338"/>
      <c r="R77" s="339"/>
      <c r="T77" s="118" t="str">
        <f ca="1">IF($W77&gt;0,$D77,"")</f>
        <v/>
      </c>
      <c r="U77" s="164" t="str">
        <f ca="1">IF($W77&gt;0,$E77,"")</f>
        <v/>
      </c>
      <c r="V77" s="165" t="str">
        <f ca="1">IF(AND($W77&gt;0,RegimeExecucao="Unitário"),$F77,"")</f>
        <v/>
      </c>
      <c r="W77" s="455">
        <f ca="1">IF($Y77&gt;0,CHOOSE(MATCH(RegimeExecucao,{"Unitário","Global"},0),IF($A77="S",$Y77/$X77,""),($Y77/$X77)*100),0)</f>
        <v>0</v>
      </c>
      <c r="X77" s="340" t="str">
        <f ca="1">IF($Y77&gt;0,CHOOSE(MATCH(RegimeExecucao,{"Unitário","Global"},0),IF($A77="S",ROUND($H77,ORÇAMENTO!$AF$10),""),ROUND($I77,ORÇAMENTO!$AF$11)),"")</f>
        <v/>
      </c>
      <c r="Y77" s="340">
        <f ca="1">AO77-O77</f>
        <v>0</v>
      </c>
      <c r="Z77" s="474"/>
      <c r="AB77" s="338"/>
      <c r="AC77" s="438"/>
      <c r="AD77" s="438"/>
      <c r="AE77" s="438"/>
      <c r="AF77" s="438"/>
      <c r="AG77" s="438"/>
      <c r="AH77" s="438"/>
      <c r="AI77" s="438"/>
      <c r="AJ77" s="438"/>
      <c r="AK77" s="438"/>
      <c r="AL77" s="438"/>
      <c r="AM77" s="339"/>
      <c r="AO77">
        <f ca="1">IF($A77="S",IF(BM!$I77=0,0,CHOOSE(MATCH(RegimeExecucao,{"Global","Unitário"},0),ROUND(ROUND(BM.MEDAcumulado,15-13*BM!$A$9)/100*BM!$I77,15-13*ORÇAMENTO!$AF$11),ROUND(ROUND(BM.MEDAcumulado,15-13*BM!$A$9)*ROUND(BM!$H77,15-13*ORÇAMENTO!$AF$10),15-13*ORÇAMENTO!$AF$11))),IF($A77=0,0,ROUND(SomaAgrupBM,15-13*ORÇAMENTO!$AF$11)))</f>
        <v>0</v>
      </c>
    </row>
    <row r="78" spans="1:41" ht="38.25" x14ac:dyDescent="0.2">
      <c r="A78" t="str">
        <f ca="1">ORÇAMENTO!C78</f>
        <v>S</v>
      </c>
      <c r="B78">
        <f ca="1">ORÇAMENTO!D78</f>
        <v>0</v>
      </c>
      <c r="C78" s="115" t="str">
        <f t="shared" ref="C78:C95" ca="1" si="60">IF(OR($I78&gt;0,$A78=1,$A78=2,$A78=3,$A78=4),"F","")</f>
        <v>F</v>
      </c>
      <c r="D78" s="118" t="str">
        <f ca="1">ORÇAMENTO!O78</f>
        <v>1.6.28.</v>
      </c>
      <c r="E78" s="164" t="str">
        <f t="shared" ca="1" si="47"/>
        <v>EXECUÇÃO DE PISO DE CONCRETO, COM ACABAMENTO SUPERFICIAL, ESPESSURA DE 15 CM, FCK = 30 MPA, COM USO DE FORMAS EM MADEIRA SERRADA. AF_07/2026</v>
      </c>
      <c r="F78" s="165" t="str">
        <f ca="1">IF(RegimeExecucao="Global","",ORÇAMENTO.Unidade)</f>
        <v>M2</v>
      </c>
      <c r="G78" s="123">
        <f ca="1">IF(RegimeExecucao="Global","",ORÇAMENTO!T78)</f>
        <v>22.25</v>
      </c>
      <c r="H78" s="123">
        <f ca="1">IF(RegimeExecucao="Global","",ORÇAMENTO!W78)</f>
        <v>285.42</v>
      </c>
      <c r="I78" s="126">
        <f ca="1">ORÇAMENTO!X78</f>
        <v>6350.6</v>
      </c>
      <c r="J78" s="334" cm="1">
        <f t="array" aca="1" ref="J78" ca="1">_xlfn.SINGLE(IF($A78="S",IF(CAIXA.Modo,BM.AFAnterior,BM.MEDAnterior),IF(AND(_xlfn.SINGLE(RegimeExecucao)="Global",$I78&gt;0,COUNTIF($AB$13:$AM$13,BM.medicao-1)&gt;0),M78/$I78*100,0)))</f>
        <v>0</v>
      </c>
      <c r="K78" s="123">
        <f t="shared" ref="K78:K95" ca="1" si="61">L78-J78</f>
        <v>0</v>
      </c>
      <c r="L78" s="335" cm="1">
        <f t="array" aca="1" ref="L78" ca="1">_xlfn.SINGLE(IF($A78="S",IF(CAIXA.Modo,BM.AFAcumulado,BM.MEDAcumulado),IF(AND(_xlfn.SINGLE(RegimeExecucao)="Global",$I78&gt;0,COUNTIF($AB$13:$AM$13,BM.medicao)&gt;0),O78/$I78*100,0)))</f>
        <v>0</v>
      </c>
      <c r="M78" s="336">
        <f ca="1">IF($A78="S",VTOTALBM,IF($A78=0,0,ROUND(SomaAgrupBM,15-13*ORÇAMENTO!$AF$11)))</f>
        <v>0</v>
      </c>
      <c r="N78" s="337">
        <f t="shared" ref="N78:N95" ca="1" si="62">O78-M78</f>
        <v>0</v>
      </c>
      <c r="O78" s="126">
        <f ca="1">IF($A78="S",VTOTALBM,IF($A78=0,0,ROUND(SomaAgrupBM,15-13*ORÇAMENTO!$AF$11)))</f>
        <v>0</v>
      </c>
      <c r="Q78" s="338"/>
      <c r="R78" s="339"/>
      <c r="T78" s="118" t="str">
        <f t="shared" ref="T78:T95" ca="1" si="63">IF($W78&gt;0,$D78,"")</f>
        <v/>
      </c>
      <c r="U78" s="164" t="str">
        <f t="shared" ref="U78:U95" ca="1" si="64">IF($W78&gt;0,$E78,"")</f>
        <v/>
      </c>
      <c r="V78" s="165" t="str">
        <f ca="1">IF(AND($W78&gt;0,RegimeExecucao="Unitário"),$F78,"")</f>
        <v/>
      </c>
      <c r="W78" s="455">
        <f ca="1">IF($Y78&gt;0,CHOOSE(MATCH(RegimeExecucao,{"Unitário","Global"},0),IF($A78="S",$Y78/$X78,""),($Y78/$X78)*100),0)</f>
        <v>0</v>
      </c>
      <c r="X78" s="340" t="str">
        <f ca="1">IF($Y78&gt;0,CHOOSE(MATCH(RegimeExecucao,{"Unitário","Global"},0),IF($A78="S",ROUND($H78,ORÇAMENTO!$AF$10),""),ROUND($I78,ORÇAMENTO!$AF$11)),"")</f>
        <v/>
      </c>
      <c r="Y78" s="340">
        <f t="shared" ref="Y78:Y95" ca="1" si="65">AO78-O78</f>
        <v>0</v>
      </c>
      <c r="Z78" s="474"/>
      <c r="AB78" s="338"/>
      <c r="AC78" s="438"/>
      <c r="AD78" s="438"/>
      <c r="AE78" s="438"/>
      <c r="AF78" s="438"/>
      <c r="AG78" s="438"/>
      <c r="AH78" s="438"/>
      <c r="AI78" s="438"/>
      <c r="AJ78" s="438"/>
      <c r="AK78" s="438"/>
      <c r="AL78" s="438"/>
      <c r="AM78" s="339"/>
      <c r="AO78">
        <f ca="1">IF($A78="S",IF(BM!$I78=0,0,CHOOSE(MATCH(RegimeExecucao,{"Global","Unitário"},0),ROUND(ROUND(BM.MEDAcumulado,15-13*BM!$A$9)/100*BM!$I78,15-13*ORÇAMENTO!$AF$11),ROUND(ROUND(BM.MEDAcumulado,15-13*BM!$A$9)*ROUND(BM!$H78,15-13*ORÇAMENTO!$AF$10),15-13*ORÇAMENTO!$AF$11))),IF($A78=0,0,ROUND(SomaAgrupBM,15-13*ORÇAMENTO!$AF$11)))</f>
        <v>0</v>
      </c>
    </row>
    <row r="79" spans="1:41" ht="38.25" x14ac:dyDescent="0.2">
      <c r="A79" t="str">
        <f ca="1">ORÇAMENTO!C79</f>
        <v>S</v>
      </c>
      <c r="B79">
        <f ca="1">ORÇAMENTO!D79</f>
        <v>0</v>
      </c>
      <c r="C79" s="115" t="str">
        <f t="shared" ca="1" si="60"/>
        <v>F</v>
      </c>
      <c r="D79" s="118" t="str">
        <f ca="1">ORÇAMENTO!O79</f>
        <v>1.6.29.</v>
      </c>
      <c r="E79" s="164" t="str">
        <f t="shared" ca="1" si="47"/>
        <v>TELA DE ACO SOLDADA NERVURADA, CA-60, Q-92, (1,48 KG/M2), DIAMETRO DO FIO = 4,2 MM, LARGURA = 2,45 X 60 M DE COMPRIMENTO, ESPACAMENTO DA MALHA = 15 X 15 CM</v>
      </c>
      <c r="F79" s="165" t="str">
        <f ca="1">IF(RegimeExecucao="Global","",ORÇAMENTO.Unidade)</f>
        <v>M2</v>
      </c>
      <c r="G79" s="123">
        <f ca="1">IF(RegimeExecucao="Global","",ORÇAMENTO!T79)</f>
        <v>22.25</v>
      </c>
      <c r="H79" s="123">
        <f ca="1">IF(RegimeExecucao="Global","",ORÇAMENTO!W79)</f>
        <v>14.95</v>
      </c>
      <c r="I79" s="126">
        <f ca="1">ORÇAMENTO!X79</f>
        <v>332.64</v>
      </c>
      <c r="J79" s="334" cm="1">
        <f t="array" aca="1" ref="J79" ca="1">_xlfn.SINGLE(IF($A79="S",IF(CAIXA.Modo,BM.AFAnterior,BM.MEDAnterior),IF(AND(_xlfn.SINGLE(RegimeExecucao)="Global",$I79&gt;0,COUNTIF($AB$13:$AM$13,BM.medicao-1)&gt;0),M79/$I79*100,0)))</f>
        <v>0</v>
      </c>
      <c r="K79" s="123">
        <f t="shared" ca="1" si="61"/>
        <v>0</v>
      </c>
      <c r="L79" s="335" cm="1">
        <f t="array" aca="1" ref="L79" ca="1">_xlfn.SINGLE(IF($A79="S",IF(CAIXA.Modo,BM.AFAcumulado,BM.MEDAcumulado),IF(AND(_xlfn.SINGLE(RegimeExecucao)="Global",$I79&gt;0,COUNTIF($AB$13:$AM$13,BM.medicao)&gt;0),O79/$I79*100,0)))</f>
        <v>0</v>
      </c>
      <c r="M79" s="336">
        <f ca="1">IF($A79="S",VTOTALBM,IF($A79=0,0,ROUND(SomaAgrupBM,15-13*ORÇAMENTO!$AF$11)))</f>
        <v>0</v>
      </c>
      <c r="N79" s="337">
        <f t="shared" ca="1" si="62"/>
        <v>0</v>
      </c>
      <c r="O79" s="126">
        <f ca="1">IF($A79="S",VTOTALBM,IF($A79=0,0,ROUND(SomaAgrupBM,15-13*ORÇAMENTO!$AF$11)))</f>
        <v>0</v>
      </c>
      <c r="Q79" s="338"/>
      <c r="R79" s="339"/>
      <c r="T79" s="118" t="str">
        <f t="shared" ca="1" si="63"/>
        <v/>
      </c>
      <c r="U79" s="164" t="str">
        <f t="shared" ca="1" si="64"/>
        <v/>
      </c>
      <c r="V79" s="165" t="str">
        <f ca="1">IF(AND($W79&gt;0,RegimeExecucao="Unitário"),$F79,"")</f>
        <v/>
      </c>
      <c r="W79" s="455">
        <f ca="1">IF($Y79&gt;0,CHOOSE(MATCH(RegimeExecucao,{"Unitário","Global"},0),IF($A79="S",$Y79/$X79,""),($Y79/$X79)*100),0)</f>
        <v>0</v>
      </c>
      <c r="X79" s="340" t="str">
        <f ca="1">IF($Y79&gt;0,CHOOSE(MATCH(RegimeExecucao,{"Unitário","Global"},0),IF($A79="S",ROUND($H79,ORÇAMENTO!$AF$10),""),ROUND($I79,ORÇAMENTO!$AF$11)),"")</f>
        <v/>
      </c>
      <c r="Y79" s="340">
        <f t="shared" ca="1" si="65"/>
        <v>0</v>
      </c>
      <c r="Z79" s="474"/>
      <c r="AB79" s="338"/>
      <c r="AC79" s="438"/>
      <c r="AD79" s="438"/>
      <c r="AE79" s="438"/>
      <c r="AF79" s="438"/>
      <c r="AG79" s="438"/>
      <c r="AH79" s="438"/>
      <c r="AI79" s="438"/>
      <c r="AJ79" s="438"/>
      <c r="AK79" s="438"/>
      <c r="AL79" s="438"/>
      <c r="AM79" s="339"/>
      <c r="AO79">
        <f ca="1">IF($A79="S",IF(BM!$I79=0,0,CHOOSE(MATCH(RegimeExecucao,{"Global","Unitário"},0),ROUND(ROUND(BM.MEDAcumulado,15-13*BM!$A$9)/100*BM!$I79,15-13*ORÇAMENTO!$AF$11),ROUND(ROUND(BM.MEDAcumulado,15-13*BM!$A$9)*ROUND(BM!$H79,15-13*ORÇAMENTO!$AF$10),15-13*ORÇAMENTO!$AF$11))),IF($A79=0,0,ROUND(SomaAgrupBM,15-13*ORÇAMENTO!$AF$11)))</f>
        <v>0</v>
      </c>
    </row>
    <row r="80" spans="1:41" ht="25.5" x14ac:dyDescent="0.2">
      <c r="A80" t="str">
        <f ca="1">ORÇAMENTO!C80</f>
        <v>S</v>
      </c>
      <c r="B80">
        <f ca="1">ORÇAMENTO!D80</f>
        <v>0</v>
      </c>
      <c r="C80" s="115" t="str">
        <f t="shared" ca="1" si="60"/>
        <v>F</v>
      </c>
      <c r="D80" s="118" t="str">
        <f ca="1">ORÇAMENTO!O80</f>
        <v>1.6.30.</v>
      </c>
      <c r="E80" s="164" t="str">
        <f t="shared" ca="1" si="47"/>
        <v>PISO DE BORRACHA PASTILHADO EM PLACAS 50 X 50 CM, E = *3,5* MM, PARA COLA, PRETO</v>
      </c>
      <c r="F80" s="165" t="str">
        <f ca="1">IF(RegimeExecucao="Global","",ORÇAMENTO.Unidade)</f>
        <v>M2</v>
      </c>
      <c r="G80" s="123">
        <f ca="1">IF(RegimeExecucao="Global","",ORÇAMENTO!T80)</f>
        <v>6.9</v>
      </c>
      <c r="H80" s="123">
        <f ca="1">IF(RegimeExecucao="Global","",ORÇAMENTO!W80)</f>
        <v>55.48</v>
      </c>
      <c r="I80" s="126">
        <f ca="1">ORÇAMENTO!X80</f>
        <v>382.81</v>
      </c>
      <c r="J80" s="334" cm="1">
        <f t="array" aca="1" ref="J80" ca="1">_xlfn.SINGLE(IF($A80="S",IF(CAIXA.Modo,BM.AFAnterior,BM.MEDAnterior),IF(AND(_xlfn.SINGLE(RegimeExecucao)="Global",$I80&gt;0,COUNTIF($AB$13:$AM$13,BM.medicao-1)&gt;0),M80/$I80*100,0)))</f>
        <v>0</v>
      </c>
      <c r="K80" s="123">
        <f t="shared" ca="1" si="61"/>
        <v>0</v>
      </c>
      <c r="L80" s="335" cm="1">
        <f t="array" aca="1" ref="L80" ca="1">_xlfn.SINGLE(IF($A80="S",IF(CAIXA.Modo,BM.AFAcumulado,BM.MEDAcumulado),IF(AND(_xlfn.SINGLE(RegimeExecucao)="Global",$I80&gt;0,COUNTIF($AB$13:$AM$13,BM.medicao)&gt;0),O80/$I80*100,0)))</f>
        <v>0</v>
      </c>
      <c r="M80" s="336">
        <f ca="1">IF($A80="S",VTOTALBM,IF($A80=0,0,ROUND(SomaAgrupBM,15-13*ORÇAMENTO!$AF$11)))</f>
        <v>0</v>
      </c>
      <c r="N80" s="337">
        <f t="shared" ca="1" si="62"/>
        <v>0</v>
      </c>
      <c r="O80" s="126">
        <f ca="1">IF($A80="S",VTOTALBM,IF($A80=0,0,ROUND(SomaAgrupBM,15-13*ORÇAMENTO!$AF$11)))</f>
        <v>0</v>
      </c>
      <c r="Q80" s="338"/>
      <c r="R80" s="339"/>
      <c r="T80" s="118" t="str">
        <f t="shared" ca="1" si="63"/>
        <v/>
      </c>
      <c r="U80" s="164" t="str">
        <f t="shared" ca="1" si="64"/>
        <v/>
      </c>
      <c r="V80" s="165" t="str">
        <f ca="1">IF(AND($W80&gt;0,RegimeExecucao="Unitário"),$F80,"")</f>
        <v/>
      </c>
      <c r="W80" s="455">
        <f ca="1">IF($Y80&gt;0,CHOOSE(MATCH(RegimeExecucao,{"Unitário","Global"},0),IF($A80="S",$Y80/$X80,""),($Y80/$X80)*100),0)</f>
        <v>0</v>
      </c>
      <c r="X80" s="340" t="str">
        <f ca="1">IF($Y80&gt;0,CHOOSE(MATCH(RegimeExecucao,{"Unitário","Global"},0),IF($A80="S",ROUND($H80,ORÇAMENTO!$AF$10),""),ROUND($I80,ORÇAMENTO!$AF$11)),"")</f>
        <v/>
      </c>
      <c r="Y80" s="340">
        <f t="shared" ca="1" si="65"/>
        <v>0</v>
      </c>
      <c r="Z80" s="474"/>
      <c r="AB80" s="338"/>
      <c r="AC80" s="438"/>
      <c r="AD80" s="438"/>
      <c r="AE80" s="438"/>
      <c r="AF80" s="438"/>
      <c r="AG80" s="438"/>
      <c r="AH80" s="438"/>
      <c r="AI80" s="438"/>
      <c r="AJ80" s="438"/>
      <c r="AK80" s="438"/>
      <c r="AL80" s="438"/>
      <c r="AM80" s="339"/>
      <c r="AO80">
        <f ca="1">IF($A80="S",IF(BM!$I80=0,0,CHOOSE(MATCH(RegimeExecucao,{"Global","Unitário"},0),ROUND(ROUND(BM.MEDAcumulado,15-13*BM!$A$9)/100*BM!$I80,15-13*ORÇAMENTO!$AF$11),ROUND(ROUND(BM.MEDAcumulado,15-13*BM!$A$9)*ROUND(BM!$H80,15-13*ORÇAMENTO!$AF$10),15-13*ORÇAMENTO!$AF$11))),IF($A80=0,0,ROUND(SomaAgrupBM,15-13*ORÇAMENTO!$AF$11)))</f>
        <v>0</v>
      </c>
    </row>
    <row r="81" spans="1:41" x14ac:dyDescent="0.2">
      <c r="A81" t="str">
        <f ca="1">ORÇAMENTO!C81</f>
        <v>S</v>
      </c>
      <c r="B81">
        <f ca="1">ORÇAMENTO!D81</f>
        <v>0</v>
      </c>
      <c r="C81" s="115" t="str">
        <f t="shared" ca="1" si="60"/>
        <v>F</v>
      </c>
      <c r="D81" s="118" t="str">
        <f ca="1">ORÇAMENTO!O81</f>
        <v>1.6.31.</v>
      </c>
      <c r="E81" s="164" t="str">
        <f t="shared" ca="1" si="47"/>
        <v>ADESIVO ACRILICO DE BASE AQUOSA / COLA DE CONTATO</v>
      </c>
      <c r="F81" s="165" t="str">
        <f ca="1">IF(RegimeExecucao="Global","",ORÇAMENTO.Unidade)</f>
        <v>KG</v>
      </c>
      <c r="G81" s="123">
        <f ca="1">IF(RegimeExecucao="Global","",ORÇAMENTO!T81)</f>
        <v>5</v>
      </c>
      <c r="H81" s="123">
        <f ca="1">IF(RegimeExecucao="Global","",ORÇAMENTO!W81)</f>
        <v>43.58</v>
      </c>
      <c r="I81" s="126">
        <f ca="1">ORÇAMENTO!X81</f>
        <v>217.9</v>
      </c>
      <c r="J81" s="334" cm="1">
        <f t="array" aca="1" ref="J81" ca="1">_xlfn.SINGLE(IF($A81="S",IF(CAIXA.Modo,BM.AFAnterior,BM.MEDAnterior),IF(AND(_xlfn.SINGLE(RegimeExecucao)="Global",$I81&gt;0,COUNTIF($AB$13:$AM$13,BM.medicao-1)&gt;0),M81/$I81*100,0)))</f>
        <v>0</v>
      </c>
      <c r="K81" s="123">
        <f t="shared" ca="1" si="61"/>
        <v>0</v>
      </c>
      <c r="L81" s="335" cm="1">
        <f t="array" aca="1" ref="L81" ca="1">_xlfn.SINGLE(IF($A81="S",IF(CAIXA.Modo,BM.AFAcumulado,BM.MEDAcumulado),IF(AND(_xlfn.SINGLE(RegimeExecucao)="Global",$I81&gt;0,COUNTIF($AB$13:$AM$13,BM.medicao)&gt;0),O81/$I81*100,0)))</f>
        <v>0</v>
      </c>
      <c r="M81" s="336">
        <f ca="1">IF($A81="S",VTOTALBM,IF($A81=0,0,ROUND(SomaAgrupBM,15-13*ORÇAMENTO!$AF$11)))</f>
        <v>0</v>
      </c>
      <c r="N81" s="337">
        <f t="shared" ca="1" si="62"/>
        <v>0</v>
      </c>
      <c r="O81" s="126">
        <f ca="1">IF($A81="S",VTOTALBM,IF($A81=0,0,ROUND(SomaAgrupBM,15-13*ORÇAMENTO!$AF$11)))</f>
        <v>0</v>
      </c>
      <c r="Q81" s="338"/>
      <c r="R81" s="339"/>
      <c r="T81" s="118" t="str">
        <f t="shared" ca="1" si="63"/>
        <v/>
      </c>
      <c r="U81" s="164" t="str">
        <f t="shared" ca="1" si="64"/>
        <v/>
      </c>
      <c r="V81" s="165" t="str">
        <f ca="1">IF(AND($W81&gt;0,RegimeExecucao="Unitário"),$F81,"")</f>
        <v/>
      </c>
      <c r="W81" s="455">
        <f ca="1">IF($Y81&gt;0,CHOOSE(MATCH(RegimeExecucao,{"Unitário","Global"},0),IF($A81="S",$Y81/$X81,""),($Y81/$X81)*100),0)</f>
        <v>0</v>
      </c>
      <c r="X81" s="340" t="str">
        <f ca="1">IF($Y81&gt;0,CHOOSE(MATCH(RegimeExecucao,{"Unitário","Global"},0),IF($A81="S",ROUND($H81,ORÇAMENTO!$AF$10),""),ROUND($I81,ORÇAMENTO!$AF$11)),"")</f>
        <v/>
      </c>
      <c r="Y81" s="340">
        <f t="shared" ca="1" si="65"/>
        <v>0</v>
      </c>
      <c r="Z81" s="474"/>
      <c r="AB81" s="338"/>
      <c r="AC81" s="438"/>
      <c r="AD81" s="438"/>
      <c r="AE81" s="438"/>
      <c r="AF81" s="438"/>
      <c r="AG81" s="438"/>
      <c r="AH81" s="438"/>
      <c r="AI81" s="438"/>
      <c r="AJ81" s="438"/>
      <c r="AK81" s="438"/>
      <c r="AL81" s="438"/>
      <c r="AM81" s="339"/>
      <c r="AO81">
        <f ca="1">IF($A81="S",IF(BM!$I81=0,0,CHOOSE(MATCH(RegimeExecucao,{"Global","Unitário"},0),ROUND(ROUND(BM.MEDAcumulado,15-13*BM!$A$9)/100*BM!$I81,15-13*ORÇAMENTO!$AF$11),ROUND(ROUND(BM.MEDAcumulado,15-13*BM!$A$9)*ROUND(BM!$H81,15-13*ORÇAMENTO!$AF$10),15-13*ORÇAMENTO!$AF$11))),IF($A81=0,0,ROUND(SomaAgrupBM,15-13*ORÇAMENTO!$AF$11)))</f>
        <v>0</v>
      </c>
    </row>
    <row r="82" spans="1:41" ht="38.25" x14ac:dyDescent="0.2">
      <c r="A82" t="str">
        <f ca="1">ORÇAMENTO!C82</f>
        <v>S</v>
      </c>
      <c r="B82">
        <f ca="1">ORÇAMENTO!D82</f>
        <v>0</v>
      </c>
      <c r="C82" s="115" t="str">
        <f t="shared" ca="1" si="60"/>
        <v>F</v>
      </c>
      <c r="D82" s="118" t="str">
        <f ca="1">ORÇAMENTO!O82</f>
        <v>1.6.32.</v>
      </c>
      <c r="E82" s="164" t="str">
        <f t="shared" ca="1" si="47"/>
        <v>PORTAO DE ABRIR / GIRO, EM GRADIL DE METALON REDONDO DE 3/4" VERTICAL, COM REQUADRO, ACABAMENTO NATURAL - COMPLETO</v>
      </c>
      <c r="F82" s="165" t="str">
        <f ca="1">IF(RegimeExecucao="Global","",ORÇAMENTO.Unidade)</f>
        <v>M2</v>
      </c>
      <c r="G82" s="123">
        <f ca="1">IF(RegimeExecucao="Global","",ORÇAMENTO!T82)</f>
        <v>2.5</v>
      </c>
      <c r="H82" s="123">
        <f ca="1">IF(RegimeExecucao="Global","",ORÇAMENTO!W82)</f>
        <v>742.38</v>
      </c>
      <c r="I82" s="126">
        <f ca="1">ORÇAMENTO!X82</f>
        <v>1855.95</v>
      </c>
      <c r="J82" s="334" cm="1">
        <f t="array" aca="1" ref="J82" ca="1">_xlfn.SINGLE(IF($A82="S",IF(CAIXA.Modo,BM.AFAnterior,BM.MEDAnterior),IF(AND(_xlfn.SINGLE(RegimeExecucao)="Global",$I82&gt;0,COUNTIF($AB$13:$AM$13,BM.medicao-1)&gt;0),M82/$I82*100,0)))</f>
        <v>0</v>
      </c>
      <c r="K82" s="123">
        <f t="shared" ca="1" si="61"/>
        <v>0</v>
      </c>
      <c r="L82" s="335" cm="1">
        <f t="array" aca="1" ref="L82" ca="1">_xlfn.SINGLE(IF($A82="S",IF(CAIXA.Modo,BM.AFAcumulado,BM.MEDAcumulado),IF(AND(_xlfn.SINGLE(RegimeExecucao)="Global",$I82&gt;0,COUNTIF($AB$13:$AM$13,BM.medicao)&gt;0),O82/$I82*100,0)))</f>
        <v>0</v>
      </c>
      <c r="M82" s="336">
        <f ca="1">IF($A82="S",VTOTALBM,IF($A82=0,0,ROUND(SomaAgrupBM,15-13*ORÇAMENTO!$AF$11)))</f>
        <v>0</v>
      </c>
      <c r="N82" s="337">
        <f t="shared" ca="1" si="62"/>
        <v>0</v>
      </c>
      <c r="O82" s="126">
        <f ca="1">IF($A82="S",VTOTALBM,IF($A82=0,0,ROUND(SomaAgrupBM,15-13*ORÇAMENTO!$AF$11)))</f>
        <v>0</v>
      </c>
      <c r="Q82" s="338"/>
      <c r="R82" s="339"/>
      <c r="T82" s="118" t="str">
        <f t="shared" ca="1" si="63"/>
        <v/>
      </c>
      <c r="U82" s="164" t="str">
        <f t="shared" ca="1" si="64"/>
        <v/>
      </c>
      <c r="V82" s="165" t="str">
        <f ca="1">IF(AND($W82&gt;0,RegimeExecucao="Unitário"),$F82,"")</f>
        <v/>
      </c>
      <c r="W82" s="455">
        <f ca="1">IF($Y82&gt;0,CHOOSE(MATCH(RegimeExecucao,{"Unitário","Global"},0),IF($A82="S",$Y82/$X82,""),($Y82/$X82)*100),0)</f>
        <v>0</v>
      </c>
      <c r="X82" s="340" t="str">
        <f ca="1">IF($Y82&gt;0,CHOOSE(MATCH(RegimeExecucao,{"Unitário","Global"},0),IF($A82="S",ROUND($H82,ORÇAMENTO!$AF$10),""),ROUND($I82,ORÇAMENTO!$AF$11)),"")</f>
        <v/>
      </c>
      <c r="Y82" s="340">
        <f t="shared" ca="1" si="65"/>
        <v>0</v>
      </c>
      <c r="Z82" s="474"/>
      <c r="AB82" s="338"/>
      <c r="AC82" s="438"/>
      <c r="AD82" s="438"/>
      <c r="AE82" s="438"/>
      <c r="AF82" s="438"/>
      <c r="AG82" s="438"/>
      <c r="AH82" s="438"/>
      <c r="AI82" s="438"/>
      <c r="AJ82" s="438"/>
      <c r="AK82" s="438"/>
      <c r="AL82" s="438"/>
      <c r="AM82" s="339"/>
      <c r="AO82">
        <f ca="1">IF($A82="S",IF(BM!$I82=0,0,CHOOSE(MATCH(RegimeExecucao,{"Global","Unitário"},0),ROUND(ROUND(BM.MEDAcumulado,15-13*BM!$A$9)/100*BM!$I82,15-13*ORÇAMENTO!$AF$11),ROUND(ROUND(BM.MEDAcumulado,15-13*BM!$A$9)*ROUND(BM!$H82,15-13*ORÇAMENTO!$AF$10),15-13*ORÇAMENTO!$AF$11))),IF($A82=0,0,ROUND(SomaAgrupBM,15-13*ORÇAMENTO!$AF$11)))</f>
        <v>0</v>
      </c>
    </row>
    <row r="83" spans="1:41" ht="25.5" x14ac:dyDescent="0.2">
      <c r="A83" t="str">
        <f ca="1">ORÇAMENTO!C83</f>
        <v>S</v>
      </c>
      <c r="B83">
        <f ca="1">ORÇAMENTO!D83</f>
        <v>0</v>
      </c>
      <c r="C83" s="115" t="str">
        <f t="shared" ca="1" si="60"/>
        <v>F</v>
      </c>
      <c r="D83" s="118" t="str">
        <f ca="1">ORÇAMENTO!O83</f>
        <v>1.6.33.</v>
      </c>
      <c r="E83" s="164" t="str">
        <f t="shared" ca="1" si="47"/>
        <v>LUMINÁRIA TIPO PLAFON CIRCULAR, DE SOBREPOR, COM LED DE 12/13 W - FORNECIMENTO E INSTALAÇÃO. AF_09/2024</v>
      </c>
      <c r="F83" s="165" t="str">
        <f ca="1">IF(RegimeExecucao="Global","",ORÇAMENTO.Unidade)</f>
        <v>UN</v>
      </c>
      <c r="G83" s="123">
        <f ca="1">IF(RegimeExecucao="Global","",ORÇAMENTO!T83)</f>
        <v>3</v>
      </c>
      <c r="H83" s="123">
        <f ca="1">IF(RegimeExecucao="Global","",ORÇAMENTO!W83)</f>
        <v>36.01</v>
      </c>
      <c r="I83" s="126">
        <f ca="1">ORÇAMENTO!X83</f>
        <v>108.03</v>
      </c>
      <c r="J83" s="334" cm="1">
        <f t="array" aca="1" ref="J83" ca="1">_xlfn.SINGLE(IF($A83="S",IF(CAIXA.Modo,BM.AFAnterior,BM.MEDAnterior),IF(AND(_xlfn.SINGLE(RegimeExecucao)="Global",$I83&gt;0,COUNTIF($AB$13:$AM$13,BM.medicao-1)&gt;0),M83/$I83*100,0)))</f>
        <v>0</v>
      </c>
      <c r="K83" s="123">
        <f t="shared" ca="1" si="61"/>
        <v>0</v>
      </c>
      <c r="L83" s="335" cm="1">
        <f t="array" aca="1" ref="L83" ca="1">_xlfn.SINGLE(IF($A83="S",IF(CAIXA.Modo,BM.AFAcumulado,BM.MEDAcumulado),IF(AND(_xlfn.SINGLE(RegimeExecucao)="Global",$I83&gt;0,COUNTIF($AB$13:$AM$13,BM.medicao)&gt;0),O83/$I83*100,0)))</f>
        <v>0</v>
      </c>
      <c r="M83" s="336">
        <f ca="1">IF($A83="S",VTOTALBM,IF($A83=0,0,ROUND(SomaAgrupBM,15-13*ORÇAMENTO!$AF$11)))</f>
        <v>0</v>
      </c>
      <c r="N83" s="337">
        <f t="shared" ca="1" si="62"/>
        <v>0</v>
      </c>
      <c r="O83" s="126">
        <f ca="1">IF($A83="S",VTOTALBM,IF($A83=0,0,ROUND(SomaAgrupBM,15-13*ORÇAMENTO!$AF$11)))</f>
        <v>0</v>
      </c>
      <c r="Q83" s="338"/>
      <c r="R83" s="339"/>
      <c r="T83" s="118" t="str">
        <f t="shared" ca="1" si="63"/>
        <v/>
      </c>
      <c r="U83" s="164" t="str">
        <f t="shared" ca="1" si="64"/>
        <v/>
      </c>
      <c r="V83" s="165" t="str">
        <f ca="1">IF(AND($W83&gt;0,RegimeExecucao="Unitário"),$F83,"")</f>
        <v/>
      </c>
      <c r="W83" s="455">
        <f ca="1">IF($Y83&gt;0,CHOOSE(MATCH(RegimeExecucao,{"Unitário","Global"},0),IF($A83="S",$Y83/$X83,""),($Y83/$X83)*100),0)</f>
        <v>0</v>
      </c>
      <c r="X83" s="340" t="str">
        <f ca="1">IF($Y83&gt;0,CHOOSE(MATCH(RegimeExecucao,{"Unitário","Global"},0),IF($A83="S",ROUND($H83,ORÇAMENTO!$AF$10),""),ROUND($I83,ORÇAMENTO!$AF$11)),"")</f>
        <v/>
      </c>
      <c r="Y83" s="340">
        <f t="shared" ca="1" si="65"/>
        <v>0</v>
      </c>
      <c r="Z83" s="474"/>
      <c r="AB83" s="338"/>
      <c r="AC83" s="438"/>
      <c r="AD83" s="438"/>
      <c r="AE83" s="438"/>
      <c r="AF83" s="438"/>
      <c r="AG83" s="438"/>
      <c r="AH83" s="438"/>
      <c r="AI83" s="438"/>
      <c r="AJ83" s="438"/>
      <c r="AK83" s="438"/>
      <c r="AL83" s="438"/>
      <c r="AM83" s="339"/>
      <c r="AO83">
        <f ca="1">IF($A83="S",IF(BM!$I83=0,0,CHOOSE(MATCH(RegimeExecucao,{"Global","Unitário"},0),ROUND(ROUND(BM.MEDAcumulado,15-13*BM!$A$9)/100*BM!$I83,15-13*ORÇAMENTO!$AF$11),ROUND(ROUND(BM.MEDAcumulado,15-13*BM!$A$9)*ROUND(BM!$H83,15-13*ORÇAMENTO!$AF$10),15-13*ORÇAMENTO!$AF$11))),IF($A83=0,0,ROUND(SomaAgrupBM,15-13*ORÇAMENTO!$AF$11)))</f>
        <v>0</v>
      </c>
    </row>
    <row r="84" spans="1:41" ht="38.25" x14ac:dyDescent="0.2">
      <c r="A84" t="str">
        <f ca="1">ORÇAMENTO!C84</f>
        <v>S</v>
      </c>
      <c r="B84">
        <f ca="1">ORÇAMENTO!D84</f>
        <v>0</v>
      </c>
      <c r="C84" s="115" t="str">
        <f t="shared" ca="1" si="60"/>
        <v>F</v>
      </c>
      <c r="D84" s="118" t="str">
        <f ca="1">ORÇAMENTO!O84</f>
        <v>1.6.34.</v>
      </c>
      <c r="E84" s="164" t="str">
        <f t="shared" ca="1" si="47"/>
        <v>CABO DE COBRE FLEXÍVEL ISOLADO, 2,5 MM², ANTI-CHAMA 0,6/1,0 KV, PARA CIRCUITOS TERMINAIS - FORNECIMENTO E INSTALAÇÃO. AF_03/2023</v>
      </c>
      <c r="F84" s="165" t="str">
        <f ca="1">IF(RegimeExecucao="Global","",ORÇAMENTO.Unidade)</f>
        <v>M</v>
      </c>
      <c r="G84" s="123">
        <f ca="1">IF(RegimeExecucao="Global","",ORÇAMENTO!T84)</f>
        <v>30</v>
      </c>
      <c r="H84" s="123">
        <f ca="1">IF(RegimeExecucao="Global","",ORÇAMENTO!W84)</f>
        <v>7</v>
      </c>
      <c r="I84" s="126">
        <f ca="1">ORÇAMENTO!X84</f>
        <v>210</v>
      </c>
      <c r="J84" s="334" cm="1">
        <f t="array" aca="1" ref="J84" ca="1">_xlfn.SINGLE(IF($A84="S",IF(CAIXA.Modo,BM.AFAnterior,BM.MEDAnterior),IF(AND(_xlfn.SINGLE(RegimeExecucao)="Global",$I84&gt;0,COUNTIF($AB$13:$AM$13,BM.medicao-1)&gt;0),M84/$I84*100,0)))</f>
        <v>0</v>
      </c>
      <c r="K84" s="123">
        <f t="shared" ca="1" si="61"/>
        <v>0</v>
      </c>
      <c r="L84" s="335" cm="1">
        <f t="array" aca="1" ref="L84" ca="1">_xlfn.SINGLE(IF($A84="S",IF(CAIXA.Modo,BM.AFAcumulado,BM.MEDAcumulado),IF(AND(_xlfn.SINGLE(RegimeExecucao)="Global",$I84&gt;0,COUNTIF($AB$13:$AM$13,BM.medicao)&gt;0),O84/$I84*100,0)))</f>
        <v>0</v>
      </c>
      <c r="M84" s="336">
        <f ca="1">IF($A84="S",VTOTALBM,IF($A84=0,0,ROUND(SomaAgrupBM,15-13*ORÇAMENTO!$AF$11)))</f>
        <v>0</v>
      </c>
      <c r="N84" s="337">
        <f t="shared" ca="1" si="62"/>
        <v>0</v>
      </c>
      <c r="O84" s="126">
        <f ca="1">IF($A84="S",VTOTALBM,IF($A84=0,0,ROUND(SomaAgrupBM,15-13*ORÇAMENTO!$AF$11)))</f>
        <v>0</v>
      </c>
      <c r="Q84" s="338"/>
      <c r="R84" s="339"/>
      <c r="T84" s="118" t="str">
        <f t="shared" ca="1" si="63"/>
        <v/>
      </c>
      <c r="U84" s="164" t="str">
        <f t="shared" ca="1" si="64"/>
        <v/>
      </c>
      <c r="V84" s="165" t="str">
        <f ca="1">IF(AND($W84&gt;0,RegimeExecucao="Unitário"),$F84,"")</f>
        <v/>
      </c>
      <c r="W84" s="455">
        <f ca="1">IF($Y84&gt;0,CHOOSE(MATCH(RegimeExecucao,{"Unitário","Global"},0),IF($A84="S",$Y84/$X84,""),($Y84/$X84)*100),0)</f>
        <v>0</v>
      </c>
      <c r="X84" s="340" t="str">
        <f ca="1">IF($Y84&gt;0,CHOOSE(MATCH(RegimeExecucao,{"Unitário","Global"},0),IF($A84="S",ROUND($H84,ORÇAMENTO!$AF$10),""),ROUND($I84,ORÇAMENTO!$AF$11)),"")</f>
        <v/>
      </c>
      <c r="Y84" s="340">
        <f t="shared" ca="1" si="65"/>
        <v>0</v>
      </c>
      <c r="Z84" s="474"/>
      <c r="AB84" s="338"/>
      <c r="AC84" s="438"/>
      <c r="AD84" s="438"/>
      <c r="AE84" s="438"/>
      <c r="AF84" s="438"/>
      <c r="AG84" s="438"/>
      <c r="AH84" s="438"/>
      <c r="AI84" s="438"/>
      <c r="AJ84" s="438"/>
      <c r="AK84" s="438"/>
      <c r="AL84" s="438"/>
      <c r="AM84" s="339"/>
      <c r="AO84">
        <f ca="1">IF($A84="S",IF(BM!$I84=0,0,CHOOSE(MATCH(RegimeExecucao,{"Global","Unitário"},0),ROUND(ROUND(BM.MEDAcumulado,15-13*BM!$A$9)/100*BM!$I84,15-13*ORÇAMENTO!$AF$11),ROUND(ROUND(BM.MEDAcumulado,15-13*BM!$A$9)*ROUND(BM!$H84,15-13*ORÇAMENTO!$AF$10),15-13*ORÇAMENTO!$AF$11))),IF($A84=0,0,ROUND(SomaAgrupBM,15-13*ORÇAMENTO!$AF$11)))</f>
        <v>0</v>
      </c>
    </row>
    <row r="85" spans="1:41" ht="25.5" x14ac:dyDescent="0.2">
      <c r="A85" t="str">
        <f ca="1">ORÇAMENTO!C85</f>
        <v>S</v>
      </c>
      <c r="B85">
        <f ca="1">ORÇAMENTO!D85</f>
        <v>0</v>
      </c>
      <c r="C85" s="115" t="str">
        <f ca="1">IF(OR($I85&gt;0,$A85=1,$A85=2,$A85=3,$A85=4),"F","")</f>
        <v>F</v>
      </c>
      <c r="D85" s="118" t="str">
        <f ca="1">ORÇAMENTO!O85</f>
        <v>1.6.35.</v>
      </c>
      <c r="E85" s="164" t="str">
        <f ca="1">ORÇAMENTO.Descricao</f>
        <v>TOMADA BAIXA DE EMBUTIR (1 MÓDULO), 2P+T 20 A, INCLUINDO SUPORTE E PLACA - FORNECIMENTO E INSTALAÇÃO. AF_03/2023</v>
      </c>
      <c r="F85" s="165" t="str">
        <f ca="1">IF(RegimeExecucao="Global","",ORÇAMENTO.Unidade)</f>
        <v>UN</v>
      </c>
      <c r="G85" s="123">
        <f ca="1">IF(RegimeExecucao="Global","",ORÇAMENTO!T85)</f>
        <v>1</v>
      </c>
      <c r="H85" s="123">
        <f ca="1">IF(RegimeExecucao="Global","",ORÇAMENTO!W85)</f>
        <v>47.08</v>
      </c>
      <c r="I85" s="126">
        <f ca="1">ORÇAMENTO!X85</f>
        <v>47.08</v>
      </c>
      <c r="J85" s="334" cm="1">
        <f t="array" aca="1" ref="J85" ca="1">_xlfn.SINGLE(IF($A85="S",IF(CAIXA.Modo,BM.AFAnterior,BM.MEDAnterior),IF(AND(_xlfn.SINGLE(RegimeExecucao)="Global",$I85&gt;0,COUNTIF($AB$13:$AM$13,BM.medicao-1)&gt;0),M85/$I85*100,0)))</f>
        <v>0</v>
      </c>
      <c r="K85" s="123">
        <f ca="1">L85-J85</f>
        <v>0</v>
      </c>
      <c r="L85" s="335" cm="1">
        <f t="array" aca="1" ref="L85" ca="1">_xlfn.SINGLE(IF($A85="S",IF(CAIXA.Modo,BM.AFAcumulado,BM.MEDAcumulado),IF(AND(_xlfn.SINGLE(RegimeExecucao)="Global",$I85&gt;0,COUNTIF($AB$13:$AM$13,BM.medicao)&gt;0),O85/$I85*100,0)))</f>
        <v>0</v>
      </c>
      <c r="M85" s="336">
        <f ca="1">IF($A85="S",VTOTALBM,IF($A85=0,0,ROUND(SomaAgrupBM,15-13*ORÇAMENTO!$AF$11)))</f>
        <v>0</v>
      </c>
      <c r="N85" s="337">
        <f ca="1">O85-M85</f>
        <v>0</v>
      </c>
      <c r="O85" s="126">
        <f ca="1">IF($A85="S",VTOTALBM,IF($A85=0,0,ROUND(SomaAgrupBM,15-13*ORÇAMENTO!$AF$11)))</f>
        <v>0</v>
      </c>
      <c r="Q85" s="338"/>
      <c r="R85" s="339"/>
      <c r="T85" s="118" t="str">
        <f ca="1">IF($W85&gt;0,$D85,"")</f>
        <v/>
      </c>
      <c r="U85" s="164" t="str">
        <f ca="1">IF($W85&gt;0,$E85,"")</f>
        <v/>
      </c>
      <c r="V85" s="165" t="str">
        <f ca="1">IF(AND($W85&gt;0,RegimeExecucao="Unitário"),$F85,"")</f>
        <v/>
      </c>
      <c r="W85" s="455">
        <f ca="1">IF($Y85&gt;0,CHOOSE(MATCH(RegimeExecucao,{"Unitário","Global"},0),IF($A85="S",$Y85/$X85,""),($Y85/$X85)*100),0)</f>
        <v>0</v>
      </c>
      <c r="X85" s="340" t="str">
        <f ca="1">IF($Y85&gt;0,CHOOSE(MATCH(RegimeExecucao,{"Unitário","Global"},0),IF($A85="S",ROUND($H85,ORÇAMENTO!$AF$10),""),ROUND($I85,ORÇAMENTO!$AF$11)),"")</f>
        <v/>
      </c>
      <c r="Y85" s="340">
        <f ca="1">AO85-O85</f>
        <v>0</v>
      </c>
      <c r="Z85" s="474"/>
      <c r="AB85" s="338"/>
      <c r="AC85" s="438"/>
      <c r="AD85" s="438"/>
      <c r="AE85" s="438"/>
      <c r="AF85" s="438"/>
      <c r="AG85" s="438"/>
      <c r="AH85" s="438"/>
      <c r="AI85" s="438"/>
      <c r="AJ85" s="438"/>
      <c r="AK85" s="438"/>
      <c r="AL85" s="438"/>
      <c r="AM85" s="339"/>
      <c r="AO85">
        <f ca="1">IF($A85="S",IF(BM!$I85=0,0,CHOOSE(MATCH(RegimeExecucao,{"Global","Unitário"},0),ROUND(ROUND(BM.MEDAcumulado,15-13*BM!$A$9)/100*BM!$I85,15-13*ORÇAMENTO!$AF$11),ROUND(ROUND(BM.MEDAcumulado,15-13*BM!$A$9)*ROUND(BM!$H85,15-13*ORÇAMENTO!$AF$10),15-13*ORÇAMENTO!$AF$11))),IF($A85=0,0,ROUND(SomaAgrupBM,15-13*ORÇAMENTO!$AF$11)))</f>
        <v>0</v>
      </c>
    </row>
    <row r="86" spans="1:41" ht="38.25" x14ac:dyDescent="0.2">
      <c r="A86" t="str">
        <f ca="1">ORÇAMENTO!C86</f>
        <v>S</v>
      </c>
      <c r="B86">
        <f ca="1">ORÇAMENTO!D86</f>
        <v>0</v>
      </c>
      <c r="C86" s="115" t="str">
        <f ca="1">IF(OR($I86&gt;0,$A86=1,$A86=2,$A86=3,$A86=4),"F","")</f>
        <v>F</v>
      </c>
      <c r="D86" s="118" t="str">
        <f ca="1">ORÇAMENTO!O86</f>
        <v>1.6.36.</v>
      </c>
      <c r="E86" s="164" t="str">
        <f ca="1">ORÇAMENTO.Descricao</f>
        <v>INTERRUPTOR SIMPLES (1 MÓDULO) COM 1 TOMADA DE EMBUTIR 2P+T 10 A, INCLUINDO SUPORTE E PLACA - FORNECIMENTO E INSTALAÇÃO. AF_03/2023</v>
      </c>
      <c r="F86" s="165" t="str">
        <f ca="1">IF(RegimeExecucao="Global","",ORÇAMENTO.Unidade)</f>
        <v>UN</v>
      </c>
      <c r="G86" s="123">
        <f ca="1">IF(RegimeExecucao="Global","",ORÇAMENTO!T86)</f>
        <v>1</v>
      </c>
      <c r="H86" s="123">
        <f ca="1">IF(RegimeExecucao="Global","",ORÇAMENTO!W86)</f>
        <v>71.260000000000005</v>
      </c>
      <c r="I86" s="126">
        <f ca="1">ORÇAMENTO!X86</f>
        <v>71.260000000000005</v>
      </c>
      <c r="J86" s="334" cm="1">
        <f t="array" aca="1" ref="J86" ca="1">_xlfn.SINGLE(IF($A86="S",IF(CAIXA.Modo,BM.AFAnterior,BM.MEDAnterior),IF(AND(_xlfn.SINGLE(RegimeExecucao)="Global",$I86&gt;0,COUNTIF($AB$13:$AM$13,BM.medicao-1)&gt;0),M86/$I86*100,0)))</f>
        <v>0</v>
      </c>
      <c r="K86" s="123">
        <f ca="1">L86-J86</f>
        <v>0</v>
      </c>
      <c r="L86" s="335" cm="1">
        <f t="array" aca="1" ref="L86" ca="1">_xlfn.SINGLE(IF($A86="S",IF(CAIXA.Modo,BM.AFAcumulado,BM.MEDAcumulado),IF(AND(_xlfn.SINGLE(RegimeExecucao)="Global",$I86&gt;0,COUNTIF($AB$13:$AM$13,BM.medicao)&gt;0),O86/$I86*100,0)))</f>
        <v>0</v>
      </c>
      <c r="M86" s="336">
        <f ca="1">IF($A86="S",VTOTALBM,IF($A86=0,0,ROUND(SomaAgrupBM,15-13*ORÇAMENTO!$AF$11)))</f>
        <v>0</v>
      </c>
      <c r="N86" s="337">
        <f ca="1">O86-M86</f>
        <v>0</v>
      </c>
      <c r="O86" s="126">
        <f ca="1">IF($A86="S",VTOTALBM,IF($A86=0,0,ROUND(SomaAgrupBM,15-13*ORÇAMENTO!$AF$11)))</f>
        <v>0</v>
      </c>
      <c r="Q86" s="338"/>
      <c r="R86" s="339"/>
      <c r="T86" s="118" t="str">
        <f ca="1">IF($W86&gt;0,$D86,"")</f>
        <v/>
      </c>
      <c r="U86" s="164" t="str">
        <f ca="1">IF($W86&gt;0,$E86,"")</f>
        <v/>
      </c>
      <c r="V86" s="165" t="str">
        <f ca="1">IF(AND($W86&gt;0,RegimeExecucao="Unitário"),$F86,"")</f>
        <v/>
      </c>
      <c r="W86" s="455">
        <f ca="1">IF($Y86&gt;0,CHOOSE(MATCH(RegimeExecucao,{"Unitário","Global"},0),IF($A86="S",$Y86/$X86,""),($Y86/$X86)*100),0)</f>
        <v>0</v>
      </c>
      <c r="X86" s="340" t="str">
        <f ca="1">IF($Y86&gt;0,CHOOSE(MATCH(RegimeExecucao,{"Unitário","Global"},0),IF($A86="S",ROUND($H86,ORÇAMENTO!$AF$10),""),ROUND($I86,ORÇAMENTO!$AF$11)),"")</f>
        <v/>
      </c>
      <c r="Y86" s="340">
        <f ca="1">AO86-O86</f>
        <v>0</v>
      </c>
      <c r="Z86" s="474"/>
      <c r="AB86" s="338"/>
      <c r="AC86" s="438"/>
      <c r="AD86" s="438"/>
      <c r="AE86" s="438"/>
      <c r="AF86" s="438"/>
      <c r="AG86" s="438"/>
      <c r="AH86" s="438"/>
      <c r="AI86" s="438"/>
      <c r="AJ86" s="438"/>
      <c r="AK86" s="438"/>
      <c r="AL86" s="438"/>
      <c r="AM86" s="339"/>
      <c r="AO86">
        <f ca="1">IF($A86="S",IF(BM!$I86=0,0,CHOOSE(MATCH(RegimeExecucao,{"Global","Unitário"},0),ROUND(ROUND(BM.MEDAcumulado,15-13*BM!$A$9)/100*BM!$I86,15-13*ORÇAMENTO!$AF$11),ROUND(ROUND(BM.MEDAcumulado,15-13*BM!$A$9)*ROUND(BM!$H86,15-13*ORÇAMENTO!$AF$10),15-13*ORÇAMENTO!$AF$11))),IF($A86=0,0,ROUND(SomaAgrupBM,15-13*ORÇAMENTO!$AF$11)))</f>
        <v>0</v>
      </c>
    </row>
    <row r="87" spans="1:41" x14ac:dyDescent="0.2">
      <c r="A87">
        <f ca="1">ORÇAMENTO!C87</f>
        <v>2</v>
      </c>
      <c r="B87">
        <f ca="1">ORÇAMENTO!D87</f>
        <v>18</v>
      </c>
      <c r="C87" s="115" t="str">
        <f t="shared" ca="1" si="60"/>
        <v>F</v>
      </c>
      <c r="D87" s="118" t="str">
        <f ca="1">ORÇAMENTO!O87</f>
        <v>1.7.</v>
      </c>
      <c r="E87" s="164" t="str">
        <f t="shared" si="47"/>
        <v>MURRO DE ARRIMO</v>
      </c>
      <c r="F87" s="165" t="str">
        <f ca="1">IF(RegimeExecucao="Global","",ORÇAMENTO.Unidade)</f>
        <v>-</v>
      </c>
      <c r="G87" s="123">
        <f ca="1">IF(RegimeExecucao="Global","",ORÇAMENTO!T87)</f>
        <v>0</v>
      </c>
      <c r="H87" s="123">
        <f ca="1">IF(RegimeExecucao="Global","",ORÇAMENTO!W87)</f>
        <v>0</v>
      </c>
      <c r="I87" s="126">
        <f ca="1">ORÇAMENTO!X87</f>
        <v>70981.37</v>
      </c>
      <c r="J87" s="334" cm="1">
        <f t="array" aca="1" ref="J87" ca="1">_xlfn.SINGLE(IF($A87="S",IF(CAIXA.Modo,BM.AFAnterior,BM.MEDAnterior),IF(AND(_xlfn.SINGLE(RegimeExecucao)="Global",$I87&gt;0,COUNTIF($AB$13:$AM$13,BM.medicao-1)&gt;0),M87/$I87*100,0)))</f>
        <v>0</v>
      </c>
      <c r="K87" s="123">
        <f t="shared" ca="1" si="61"/>
        <v>0</v>
      </c>
      <c r="L87" s="335" cm="1">
        <f t="array" aca="1" ref="L87" ca="1">_xlfn.SINGLE(IF($A87="S",IF(CAIXA.Modo,BM.AFAcumulado,BM.MEDAcumulado),IF(AND(_xlfn.SINGLE(RegimeExecucao)="Global",$I87&gt;0,COUNTIF($AB$13:$AM$13,BM.medicao)&gt;0),O87/$I87*100,0)))</f>
        <v>0</v>
      </c>
      <c r="M87" s="336">
        <f ca="1">IF($A87="S",VTOTALBM,IF($A87=0,0,ROUND(SomaAgrupBM,15-13*ORÇAMENTO!$AF$11)))</f>
        <v>0</v>
      </c>
      <c r="N87" s="337">
        <f t="shared" ca="1" si="62"/>
        <v>0</v>
      </c>
      <c r="O87" s="126">
        <f ca="1">IF($A87="S",VTOTALBM,IF($A87=0,0,ROUND(SomaAgrupBM,15-13*ORÇAMENTO!$AF$11)))</f>
        <v>0</v>
      </c>
      <c r="Q87" s="338"/>
      <c r="R87" s="339"/>
      <c r="T87" s="118" t="str">
        <f t="shared" ca="1" si="63"/>
        <v/>
      </c>
      <c r="U87" s="164" t="str">
        <f t="shared" ca="1" si="64"/>
        <v/>
      </c>
      <c r="V87" s="165" t="str">
        <f ca="1">IF(AND($W87&gt;0,RegimeExecucao="Unitário"),$F87,"")</f>
        <v/>
      </c>
      <c r="W87" s="455">
        <f ca="1">IF($Y87&gt;0,CHOOSE(MATCH(RegimeExecucao,{"Unitário","Global"},0),IF($A87="S",$Y87/$X87,""),($Y87/$X87)*100),0)</f>
        <v>0</v>
      </c>
      <c r="X87" s="340" t="str">
        <f ca="1">IF($Y87&gt;0,CHOOSE(MATCH(RegimeExecucao,{"Unitário","Global"},0),IF($A87="S",ROUND($H87,ORÇAMENTO!$AF$10),""),ROUND($I87,ORÇAMENTO!$AF$11)),"")</f>
        <v/>
      </c>
      <c r="Y87" s="340">
        <f t="shared" ca="1" si="65"/>
        <v>0</v>
      </c>
      <c r="Z87" s="474"/>
      <c r="AB87" s="338"/>
      <c r="AC87" s="438"/>
      <c r="AD87" s="438"/>
      <c r="AE87" s="438"/>
      <c r="AF87" s="438"/>
      <c r="AG87" s="438"/>
      <c r="AH87" s="438"/>
      <c r="AI87" s="438"/>
      <c r="AJ87" s="438"/>
      <c r="AK87" s="438"/>
      <c r="AL87" s="438"/>
      <c r="AM87" s="339"/>
      <c r="AO87">
        <f ca="1">IF($A87="S",IF(BM!$I87=0,0,CHOOSE(MATCH(RegimeExecucao,{"Global","Unitário"},0),ROUND(ROUND(BM.MEDAcumulado,15-13*BM!$A$9)/100*BM!$I87,15-13*ORÇAMENTO!$AF$11),ROUND(ROUND(BM.MEDAcumulado,15-13*BM!$A$9)*ROUND(BM!$H87,15-13*ORÇAMENTO!$AF$10),15-13*ORÇAMENTO!$AF$11))),IF($A87=0,0,ROUND(SomaAgrupBM,15-13*ORÇAMENTO!$AF$11)))</f>
        <v>0</v>
      </c>
    </row>
    <row r="88" spans="1:41" ht="38.25" x14ac:dyDescent="0.2">
      <c r="A88" t="str">
        <f ca="1">ORÇAMENTO!C88</f>
        <v>S</v>
      </c>
      <c r="B88">
        <f ca="1">ORÇAMENTO!D88</f>
        <v>0</v>
      </c>
      <c r="C88" s="115" t="str">
        <f t="shared" ca="1" si="60"/>
        <v>F</v>
      </c>
      <c r="D88" s="118" t="str">
        <f ca="1">ORÇAMENTO!O88</f>
        <v>1.7.1.</v>
      </c>
      <c r="E88" s="164" t="str">
        <f t="shared" ca="1" si="47"/>
        <v>ALVENARIA DE VEDAÇÃO DE BLOCOS CERÂMICOS MACIÇOS DE 5X10X20CM (ESPESSURA 10CM) E ARGAMASSA DE ASSENTAMENTO COM PREPARO EM BETONEIRA. AF_05/2020</v>
      </c>
      <c r="F88" s="165" t="str">
        <f ca="1">IF(RegimeExecucao="Global","",ORÇAMENTO.Unidade)</f>
        <v>M2</v>
      </c>
      <c r="G88" s="123">
        <f ca="1">IF(RegimeExecucao="Global","",ORÇAMENTO!T88)</f>
        <v>71</v>
      </c>
      <c r="H88" s="123">
        <f ca="1">IF(RegimeExecucao="Global","",ORÇAMENTO!W88)</f>
        <v>165.36</v>
      </c>
      <c r="I88" s="126">
        <f ca="1">ORÇAMENTO!X88</f>
        <v>11740.56</v>
      </c>
      <c r="J88" s="334" cm="1">
        <f t="array" aca="1" ref="J88" ca="1">_xlfn.SINGLE(IF($A88="S",IF(CAIXA.Modo,BM.AFAnterior,BM.MEDAnterior),IF(AND(_xlfn.SINGLE(RegimeExecucao)="Global",$I88&gt;0,COUNTIF($AB$13:$AM$13,BM.medicao-1)&gt;0),M88/$I88*100,0)))</f>
        <v>0</v>
      </c>
      <c r="K88" s="123">
        <f t="shared" ca="1" si="61"/>
        <v>0</v>
      </c>
      <c r="L88" s="335" cm="1">
        <f t="array" aca="1" ref="L88" ca="1">_xlfn.SINGLE(IF($A88="S",IF(CAIXA.Modo,BM.AFAcumulado,BM.MEDAcumulado),IF(AND(_xlfn.SINGLE(RegimeExecucao)="Global",$I88&gt;0,COUNTIF($AB$13:$AM$13,BM.medicao)&gt;0),O88/$I88*100,0)))</f>
        <v>0</v>
      </c>
      <c r="M88" s="336">
        <f ca="1">IF($A88="S",VTOTALBM,IF($A88=0,0,ROUND(SomaAgrupBM,15-13*ORÇAMENTO!$AF$11)))</f>
        <v>0</v>
      </c>
      <c r="N88" s="337">
        <f t="shared" ca="1" si="62"/>
        <v>0</v>
      </c>
      <c r="O88" s="126">
        <f ca="1">IF($A88="S",VTOTALBM,IF($A88=0,0,ROUND(SomaAgrupBM,15-13*ORÇAMENTO!$AF$11)))</f>
        <v>0</v>
      </c>
      <c r="Q88" s="338"/>
      <c r="R88" s="339"/>
      <c r="T88" s="118" t="str">
        <f t="shared" ca="1" si="63"/>
        <v/>
      </c>
      <c r="U88" s="164" t="str">
        <f t="shared" ca="1" si="64"/>
        <v/>
      </c>
      <c r="V88" s="165" t="str">
        <f ca="1">IF(AND($W88&gt;0,RegimeExecucao="Unitário"),$F88,"")</f>
        <v/>
      </c>
      <c r="W88" s="455">
        <f ca="1">IF($Y88&gt;0,CHOOSE(MATCH(RegimeExecucao,{"Unitário","Global"},0),IF($A88="S",$Y88/$X88,""),($Y88/$X88)*100),0)</f>
        <v>0</v>
      </c>
      <c r="X88" s="340" t="str">
        <f ca="1">IF($Y88&gt;0,CHOOSE(MATCH(RegimeExecucao,{"Unitário","Global"},0),IF($A88="S",ROUND($H88,ORÇAMENTO!$AF$10),""),ROUND($I88,ORÇAMENTO!$AF$11)),"")</f>
        <v/>
      </c>
      <c r="Y88" s="340">
        <f t="shared" ca="1" si="65"/>
        <v>0</v>
      </c>
      <c r="Z88" s="474"/>
      <c r="AB88" s="338"/>
      <c r="AC88" s="438"/>
      <c r="AD88" s="438"/>
      <c r="AE88" s="438"/>
      <c r="AF88" s="438"/>
      <c r="AG88" s="438"/>
      <c r="AH88" s="438"/>
      <c r="AI88" s="438"/>
      <c r="AJ88" s="438"/>
      <c r="AK88" s="438"/>
      <c r="AL88" s="438"/>
      <c r="AM88" s="339"/>
      <c r="AO88">
        <f ca="1">IF($A88="S",IF(BM!$I88=0,0,CHOOSE(MATCH(RegimeExecucao,{"Global","Unitário"},0),ROUND(ROUND(BM.MEDAcumulado,15-13*BM!$A$9)/100*BM!$I88,15-13*ORÇAMENTO!$AF$11),ROUND(ROUND(BM.MEDAcumulado,15-13*BM!$A$9)*ROUND(BM!$H88,15-13*ORÇAMENTO!$AF$10),15-13*ORÇAMENTO!$AF$11))),IF($A88=0,0,ROUND(SomaAgrupBM,15-13*ORÇAMENTO!$AF$11)))</f>
        <v>0</v>
      </c>
    </row>
    <row r="89" spans="1:41" ht="51" x14ac:dyDescent="0.2">
      <c r="A89" t="str">
        <f ca="1">ORÇAMENTO!C89</f>
        <v>S</v>
      </c>
      <c r="B89">
        <f ca="1">ORÇAMENTO!D89</f>
        <v>0</v>
      </c>
      <c r="C89" s="115" t="str">
        <f t="shared" ca="1" si="60"/>
        <v>F</v>
      </c>
      <c r="D89" s="118" t="str">
        <f ca="1">ORÇAMENTO!O89</f>
        <v>1.7.2.</v>
      </c>
      <c r="E89" s="164" t="str">
        <f t="shared" ca="1" si="47"/>
        <v>ARGAMASSA TRAÇO 1:1,5:7,5 (EM VOLUME DE CIMENTO, CAL E AREIA MÉDIA ÚMIDA) PARA EMBOÇO/MASSA ÚNICA/ASSENTAMENTO DE ALVENARIA DE VEDAÇÃO, PREPARO MECÂNICO COM BETONEIRA ATÉ 600 L. AF_07/2026</v>
      </c>
      <c r="F89" s="165" t="str">
        <f ca="1">IF(RegimeExecucao="Global","",ORÇAMENTO.Unidade)</f>
        <v>M3</v>
      </c>
      <c r="G89" s="123">
        <f ca="1">IF(RegimeExecucao="Global","",ORÇAMENTO!T89)</f>
        <v>0.4</v>
      </c>
      <c r="H89" s="123">
        <f ca="1">IF(RegimeExecucao="Global","",ORÇAMENTO!W89)</f>
        <v>715.53</v>
      </c>
      <c r="I89" s="126">
        <f ca="1">ORÇAMENTO!X89</f>
        <v>286.20999999999998</v>
      </c>
      <c r="J89" s="334" cm="1">
        <f t="array" aca="1" ref="J89" ca="1">_xlfn.SINGLE(IF($A89="S",IF(CAIXA.Modo,BM.AFAnterior,BM.MEDAnterior),IF(AND(_xlfn.SINGLE(RegimeExecucao)="Global",$I89&gt;0,COUNTIF($AB$13:$AM$13,BM.medicao-1)&gt;0),M89/$I89*100,0)))</f>
        <v>0</v>
      </c>
      <c r="K89" s="123">
        <f t="shared" ca="1" si="61"/>
        <v>0</v>
      </c>
      <c r="L89" s="335" cm="1">
        <f t="array" aca="1" ref="L89" ca="1">_xlfn.SINGLE(IF($A89="S",IF(CAIXA.Modo,BM.AFAcumulado,BM.MEDAcumulado),IF(AND(_xlfn.SINGLE(RegimeExecucao)="Global",$I89&gt;0,COUNTIF($AB$13:$AM$13,BM.medicao)&gt;0),O89/$I89*100,0)))</f>
        <v>0</v>
      </c>
      <c r="M89" s="336">
        <f ca="1">IF($A89="S",VTOTALBM,IF($A89=0,0,ROUND(SomaAgrupBM,15-13*ORÇAMENTO!$AF$11)))</f>
        <v>0</v>
      </c>
      <c r="N89" s="337">
        <f t="shared" ca="1" si="62"/>
        <v>0</v>
      </c>
      <c r="O89" s="126">
        <f ca="1">IF($A89="S",VTOTALBM,IF($A89=0,0,ROUND(SomaAgrupBM,15-13*ORÇAMENTO!$AF$11)))</f>
        <v>0</v>
      </c>
      <c r="Q89" s="338"/>
      <c r="R89" s="339"/>
      <c r="T89" s="118" t="str">
        <f t="shared" ca="1" si="63"/>
        <v/>
      </c>
      <c r="U89" s="164" t="str">
        <f t="shared" ca="1" si="64"/>
        <v/>
      </c>
      <c r="V89" s="165" t="str">
        <f ca="1">IF(AND($W89&gt;0,RegimeExecucao="Unitário"),$F89,"")</f>
        <v/>
      </c>
      <c r="W89" s="455">
        <f ca="1">IF($Y89&gt;0,CHOOSE(MATCH(RegimeExecucao,{"Unitário","Global"},0),IF($A89="S",$Y89/$X89,""),($Y89/$X89)*100),0)</f>
        <v>0</v>
      </c>
      <c r="X89" s="340" t="str">
        <f ca="1">IF($Y89&gt;0,CHOOSE(MATCH(RegimeExecucao,{"Unitário","Global"},0),IF($A89="S",ROUND($H89,ORÇAMENTO!$AF$10),""),ROUND($I89,ORÇAMENTO!$AF$11)),"")</f>
        <v/>
      </c>
      <c r="Y89" s="340">
        <f t="shared" ca="1" si="65"/>
        <v>0</v>
      </c>
      <c r="Z89" s="474"/>
      <c r="AB89" s="338"/>
      <c r="AC89" s="438"/>
      <c r="AD89" s="438"/>
      <c r="AE89" s="438"/>
      <c r="AF89" s="438"/>
      <c r="AG89" s="438"/>
      <c r="AH89" s="438"/>
      <c r="AI89" s="438"/>
      <c r="AJ89" s="438"/>
      <c r="AK89" s="438"/>
      <c r="AL89" s="438"/>
      <c r="AM89" s="339"/>
      <c r="AO89">
        <f ca="1">IF($A89="S",IF(BM!$I89=0,0,CHOOSE(MATCH(RegimeExecucao,{"Global","Unitário"},0),ROUND(ROUND(BM.MEDAcumulado,15-13*BM!$A$9)/100*BM!$I89,15-13*ORÇAMENTO!$AF$11),ROUND(ROUND(BM.MEDAcumulado,15-13*BM!$A$9)*ROUND(BM!$H89,15-13*ORÇAMENTO!$AF$10),15-13*ORÇAMENTO!$AF$11))),IF($A89=0,0,ROUND(SomaAgrupBM,15-13*ORÇAMENTO!$AF$11)))</f>
        <v>0</v>
      </c>
    </row>
    <row r="90" spans="1:41" ht="38.25" x14ac:dyDescent="0.2">
      <c r="A90" t="str">
        <f ca="1">ORÇAMENTO!C90</f>
        <v>S</v>
      </c>
      <c r="B90">
        <f ca="1">ORÇAMENTO!D90</f>
        <v>0</v>
      </c>
      <c r="C90" s="115" t="str">
        <f t="shared" ca="1" si="60"/>
        <v>F</v>
      </c>
      <c r="D90" s="118" t="str">
        <f ca="1">ORÇAMENTO!O90</f>
        <v>1.7.3.</v>
      </c>
      <c r="E90" s="164" t="str">
        <f t="shared" ca="1" si="47"/>
        <v>ARGAMASSA TRAÇO 1:3 (EM VOLUME DE CIMENTO E AREIA GROSSA ÚMIDA) PARA CHAPISCO CONVENCIONAL, PREPARO MECÂNICO COM BETONEIRA ATÉ 600 L. AF_07/2026</v>
      </c>
      <c r="F90" s="165" t="str">
        <f ca="1">IF(RegimeExecucao="Global","",ORÇAMENTO.Unidade)</f>
        <v>M3</v>
      </c>
      <c r="G90" s="123">
        <f ca="1">IF(RegimeExecucao="Global","",ORÇAMENTO!T90)</f>
        <v>1.5</v>
      </c>
      <c r="H90" s="123">
        <f ca="1">IF(RegimeExecucao="Global","",ORÇAMENTO!W90)</f>
        <v>731.5</v>
      </c>
      <c r="I90" s="126">
        <f ca="1">ORÇAMENTO!X90</f>
        <v>1097.25</v>
      </c>
      <c r="J90" s="334" cm="1">
        <f t="array" aca="1" ref="J90" ca="1">_xlfn.SINGLE(IF($A90="S",IF(CAIXA.Modo,BM.AFAnterior,BM.MEDAnterior),IF(AND(_xlfn.SINGLE(RegimeExecucao)="Global",$I90&gt;0,COUNTIF($AB$13:$AM$13,BM.medicao-1)&gt;0),M90/$I90*100,0)))</f>
        <v>0</v>
      </c>
      <c r="K90" s="123">
        <f t="shared" ca="1" si="61"/>
        <v>0</v>
      </c>
      <c r="L90" s="335" cm="1">
        <f t="array" aca="1" ref="L90" ca="1">_xlfn.SINGLE(IF($A90="S",IF(CAIXA.Modo,BM.AFAcumulado,BM.MEDAcumulado),IF(AND(_xlfn.SINGLE(RegimeExecucao)="Global",$I90&gt;0,COUNTIF($AB$13:$AM$13,BM.medicao)&gt;0),O90/$I90*100,0)))</f>
        <v>0</v>
      </c>
      <c r="M90" s="336">
        <f ca="1">IF($A90="S",VTOTALBM,IF($A90=0,0,ROUND(SomaAgrupBM,15-13*ORÇAMENTO!$AF$11)))</f>
        <v>0</v>
      </c>
      <c r="N90" s="337">
        <f t="shared" ca="1" si="62"/>
        <v>0</v>
      </c>
      <c r="O90" s="126">
        <f ca="1">IF($A90="S",VTOTALBM,IF($A90=0,0,ROUND(SomaAgrupBM,15-13*ORÇAMENTO!$AF$11)))</f>
        <v>0</v>
      </c>
      <c r="Q90" s="338"/>
      <c r="R90" s="339"/>
      <c r="T90" s="118" t="str">
        <f t="shared" ca="1" si="63"/>
        <v/>
      </c>
      <c r="U90" s="164" t="str">
        <f t="shared" ca="1" si="64"/>
        <v/>
      </c>
      <c r="V90" s="165" t="str">
        <f ca="1">IF(AND($W90&gt;0,RegimeExecucao="Unitário"),$F90,"")</f>
        <v/>
      </c>
      <c r="W90" s="455">
        <f ca="1">IF($Y90&gt;0,CHOOSE(MATCH(RegimeExecucao,{"Unitário","Global"},0),IF($A90="S",$Y90/$X90,""),($Y90/$X90)*100),0)</f>
        <v>0</v>
      </c>
      <c r="X90" s="340" t="str">
        <f ca="1">IF($Y90&gt;0,CHOOSE(MATCH(RegimeExecucao,{"Unitário","Global"},0),IF($A90="S",ROUND($H90,ORÇAMENTO!$AF$10),""),ROUND($I90,ORÇAMENTO!$AF$11)),"")</f>
        <v/>
      </c>
      <c r="Y90" s="340">
        <f t="shared" ca="1" si="65"/>
        <v>0</v>
      </c>
      <c r="Z90" s="474"/>
      <c r="AB90" s="338"/>
      <c r="AC90" s="438"/>
      <c r="AD90" s="438"/>
      <c r="AE90" s="438"/>
      <c r="AF90" s="438"/>
      <c r="AG90" s="438"/>
      <c r="AH90" s="438"/>
      <c r="AI90" s="438"/>
      <c r="AJ90" s="438"/>
      <c r="AK90" s="438"/>
      <c r="AL90" s="438"/>
      <c r="AM90" s="339"/>
      <c r="AO90">
        <f ca="1">IF($A90="S",IF(BM!$I90=0,0,CHOOSE(MATCH(RegimeExecucao,{"Global","Unitário"},0),ROUND(ROUND(BM.MEDAcumulado,15-13*BM!$A$9)/100*BM!$I90,15-13*ORÇAMENTO!$AF$11),ROUND(ROUND(BM.MEDAcumulado,15-13*BM!$A$9)*ROUND(BM!$H90,15-13*ORÇAMENTO!$AF$10),15-13*ORÇAMENTO!$AF$11))),IF($A90=0,0,ROUND(SomaAgrupBM,15-13*ORÇAMENTO!$AF$11)))</f>
        <v>0</v>
      </c>
    </row>
    <row r="91" spans="1:41" ht="25.5" x14ac:dyDescent="0.2">
      <c r="A91" t="str">
        <f ca="1">ORÇAMENTO!C91</f>
        <v>S</v>
      </c>
      <c r="B91">
        <f ca="1">ORÇAMENTO!D91</f>
        <v>0</v>
      </c>
      <c r="C91" s="115" t="str">
        <f t="shared" ca="1" si="60"/>
        <v>F</v>
      </c>
      <c r="D91" s="118" t="str">
        <f ca="1">ORÇAMENTO!O91</f>
        <v>1.7.4.</v>
      </c>
      <c r="E91" s="164" t="str">
        <f t="shared" ca="1" si="47"/>
        <v>FABRICAÇÃO DE FÔRMA PARA PILARES E ESTRUTURAS SIMILARES, EM MADEIRA SERRADA, E=25 MM. AF_09/2020</v>
      </c>
      <c r="F91" s="165" t="str">
        <f ca="1">IF(RegimeExecucao="Global","",ORÇAMENTO.Unidade)</f>
        <v>M2</v>
      </c>
      <c r="G91" s="123">
        <f ca="1">IF(RegimeExecucao="Global","",ORÇAMENTO!T91)</f>
        <v>23.5</v>
      </c>
      <c r="H91" s="123">
        <f ca="1">IF(RegimeExecucao="Global","",ORÇAMENTO!W91)</f>
        <v>136.47999999999999</v>
      </c>
      <c r="I91" s="126">
        <f ca="1">ORÇAMENTO!X91</f>
        <v>3207.28</v>
      </c>
      <c r="J91" s="334" cm="1">
        <f t="array" aca="1" ref="J91" ca="1">_xlfn.SINGLE(IF($A91="S",IF(CAIXA.Modo,BM.AFAnterior,BM.MEDAnterior),IF(AND(_xlfn.SINGLE(RegimeExecucao)="Global",$I91&gt;0,COUNTIF($AB$13:$AM$13,BM.medicao-1)&gt;0),M91/$I91*100,0)))</f>
        <v>0</v>
      </c>
      <c r="K91" s="123">
        <f t="shared" ca="1" si="61"/>
        <v>0</v>
      </c>
      <c r="L91" s="335" cm="1">
        <f t="array" aca="1" ref="L91" ca="1">_xlfn.SINGLE(IF($A91="S",IF(CAIXA.Modo,BM.AFAcumulado,BM.MEDAcumulado),IF(AND(_xlfn.SINGLE(RegimeExecucao)="Global",$I91&gt;0,COUNTIF($AB$13:$AM$13,BM.medicao)&gt;0),O91/$I91*100,0)))</f>
        <v>0</v>
      </c>
      <c r="M91" s="336">
        <f ca="1">IF($A91="S",VTOTALBM,IF($A91=0,0,ROUND(SomaAgrupBM,15-13*ORÇAMENTO!$AF$11)))</f>
        <v>0</v>
      </c>
      <c r="N91" s="337">
        <f t="shared" ca="1" si="62"/>
        <v>0</v>
      </c>
      <c r="O91" s="126">
        <f ca="1">IF($A91="S",VTOTALBM,IF($A91=0,0,ROUND(SomaAgrupBM,15-13*ORÇAMENTO!$AF$11)))</f>
        <v>0</v>
      </c>
      <c r="Q91" s="338"/>
      <c r="R91" s="339"/>
      <c r="T91" s="118" t="str">
        <f t="shared" ca="1" si="63"/>
        <v/>
      </c>
      <c r="U91" s="164" t="str">
        <f t="shared" ca="1" si="64"/>
        <v/>
      </c>
      <c r="V91" s="165" t="str">
        <f ca="1">IF(AND($W91&gt;0,RegimeExecucao="Unitário"),$F91,"")</f>
        <v/>
      </c>
      <c r="W91" s="455">
        <f ca="1">IF($Y91&gt;0,CHOOSE(MATCH(RegimeExecucao,{"Unitário","Global"},0),IF($A91="S",$Y91/$X91,""),($Y91/$X91)*100),0)</f>
        <v>0</v>
      </c>
      <c r="X91" s="340" t="str">
        <f ca="1">IF($Y91&gt;0,CHOOSE(MATCH(RegimeExecucao,{"Unitário","Global"},0),IF($A91="S",ROUND($H91,ORÇAMENTO!$AF$10),""),ROUND($I91,ORÇAMENTO!$AF$11)),"")</f>
        <v/>
      </c>
      <c r="Y91" s="340">
        <f t="shared" ca="1" si="65"/>
        <v>0</v>
      </c>
      <c r="Z91" s="474"/>
      <c r="AB91" s="338"/>
      <c r="AC91" s="438"/>
      <c r="AD91" s="438"/>
      <c r="AE91" s="438"/>
      <c r="AF91" s="438"/>
      <c r="AG91" s="438"/>
      <c r="AH91" s="438"/>
      <c r="AI91" s="438"/>
      <c r="AJ91" s="438"/>
      <c r="AK91" s="438"/>
      <c r="AL91" s="438"/>
      <c r="AM91" s="339"/>
      <c r="AO91">
        <f ca="1">IF($A91="S",IF(BM!$I91=0,0,CHOOSE(MATCH(RegimeExecucao,{"Global","Unitário"},0),ROUND(ROUND(BM.MEDAcumulado,15-13*BM!$A$9)/100*BM!$I91,15-13*ORÇAMENTO!$AF$11),ROUND(ROUND(BM.MEDAcumulado,15-13*BM!$A$9)*ROUND(BM!$H91,15-13*ORÇAMENTO!$AF$10),15-13*ORÇAMENTO!$AF$11))),IF($A91=0,0,ROUND(SomaAgrupBM,15-13*ORÇAMENTO!$AF$11)))</f>
        <v>0</v>
      </c>
    </row>
    <row r="92" spans="1:41" ht="25.5" x14ac:dyDescent="0.2">
      <c r="A92" t="str">
        <f ca="1">ORÇAMENTO!C92</f>
        <v>S</v>
      </c>
      <c r="B92">
        <f ca="1">ORÇAMENTO!D92</f>
        <v>0</v>
      </c>
      <c r="C92" s="115" t="str">
        <f t="shared" ca="1" si="60"/>
        <v>F</v>
      </c>
      <c r="D92" s="118" t="str">
        <f ca="1">ORÇAMENTO!O92</f>
        <v>1.7.5.</v>
      </c>
      <c r="E92" s="164" t="str">
        <f t="shared" ca="1" si="47"/>
        <v>FABRICAÇÃO DE FÔRMA PARA VIGAS, COM MADEIRA SERRADA, E = 25 MM. AF_09/2020</v>
      </c>
      <c r="F92" s="165" t="str">
        <f ca="1">IF(RegimeExecucao="Global","",ORÇAMENTO.Unidade)</f>
        <v>M2</v>
      </c>
      <c r="G92" s="123">
        <f ca="1">IF(RegimeExecucao="Global","",ORÇAMENTO!T92)</f>
        <v>45</v>
      </c>
      <c r="H92" s="123">
        <f ca="1">IF(RegimeExecucao="Global","",ORÇAMENTO!W92)</f>
        <v>199.72</v>
      </c>
      <c r="I92" s="126">
        <f ca="1">ORÇAMENTO!X92</f>
        <v>8987.4</v>
      </c>
      <c r="J92" s="334" cm="1">
        <f t="array" aca="1" ref="J92" ca="1">_xlfn.SINGLE(IF($A92="S",IF(CAIXA.Modo,BM.AFAnterior,BM.MEDAnterior),IF(AND(_xlfn.SINGLE(RegimeExecucao)="Global",$I92&gt;0,COUNTIF($AB$13:$AM$13,BM.medicao-1)&gt;0),M92/$I92*100,0)))</f>
        <v>0</v>
      </c>
      <c r="K92" s="123">
        <f t="shared" ca="1" si="61"/>
        <v>0</v>
      </c>
      <c r="L92" s="335" cm="1">
        <f t="array" aca="1" ref="L92" ca="1">_xlfn.SINGLE(IF($A92="S",IF(CAIXA.Modo,BM.AFAcumulado,BM.MEDAcumulado),IF(AND(_xlfn.SINGLE(RegimeExecucao)="Global",$I92&gt;0,COUNTIF($AB$13:$AM$13,BM.medicao)&gt;0),O92/$I92*100,0)))</f>
        <v>0</v>
      </c>
      <c r="M92" s="336">
        <f ca="1">IF($A92="S",VTOTALBM,IF($A92=0,0,ROUND(SomaAgrupBM,15-13*ORÇAMENTO!$AF$11)))</f>
        <v>0</v>
      </c>
      <c r="N92" s="337">
        <f t="shared" ca="1" si="62"/>
        <v>0</v>
      </c>
      <c r="O92" s="126">
        <f ca="1">IF($A92="S",VTOTALBM,IF($A92=0,0,ROUND(SomaAgrupBM,15-13*ORÇAMENTO!$AF$11)))</f>
        <v>0</v>
      </c>
      <c r="Q92" s="338"/>
      <c r="R92" s="339"/>
      <c r="T92" s="118" t="str">
        <f t="shared" ca="1" si="63"/>
        <v/>
      </c>
      <c r="U92" s="164" t="str">
        <f t="shared" ca="1" si="64"/>
        <v/>
      </c>
      <c r="V92" s="165" t="str">
        <f ca="1">IF(AND($W92&gt;0,RegimeExecucao="Unitário"),$F92,"")</f>
        <v/>
      </c>
      <c r="W92" s="455">
        <f ca="1">IF($Y92&gt;0,CHOOSE(MATCH(RegimeExecucao,{"Unitário","Global"},0),IF($A92="S",$Y92/$X92,""),($Y92/$X92)*100),0)</f>
        <v>0</v>
      </c>
      <c r="X92" s="340" t="str">
        <f ca="1">IF($Y92&gt;0,CHOOSE(MATCH(RegimeExecucao,{"Unitário","Global"},0),IF($A92="S",ROUND($H92,ORÇAMENTO!$AF$10),""),ROUND($I92,ORÇAMENTO!$AF$11)),"")</f>
        <v/>
      </c>
      <c r="Y92" s="340">
        <f t="shared" ca="1" si="65"/>
        <v>0</v>
      </c>
      <c r="Z92" s="474"/>
      <c r="AB92" s="338"/>
      <c r="AC92" s="438"/>
      <c r="AD92" s="438"/>
      <c r="AE92" s="438"/>
      <c r="AF92" s="438"/>
      <c r="AG92" s="438"/>
      <c r="AH92" s="438"/>
      <c r="AI92" s="438"/>
      <c r="AJ92" s="438"/>
      <c r="AK92" s="438"/>
      <c r="AL92" s="438"/>
      <c r="AM92" s="339"/>
      <c r="AO92">
        <f ca="1">IF($A92="S",IF(BM!$I92=0,0,CHOOSE(MATCH(RegimeExecucao,{"Global","Unitário"},0),ROUND(ROUND(BM.MEDAcumulado,15-13*BM!$A$9)/100*BM!$I92,15-13*ORÇAMENTO!$AF$11),ROUND(ROUND(BM.MEDAcumulado,15-13*BM!$A$9)*ROUND(BM!$H92,15-13*ORÇAMENTO!$AF$10),15-13*ORÇAMENTO!$AF$11))),IF($A92=0,0,ROUND(SomaAgrupBM,15-13*ORÇAMENTO!$AF$11)))</f>
        <v>0</v>
      </c>
    </row>
    <row r="93" spans="1:41" ht="38.25" x14ac:dyDescent="0.2">
      <c r="A93" t="str">
        <f ca="1">ORÇAMENTO!C93</f>
        <v>S</v>
      </c>
      <c r="B93">
        <f ca="1">ORÇAMENTO!D93</f>
        <v>0</v>
      </c>
      <c r="C93" s="115" t="str">
        <f t="shared" ca="1" si="60"/>
        <v>F</v>
      </c>
      <c r="D93" s="118" t="str">
        <f ca="1">ORÇAMENTO!O93</f>
        <v>1.7.6.</v>
      </c>
      <c r="E93" s="164" t="str">
        <f t="shared" ca="1" si="47"/>
        <v>FABRICAÇÃO, MONTAGEM E DESMONTAGEM DE FÔRMA PARA SAPATA, EM MADEIRA SERRADA, E=25 MM, 1 UTILIZAÇÃO. AF_01/2024</v>
      </c>
      <c r="F93" s="165" t="str">
        <f ca="1">IF(RegimeExecucao="Global","",ORÇAMENTO.Unidade)</f>
        <v>M2</v>
      </c>
      <c r="G93" s="123">
        <f ca="1">IF(RegimeExecucao="Global","",ORÇAMENTO!T93)</f>
        <v>19</v>
      </c>
      <c r="H93" s="123">
        <f ca="1">IF(RegimeExecucao="Global","",ORÇAMENTO!W93)</f>
        <v>291.58999999999997</v>
      </c>
      <c r="I93" s="126">
        <f ca="1">ORÇAMENTO!X93</f>
        <v>5540.21</v>
      </c>
      <c r="J93" s="334" cm="1">
        <f t="array" aca="1" ref="J93" ca="1">_xlfn.SINGLE(IF($A93="S",IF(CAIXA.Modo,BM.AFAnterior,BM.MEDAnterior),IF(AND(_xlfn.SINGLE(RegimeExecucao)="Global",$I93&gt;0,COUNTIF($AB$13:$AM$13,BM.medicao-1)&gt;0),M93/$I93*100,0)))</f>
        <v>0</v>
      </c>
      <c r="K93" s="123">
        <f t="shared" ca="1" si="61"/>
        <v>0</v>
      </c>
      <c r="L93" s="335" cm="1">
        <f t="array" aca="1" ref="L93" ca="1">_xlfn.SINGLE(IF($A93="S",IF(CAIXA.Modo,BM.AFAcumulado,BM.MEDAcumulado),IF(AND(_xlfn.SINGLE(RegimeExecucao)="Global",$I93&gt;0,COUNTIF($AB$13:$AM$13,BM.medicao)&gt;0),O93/$I93*100,0)))</f>
        <v>0</v>
      </c>
      <c r="M93" s="336">
        <f ca="1">IF($A93="S",VTOTALBM,IF($A93=0,0,ROUND(SomaAgrupBM,15-13*ORÇAMENTO!$AF$11)))</f>
        <v>0</v>
      </c>
      <c r="N93" s="337">
        <f t="shared" ca="1" si="62"/>
        <v>0</v>
      </c>
      <c r="O93" s="126">
        <f ca="1">IF($A93="S",VTOTALBM,IF($A93=0,0,ROUND(SomaAgrupBM,15-13*ORÇAMENTO!$AF$11)))</f>
        <v>0</v>
      </c>
      <c r="Q93" s="338"/>
      <c r="R93" s="339"/>
      <c r="T93" s="118" t="str">
        <f t="shared" ca="1" si="63"/>
        <v/>
      </c>
      <c r="U93" s="164" t="str">
        <f t="shared" ca="1" si="64"/>
        <v/>
      </c>
      <c r="V93" s="165" t="str">
        <f ca="1">IF(AND($W93&gt;0,RegimeExecucao="Unitário"),$F93,"")</f>
        <v/>
      </c>
      <c r="W93" s="455">
        <f ca="1">IF($Y93&gt;0,CHOOSE(MATCH(RegimeExecucao,{"Unitário","Global"},0),IF($A93="S",$Y93/$X93,""),($Y93/$X93)*100),0)</f>
        <v>0</v>
      </c>
      <c r="X93" s="340" t="str">
        <f ca="1">IF($Y93&gt;0,CHOOSE(MATCH(RegimeExecucao,{"Unitário","Global"},0),IF($A93="S",ROUND($H93,ORÇAMENTO!$AF$10),""),ROUND($I93,ORÇAMENTO!$AF$11)),"")</f>
        <v/>
      </c>
      <c r="Y93" s="340">
        <f t="shared" ca="1" si="65"/>
        <v>0</v>
      </c>
      <c r="Z93" s="474"/>
      <c r="AB93" s="338"/>
      <c r="AC93" s="438"/>
      <c r="AD93" s="438"/>
      <c r="AE93" s="438"/>
      <c r="AF93" s="438"/>
      <c r="AG93" s="438"/>
      <c r="AH93" s="438"/>
      <c r="AI93" s="438"/>
      <c r="AJ93" s="438"/>
      <c r="AK93" s="438"/>
      <c r="AL93" s="438"/>
      <c r="AM93" s="339"/>
      <c r="AO93">
        <f ca="1">IF($A93="S",IF(BM!$I93=0,0,CHOOSE(MATCH(RegimeExecucao,{"Global","Unitário"},0),ROUND(ROUND(BM.MEDAcumulado,15-13*BM!$A$9)/100*BM!$I93,15-13*ORÇAMENTO!$AF$11),ROUND(ROUND(BM.MEDAcumulado,15-13*BM!$A$9)*ROUND(BM!$H93,15-13*ORÇAMENTO!$AF$10),15-13*ORÇAMENTO!$AF$11))),IF($A93=0,0,ROUND(SomaAgrupBM,15-13*ORÇAMENTO!$AF$11)))</f>
        <v>0</v>
      </c>
    </row>
    <row r="94" spans="1:41" x14ac:dyDescent="0.2">
      <c r="A94" t="str">
        <f ca="1">ORÇAMENTO!C94</f>
        <v>S</v>
      </c>
      <c r="B94">
        <f ca="1">ORÇAMENTO!D94</f>
        <v>0</v>
      </c>
      <c r="C94" s="115" t="str">
        <f t="shared" ca="1" si="60"/>
        <v>F</v>
      </c>
      <c r="D94" s="118" t="str">
        <f ca="1">ORÇAMENTO!O94</f>
        <v>1.7.7.</v>
      </c>
      <c r="E94" s="164" t="str">
        <f t="shared" ca="1" si="47"/>
        <v>PREGO DE ACO POLIDO COM CABECA 18 X 30 (2 3/4 X 10)</v>
      </c>
      <c r="F94" s="165" t="str">
        <f ca="1">IF(RegimeExecucao="Global","",ORÇAMENTO.Unidade)</f>
        <v>KG</v>
      </c>
      <c r="G94" s="123">
        <f ca="1">IF(RegimeExecucao="Global","",ORÇAMENTO!T94)</f>
        <v>8</v>
      </c>
      <c r="H94" s="123">
        <f ca="1">IF(RegimeExecucao="Global","",ORÇAMENTO!W94)</f>
        <v>16.8</v>
      </c>
      <c r="I94" s="126">
        <f ca="1">ORÇAMENTO!X94</f>
        <v>134.4</v>
      </c>
      <c r="J94" s="334" cm="1">
        <f t="array" aca="1" ref="J94" ca="1">_xlfn.SINGLE(IF($A94="S",IF(CAIXA.Modo,BM.AFAnterior,BM.MEDAnterior),IF(AND(_xlfn.SINGLE(RegimeExecucao)="Global",$I94&gt;0,COUNTIF($AB$13:$AM$13,BM.medicao-1)&gt;0),M94/$I94*100,0)))</f>
        <v>0</v>
      </c>
      <c r="K94" s="123">
        <f t="shared" ca="1" si="61"/>
        <v>0</v>
      </c>
      <c r="L94" s="335" cm="1">
        <f t="array" aca="1" ref="L94" ca="1">_xlfn.SINGLE(IF($A94="S",IF(CAIXA.Modo,BM.AFAcumulado,BM.MEDAcumulado),IF(AND(_xlfn.SINGLE(RegimeExecucao)="Global",$I94&gt;0,COUNTIF($AB$13:$AM$13,BM.medicao)&gt;0),O94/$I94*100,0)))</f>
        <v>0</v>
      </c>
      <c r="M94" s="336">
        <f ca="1">IF($A94="S",VTOTALBM,IF($A94=0,0,ROUND(SomaAgrupBM,15-13*ORÇAMENTO!$AF$11)))</f>
        <v>0</v>
      </c>
      <c r="N94" s="337">
        <f t="shared" ca="1" si="62"/>
        <v>0</v>
      </c>
      <c r="O94" s="126">
        <f ca="1">IF($A94="S",VTOTALBM,IF($A94=0,0,ROUND(SomaAgrupBM,15-13*ORÇAMENTO!$AF$11)))</f>
        <v>0</v>
      </c>
      <c r="Q94" s="338"/>
      <c r="R94" s="339"/>
      <c r="T94" s="118" t="str">
        <f t="shared" ca="1" si="63"/>
        <v/>
      </c>
      <c r="U94" s="164" t="str">
        <f t="shared" ca="1" si="64"/>
        <v/>
      </c>
      <c r="V94" s="165" t="str">
        <f ca="1">IF(AND($W94&gt;0,RegimeExecucao="Unitário"),$F94,"")</f>
        <v/>
      </c>
      <c r="W94" s="455">
        <f ca="1">IF($Y94&gt;0,CHOOSE(MATCH(RegimeExecucao,{"Unitário","Global"},0),IF($A94="S",$Y94/$X94,""),($Y94/$X94)*100),0)</f>
        <v>0</v>
      </c>
      <c r="X94" s="340" t="str">
        <f ca="1">IF($Y94&gt;0,CHOOSE(MATCH(RegimeExecucao,{"Unitário","Global"},0),IF($A94="S",ROUND($H94,ORÇAMENTO!$AF$10),""),ROUND($I94,ORÇAMENTO!$AF$11)),"")</f>
        <v/>
      </c>
      <c r="Y94" s="340">
        <f t="shared" ca="1" si="65"/>
        <v>0</v>
      </c>
      <c r="Z94" s="474"/>
      <c r="AB94" s="338"/>
      <c r="AC94" s="438"/>
      <c r="AD94" s="438"/>
      <c r="AE94" s="438"/>
      <c r="AF94" s="438"/>
      <c r="AG94" s="438"/>
      <c r="AH94" s="438"/>
      <c r="AI94" s="438"/>
      <c r="AJ94" s="438"/>
      <c r="AK94" s="438"/>
      <c r="AL94" s="438"/>
      <c r="AM94" s="339"/>
      <c r="AO94">
        <f ca="1">IF($A94="S",IF(BM!$I94=0,0,CHOOSE(MATCH(RegimeExecucao,{"Global","Unitário"},0),ROUND(ROUND(BM.MEDAcumulado,15-13*BM!$A$9)/100*BM!$I94,15-13*ORÇAMENTO!$AF$11),ROUND(ROUND(BM.MEDAcumulado,15-13*BM!$A$9)*ROUND(BM!$H94,15-13*ORÇAMENTO!$AF$10),15-13*ORÇAMENTO!$AF$11))),IF($A94=0,0,ROUND(SomaAgrupBM,15-13*ORÇAMENTO!$AF$11)))</f>
        <v>0</v>
      </c>
    </row>
    <row r="95" spans="1:41" ht="25.5" x14ac:dyDescent="0.2">
      <c r="A95" t="str">
        <f ca="1">ORÇAMENTO!C95</f>
        <v>S</v>
      </c>
      <c r="B95">
        <f ca="1">ORÇAMENTO!D95</f>
        <v>0</v>
      </c>
      <c r="C95" s="115" t="str">
        <f t="shared" ca="1" si="60"/>
        <v>F</v>
      </c>
      <c r="D95" s="118" t="str">
        <f ca="1">ORÇAMENTO!O95</f>
        <v>1.7.8.</v>
      </c>
      <c r="E95" s="164" t="str">
        <f t="shared" ca="1" si="47"/>
        <v>ARAME RECOZIDO 16 BWG, D = 1,65 MM (0,016 KG/M) OU 18 BWG, D = 1,25 MM (0,01 KG/M)</v>
      </c>
      <c r="F95" s="165" t="str">
        <f ca="1">IF(RegimeExecucao="Global","",ORÇAMENTO.Unidade)</f>
        <v>KG</v>
      </c>
      <c r="G95" s="123">
        <f ca="1">IF(RegimeExecucao="Global","",ORÇAMENTO!T95)</f>
        <v>11</v>
      </c>
      <c r="H95" s="123">
        <f ca="1">IF(RegimeExecucao="Global","",ORÇAMENTO!W95)</f>
        <v>23.99</v>
      </c>
      <c r="I95" s="126">
        <f ca="1">ORÇAMENTO!X95</f>
        <v>263.89</v>
      </c>
      <c r="J95" s="334" cm="1">
        <f t="array" aca="1" ref="J95" ca="1">_xlfn.SINGLE(IF($A95="S",IF(CAIXA.Modo,BM.AFAnterior,BM.MEDAnterior),IF(AND(_xlfn.SINGLE(RegimeExecucao)="Global",$I95&gt;0,COUNTIF($AB$13:$AM$13,BM.medicao-1)&gt;0),M95/$I95*100,0)))</f>
        <v>0</v>
      </c>
      <c r="K95" s="123">
        <f t="shared" ca="1" si="61"/>
        <v>0</v>
      </c>
      <c r="L95" s="335" cm="1">
        <f t="array" aca="1" ref="L95" ca="1">_xlfn.SINGLE(IF($A95="S",IF(CAIXA.Modo,BM.AFAcumulado,BM.MEDAcumulado),IF(AND(_xlfn.SINGLE(RegimeExecucao)="Global",$I95&gt;0,COUNTIF($AB$13:$AM$13,BM.medicao)&gt;0),O95/$I95*100,0)))</f>
        <v>0</v>
      </c>
      <c r="M95" s="336">
        <f ca="1">IF($A95="S",VTOTALBM,IF($A95=0,0,ROUND(SomaAgrupBM,15-13*ORÇAMENTO!$AF$11)))</f>
        <v>0</v>
      </c>
      <c r="N95" s="337">
        <f t="shared" ca="1" si="62"/>
        <v>0</v>
      </c>
      <c r="O95" s="126">
        <f ca="1">IF($A95="S",VTOTALBM,IF($A95=0,0,ROUND(SomaAgrupBM,15-13*ORÇAMENTO!$AF$11)))</f>
        <v>0</v>
      </c>
      <c r="Q95" s="338"/>
      <c r="R95" s="339"/>
      <c r="T95" s="118" t="str">
        <f t="shared" ca="1" si="63"/>
        <v/>
      </c>
      <c r="U95" s="164" t="str">
        <f t="shared" ca="1" si="64"/>
        <v/>
      </c>
      <c r="V95" s="165" t="str">
        <f ca="1">IF(AND($W95&gt;0,RegimeExecucao="Unitário"),$F95,"")</f>
        <v/>
      </c>
      <c r="W95" s="455">
        <f ca="1">IF($Y95&gt;0,CHOOSE(MATCH(RegimeExecucao,{"Unitário","Global"},0),IF($A95="S",$Y95/$X95,""),($Y95/$X95)*100),0)</f>
        <v>0</v>
      </c>
      <c r="X95" s="340" t="str">
        <f ca="1">IF($Y95&gt;0,CHOOSE(MATCH(RegimeExecucao,{"Unitário","Global"},0),IF($A95="S",ROUND($H95,ORÇAMENTO!$AF$10),""),ROUND($I95,ORÇAMENTO!$AF$11)),"")</f>
        <v/>
      </c>
      <c r="Y95" s="340">
        <f t="shared" ca="1" si="65"/>
        <v>0</v>
      </c>
      <c r="Z95" s="474"/>
      <c r="AB95" s="338"/>
      <c r="AC95" s="438"/>
      <c r="AD95" s="438"/>
      <c r="AE95" s="438"/>
      <c r="AF95" s="438"/>
      <c r="AG95" s="438"/>
      <c r="AH95" s="438"/>
      <c r="AI95" s="438"/>
      <c r="AJ95" s="438"/>
      <c r="AK95" s="438"/>
      <c r="AL95" s="438"/>
      <c r="AM95" s="339"/>
      <c r="AO95">
        <f ca="1">IF($A95="S",IF(BM!$I95=0,0,CHOOSE(MATCH(RegimeExecucao,{"Global","Unitário"},0),ROUND(ROUND(BM.MEDAcumulado,15-13*BM!$A$9)/100*BM!$I95,15-13*ORÇAMENTO!$AF$11),ROUND(ROUND(BM.MEDAcumulado,15-13*BM!$A$9)*ROUND(BM!$H95,15-13*ORÇAMENTO!$AF$10),15-13*ORÇAMENTO!$AF$11))),IF($A95=0,0,ROUND(SomaAgrupBM,15-13*ORÇAMENTO!$AF$11)))</f>
        <v>0</v>
      </c>
    </row>
    <row r="96" spans="1:41" ht="38.25" x14ac:dyDescent="0.2">
      <c r="A96" t="str">
        <f ca="1">ORÇAMENTO!C96</f>
        <v>S</v>
      </c>
      <c r="B96">
        <f ca="1">ORÇAMENTO!D96</f>
        <v>0</v>
      </c>
      <c r="C96" s="115" t="str">
        <f ca="1">IF(OR($I96&gt;0,$A96=1,$A96=2,$A96=3,$A96=4),"F","")</f>
        <v>F</v>
      </c>
      <c r="D96" s="118" t="str">
        <f ca="1">ORÇAMENTO!O96</f>
        <v>1.7.9.</v>
      </c>
      <c r="E96" s="164" t="str">
        <f t="shared" ref="E96:E104" ca="1" si="66">ORÇAMENTO.Descricao</f>
        <v>ARMAÇÃO DE PILAR OU VIGA DE ESTRUTURA CONVENCIONAL DE CONCRETO ARMADO UTILIZANDO AÇO CA-50 DE 10,0 MM - MONTAGEM. AF_06/2022</v>
      </c>
      <c r="F96" s="165" t="str">
        <f ca="1">IF(RegimeExecucao="Global","",ORÇAMENTO.Unidade)</f>
        <v>KG</v>
      </c>
      <c r="G96" s="123">
        <f ca="1">IF(RegimeExecucao="Global","",ORÇAMENTO!T96)</f>
        <v>422.1</v>
      </c>
      <c r="H96" s="123">
        <f ca="1">IF(RegimeExecucao="Global","",ORÇAMENTO!W96)</f>
        <v>11.52</v>
      </c>
      <c r="I96" s="126">
        <f ca="1">ORÇAMENTO!X96</f>
        <v>4862.59</v>
      </c>
      <c r="J96" s="334" cm="1">
        <f t="array" aca="1" ref="J96" ca="1">_xlfn.SINGLE(IF($A96="S",IF(CAIXA.Modo,BM.AFAnterior,BM.MEDAnterior),IF(AND(_xlfn.SINGLE(RegimeExecucao)="Global",$I96&gt;0,COUNTIF($AB$13:$AM$13,BM.medicao-1)&gt;0),M96/$I96*100,0)))</f>
        <v>0</v>
      </c>
      <c r="K96" s="123">
        <f ca="1">L96-J96</f>
        <v>0</v>
      </c>
      <c r="L96" s="335" cm="1">
        <f t="array" aca="1" ref="L96" ca="1">_xlfn.SINGLE(IF($A96="S",IF(CAIXA.Modo,BM.AFAcumulado,BM.MEDAcumulado),IF(AND(_xlfn.SINGLE(RegimeExecucao)="Global",$I96&gt;0,COUNTIF($AB$13:$AM$13,BM.medicao)&gt;0),O96/$I96*100,0)))</f>
        <v>0</v>
      </c>
      <c r="M96" s="336">
        <f ca="1">IF($A96="S",VTOTALBM,IF($A96=0,0,ROUND(SomaAgrupBM,15-13*ORÇAMENTO!$AF$11)))</f>
        <v>0</v>
      </c>
      <c r="N96" s="337">
        <f ca="1">O96-M96</f>
        <v>0</v>
      </c>
      <c r="O96" s="126">
        <f ca="1">IF($A96="S",VTOTALBM,IF($A96=0,0,ROUND(SomaAgrupBM,15-13*ORÇAMENTO!$AF$11)))</f>
        <v>0</v>
      </c>
      <c r="Q96" s="338"/>
      <c r="R96" s="339"/>
      <c r="T96" s="118" t="str">
        <f ca="1">IF($W96&gt;0,$D96,"")</f>
        <v/>
      </c>
      <c r="U96" s="164" t="str">
        <f ca="1">IF($W96&gt;0,$E96,"")</f>
        <v/>
      </c>
      <c r="V96" s="165" t="str">
        <f ca="1">IF(AND($W96&gt;0,RegimeExecucao="Unitário"),$F96,"")</f>
        <v/>
      </c>
      <c r="W96" s="455">
        <f ca="1">IF($Y96&gt;0,CHOOSE(MATCH(RegimeExecucao,{"Unitário","Global"},0),IF($A96="S",$Y96/$X96,""),($Y96/$X96)*100),0)</f>
        <v>0</v>
      </c>
      <c r="X96" s="340" t="str">
        <f ca="1">IF($Y96&gt;0,CHOOSE(MATCH(RegimeExecucao,{"Unitário","Global"},0),IF($A96="S",ROUND($H96,ORÇAMENTO!$AF$10),""),ROUND($I96,ORÇAMENTO!$AF$11)),"")</f>
        <v/>
      </c>
      <c r="Y96" s="340">
        <f ca="1">AO96-O96</f>
        <v>0</v>
      </c>
      <c r="Z96" s="474"/>
      <c r="AB96" s="338"/>
      <c r="AC96" s="438"/>
      <c r="AD96" s="438"/>
      <c r="AE96" s="438"/>
      <c r="AF96" s="438"/>
      <c r="AG96" s="438"/>
      <c r="AH96" s="438"/>
      <c r="AI96" s="438"/>
      <c r="AJ96" s="438"/>
      <c r="AK96" s="438"/>
      <c r="AL96" s="438"/>
      <c r="AM96" s="339"/>
      <c r="AO96">
        <f ca="1">IF($A96="S",IF(BM!$I96=0,0,CHOOSE(MATCH(RegimeExecucao,{"Global","Unitário"},0),ROUND(ROUND(BM.MEDAcumulado,15-13*BM!$A$9)/100*BM!$I96,15-13*ORÇAMENTO!$AF$11),ROUND(ROUND(BM.MEDAcumulado,15-13*BM!$A$9)*ROUND(BM!$H96,15-13*ORÇAMENTO!$AF$10),15-13*ORÇAMENTO!$AF$11))),IF($A96=0,0,ROUND(SomaAgrupBM,15-13*ORÇAMENTO!$AF$11)))</f>
        <v>0</v>
      </c>
    </row>
    <row r="97" spans="1:41" ht="38.25" x14ac:dyDescent="0.2">
      <c r="A97" t="str">
        <f ca="1">ORÇAMENTO!C97</f>
        <v>S</v>
      </c>
      <c r="B97">
        <f ca="1">ORÇAMENTO!D97</f>
        <v>0</v>
      </c>
      <c r="C97" s="115" t="str">
        <f t="shared" ref="C97:C104" ca="1" si="67">IF(OR($I97&gt;0,$A97=1,$A97=2,$A97=3,$A97=4),"F","")</f>
        <v>F</v>
      </c>
      <c r="D97" s="118" t="str">
        <f ca="1">ORÇAMENTO!O97</f>
        <v>1.7.10.</v>
      </c>
      <c r="E97" s="164" t="str">
        <f t="shared" ca="1" si="66"/>
        <v>ARMAÇÃO DE PILAR OU VIGA DE ESTRUTURA CONVENCIONAL DE CONCRETO ARMADO UTILIZANDO AÇO CA-60 DE 5,0 MM - MONTAGEM. AF_06/2022</v>
      </c>
      <c r="F97" s="165" t="str">
        <f ca="1">IF(RegimeExecucao="Global","",ORÇAMENTO.Unidade)</f>
        <v>KG</v>
      </c>
      <c r="G97" s="123">
        <f ca="1">IF(RegimeExecucao="Global","",ORÇAMENTO!T97)</f>
        <v>175.5</v>
      </c>
      <c r="H97" s="123">
        <f ca="1">IF(RegimeExecucao="Global","",ORÇAMENTO!W97)</f>
        <v>15.27</v>
      </c>
      <c r="I97" s="126">
        <f ca="1">ORÇAMENTO!X97</f>
        <v>2679.89</v>
      </c>
      <c r="J97" s="334" cm="1">
        <f t="array" aca="1" ref="J97" ca="1">_xlfn.SINGLE(IF($A97="S",IF(CAIXA.Modo,BM.AFAnterior,BM.MEDAnterior),IF(AND(_xlfn.SINGLE(RegimeExecucao)="Global",$I97&gt;0,COUNTIF($AB$13:$AM$13,BM.medicao-1)&gt;0),M97/$I97*100,0)))</f>
        <v>0</v>
      </c>
      <c r="K97" s="123">
        <f t="shared" ref="K97:K104" ca="1" si="68">L97-J97</f>
        <v>0</v>
      </c>
      <c r="L97" s="335" cm="1">
        <f t="array" aca="1" ref="L97" ca="1">_xlfn.SINGLE(IF($A97="S",IF(CAIXA.Modo,BM.AFAcumulado,BM.MEDAcumulado),IF(AND(_xlfn.SINGLE(RegimeExecucao)="Global",$I97&gt;0,COUNTIF($AB$13:$AM$13,BM.medicao)&gt;0),O97/$I97*100,0)))</f>
        <v>0</v>
      </c>
      <c r="M97" s="336">
        <f ca="1">IF($A97="S",VTOTALBM,IF($A97=0,0,ROUND(SomaAgrupBM,15-13*ORÇAMENTO!$AF$11)))</f>
        <v>0</v>
      </c>
      <c r="N97" s="337">
        <f t="shared" ref="N97:N104" ca="1" si="69">O97-M97</f>
        <v>0</v>
      </c>
      <c r="O97" s="126">
        <f ca="1">IF($A97="S",VTOTALBM,IF($A97=0,0,ROUND(SomaAgrupBM,15-13*ORÇAMENTO!$AF$11)))</f>
        <v>0</v>
      </c>
      <c r="Q97" s="338"/>
      <c r="R97" s="339"/>
      <c r="T97" s="118" t="str">
        <f t="shared" ref="T97:T104" ca="1" si="70">IF($W97&gt;0,$D97,"")</f>
        <v/>
      </c>
      <c r="U97" s="164" t="str">
        <f t="shared" ref="U97:U104" ca="1" si="71">IF($W97&gt;0,$E97,"")</f>
        <v/>
      </c>
      <c r="V97" s="165" t="str">
        <f ca="1">IF(AND($W97&gt;0,RegimeExecucao="Unitário"),$F97,"")</f>
        <v/>
      </c>
      <c r="W97" s="455">
        <f ca="1">IF($Y97&gt;0,CHOOSE(MATCH(RegimeExecucao,{"Unitário","Global"},0),IF($A97="S",$Y97/$X97,""),($Y97/$X97)*100),0)</f>
        <v>0</v>
      </c>
      <c r="X97" s="340" t="str">
        <f ca="1">IF($Y97&gt;0,CHOOSE(MATCH(RegimeExecucao,{"Unitário","Global"},0),IF($A97="S",ROUND($H97,ORÇAMENTO!$AF$10),""),ROUND($I97,ORÇAMENTO!$AF$11)),"")</f>
        <v/>
      </c>
      <c r="Y97" s="340">
        <f t="shared" ref="Y97:Y104" ca="1" si="72">AO97-O97</f>
        <v>0</v>
      </c>
      <c r="Z97" s="474"/>
      <c r="AB97" s="338"/>
      <c r="AC97" s="438"/>
      <c r="AD97" s="438"/>
      <c r="AE97" s="438"/>
      <c r="AF97" s="438"/>
      <c r="AG97" s="438"/>
      <c r="AH97" s="438"/>
      <c r="AI97" s="438"/>
      <c r="AJ97" s="438"/>
      <c r="AK97" s="438"/>
      <c r="AL97" s="438"/>
      <c r="AM97" s="339"/>
      <c r="AO97">
        <f ca="1">IF($A97="S",IF(BM!$I97=0,0,CHOOSE(MATCH(RegimeExecucao,{"Global","Unitário"},0),ROUND(ROUND(BM.MEDAcumulado,15-13*BM!$A$9)/100*BM!$I97,15-13*ORÇAMENTO!$AF$11),ROUND(ROUND(BM.MEDAcumulado,15-13*BM!$A$9)*ROUND(BM!$H97,15-13*ORÇAMENTO!$AF$10),15-13*ORÇAMENTO!$AF$11))),IF($A97=0,0,ROUND(SomaAgrupBM,15-13*ORÇAMENTO!$AF$11)))</f>
        <v>0</v>
      </c>
    </row>
    <row r="98" spans="1:41" ht="25.5" x14ac:dyDescent="0.2">
      <c r="A98" t="str">
        <f ca="1">ORÇAMENTO!C98</f>
        <v>S</v>
      </c>
      <c r="B98">
        <f ca="1">ORÇAMENTO!D98</f>
        <v>0</v>
      </c>
      <c r="C98" s="115" t="str">
        <f t="shared" ca="1" si="67"/>
        <v>F</v>
      </c>
      <c r="D98" s="118" t="str">
        <f ca="1">ORÇAMENTO!O98</f>
        <v>1.7.11.</v>
      </c>
      <c r="E98" s="164" t="str">
        <f t="shared" ca="1" si="66"/>
        <v>ARMAÇÃO DE SAPATA ISOLADA, VIGA BALDRAME E SAPATA CORRIDA UTILIZANDO AÇO CA-50 DE 8 MM - MONTAGEM. AF_01/2024</v>
      </c>
      <c r="F98" s="165" t="str">
        <f ca="1">IF(RegimeExecucao="Global","",ORÇAMENTO.Unidade)</f>
        <v>KG</v>
      </c>
      <c r="G98" s="123">
        <f ca="1">IF(RegimeExecucao="Global","",ORÇAMENTO!T98)</f>
        <v>138.65</v>
      </c>
      <c r="H98" s="123">
        <f ca="1">IF(RegimeExecucao="Global","",ORÇAMENTO!W98)</f>
        <v>15.4</v>
      </c>
      <c r="I98" s="126">
        <f ca="1">ORÇAMENTO!X98</f>
        <v>2135.21</v>
      </c>
      <c r="J98" s="334" cm="1">
        <f t="array" aca="1" ref="J98" ca="1">_xlfn.SINGLE(IF($A98="S",IF(CAIXA.Modo,BM.AFAnterior,BM.MEDAnterior),IF(AND(_xlfn.SINGLE(RegimeExecucao)="Global",$I98&gt;0,COUNTIF($AB$13:$AM$13,BM.medicao-1)&gt;0),M98/$I98*100,0)))</f>
        <v>0</v>
      </c>
      <c r="K98" s="123">
        <f t="shared" ca="1" si="68"/>
        <v>0</v>
      </c>
      <c r="L98" s="335" cm="1">
        <f t="array" aca="1" ref="L98" ca="1">_xlfn.SINGLE(IF($A98="S",IF(CAIXA.Modo,BM.AFAcumulado,BM.MEDAcumulado),IF(AND(_xlfn.SINGLE(RegimeExecucao)="Global",$I98&gt;0,COUNTIF($AB$13:$AM$13,BM.medicao)&gt;0),O98/$I98*100,0)))</f>
        <v>0</v>
      </c>
      <c r="M98" s="336">
        <f ca="1">IF($A98="S",VTOTALBM,IF($A98=0,0,ROUND(SomaAgrupBM,15-13*ORÇAMENTO!$AF$11)))</f>
        <v>0</v>
      </c>
      <c r="N98" s="337">
        <f t="shared" ca="1" si="69"/>
        <v>0</v>
      </c>
      <c r="O98" s="126">
        <f ca="1">IF($A98="S",VTOTALBM,IF($A98=0,0,ROUND(SomaAgrupBM,15-13*ORÇAMENTO!$AF$11)))</f>
        <v>0</v>
      </c>
      <c r="Q98" s="338"/>
      <c r="R98" s="339"/>
      <c r="T98" s="118" t="str">
        <f t="shared" ca="1" si="70"/>
        <v/>
      </c>
      <c r="U98" s="164" t="str">
        <f t="shared" ca="1" si="71"/>
        <v/>
      </c>
      <c r="V98" s="165" t="str">
        <f ca="1">IF(AND($W98&gt;0,RegimeExecucao="Unitário"),$F98,"")</f>
        <v/>
      </c>
      <c r="W98" s="455">
        <f ca="1">IF($Y98&gt;0,CHOOSE(MATCH(RegimeExecucao,{"Unitário","Global"},0),IF($A98="S",$Y98/$X98,""),($Y98/$X98)*100),0)</f>
        <v>0</v>
      </c>
      <c r="X98" s="340" t="str">
        <f ca="1">IF($Y98&gt;0,CHOOSE(MATCH(RegimeExecucao,{"Unitário","Global"},0),IF($A98="S",ROUND($H98,ORÇAMENTO!$AF$10),""),ROUND($I98,ORÇAMENTO!$AF$11)),"")</f>
        <v/>
      </c>
      <c r="Y98" s="340">
        <f t="shared" ca="1" si="72"/>
        <v>0</v>
      </c>
      <c r="Z98" s="474"/>
      <c r="AB98" s="338"/>
      <c r="AC98" s="438"/>
      <c r="AD98" s="438"/>
      <c r="AE98" s="438"/>
      <c r="AF98" s="438"/>
      <c r="AG98" s="438"/>
      <c r="AH98" s="438"/>
      <c r="AI98" s="438"/>
      <c r="AJ98" s="438"/>
      <c r="AK98" s="438"/>
      <c r="AL98" s="438"/>
      <c r="AM98" s="339"/>
      <c r="AO98">
        <f ca="1">IF($A98="S",IF(BM!$I98=0,0,CHOOSE(MATCH(RegimeExecucao,{"Global","Unitário"},0),ROUND(ROUND(BM.MEDAcumulado,15-13*BM!$A$9)/100*BM!$I98,15-13*ORÇAMENTO!$AF$11),ROUND(ROUND(BM.MEDAcumulado,15-13*BM!$A$9)*ROUND(BM!$H98,15-13*ORÇAMENTO!$AF$10),15-13*ORÇAMENTO!$AF$11))),IF($A98=0,0,ROUND(SomaAgrupBM,15-13*ORÇAMENTO!$AF$11)))</f>
        <v>0</v>
      </c>
    </row>
    <row r="99" spans="1:41" ht="51" x14ac:dyDescent="0.2">
      <c r="A99" t="str">
        <f ca="1">ORÇAMENTO!C99</f>
        <v>S</v>
      </c>
      <c r="B99">
        <f ca="1">ORÇAMENTO!D99</f>
        <v>0</v>
      </c>
      <c r="C99" s="115" t="str">
        <f t="shared" ca="1" si="67"/>
        <v>F</v>
      </c>
      <c r="D99" s="118" t="str">
        <f ca="1">ORÇAMENTO!O99</f>
        <v>1.7.12.</v>
      </c>
      <c r="E99" s="164" t="str">
        <f t="shared" ca="1" si="66"/>
        <v>DRENO EM MURO DE CONTENÇÃO, EXECUTADO NO PÉ DO MURO, COM TUBO DE PEAD CORRUGADO FLEXÍVEL PERFURADO, ENCHIMENTO COM BRITA, ENVOLVIDO COM MANTA GEOTÊXTIL. AF_07/2021</v>
      </c>
      <c r="F99" s="165" t="str">
        <f ca="1">IF(RegimeExecucao="Global","",ORÇAMENTO.Unidade)</f>
        <v>M</v>
      </c>
      <c r="G99" s="123">
        <f ca="1">IF(RegimeExecucao="Global","",ORÇAMENTO!T99)</f>
        <v>16</v>
      </c>
      <c r="H99" s="123">
        <f ca="1">IF(RegimeExecucao="Global","",ORÇAMENTO!W99)</f>
        <v>64.77</v>
      </c>
      <c r="I99" s="126">
        <f ca="1">ORÇAMENTO!X99</f>
        <v>1036.32</v>
      </c>
      <c r="J99" s="334" cm="1">
        <f t="array" aca="1" ref="J99" ca="1">_xlfn.SINGLE(IF($A99="S",IF(CAIXA.Modo,BM.AFAnterior,BM.MEDAnterior),IF(AND(_xlfn.SINGLE(RegimeExecucao)="Global",$I99&gt;0,COUNTIF($AB$13:$AM$13,BM.medicao-1)&gt;0),M99/$I99*100,0)))</f>
        <v>0</v>
      </c>
      <c r="K99" s="123">
        <f t="shared" ca="1" si="68"/>
        <v>0</v>
      </c>
      <c r="L99" s="335" cm="1">
        <f t="array" aca="1" ref="L99" ca="1">_xlfn.SINGLE(IF($A99="S",IF(CAIXA.Modo,BM.AFAcumulado,BM.MEDAcumulado),IF(AND(_xlfn.SINGLE(RegimeExecucao)="Global",$I99&gt;0,COUNTIF($AB$13:$AM$13,BM.medicao)&gt;0),O99/$I99*100,0)))</f>
        <v>0</v>
      </c>
      <c r="M99" s="336">
        <f ca="1">IF($A99="S",VTOTALBM,IF($A99=0,0,ROUND(SomaAgrupBM,15-13*ORÇAMENTO!$AF$11)))</f>
        <v>0</v>
      </c>
      <c r="N99" s="337">
        <f t="shared" ca="1" si="69"/>
        <v>0</v>
      </c>
      <c r="O99" s="126">
        <f ca="1">IF($A99="S",VTOTALBM,IF($A99=0,0,ROUND(SomaAgrupBM,15-13*ORÇAMENTO!$AF$11)))</f>
        <v>0</v>
      </c>
      <c r="Q99" s="338"/>
      <c r="R99" s="339"/>
      <c r="T99" s="118" t="str">
        <f t="shared" ca="1" si="70"/>
        <v/>
      </c>
      <c r="U99" s="164" t="str">
        <f t="shared" ca="1" si="71"/>
        <v/>
      </c>
      <c r="V99" s="165" t="str">
        <f ca="1">IF(AND($W99&gt;0,RegimeExecucao="Unitário"),$F99,"")</f>
        <v/>
      </c>
      <c r="W99" s="455">
        <f ca="1">IF($Y99&gt;0,CHOOSE(MATCH(RegimeExecucao,{"Unitário","Global"},0),IF($A99="S",$Y99/$X99,""),($Y99/$X99)*100),0)</f>
        <v>0</v>
      </c>
      <c r="X99" s="340" t="str">
        <f ca="1">IF($Y99&gt;0,CHOOSE(MATCH(RegimeExecucao,{"Unitário","Global"},0),IF($A99="S",ROUND($H99,ORÇAMENTO!$AF$10),""),ROUND($I99,ORÇAMENTO!$AF$11)),"")</f>
        <v/>
      </c>
      <c r="Y99" s="340">
        <f t="shared" ca="1" si="72"/>
        <v>0</v>
      </c>
      <c r="Z99" s="474"/>
      <c r="AB99" s="338"/>
      <c r="AC99" s="438"/>
      <c r="AD99" s="438"/>
      <c r="AE99" s="438"/>
      <c r="AF99" s="438"/>
      <c r="AG99" s="438"/>
      <c r="AH99" s="438"/>
      <c r="AI99" s="438"/>
      <c r="AJ99" s="438"/>
      <c r="AK99" s="438"/>
      <c r="AL99" s="438"/>
      <c r="AM99" s="339"/>
      <c r="AO99">
        <f ca="1">IF($A99="S",IF(BM!$I99=0,0,CHOOSE(MATCH(RegimeExecucao,{"Global","Unitário"},0),ROUND(ROUND(BM.MEDAcumulado,15-13*BM!$A$9)/100*BM!$I99,15-13*ORÇAMENTO!$AF$11),ROUND(ROUND(BM.MEDAcumulado,15-13*BM!$A$9)*ROUND(BM!$H99,15-13*ORÇAMENTO!$AF$10),15-13*ORÇAMENTO!$AF$11))),IF($A99=0,0,ROUND(SomaAgrupBM,15-13*ORÇAMENTO!$AF$11)))</f>
        <v>0</v>
      </c>
    </row>
    <row r="100" spans="1:41" ht="38.25" x14ac:dyDescent="0.2">
      <c r="A100" t="str">
        <f ca="1">ORÇAMENTO!C100</f>
        <v>S</v>
      </c>
      <c r="B100">
        <f ca="1">ORÇAMENTO!D100</f>
        <v>0</v>
      </c>
      <c r="C100" s="115" t="str">
        <f t="shared" ca="1" si="67"/>
        <v>F</v>
      </c>
      <c r="D100" s="118" t="str">
        <f ca="1">ORÇAMENTO!O100</f>
        <v>1.7.13.</v>
      </c>
      <c r="E100" s="164" t="str">
        <f t="shared" ca="1" si="66"/>
        <v>ESCAVAÇÃO MECANIZADA PARA VIGA BALDRAME OU SAPATA CORRIDA COM MINI-ESCAVADEIRA (INCLUINDO ESCAVAÇÃO PARA COLOCAÇÃO DE FÔRMAS). AF_01/2024</v>
      </c>
      <c r="F100" s="165" t="str">
        <f ca="1">IF(RegimeExecucao="Global","",ORÇAMENTO.Unidade)</f>
        <v>M3</v>
      </c>
      <c r="G100" s="123">
        <f ca="1">IF(RegimeExecucao="Global","",ORÇAMENTO!T100)</f>
        <v>5.75</v>
      </c>
      <c r="H100" s="123">
        <f ca="1">IF(RegimeExecucao="Global","",ORÇAMENTO!W100)</f>
        <v>63.69</v>
      </c>
      <c r="I100" s="126">
        <f ca="1">ORÇAMENTO!X100</f>
        <v>366.22</v>
      </c>
      <c r="J100" s="334" cm="1">
        <f t="array" aca="1" ref="J100" ca="1">_xlfn.SINGLE(IF($A100="S",IF(CAIXA.Modo,BM.AFAnterior,BM.MEDAnterior),IF(AND(_xlfn.SINGLE(RegimeExecucao)="Global",$I100&gt;0,COUNTIF($AB$13:$AM$13,BM.medicao-1)&gt;0),M100/$I100*100,0)))</f>
        <v>0</v>
      </c>
      <c r="K100" s="123">
        <f t="shared" ca="1" si="68"/>
        <v>0</v>
      </c>
      <c r="L100" s="335" cm="1">
        <f t="array" aca="1" ref="L100" ca="1">_xlfn.SINGLE(IF($A100="S",IF(CAIXA.Modo,BM.AFAcumulado,BM.MEDAcumulado),IF(AND(_xlfn.SINGLE(RegimeExecucao)="Global",$I100&gt;0,COUNTIF($AB$13:$AM$13,BM.medicao)&gt;0),O100/$I100*100,0)))</f>
        <v>0</v>
      </c>
      <c r="M100" s="336">
        <f ca="1">IF($A100="S",VTOTALBM,IF($A100=0,0,ROUND(SomaAgrupBM,15-13*ORÇAMENTO!$AF$11)))</f>
        <v>0</v>
      </c>
      <c r="N100" s="337">
        <f t="shared" ca="1" si="69"/>
        <v>0</v>
      </c>
      <c r="O100" s="126">
        <f ca="1">IF($A100="S",VTOTALBM,IF($A100=0,0,ROUND(SomaAgrupBM,15-13*ORÇAMENTO!$AF$11)))</f>
        <v>0</v>
      </c>
      <c r="Q100" s="338"/>
      <c r="R100" s="339"/>
      <c r="T100" s="118" t="str">
        <f t="shared" ca="1" si="70"/>
        <v/>
      </c>
      <c r="U100" s="164" t="str">
        <f t="shared" ca="1" si="71"/>
        <v/>
      </c>
      <c r="V100" s="165" t="str">
        <f ca="1">IF(AND($W100&gt;0,RegimeExecucao="Unitário"),$F100,"")</f>
        <v/>
      </c>
      <c r="W100" s="455">
        <f ca="1">IF($Y100&gt;0,CHOOSE(MATCH(RegimeExecucao,{"Unitário","Global"},0),IF($A100="S",$Y100/$X100,""),($Y100/$X100)*100),0)</f>
        <v>0</v>
      </c>
      <c r="X100" s="340" t="str">
        <f ca="1">IF($Y100&gt;0,CHOOSE(MATCH(RegimeExecucao,{"Unitário","Global"},0),IF($A100="S",ROUND($H100,ORÇAMENTO!$AF$10),""),ROUND($I100,ORÇAMENTO!$AF$11)),"")</f>
        <v/>
      </c>
      <c r="Y100" s="340">
        <f t="shared" ca="1" si="72"/>
        <v>0</v>
      </c>
      <c r="Z100" s="474"/>
      <c r="AB100" s="338"/>
      <c r="AC100" s="438"/>
      <c r="AD100" s="438"/>
      <c r="AE100" s="438"/>
      <c r="AF100" s="438"/>
      <c r="AG100" s="438"/>
      <c r="AH100" s="438"/>
      <c r="AI100" s="438"/>
      <c r="AJ100" s="438"/>
      <c r="AK100" s="438"/>
      <c r="AL100" s="438"/>
      <c r="AM100" s="339"/>
      <c r="AO100">
        <f ca="1">IF($A100="S",IF(BM!$I100=0,0,CHOOSE(MATCH(RegimeExecucao,{"Global","Unitário"},0),ROUND(ROUND(BM.MEDAcumulado,15-13*BM!$A$9)/100*BM!$I100,15-13*ORÇAMENTO!$AF$11),ROUND(ROUND(BM.MEDAcumulado,15-13*BM!$A$9)*ROUND(BM!$H100,15-13*ORÇAMENTO!$AF$10),15-13*ORÇAMENTO!$AF$11))),IF($A100=0,0,ROUND(SomaAgrupBM,15-13*ORÇAMENTO!$AF$11)))</f>
        <v>0</v>
      </c>
    </row>
    <row r="101" spans="1:41" x14ac:dyDescent="0.2">
      <c r="A101" t="str">
        <f ca="1">ORÇAMENTO!C101</f>
        <v>S</v>
      </c>
      <c r="B101">
        <f ca="1">ORÇAMENTO!D101</f>
        <v>0</v>
      </c>
      <c r="C101" s="115" t="str">
        <f t="shared" ca="1" si="67"/>
        <v>F</v>
      </c>
      <c r="D101" s="118" t="str">
        <f ca="1">ORÇAMENTO!O101</f>
        <v>1.7.14.</v>
      </c>
      <c r="E101" s="164" t="str">
        <f t="shared" ca="1" si="66"/>
        <v>PEDREIRO COM ENCARGOS COMPLEMENTARES</v>
      </c>
      <c r="F101" s="165" t="str">
        <f ca="1">IF(RegimeExecucao="Global","",ORÇAMENTO.Unidade)</f>
        <v>H</v>
      </c>
      <c r="G101" s="123">
        <f ca="1">IF(RegimeExecucao="Global","",ORÇAMENTO!T101)</f>
        <v>180</v>
      </c>
      <c r="H101" s="123">
        <f ca="1">IF(RegimeExecucao="Global","",ORÇAMENTO!W101)</f>
        <v>33.53</v>
      </c>
      <c r="I101" s="126">
        <f ca="1">ORÇAMENTO!X101</f>
        <v>6035.4</v>
      </c>
      <c r="J101" s="334" cm="1">
        <f t="array" aca="1" ref="J101" ca="1">_xlfn.SINGLE(IF($A101="S",IF(CAIXA.Modo,BM.AFAnterior,BM.MEDAnterior),IF(AND(_xlfn.SINGLE(RegimeExecucao)="Global",$I101&gt;0,COUNTIF($AB$13:$AM$13,BM.medicao-1)&gt;0),M101/$I101*100,0)))</f>
        <v>0</v>
      </c>
      <c r="K101" s="123">
        <f t="shared" ca="1" si="68"/>
        <v>0</v>
      </c>
      <c r="L101" s="335" cm="1">
        <f t="array" aca="1" ref="L101" ca="1">_xlfn.SINGLE(IF($A101="S",IF(CAIXA.Modo,BM.AFAcumulado,BM.MEDAcumulado),IF(AND(_xlfn.SINGLE(RegimeExecucao)="Global",$I101&gt;0,COUNTIF($AB$13:$AM$13,BM.medicao)&gt;0),O101/$I101*100,0)))</f>
        <v>0</v>
      </c>
      <c r="M101" s="336">
        <f ca="1">IF($A101="S",VTOTALBM,IF($A101=0,0,ROUND(SomaAgrupBM,15-13*ORÇAMENTO!$AF$11)))</f>
        <v>0</v>
      </c>
      <c r="N101" s="337">
        <f t="shared" ca="1" si="69"/>
        <v>0</v>
      </c>
      <c r="O101" s="126">
        <f ca="1">IF($A101="S",VTOTALBM,IF($A101=0,0,ROUND(SomaAgrupBM,15-13*ORÇAMENTO!$AF$11)))</f>
        <v>0</v>
      </c>
      <c r="Q101" s="338"/>
      <c r="R101" s="339"/>
      <c r="T101" s="118" t="str">
        <f t="shared" ca="1" si="70"/>
        <v/>
      </c>
      <c r="U101" s="164" t="str">
        <f t="shared" ca="1" si="71"/>
        <v/>
      </c>
      <c r="V101" s="165" t="str">
        <f ca="1">IF(AND($W101&gt;0,RegimeExecucao="Unitário"),$F101,"")</f>
        <v/>
      </c>
      <c r="W101" s="455">
        <f ca="1">IF($Y101&gt;0,CHOOSE(MATCH(RegimeExecucao,{"Unitário","Global"},0),IF($A101="S",$Y101/$X101,""),($Y101/$X101)*100),0)</f>
        <v>0</v>
      </c>
      <c r="X101" s="340" t="str">
        <f ca="1">IF($Y101&gt;0,CHOOSE(MATCH(RegimeExecucao,{"Unitário","Global"},0),IF($A101="S",ROUND($H101,ORÇAMENTO!$AF$10),""),ROUND($I101,ORÇAMENTO!$AF$11)),"")</f>
        <v/>
      </c>
      <c r="Y101" s="340">
        <f t="shared" ca="1" si="72"/>
        <v>0</v>
      </c>
      <c r="Z101" s="474"/>
      <c r="AB101" s="338"/>
      <c r="AC101" s="438"/>
      <c r="AD101" s="438"/>
      <c r="AE101" s="438"/>
      <c r="AF101" s="438"/>
      <c r="AG101" s="438"/>
      <c r="AH101" s="438"/>
      <c r="AI101" s="438"/>
      <c r="AJ101" s="438"/>
      <c r="AK101" s="438"/>
      <c r="AL101" s="438"/>
      <c r="AM101" s="339"/>
      <c r="AO101">
        <f ca="1">IF($A101="S",IF(BM!$I101=0,0,CHOOSE(MATCH(RegimeExecucao,{"Global","Unitário"},0),ROUND(ROUND(BM.MEDAcumulado,15-13*BM!$A$9)/100*BM!$I101,15-13*ORÇAMENTO!$AF$11),ROUND(ROUND(BM.MEDAcumulado,15-13*BM!$A$9)*ROUND(BM!$H101,15-13*ORÇAMENTO!$AF$10),15-13*ORÇAMENTO!$AF$11))),IF($A101=0,0,ROUND(SomaAgrupBM,15-13*ORÇAMENTO!$AF$11)))</f>
        <v>0</v>
      </c>
    </row>
    <row r="102" spans="1:41" x14ac:dyDescent="0.2">
      <c r="A102" t="str">
        <f ca="1">ORÇAMENTO!C102</f>
        <v>S</v>
      </c>
      <c r="B102">
        <f ca="1">ORÇAMENTO!D102</f>
        <v>0</v>
      </c>
      <c r="C102" s="115" t="str">
        <f t="shared" ca="1" si="67"/>
        <v>F</v>
      </c>
      <c r="D102" s="118" t="str">
        <f ca="1">ORÇAMENTO!O102</f>
        <v>1.7.15.</v>
      </c>
      <c r="E102" s="164" t="str">
        <f t="shared" ca="1" si="66"/>
        <v>AJUDANTE DE PEDREIRO COM ENCARGOS COMPLEMENTARES</v>
      </c>
      <c r="F102" s="165" t="str">
        <f ca="1">IF(RegimeExecucao="Global","",ORÇAMENTO.Unidade)</f>
        <v>H</v>
      </c>
      <c r="G102" s="123">
        <f ca="1">IF(RegimeExecucao="Global","",ORÇAMENTO!T102)</f>
        <v>180</v>
      </c>
      <c r="H102" s="123">
        <f ca="1">IF(RegimeExecucao="Global","",ORÇAMENTO!W102)</f>
        <v>29.33</v>
      </c>
      <c r="I102" s="126">
        <f ca="1">ORÇAMENTO!X102</f>
        <v>5279.4</v>
      </c>
      <c r="J102" s="334" cm="1">
        <f t="array" aca="1" ref="J102" ca="1">_xlfn.SINGLE(IF($A102="S",IF(CAIXA.Modo,BM.AFAnterior,BM.MEDAnterior),IF(AND(_xlfn.SINGLE(RegimeExecucao)="Global",$I102&gt;0,COUNTIF($AB$13:$AM$13,BM.medicao-1)&gt;0),M102/$I102*100,0)))</f>
        <v>0</v>
      </c>
      <c r="K102" s="123">
        <f t="shared" ca="1" si="68"/>
        <v>0</v>
      </c>
      <c r="L102" s="335" cm="1">
        <f t="array" aca="1" ref="L102" ca="1">_xlfn.SINGLE(IF($A102="S",IF(CAIXA.Modo,BM.AFAcumulado,BM.MEDAcumulado),IF(AND(_xlfn.SINGLE(RegimeExecucao)="Global",$I102&gt;0,COUNTIF($AB$13:$AM$13,BM.medicao)&gt;0),O102/$I102*100,0)))</f>
        <v>0</v>
      </c>
      <c r="M102" s="336">
        <f ca="1">IF($A102="S",VTOTALBM,IF($A102=0,0,ROUND(SomaAgrupBM,15-13*ORÇAMENTO!$AF$11)))</f>
        <v>0</v>
      </c>
      <c r="N102" s="337">
        <f t="shared" ca="1" si="69"/>
        <v>0</v>
      </c>
      <c r="O102" s="126">
        <f ca="1">IF($A102="S",VTOTALBM,IF($A102=0,0,ROUND(SomaAgrupBM,15-13*ORÇAMENTO!$AF$11)))</f>
        <v>0</v>
      </c>
      <c r="Q102" s="338"/>
      <c r="R102" s="339"/>
      <c r="T102" s="118" t="str">
        <f t="shared" ca="1" si="70"/>
        <v/>
      </c>
      <c r="U102" s="164" t="str">
        <f t="shared" ca="1" si="71"/>
        <v/>
      </c>
      <c r="V102" s="165" t="str">
        <f ca="1">IF(AND($W102&gt;0,RegimeExecucao="Unitário"),$F102,"")</f>
        <v/>
      </c>
      <c r="W102" s="455">
        <f ca="1">IF($Y102&gt;0,CHOOSE(MATCH(RegimeExecucao,{"Unitário","Global"},0),IF($A102="S",$Y102/$X102,""),($Y102/$X102)*100),0)</f>
        <v>0</v>
      </c>
      <c r="X102" s="340" t="str">
        <f ca="1">IF($Y102&gt;0,CHOOSE(MATCH(RegimeExecucao,{"Unitário","Global"},0),IF($A102="S",ROUND($H102,ORÇAMENTO!$AF$10),""),ROUND($I102,ORÇAMENTO!$AF$11)),"")</f>
        <v/>
      </c>
      <c r="Y102" s="340">
        <f t="shared" ca="1" si="72"/>
        <v>0</v>
      </c>
      <c r="Z102" s="474"/>
      <c r="AB102" s="338"/>
      <c r="AC102" s="438"/>
      <c r="AD102" s="438"/>
      <c r="AE102" s="438"/>
      <c r="AF102" s="438"/>
      <c r="AG102" s="438"/>
      <c r="AH102" s="438"/>
      <c r="AI102" s="438"/>
      <c r="AJ102" s="438"/>
      <c r="AK102" s="438"/>
      <c r="AL102" s="438"/>
      <c r="AM102" s="339"/>
      <c r="AO102">
        <f ca="1">IF($A102="S",IF(BM!$I102=0,0,CHOOSE(MATCH(RegimeExecucao,{"Global","Unitário"},0),ROUND(ROUND(BM.MEDAcumulado,15-13*BM!$A$9)/100*BM!$I102,15-13*ORÇAMENTO!$AF$11),ROUND(ROUND(BM.MEDAcumulado,15-13*BM!$A$9)*ROUND(BM!$H102,15-13*ORÇAMENTO!$AF$10),15-13*ORÇAMENTO!$AF$11))),IF($A102=0,0,ROUND(SomaAgrupBM,15-13*ORÇAMENTO!$AF$11)))</f>
        <v>0</v>
      </c>
    </row>
    <row r="103" spans="1:41" ht="25.5" x14ac:dyDescent="0.2">
      <c r="A103" t="str">
        <f ca="1">ORÇAMENTO!C103</f>
        <v>S</v>
      </c>
      <c r="B103">
        <f ca="1">ORÇAMENTO!D103</f>
        <v>0</v>
      </c>
      <c r="C103" s="115" t="str">
        <f t="shared" ca="1" si="67"/>
        <v>F</v>
      </c>
      <c r="D103" s="118" t="str">
        <f ca="1">ORÇAMENTO!O103</f>
        <v>1.7.16.</v>
      </c>
      <c r="E103" s="164" t="str">
        <f t="shared" ca="1" si="66"/>
        <v>MANTA TERMOPLASTICA, PEAD, GEOMEMBRANA LISA, E = 0,50 MM (NBR 15352)</v>
      </c>
      <c r="F103" s="165" t="str">
        <f ca="1">IF(RegimeExecucao="Global","",ORÇAMENTO.Unidade)</f>
        <v>M2</v>
      </c>
      <c r="G103" s="123">
        <f ca="1">IF(RegimeExecucao="Global","",ORÇAMENTO!T103)</f>
        <v>75</v>
      </c>
      <c r="H103" s="123">
        <f ca="1">IF(RegimeExecucao="Global","",ORÇAMENTO!W103)</f>
        <v>16.86</v>
      </c>
      <c r="I103" s="126">
        <f ca="1">ORÇAMENTO!X103</f>
        <v>1264.5</v>
      </c>
      <c r="J103" s="334" cm="1">
        <f t="array" aca="1" ref="J103" ca="1">_xlfn.SINGLE(IF($A103="S",IF(CAIXA.Modo,BM.AFAnterior,BM.MEDAnterior),IF(AND(_xlfn.SINGLE(RegimeExecucao)="Global",$I103&gt;0,COUNTIF($AB$13:$AM$13,BM.medicao-1)&gt;0),M103/$I103*100,0)))</f>
        <v>0</v>
      </c>
      <c r="K103" s="123">
        <f t="shared" ca="1" si="68"/>
        <v>0</v>
      </c>
      <c r="L103" s="335" cm="1">
        <f t="array" aca="1" ref="L103" ca="1">_xlfn.SINGLE(IF($A103="S",IF(CAIXA.Modo,BM.AFAcumulado,BM.MEDAcumulado),IF(AND(_xlfn.SINGLE(RegimeExecucao)="Global",$I103&gt;0,COUNTIF($AB$13:$AM$13,BM.medicao)&gt;0),O103/$I103*100,0)))</f>
        <v>0</v>
      </c>
      <c r="M103" s="336">
        <f ca="1">IF($A103="S",VTOTALBM,IF($A103=0,0,ROUND(SomaAgrupBM,15-13*ORÇAMENTO!$AF$11)))</f>
        <v>0</v>
      </c>
      <c r="N103" s="337">
        <f t="shared" ca="1" si="69"/>
        <v>0</v>
      </c>
      <c r="O103" s="126">
        <f ca="1">IF($A103="S",VTOTALBM,IF($A103=0,0,ROUND(SomaAgrupBM,15-13*ORÇAMENTO!$AF$11)))</f>
        <v>0</v>
      </c>
      <c r="Q103" s="338"/>
      <c r="R103" s="339"/>
      <c r="T103" s="118" t="str">
        <f t="shared" ca="1" si="70"/>
        <v/>
      </c>
      <c r="U103" s="164" t="str">
        <f t="shared" ca="1" si="71"/>
        <v/>
      </c>
      <c r="V103" s="165" t="str">
        <f ca="1">IF(AND($W103&gt;0,RegimeExecucao="Unitário"),$F103,"")</f>
        <v/>
      </c>
      <c r="W103" s="455">
        <f ca="1">IF($Y103&gt;0,CHOOSE(MATCH(RegimeExecucao,{"Unitário","Global"},0),IF($A103="S",$Y103/$X103,""),($Y103/$X103)*100),0)</f>
        <v>0</v>
      </c>
      <c r="X103" s="340" t="str">
        <f ca="1">IF($Y103&gt;0,CHOOSE(MATCH(RegimeExecucao,{"Unitário","Global"},0),IF($A103="S",ROUND($H103,ORÇAMENTO!$AF$10),""),ROUND($I103,ORÇAMENTO!$AF$11)),"")</f>
        <v/>
      </c>
      <c r="Y103" s="340">
        <f t="shared" ca="1" si="72"/>
        <v>0</v>
      </c>
      <c r="Z103" s="474"/>
      <c r="AB103" s="338"/>
      <c r="AC103" s="438"/>
      <c r="AD103" s="438"/>
      <c r="AE103" s="438"/>
      <c r="AF103" s="438"/>
      <c r="AG103" s="438"/>
      <c r="AH103" s="438"/>
      <c r="AI103" s="438"/>
      <c r="AJ103" s="438"/>
      <c r="AK103" s="438"/>
      <c r="AL103" s="438"/>
      <c r="AM103" s="339"/>
      <c r="AO103">
        <f ca="1">IF($A103="S",IF(BM!$I103=0,0,CHOOSE(MATCH(RegimeExecucao,{"Global","Unitário"},0),ROUND(ROUND(BM.MEDAcumulado,15-13*BM!$A$9)/100*BM!$I103,15-13*ORÇAMENTO!$AF$11),ROUND(ROUND(BM.MEDAcumulado,15-13*BM!$A$9)*ROUND(BM!$H103,15-13*ORÇAMENTO!$AF$10),15-13*ORÇAMENTO!$AF$11))),IF($A103=0,0,ROUND(SomaAgrupBM,15-13*ORÇAMENTO!$AF$11)))</f>
        <v>0</v>
      </c>
    </row>
    <row r="104" spans="1:41" ht="51" x14ac:dyDescent="0.2">
      <c r="A104" t="str">
        <f ca="1">ORÇAMENTO!C104</f>
        <v>S</v>
      </c>
      <c r="B104">
        <f ca="1">ORÇAMENTO!D104</f>
        <v>0</v>
      </c>
      <c r="C104" s="115" t="str">
        <f t="shared" ca="1" si="67"/>
        <v>F</v>
      </c>
      <c r="D104" s="118" t="str">
        <f ca="1">ORÇAMENTO!O104</f>
        <v>1.7.17.</v>
      </c>
      <c r="E104" s="164" t="str">
        <f t="shared" ca="1" si="66"/>
        <v>ATERRO MECANIZADO DE VALA COM ESCAVADEIRA HIDRÁULICA (CAPACIDADE DA CAÇAMBA: 0,8 M³ / POTÊNCIA: 111 HP), LARGURA ATÉ 2,5 M, PROFUNDIDADE DE 1,5 A 3,0 M, COM SOLO ARGILO-ARENOSO. AF_08/2023</v>
      </c>
      <c r="F104" s="165" t="str">
        <f ca="1">IF(RegimeExecucao="Global","",ORÇAMENTO.Unidade)</f>
        <v>M3</v>
      </c>
      <c r="G104" s="123">
        <f ca="1">IF(RegimeExecucao="Global","",ORÇAMENTO!T104)</f>
        <v>192</v>
      </c>
      <c r="H104" s="123">
        <f ca="1">IF(RegimeExecucao="Global","",ORÇAMENTO!W104)</f>
        <v>83.67</v>
      </c>
      <c r="I104" s="126">
        <f ca="1">ORÇAMENTO!X104</f>
        <v>16064.64</v>
      </c>
      <c r="J104" s="334" cm="1">
        <f t="array" aca="1" ref="J104" ca="1">_xlfn.SINGLE(IF($A104="S",IF(CAIXA.Modo,BM.AFAnterior,BM.MEDAnterior),IF(AND(_xlfn.SINGLE(RegimeExecucao)="Global",$I104&gt;0,COUNTIF($AB$13:$AM$13,BM.medicao-1)&gt;0),M104/$I104*100,0)))</f>
        <v>0</v>
      </c>
      <c r="K104" s="123">
        <f t="shared" ca="1" si="68"/>
        <v>0</v>
      </c>
      <c r="L104" s="335" cm="1">
        <f t="array" aca="1" ref="L104" ca="1">_xlfn.SINGLE(IF($A104="S",IF(CAIXA.Modo,BM.AFAcumulado,BM.MEDAcumulado),IF(AND(_xlfn.SINGLE(RegimeExecucao)="Global",$I104&gt;0,COUNTIF($AB$13:$AM$13,BM.medicao)&gt;0),O104/$I104*100,0)))</f>
        <v>0</v>
      </c>
      <c r="M104" s="336">
        <f ca="1">IF($A104="S",VTOTALBM,IF($A104=0,0,ROUND(SomaAgrupBM,15-13*ORÇAMENTO!$AF$11)))</f>
        <v>0</v>
      </c>
      <c r="N104" s="337">
        <f t="shared" ca="1" si="69"/>
        <v>0</v>
      </c>
      <c r="O104" s="126">
        <f ca="1">IF($A104="S",VTOTALBM,IF($A104=0,0,ROUND(SomaAgrupBM,15-13*ORÇAMENTO!$AF$11)))</f>
        <v>0</v>
      </c>
      <c r="Q104" s="338"/>
      <c r="R104" s="339"/>
      <c r="T104" s="118" t="str">
        <f t="shared" ca="1" si="70"/>
        <v/>
      </c>
      <c r="U104" s="164" t="str">
        <f t="shared" ca="1" si="71"/>
        <v/>
      </c>
      <c r="V104" s="165" t="str">
        <f ca="1">IF(AND($W104&gt;0,RegimeExecucao="Unitário"),$F104,"")</f>
        <v/>
      </c>
      <c r="W104" s="455">
        <f ca="1">IF($Y104&gt;0,CHOOSE(MATCH(RegimeExecucao,{"Unitário","Global"},0),IF($A104="S",$Y104/$X104,""),($Y104/$X104)*100),0)</f>
        <v>0</v>
      </c>
      <c r="X104" s="340" t="str">
        <f ca="1">IF($Y104&gt;0,CHOOSE(MATCH(RegimeExecucao,{"Unitário","Global"},0),IF($A104="S",ROUND($H104,ORÇAMENTO!$AF$10),""),ROUND($I104,ORÇAMENTO!$AF$11)),"")</f>
        <v/>
      </c>
      <c r="Y104" s="340">
        <f t="shared" ca="1" si="72"/>
        <v>0</v>
      </c>
      <c r="Z104" s="474"/>
      <c r="AB104" s="338"/>
      <c r="AC104" s="438"/>
      <c r="AD104" s="438"/>
      <c r="AE104" s="438"/>
      <c r="AF104" s="438"/>
      <c r="AG104" s="438"/>
      <c r="AH104" s="438"/>
      <c r="AI104" s="438"/>
      <c r="AJ104" s="438"/>
      <c r="AK104" s="438"/>
      <c r="AL104" s="438"/>
      <c r="AM104" s="339"/>
      <c r="AO104">
        <f ca="1">IF($A104="S",IF(BM!$I104=0,0,CHOOSE(MATCH(RegimeExecucao,{"Global","Unitário"},0),ROUND(ROUND(BM.MEDAcumulado,15-13*BM!$A$9)/100*BM!$I104,15-13*ORÇAMENTO!$AF$11),ROUND(ROUND(BM.MEDAcumulado,15-13*BM!$A$9)*ROUND(BM!$H104,15-13*ORÇAMENTO!$AF$10),15-13*ORÇAMENTO!$AF$11))),IF($A104=0,0,ROUND(SomaAgrupBM,15-13*ORÇAMENTO!$AF$11)))</f>
        <v>0</v>
      </c>
    </row>
    <row r="105" spans="1:41" ht="5.0999999999999996" customHeight="1" x14ac:dyDescent="0.2">
      <c r="C105" s="115" t="s">
        <v>537</v>
      </c>
      <c r="D105" s="619"/>
      <c r="E105" s="620"/>
      <c r="F105" s="620"/>
      <c r="G105" s="620"/>
      <c r="H105" s="620"/>
      <c r="I105" s="420"/>
      <c r="J105" s="619"/>
      <c r="K105" s="620"/>
      <c r="L105" s="420"/>
      <c r="M105" s="435"/>
      <c r="N105" s="436"/>
      <c r="O105" s="437"/>
      <c r="Q105" s="619"/>
      <c r="R105" s="420"/>
      <c r="T105" s="619"/>
      <c r="U105" s="620"/>
      <c r="V105" s="620"/>
      <c r="W105" s="620"/>
      <c r="X105" s="620"/>
      <c r="Y105" s="620"/>
      <c r="Z105" s="420"/>
      <c r="AB105" s="619"/>
      <c r="AC105" s="620"/>
      <c r="AD105" s="620"/>
      <c r="AE105" s="620"/>
      <c r="AF105" s="620"/>
      <c r="AG105" s="620"/>
      <c r="AH105" s="620"/>
      <c r="AI105" s="620"/>
      <c r="AJ105" s="620"/>
      <c r="AK105" s="620"/>
      <c r="AL105" s="620"/>
      <c r="AM105" s="420"/>
    </row>
    <row r="107" spans="1:41" ht="14.25" x14ac:dyDescent="0.2">
      <c r="D107" s="803" t="s">
        <v>690</v>
      </c>
      <c r="E107" s="803"/>
      <c r="F107" s="803"/>
      <c r="G107" s="803"/>
      <c r="H107" s="803"/>
      <c r="I107" s="803"/>
      <c r="J107" s="803"/>
      <c r="K107" s="803"/>
      <c r="L107" s="803"/>
      <c r="M107" s="803"/>
      <c r="N107" s="803"/>
      <c r="O107" s="803"/>
      <c r="T107" s="804" t="s">
        <v>866</v>
      </c>
      <c r="U107" s="804"/>
      <c r="V107" s="804"/>
      <c r="W107" s="804"/>
      <c r="X107" s="804"/>
      <c r="Y107" s="804"/>
      <c r="Z107" s="804"/>
    </row>
    <row r="108" spans="1:41" ht="12.75" customHeight="1" x14ac:dyDescent="0.2">
      <c r="D108" s="727"/>
      <c r="E108" s="727"/>
      <c r="F108" s="727"/>
      <c r="G108" s="727"/>
      <c r="H108" s="727"/>
      <c r="I108" s="727"/>
      <c r="J108" s="727"/>
      <c r="K108" s="727"/>
      <c r="L108" s="727"/>
      <c r="M108" s="727"/>
      <c r="N108" s="727"/>
      <c r="O108" s="727"/>
      <c r="T108" s="805"/>
      <c r="U108" s="805"/>
      <c r="V108" s="805"/>
      <c r="W108" s="805"/>
      <c r="X108" s="805"/>
      <c r="Y108" s="805"/>
      <c r="Z108" s="805"/>
    </row>
    <row r="109" spans="1:41" ht="12.75" customHeight="1" x14ac:dyDescent="0.2">
      <c r="D109" s="727"/>
      <c r="E109" s="727"/>
      <c r="F109" s="727"/>
      <c r="G109" s="727"/>
      <c r="H109" s="727"/>
      <c r="I109" s="727"/>
      <c r="J109" s="727"/>
      <c r="K109" s="727"/>
      <c r="L109" s="727"/>
      <c r="M109" s="727"/>
      <c r="N109" s="727"/>
      <c r="O109" s="727"/>
      <c r="T109" s="805"/>
      <c r="U109" s="805"/>
      <c r="V109" s="805"/>
      <c r="W109" s="805"/>
      <c r="X109" s="805"/>
      <c r="Y109" s="805"/>
      <c r="Z109" s="805"/>
    </row>
    <row r="110" spans="1:41" ht="12.75" customHeight="1" x14ac:dyDescent="0.2">
      <c r="D110" s="727"/>
      <c r="E110" s="727"/>
      <c r="F110" s="727"/>
      <c r="G110" s="727"/>
      <c r="H110" s="727"/>
      <c r="I110" s="727"/>
      <c r="J110" s="727"/>
      <c r="K110" s="727"/>
      <c r="L110" s="727"/>
      <c r="M110" s="727"/>
      <c r="N110" s="727"/>
      <c r="O110" s="727"/>
      <c r="T110" s="805"/>
      <c r="U110" s="805"/>
      <c r="V110" s="805"/>
      <c r="W110" s="805"/>
      <c r="X110" s="805"/>
      <c r="Y110" s="805"/>
      <c r="Z110" s="805"/>
    </row>
    <row r="111" spans="1:41" ht="14.25" x14ac:dyDescent="0.2">
      <c r="D111" s="444"/>
      <c r="E111" s="444"/>
      <c r="F111" s="444"/>
      <c r="G111" s="444"/>
      <c r="H111" s="444"/>
      <c r="I111" s="444"/>
      <c r="J111" s="444"/>
      <c r="K111" s="444"/>
      <c r="L111" s="444"/>
      <c r="M111" s="444"/>
      <c r="N111" s="444"/>
      <c r="O111" s="444"/>
    </row>
    <row r="112" spans="1:41" ht="15" customHeight="1" x14ac:dyDescent="0.25">
      <c r="D112" s="728" t="str">
        <f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112" s="728"/>
      <c r="F112" s="728"/>
      <c r="G112" s="728"/>
      <c r="H112" s="728"/>
      <c r="I112" s="728"/>
      <c r="J112" s="728"/>
      <c r="K112" s="728"/>
      <c r="L112" s="728"/>
    </row>
    <row r="113" spans="4:26" x14ac:dyDescent="0.2">
      <c r="D113" s="801"/>
      <c r="E113" s="801"/>
      <c r="F113" s="801"/>
      <c r="G113" s="801"/>
      <c r="H113" s="801"/>
      <c r="I113" s="801"/>
    </row>
    <row r="114" spans="4:26" x14ac:dyDescent="0.2">
      <c r="D114" s="799"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114" s="799"/>
      <c r="F114" s="799"/>
      <c r="G114" s="799"/>
      <c r="H114" s="799"/>
      <c r="I114" s="799"/>
      <c r="J114" s="799"/>
      <c r="K114" s="799"/>
      <c r="L114" s="799"/>
      <c r="M114" s="799"/>
      <c r="N114" s="799"/>
      <c r="O114" s="799"/>
    </row>
    <row r="115" spans="4:26" ht="39.950000000000003" customHeight="1" x14ac:dyDescent="0.25">
      <c r="E115" s="139" t="str">
        <f>Import.Município</f>
        <v>RODEIO BONITO/RS</v>
      </c>
      <c r="J115" s="586" t="str">
        <f ca="1">IF(DADOS!$D$50&lt;&gt;"","Preencher os Dados do Responsável pela Fiscalização, na aba DADOS.","")</f>
        <v/>
      </c>
      <c r="K115" s="586"/>
      <c r="L115" s="586"/>
      <c r="M115" s="586"/>
      <c r="W115" s="800"/>
      <c r="X115" s="800"/>
      <c r="Y115" s="800"/>
      <c r="Z115" s="800"/>
    </row>
    <row r="116" spans="4:26" x14ac:dyDescent="0.2">
      <c r="E116" s="9" t="s">
        <v>694</v>
      </c>
      <c r="J116" s="182" t="s">
        <v>842</v>
      </c>
      <c r="W116" s="182" t="s">
        <v>867</v>
      </c>
    </row>
    <row r="117" spans="4:26" x14ac:dyDescent="0.2">
      <c r="J117" s="77" t="s">
        <v>240</v>
      </c>
      <c r="K117" s="272">
        <f t="array" ref="K117:K120">Import.RespFiscalização</f>
        <v>0</v>
      </c>
      <c r="L117" s="78"/>
      <c r="W117" s="77" t="s">
        <v>240</v>
      </c>
      <c r="X117" s="798"/>
      <c r="Y117" s="798"/>
      <c r="Z117" s="798"/>
    </row>
    <row r="118" spans="4:26" x14ac:dyDescent="0.2">
      <c r="E118" s="460">
        <f>DADOS!$C$48</f>
        <v>0</v>
      </c>
      <c r="J118" s="77" t="s">
        <v>320</v>
      </c>
      <c r="K118" s="272">
        <v>0</v>
      </c>
      <c r="L118" s="78"/>
      <c r="W118" s="77" t="s">
        <v>868</v>
      </c>
      <c r="X118" s="798"/>
      <c r="Y118" s="798"/>
      <c r="Z118" s="798"/>
    </row>
    <row r="119" spans="4:26" x14ac:dyDescent="0.2">
      <c r="E119" s="141" t="s">
        <v>695</v>
      </c>
      <c r="J119" s="77" t="s">
        <v>243</v>
      </c>
      <c r="K119" s="272">
        <v>0</v>
      </c>
      <c r="L119" s="78"/>
      <c r="W119" s="77" t="s">
        <v>243</v>
      </c>
      <c r="X119" s="798"/>
      <c r="Y119" s="798"/>
      <c r="Z119" s="798"/>
    </row>
    <row r="120" spans="4:26" x14ac:dyDescent="0.2">
      <c r="J120" s="77" t="s">
        <v>246</v>
      </c>
      <c r="K120" s="12">
        <v>0</v>
      </c>
      <c r="W120" s="77"/>
      <c r="X120" s="12"/>
    </row>
  </sheetData>
  <sheetProtection algorithmName="SHA-512" hashValue="zF4K2uDLx4qDgy3oV8RdbeBQYDPRhB4oxDn4+lpyyNag3vcYq99qO7W028iApLthRdZJL4UX6uGBNFVD2epE4Q==" saltValue="76FPdyp8T7zSENI7PBxcuw==" spinCount="100000" sheet="1" objects="1" scenarios="1" autoFilter="0"/>
  <autoFilter ref="C15:C105" xr:uid="{00000000-0009-0000-0000-00000B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112:L112"/>
    <mergeCell ref="D113:I113"/>
    <mergeCell ref="AB15:AM15"/>
    <mergeCell ref="D107:O107"/>
    <mergeCell ref="T107:Z107"/>
    <mergeCell ref="D108:O110"/>
    <mergeCell ref="T108:Z110"/>
    <mergeCell ref="D15:E15"/>
    <mergeCell ref="X119:Z119"/>
    <mergeCell ref="D114:O114"/>
    <mergeCell ref="W115:Z115"/>
    <mergeCell ref="X117:Z117"/>
    <mergeCell ref="X118:Z118"/>
  </mergeCells>
  <phoneticPr fontId="38" type="noConversion"/>
  <conditionalFormatting sqref="D14:O14 T14:Z14 D16:O16 T16:Z16 T18:Z19 D18:O19 D30:O32 T30:Z32 D48:O104 T48:Z104">
    <cfRule type="expression" dxfId="147" priority="13644" stopIfTrue="1">
      <formula>OR(ACOMPANHAMENTO="PLE",TIPOORCAMENTO="Proposto",$L14&lt;0,AND($L14&gt;100,RegimeExecucao="Global"),$O14&gt;$I14,$O14&lt;0)</formula>
    </cfRule>
    <cfRule type="expression" dxfId="146" priority="13645" stopIfTrue="1">
      <formula>$A14=1</formula>
    </cfRule>
    <cfRule type="expression" dxfId="145" priority="13646" stopIfTrue="1">
      <formula>$A14&lt;&gt;"S"</formula>
    </cfRule>
  </conditionalFormatting>
  <conditionalFormatting sqref="Q14:R14 AB14:AM14 Q16:R16 AB16:AM16 AB18:AM19 Q18:R19 Q30:R32 AB30:AM32 Q48:R104 AB48:AM104">
    <cfRule type="expression" dxfId="144" priority="13647" stopIfTrue="1">
      <formula>$A14=1</formula>
    </cfRule>
    <cfRule type="expression" dxfId="143" priority="13648" stopIfTrue="1">
      <formula>$A14&lt;&gt;"S"</formula>
    </cfRule>
  </conditionalFormatting>
  <conditionalFormatting sqref="E2">
    <cfRule type="expression" dxfId="142" priority="13649" stopIfTrue="1">
      <formula>Import.RegimeExecução="(SELECIONAR)"</formula>
    </cfRule>
  </conditionalFormatting>
  <conditionalFormatting sqref="F13:H13">
    <cfRule type="expression" dxfId="141" priority="13650" stopIfTrue="1">
      <formula>RegimeExecucao="Global"</formula>
    </cfRule>
  </conditionalFormatting>
  <conditionalFormatting sqref="D15:O15">
    <cfRule type="expression" dxfId="140" priority="13651" stopIfTrue="1">
      <formula>OR(ACOMPANHAMENTO="PLE",TIPOORCAMENTO="Proposto")</formula>
    </cfRule>
  </conditionalFormatting>
  <conditionalFormatting sqref="AB13">
    <cfRule type="cellIs" dxfId="139" priority="13652" stopIfTrue="1" operator="notEqual">
      <formula>1</formula>
    </cfRule>
  </conditionalFormatting>
  <conditionalFormatting sqref="O11">
    <cfRule type="expression" dxfId="138" priority="8511">
      <formula>ROUND($P$11,4)&gt;ROUND($P$10,4)</formula>
    </cfRule>
  </conditionalFormatting>
  <conditionalFormatting sqref="T17:Z17 D17:O17">
    <cfRule type="expression" dxfId="137" priority="491" stopIfTrue="1">
      <formula>OR(ACOMPANHAMENTO="PLE",TIPOORCAMENTO="Proposto",$L17&lt;0,AND($L17&gt;100,RegimeExecucao="Global"),$O17&gt;$I17,$O17&lt;0)</formula>
    </cfRule>
    <cfRule type="expression" dxfId="136" priority="492" stopIfTrue="1">
      <formula>$A17=1</formula>
    </cfRule>
    <cfRule type="expression" dxfId="135" priority="493" stopIfTrue="1">
      <formula>$A17&lt;&gt;"S"</formula>
    </cfRule>
  </conditionalFormatting>
  <conditionalFormatting sqref="AB17:AM17 Q17:R17">
    <cfRule type="expression" dxfId="134" priority="494" stopIfTrue="1">
      <formula>$A17=1</formula>
    </cfRule>
    <cfRule type="expression" dxfId="133" priority="495" stopIfTrue="1">
      <formula>$A17&lt;&gt;"S"</formula>
    </cfRule>
  </conditionalFormatting>
  <conditionalFormatting sqref="D33:O34 T33:Z34 T36:Z36 D36:O36">
    <cfRule type="expression" dxfId="132" priority="111" stopIfTrue="1">
      <formula>OR(ACOMPANHAMENTO="PLE",TIPOORCAMENTO="Proposto",$L33&lt;0,AND($L33&gt;100,RegimeExecucao="Global"),$O33&gt;$I33,$O33&lt;0)</formula>
    </cfRule>
    <cfRule type="expression" dxfId="131" priority="112" stopIfTrue="1">
      <formula>$A33=1</formula>
    </cfRule>
    <cfRule type="expression" dxfId="130" priority="113" stopIfTrue="1">
      <formula>$A33&lt;&gt;"S"</formula>
    </cfRule>
  </conditionalFormatting>
  <conditionalFormatting sqref="Q33:R34 AB33:AM34 AB36:AM36 Q36:R36">
    <cfRule type="expression" dxfId="129" priority="114" stopIfTrue="1">
      <formula>$A33=1</formula>
    </cfRule>
    <cfRule type="expression" dxfId="128" priority="115" stopIfTrue="1">
      <formula>$A33&lt;&gt;"S"</formula>
    </cfRule>
  </conditionalFormatting>
  <conditionalFormatting sqref="D20:O20 T20:Z20">
    <cfRule type="expression" dxfId="127" priority="106" stopIfTrue="1">
      <formula>OR(ACOMPANHAMENTO="PLE",TIPOORCAMENTO="Proposto",$L20&lt;0,AND($L20&gt;100,RegimeExecucao="Global"),$O20&gt;$I20,$O20&lt;0)</formula>
    </cfRule>
    <cfRule type="expression" dxfId="126" priority="107" stopIfTrue="1">
      <formula>$A20=1</formula>
    </cfRule>
    <cfRule type="expression" dxfId="125" priority="108" stopIfTrue="1">
      <formula>$A20&lt;&gt;"S"</formula>
    </cfRule>
  </conditionalFormatting>
  <conditionalFormatting sqref="Q20:R20 AB20:AM20">
    <cfRule type="expression" dxfId="124" priority="109" stopIfTrue="1">
      <formula>$A20=1</formula>
    </cfRule>
    <cfRule type="expression" dxfId="123" priority="110" stopIfTrue="1">
      <formula>$A20&lt;&gt;"S"</formula>
    </cfRule>
  </conditionalFormatting>
  <conditionalFormatting sqref="D41:O41 T41:Z41">
    <cfRule type="expression" dxfId="122" priority="101" stopIfTrue="1">
      <formula>OR(ACOMPANHAMENTO="PLE",TIPOORCAMENTO="Proposto",$L41&lt;0,AND($L41&gt;100,RegimeExecucao="Global"),$O41&gt;$I41,$O41&lt;0)</formula>
    </cfRule>
    <cfRule type="expression" dxfId="121" priority="102" stopIfTrue="1">
      <formula>$A41=1</formula>
    </cfRule>
    <cfRule type="expression" dxfId="120" priority="103" stopIfTrue="1">
      <formula>$A41&lt;&gt;"S"</formula>
    </cfRule>
  </conditionalFormatting>
  <conditionalFormatting sqref="Q41:R41 AB41:AM41">
    <cfRule type="expression" dxfId="119" priority="104" stopIfTrue="1">
      <formula>$A41=1</formula>
    </cfRule>
    <cfRule type="expression" dxfId="118" priority="105" stopIfTrue="1">
      <formula>$A41&lt;&gt;"S"</formula>
    </cfRule>
  </conditionalFormatting>
  <conditionalFormatting sqref="D42:O43 T42:Z43">
    <cfRule type="expression" dxfId="117" priority="96" stopIfTrue="1">
      <formula>OR(ACOMPANHAMENTO="PLE",TIPOORCAMENTO="Proposto",$L42&lt;0,AND($L42&gt;100,RegimeExecucao="Global"),$O42&gt;$I42,$O42&lt;0)</formula>
    </cfRule>
    <cfRule type="expression" dxfId="116" priority="97" stopIfTrue="1">
      <formula>$A42=1</formula>
    </cfRule>
    <cfRule type="expression" dxfId="115" priority="98" stopIfTrue="1">
      <formula>$A42&lt;&gt;"S"</formula>
    </cfRule>
  </conditionalFormatting>
  <conditionalFormatting sqref="Q42:R43 AB42:AM43">
    <cfRule type="expression" dxfId="114" priority="99" stopIfTrue="1">
      <formula>$A42=1</formula>
    </cfRule>
    <cfRule type="expression" dxfId="113" priority="100" stopIfTrue="1">
      <formula>$A42&lt;&gt;"S"</formula>
    </cfRule>
  </conditionalFormatting>
  <conditionalFormatting sqref="D46:O47 T46:Z47">
    <cfRule type="expression" dxfId="112" priority="91" stopIfTrue="1">
      <formula>OR(ACOMPANHAMENTO="PLE",TIPOORCAMENTO="Proposto",$L46&lt;0,AND($L46&gt;100,RegimeExecucao="Global"),$O46&gt;$I46,$O46&lt;0)</formula>
    </cfRule>
    <cfRule type="expression" dxfId="111" priority="92" stopIfTrue="1">
      <formula>$A46=1</formula>
    </cfRule>
    <cfRule type="expression" dxfId="110" priority="93" stopIfTrue="1">
      <formula>$A46&lt;&gt;"S"</formula>
    </cfRule>
  </conditionalFormatting>
  <conditionalFormatting sqref="Q46:R47 AB46:AM47">
    <cfRule type="expression" dxfId="109" priority="94" stopIfTrue="1">
      <formula>$A46=1</formula>
    </cfRule>
    <cfRule type="expression" dxfId="108" priority="95" stopIfTrue="1">
      <formula>$A46&lt;&gt;"S"</formula>
    </cfRule>
  </conditionalFormatting>
  <conditionalFormatting sqref="D22:O23 T22:Z23">
    <cfRule type="expression" dxfId="107" priority="76" stopIfTrue="1">
      <formula>OR(ACOMPANHAMENTO="PLE",TIPOORCAMENTO="Proposto",$L22&lt;0,AND($L22&gt;100,RegimeExecucao="Global"),$O22&gt;$I22,$O22&lt;0)</formula>
    </cfRule>
    <cfRule type="expression" dxfId="106" priority="77" stopIfTrue="1">
      <formula>$A22=1</formula>
    </cfRule>
    <cfRule type="expression" dxfId="105" priority="78" stopIfTrue="1">
      <formula>$A22&lt;&gt;"S"</formula>
    </cfRule>
  </conditionalFormatting>
  <conditionalFormatting sqref="Q22:R23 AB22:AM23">
    <cfRule type="expression" dxfId="104" priority="79" stopIfTrue="1">
      <formula>$A22=1</formula>
    </cfRule>
    <cfRule type="expression" dxfId="103" priority="80" stopIfTrue="1">
      <formula>$A22&lt;&gt;"S"</formula>
    </cfRule>
  </conditionalFormatting>
  <conditionalFormatting sqref="D35:O35 T35:Z35">
    <cfRule type="expression" dxfId="102" priority="66" stopIfTrue="1">
      <formula>OR(ACOMPANHAMENTO="PLE",TIPOORCAMENTO="Proposto",$L35&lt;0,AND($L35&gt;100,RegimeExecucao="Global"),$O35&gt;$I35,$O35&lt;0)</formula>
    </cfRule>
    <cfRule type="expression" dxfId="101" priority="67" stopIfTrue="1">
      <formula>$A35=1</formula>
    </cfRule>
    <cfRule type="expression" dxfId="100" priority="68" stopIfTrue="1">
      <formula>$A35&lt;&gt;"S"</formula>
    </cfRule>
  </conditionalFormatting>
  <conditionalFormatting sqref="Q35:R35 AB35:AM35">
    <cfRule type="expression" dxfId="99" priority="69" stopIfTrue="1">
      <formula>$A35=1</formula>
    </cfRule>
    <cfRule type="expression" dxfId="98" priority="70" stopIfTrue="1">
      <formula>$A35&lt;&gt;"S"</formula>
    </cfRule>
  </conditionalFormatting>
  <conditionalFormatting sqref="D44:O44 T44:Z44">
    <cfRule type="expression" dxfId="97" priority="61" stopIfTrue="1">
      <formula>OR(ACOMPANHAMENTO="PLE",TIPOORCAMENTO="Proposto",$L44&lt;0,AND($L44&gt;100,RegimeExecucao="Global"),$O44&gt;$I44,$O44&lt;0)</formula>
    </cfRule>
    <cfRule type="expression" dxfId="96" priority="62" stopIfTrue="1">
      <formula>$A44=1</formula>
    </cfRule>
    <cfRule type="expression" dxfId="95" priority="63" stopIfTrue="1">
      <formula>$A44&lt;&gt;"S"</formula>
    </cfRule>
  </conditionalFormatting>
  <conditionalFormatting sqref="Q44:R44 AB44:AM44">
    <cfRule type="expression" dxfId="94" priority="64" stopIfTrue="1">
      <formula>$A44=1</formula>
    </cfRule>
    <cfRule type="expression" dxfId="93" priority="65" stopIfTrue="1">
      <formula>$A44&lt;&gt;"S"</formula>
    </cfRule>
  </conditionalFormatting>
  <conditionalFormatting sqref="D45:O45 T45:Z45">
    <cfRule type="expression" dxfId="92" priority="56" stopIfTrue="1">
      <formula>OR(ACOMPANHAMENTO="PLE",TIPOORCAMENTO="Proposto",$L45&lt;0,AND($L45&gt;100,RegimeExecucao="Global"),$O45&gt;$I45,$O45&lt;0)</formula>
    </cfRule>
    <cfRule type="expression" dxfId="91" priority="57" stopIfTrue="1">
      <formula>$A45=1</formula>
    </cfRule>
    <cfRule type="expression" dxfId="90" priority="58" stopIfTrue="1">
      <formula>$A45&lt;&gt;"S"</formula>
    </cfRule>
  </conditionalFormatting>
  <conditionalFormatting sqref="Q45:R45 AB45:AM45">
    <cfRule type="expression" dxfId="89" priority="59" stopIfTrue="1">
      <formula>$A45=1</formula>
    </cfRule>
    <cfRule type="expression" dxfId="88" priority="60" stopIfTrue="1">
      <formula>$A45&lt;&gt;"S"</formula>
    </cfRule>
  </conditionalFormatting>
  <conditionalFormatting sqref="D25:O25 T25:Z25">
    <cfRule type="expression" dxfId="87" priority="51" stopIfTrue="1">
      <formula>OR(ACOMPANHAMENTO="PLE",TIPOORCAMENTO="Proposto",$L25&lt;0,AND($L25&gt;100,RegimeExecucao="Global"),$O25&gt;$I25,$O25&lt;0)</formula>
    </cfRule>
    <cfRule type="expression" dxfId="86" priority="52" stopIfTrue="1">
      <formula>$A25=1</formula>
    </cfRule>
    <cfRule type="expression" dxfId="85" priority="53" stopIfTrue="1">
      <formula>$A25&lt;&gt;"S"</formula>
    </cfRule>
  </conditionalFormatting>
  <conditionalFormatting sqref="Q25:R25 AB25:AM25">
    <cfRule type="expression" dxfId="84" priority="54" stopIfTrue="1">
      <formula>$A25=1</formula>
    </cfRule>
    <cfRule type="expression" dxfId="83" priority="55" stopIfTrue="1">
      <formula>$A25&lt;&gt;"S"</formula>
    </cfRule>
  </conditionalFormatting>
  <conditionalFormatting sqref="D26:O27 T26:Z27">
    <cfRule type="expression" dxfId="82" priority="46" stopIfTrue="1">
      <formula>OR(ACOMPANHAMENTO="PLE",TIPOORCAMENTO="Proposto",$L26&lt;0,AND($L26&gt;100,RegimeExecucao="Global"),$O26&gt;$I26,$O26&lt;0)</formula>
    </cfRule>
    <cfRule type="expression" dxfId="81" priority="47" stopIfTrue="1">
      <formula>$A26=1</formula>
    </cfRule>
    <cfRule type="expression" dxfId="80" priority="48" stopIfTrue="1">
      <formula>$A26&lt;&gt;"S"</formula>
    </cfRule>
  </conditionalFormatting>
  <conditionalFormatting sqref="Q26:R27 AB26:AM27">
    <cfRule type="expression" dxfId="79" priority="49" stopIfTrue="1">
      <formula>$A26=1</formula>
    </cfRule>
    <cfRule type="expression" dxfId="78" priority="50" stopIfTrue="1">
      <formula>$A26&lt;&gt;"S"</formula>
    </cfRule>
  </conditionalFormatting>
  <conditionalFormatting sqref="D24:O24 T24:Z24">
    <cfRule type="expression" dxfId="77" priority="41" stopIfTrue="1">
      <formula>OR(ACOMPANHAMENTO="PLE",TIPOORCAMENTO="Proposto",$L24&lt;0,AND($L24&gt;100,RegimeExecucao="Global"),$O24&gt;$I24,$O24&lt;0)</formula>
    </cfRule>
    <cfRule type="expression" dxfId="76" priority="42" stopIfTrue="1">
      <formula>$A24=1</formula>
    </cfRule>
    <cfRule type="expression" dxfId="75" priority="43" stopIfTrue="1">
      <formula>$A24&lt;&gt;"S"</formula>
    </cfRule>
  </conditionalFormatting>
  <conditionalFormatting sqref="Q24:R24 AB24:AM24">
    <cfRule type="expression" dxfId="74" priority="44" stopIfTrue="1">
      <formula>$A24=1</formula>
    </cfRule>
    <cfRule type="expression" dxfId="73" priority="45" stopIfTrue="1">
      <formula>$A24&lt;&gt;"S"</formula>
    </cfRule>
  </conditionalFormatting>
  <conditionalFormatting sqref="D28:O29 T28:Z29">
    <cfRule type="expression" dxfId="72" priority="36" stopIfTrue="1">
      <formula>OR(ACOMPANHAMENTO="PLE",TIPOORCAMENTO="Proposto",$L28&lt;0,AND($L28&gt;100,RegimeExecucao="Global"),$O28&gt;$I28,$O28&lt;0)</formula>
    </cfRule>
    <cfRule type="expression" dxfId="71" priority="37" stopIfTrue="1">
      <formula>$A28=1</formula>
    </cfRule>
    <cfRule type="expression" dxfId="70" priority="38" stopIfTrue="1">
      <formula>$A28&lt;&gt;"S"</formula>
    </cfRule>
  </conditionalFormatting>
  <conditionalFormatting sqref="Q28:R29 AB28:AM29">
    <cfRule type="expression" dxfId="69" priority="39" stopIfTrue="1">
      <formula>$A28=1</formula>
    </cfRule>
    <cfRule type="expression" dxfId="68" priority="40" stopIfTrue="1">
      <formula>$A28&lt;&gt;"S"</formula>
    </cfRule>
  </conditionalFormatting>
  <conditionalFormatting sqref="D37:O37 T37:Z37">
    <cfRule type="expression" dxfId="67" priority="26" stopIfTrue="1">
      <formula>OR(ACOMPANHAMENTO="PLE",TIPOORCAMENTO="Proposto",$L37&lt;0,AND($L37&gt;100,RegimeExecucao="Global"),$O37&gt;$I37,$O37&lt;0)</formula>
    </cfRule>
    <cfRule type="expression" dxfId="66" priority="27" stopIfTrue="1">
      <formula>$A37=1</formula>
    </cfRule>
    <cfRule type="expression" dxfId="65" priority="28" stopIfTrue="1">
      <formula>$A37&lt;&gt;"S"</formula>
    </cfRule>
  </conditionalFormatting>
  <conditionalFormatting sqref="Q37:R37 AB37:AM37">
    <cfRule type="expression" dxfId="64" priority="29" stopIfTrue="1">
      <formula>$A37=1</formula>
    </cfRule>
    <cfRule type="expression" dxfId="63" priority="30" stopIfTrue="1">
      <formula>$A37&lt;&gt;"S"</formula>
    </cfRule>
  </conditionalFormatting>
  <conditionalFormatting sqref="D38:O38 T38:Z38">
    <cfRule type="expression" dxfId="62" priority="21" stopIfTrue="1">
      <formula>OR(ACOMPANHAMENTO="PLE",TIPOORCAMENTO="Proposto",$L38&lt;0,AND($L38&gt;100,RegimeExecucao="Global"),$O38&gt;$I38,$O38&lt;0)</formula>
    </cfRule>
    <cfRule type="expression" dxfId="61" priority="22" stopIfTrue="1">
      <formula>$A38=1</formula>
    </cfRule>
    <cfRule type="expression" dxfId="60" priority="23" stopIfTrue="1">
      <formula>$A38&lt;&gt;"S"</formula>
    </cfRule>
  </conditionalFormatting>
  <conditionalFormatting sqref="Q38:R38 AB38:AM38">
    <cfRule type="expression" dxfId="59" priority="24" stopIfTrue="1">
      <formula>$A38=1</formula>
    </cfRule>
    <cfRule type="expression" dxfId="58" priority="25" stopIfTrue="1">
      <formula>$A38&lt;&gt;"S"</formula>
    </cfRule>
  </conditionalFormatting>
  <conditionalFormatting sqref="D21:O21 T21:Z21">
    <cfRule type="expression" dxfId="57" priority="16" stopIfTrue="1">
      <formula>OR(ACOMPANHAMENTO="PLE",TIPOORCAMENTO="Proposto",$L21&lt;0,AND($L21&gt;100,RegimeExecucao="Global"),$O21&gt;$I21,$O21&lt;0)</formula>
    </cfRule>
    <cfRule type="expression" dxfId="56" priority="17" stopIfTrue="1">
      <formula>$A21=1</formula>
    </cfRule>
    <cfRule type="expression" dxfId="55" priority="18" stopIfTrue="1">
      <formula>$A21&lt;&gt;"S"</formula>
    </cfRule>
  </conditionalFormatting>
  <conditionalFormatting sqref="Q21:R21 AB21:AM21">
    <cfRule type="expression" dxfId="54" priority="19" stopIfTrue="1">
      <formula>$A21=1</formula>
    </cfRule>
    <cfRule type="expression" dxfId="53" priority="20" stopIfTrue="1">
      <formula>$A21&lt;&gt;"S"</formula>
    </cfRule>
  </conditionalFormatting>
  <conditionalFormatting sqref="D39:O40 T39:Z40">
    <cfRule type="expression" dxfId="52" priority="6" stopIfTrue="1">
      <formula>OR(ACOMPANHAMENTO="PLE",TIPOORCAMENTO="Proposto",$L39&lt;0,AND($L39&gt;100,RegimeExecucao="Global"),$O39&gt;$I39,$O39&lt;0)</formula>
    </cfRule>
    <cfRule type="expression" dxfId="51" priority="7" stopIfTrue="1">
      <formula>$A39=1</formula>
    </cfRule>
    <cfRule type="expression" dxfId="50" priority="8" stopIfTrue="1">
      <formula>$A39&lt;&gt;"S"</formula>
    </cfRule>
  </conditionalFormatting>
  <conditionalFormatting sqref="Q39:R40 AB39:AM40">
    <cfRule type="expression" dxfId="49" priority="9" stopIfTrue="1">
      <formula>$A39=1</formula>
    </cfRule>
    <cfRule type="expression" dxfId="48" priority="10" stopIfTrue="1">
      <formula>$A39&lt;&gt;"S"</formula>
    </cfRule>
  </conditionalFormatting>
  <dataValidations count="4">
    <dataValidation type="list" allowBlank="1" showErrorMessage="1" sqref="Z14 Z16:Z104"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104"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104"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&amp;LPMv3.12&amp;R&amp;P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41" width="9.140625" hidden="1" customWidth="1"/>
  </cols>
  <sheetData>
    <row r="1" spans="1:41" ht="30" customHeight="1" x14ac:dyDescent="0.2">
      <c r="F1" s="347" t="str">
        <f>CONCATENATE("RRE - RELATÓRIO RESUMO DO EMPREENDIMENTO - ",IF(CAIXA.Modo,"CAIXA","TOMADOR"))</f>
        <v>RRE - RELATÓRIO RESUMO DO EMPREENDIMENTO - TOMADOR</v>
      </c>
      <c r="H1" s="8"/>
      <c r="I1" s="8"/>
      <c r="P1" s="493" t="s">
        <v>869</v>
      </c>
      <c r="AD1" s="648" t="s">
        <v>870</v>
      </c>
      <c r="AE1" s="348" t="s">
        <v>871</v>
      </c>
    </row>
    <row r="2" spans="1:41" x14ac:dyDescent="0.2">
      <c r="AC2" s="349" t="str">
        <f>J25</f>
        <v>Repasse</v>
      </c>
      <c r="AD2" s="350">
        <f ca="1">AD6-AD4-AD3</f>
        <v>0</v>
      </c>
      <c r="AE2" s="350">
        <f ca="1">AE6-AE4-AE3</f>
        <v>0</v>
      </c>
    </row>
    <row r="3" spans="1:41" x14ac:dyDescent="0.2">
      <c r="E3" s="717" t="s">
        <v>653</v>
      </c>
      <c r="F3" s="717"/>
      <c r="G3" s="717"/>
      <c r="H3" s="717"/>
      <c r="I3" s="708" t="s">
        <v>651</v>
      </c>
      <c r="J3" s="708"/>
      <c r="K3" s="708"/>
      <c r="L3" s="88" t="s">
        <v>708</v>
      </c>
      <c r="M3" s="147"/>
      <c r="O3" s="351"/>
      <c r="P3" s="275" t="s">
        <v>716</v>
      </c>
      <c r="R3" s="147"/>
      <c r="S3" s="147"/>
      <c r="T3" s="147"/>
      <c r="U3" s="147"/>
      <c r="AC3" s="349" t="s">
        <v>457</v>
      </c>
      <c r="AD3" s="350">
        <f ca="1">SUM(T13:OFFSET(T24,-1,0))</f>
        <v>0</v>
      </c>
      <c r="AE3" s="350">
        <f ca="1">IF(OR($O$28&lt;$M$28,$M$26&gt;$AD$3),MIN($M$26,$L$26),MIN($AD$3,$N$28-$N$27+$M$26))</f>
        <v>0</v>
      </c>
    </row>
    <row r="4" spans="1:41" ht="12.75" customHeight="1" x14ac:dyDescent="0.2">
      <c r="E4" s="722" t="str">
        <f>Import.Proponente</f>
        <v>CONSÓRCIO INTERMUNICIPAL DO MÉDIO ALTO URUGUAI - CIMAU</v>
      </c>
      <c r="F4" s="722"/>
      <c r="G4" s="722"/>
      <c r="H4" s="722"/>
      <c r="I4" s="711" t="str">
        <f>Import.CR</f>
        <v>0</v>
      </c>
      <c r="J4" s="711"/>
      <c r="K4" s="711"/>
      <c r="L4" s="56" t="str">
        <f>Import.TransfereGOV</f>
        <v>0</v>
      </c>
      <c r="M4" s="810" t="s">
        <v>810</v>
      </c>
      <c r="N4" s="811"/>
      <c r="O4" s="812"/>
      <c r="P4" s="352" t="str">
        <f>import.recurso</f>
        <v>OGU</v>
      </c>
      <c r="R4" s="147"/>
      <c r="S4" s="147"/>
      <c r="T4" s="351"/>
      <c r="U4" s="351"/>
      <c r="AC4" s="349" t="s">
        <v>872</v>
      </c>
      <c r="AD4" s="350">
        <f ca="1">SUM(U13:OFFSET(U24,-1,0))</f>
        <v>0</v>
      </c>
      <c r="AE4" s="350">
        <f ca="1">IF(OR($O$28&lt;$M$28,$M$27&gt;$AD$4),MIN($M$27,$L$27),MIN($AD$4,$N$28+$M$27))</f>
        <v>0</v>
      </c>
    </row>
    <row r="5" spans="1:41" ht="5.0999999999999996" customHeight="1" x14ac:dyDescent="0.2">
      <c r="H5" s="278"/>
      <c r="I5" s="278"/>
      <c r="J5" s="278"/>
      <c r="K5" s="278"/>
      <c r="L5" s="278"/>
      <c r="M5" s="353"/>
      <c r="N5" s="266"/>
      <c r="O5" s="4"/>
      <c r="R5" s="147"/>
      <c r="S5" s="147"/>
      <c r="T5" s="147"/>
      <c r="U5" s="147"/>
    </row>
    <row r="6" spans="1:41" ht="12.75" customHeight="1" x14ac:dyDescent="0.2">
      <c r="E6" s="708" t="s">
        <v>709</v>
      </c>
      <c r="F6" s="708"/>
      <c r="G6" s="708"/>
      <c r="H6" s="708"/>
      <c r="I6" s="837" t="s">
        <v>809</v>
      </c>
      <c r="J6" s="837"/>
      <c r="K6" s="837"/>
      <c r="L6" s="837"/>
      <c r="M6" s="55" t="str">
        <f>IF(import.recurso="FGTS","FINANCIAMENTO","REPASSE")</f>
        <v>REPASSE</v>
      </c>
      <c r="N6" s="97" t="s">
        <v>811</v>
      </c>
      <c r="O6" s="55" t="s">
        <v>812</v>
      </c>
      <c r="P6" s="148" t="s">
        <v>873</v>
      </c>
      <c r="R6" s="147"/>
      <c r="S6" s="147"/>
      <c r="T6" s="147"/>
      <c r="U6" s="147"/>
      <c r="AC6" s="349" t="s">
        <v>874</v>
      </c>
      <c r="AD6" s="350">
        <f ca="1">$O$28</f>
        <v>0</v>
      </c>
      <c r="AE6" s="350">
        <f ca="1">AD6</f>
        <v>0</v>
      </c>
    </row>
    <row r="7" spans="1:41" ht="12.75" customHeight="1" x14ac:dyDescent="0.2">
      <c r="D7" s="680" t="s">
        <v>656</v>
      </c>
      <c r="E7" s="711" t="str">
        <f>Import.Apelido</f>
        <v>REFORMA CASA DA CRIANÇA</v>
      </c>
      <c r="F7" s="711"/>
      <c r="G7" s="711"/>
      <c r="H7" s="711"/>
      <c r="I7" s="834" t="str">
        <f>Import.Município</f>
        <v>RODEIO BONITO/RS</v>
      </c>
      <c r="J7" s="834"/>
      <c r="K7" s="834"/>
      <c r="L7" s="834"/>
      <c r="M7" s="354">
        <f>Import.Repasse</f>
        <v>0</v>
      </c>
      <c r="N7" s="355">
        <f>Import.Contrapartida</f>
        <v>0</v>
      </c>
      <c r="O7" s="354">
        <f>M7+N7</f>
        <v>0</v>
      </c>
      <c r="P7" s="424">
        <f>IF(ACOMPANHAMENTO="PLE",PLE.Medicao,BM.medicao)</f>
        <v>1</v>
      </c>
      <c r="R7" s="147"/>
      <c r="S7" s="147"/>
      <c r="T7" s="147"/>
      <c r="U7" s="147"/>
    </row>
    <row r="8" spans="1:41" x14ac:dyDescent="0.2">
      <c r="D8" s="680"/>
      <c r="E8" s="93"/>
      <c r="F8" s="93"/>
      <c r="G8" s="93"/>
      <c r="H8" s="93"/>
      <c r="I8" s="93"/>
      <c r="J8" s="93"/>
      <c r="K8" s="93"/>
      <c r="L8" s="93"/>
      <c r="M8" s="93"/>
      <c r="N8" s="93"/>
      <c r="O8" s="93"/>
      <c r="P8" s="93"/>
      <c r="R8" s="147"/>
      <c r="S8" s="147"/>
      <c r="T8" s="147"/>
      <c r="U8" s="147"/>
    </row>
    <row r="9" spans="1:41" ht="12.75" customHeight="1" x14ac:dyDescent="0.2">
      <c r="D9" s="680"/>
      <c r="G9" s="835" t="s">
        <v>875</v>
      </c>
      <c r="H9" s="835"/>
      <c r="I9" s="835" t="s">
        <v>876</v>
      </c>
      <c r="J9" s="835"/>
      <c r="K9" s="356"/>
      <c r="L9" s="836" t="s">
        <v>816</v>
      </c>
      <c r="M9" s="357" t="s">
        <v>819</v>
      </c>
      <c r="N9" s="279" t="s">
        <v>742</v>
      </c>
      <c r="P9" s="358"/>
      <c r="R9" s="147"/>
      <c r="S9" s="147"/>
      <c r="T9" s="147"/>
      <c r="U9" s="147"/>
      <c r="V9" s="7" t="s">
        <v>877</v>
      </c>
    </row>
    <row r="10" spans="1:41" ht="12.75" customHeight="1" x14ac:dyDescent="0.2">
      <c r="D10" s="680"/>
      <c r="G10" s="683" t="e">
        <f ca="1">IF(J10="-","-",IF($P$24&lt;J10,"Atrasada",IF($P$24&gt;J10,"Adiantada","Normal")))</f>
        <v>#N/A</v>
      </c>
      <c r="H10" s="683"/>
      <c r="I10" s="359">
        <f>DATE(YEAR($L$35),MONTH($L$35),1)</f>
        <v>1</v>
      </c>
      <c r="J10" s="360" t="e">
        <f ca="1">IF($I$10&lt;DATE(YEAR(CRONO!$U$13),MONTH(CRONO!$U$13),1),0,IF($I$10&gt;OFFSET(CRONO!$AG$13,0,-1),1,INDEX(CRONO!$T$44:$AH$44,MATCH(RRE!$I$10,CRONO!$T$13:$AG$13,0))))</f>
        <v>#N/A</v>
      </c>
      <c r="K10" s="356"/>
      <c r="L10" s="836"/>
      <c r="M10" s="361">
        <f ca="1">QCI!L10</f>
        <v>0</v>
      </c>
      <c r="N10" s="281">
        <f ca="1">QCI!M10</f>
        <v>-290574.24</v>
      </c>
      <c r="P10" s="358"/>
      <c r="R10" s="147"/>
      <c r="S10" s="147"/>
      <c r="T10" s="147"/>
      <c r="U10" s="147"/>
      <c r="AC10" s="831" t="s">
        <v>76</v>
      </c>
      <c r="AD10" s="831"/>
      <c r="AE10" s="831"/>
      <c r="AF10" s="831"/>
      <c r="AG10" s="831"/>
      <c r="AH10" s="831"/>
      <c r="AJ10" s="831" t="s">
        <v>78</v>
      </c>
      <c r="AK10" s="831"/>
      <c r="AL10" s="831"/>
      <c r="AM10" s="831"/>
      <c r="AN10" s="831"/>
      <c r="AO10" s="831"/>
    </row>
    <row r="11" spans="1:41" ht="20.100000000000001" customHeight="1" x14ac:dyDescent="0.2">
      <c r="D11" s="680"/>
      <c r="M11" s="452" t="str">
        <f>IF(CAIXA.Modo,"Valores Aferidos (R$)","Valores Medidos (R$)")</f>
        <v>Valores Medidos (R$)</v>
      </c>
      <c r="N11" s="452"/>
      <c r="O11" s="452"/>
      <c r="R11" s="362"/>
      <c r="S11" s="362"/>
      <c r="T11" s="452"/>
      <c r="U11" s="452"/>
      <c r="V11" s="449" t="s">
        <v>878</v>
      </c>
      <c r="Y11" s="832" t="str">
        <f>IF(CAIXA.Modo,"Valores Aferidos (R$)","Valores Medidos (R$)")</f>
        <v>Valores Medidos (R$)</v>
      </c>
      <c r="Z11" s="832"/>
      <c r="AC11" s="833" t="s">
        <v>879</v>
      </c>
      <c r="AD11" s="833"/>
      <c r="AE11" s="833"/>
      <c r="AF11" s="833" t="s">
        <v>880</v>
      </c>
      <c r="AG11" s="833"/>
      <c r="AH11" s="833"/>
      <c r="AJ11" s="833" t="s">
        <v>879</v>
      </c>
      <c r="AK11" s="833"/>
      <c r="AL11" s="833"/>
      <c r="AM11" s="833" t="s">
        <v>880</v>
      </c>
      <c r="AN11" s="833"/>
      <c r="AO11" s="833"/>
    </row>
    <row r="12" spans="1:41" ht="30" hidden="1" customHeight="1" x14ac:dyDescent="0.2">
      <c r="A12" t="e">
        <f ca="1">MATCH(E12,ORÇAMENTO!$E$15:$E$105,0)-1</f>
        <v>#N/A</v>
      </c>
      <c r="B12" t="e">
        <f ca="1">IF(ISERROR($A12),NA(),OFFSET(ORÇAMENTO!$D$15,$A12,0))</f>
        <v>#N/A</v>
      </c>
      <c r="C12" t="str">
        <f ca="1">QCI!B12</f>
        <v>Branco</v>
      </c>
      <c r="D12" t="str">
        <f ca="1">IF(L12&gt;0,"F","")</f>
        <v/>
      </c>
      <c r="E12" s="282">
        <f>QCI!D12</f>
        <v>-1</v>
      </c>
      <c r="F12" s="363" t="str">
        <f ca="1">QCI!G12</f>
        <v/>
      </c>
      <c r="G12" s="364">
        <f>QCI!H12</f>
        <v>0</v>
      </c>
      <c r="H12" s="283">
        <f>QCI!I12</f>
        <v>0</v>
      </c>
      <c r="I12" s="283" t="str">
        <f ca="1">QCI!J12</f>
        <v/>
      </c>
      <c r="J12" s="365" t="str">
        <f ca="1">QCI!K12</f>
        <v/>
      </c>
      <c r="K12" s="366" t="str">
        <f ca="1">_xlfn.SINGLE(IF($C12="Automático",IF(_xlfn.SINGLE(ACOMPANHAMENTO)="BM",BM.medicao,PLE.Medicao),IF(ISBLANK($X12),"",$X12)))</f>
        <v/>
      </c>
      <c r="L12" s="287">
        <f ca="1">QCI!$O12</f>
        <v>0</v>
      </c>
      <c r="M12" s="284">
        <f ca="1">ROUND(IF(C12="Automático",AE12+AL12,Y12),2)</f>
        <v>0</v>
      </c>
      <c r="N12" s="285">
        <f ca="1">O12-M12</f>
        <v>0</v>
      </c>
      <c r="O12" s="286">
        <f ca="1">ROUND(IF(C12="Automático",AH12+AO12,Z12),2)</f>
        <v>0</v>
      </c>
      <c r="P12" s="368">
        <f ca="1">O12/(L12+10^-12)</f>
        <v>0</v>
      </c>
      <c r="R12" s="367">
        <f ca="1">ROUND(IF($C12="Automático",AC12+AJ12,$Y12*IF(ISERROR(QCI!$AA12/QCI!$O12),0,QCI!$AA12/QCI!$O12)),2)</f>
        <v>0</v>
      </c>
      <c r="S12" s="367">
        <f ca="1">ROUND(IF($C12="Automático",AD12+AK12,$Y12*IF(ISERROR(QCI!$AB12/QCI!$O12),0,QCI!$AB12/QCI!$O12)),2)</f>
        <v>0</v>
      </c>
      <c r="T12" s="367">
        <f ca="1">ROUND(IF($C12="Automático",AF12+AM12,$Z12*IF(ISERROR(QCI!$AA12/QCI!$O12),0,QCI!$AA12/QCI!$O12)),2)</f>
        <v>0</v>
      </c>
      <c r="U12" s="367">
        <f ca="1">ROUND(IF($C12="Automático",AG12+AN12,$Z12*IF(ISERROR(QCI!$AB12/QCI!$O12),0,QCI!$AB12/QCI!$O12)),2)</f>
        <v>0</v>
      </c>
      <c r="V12" s="450" t="str">
        <f ca="1">IF(AND($L12&gt;0,$J12&lt;&gt;0,$J12&lt;&gt;"",COUNTIF($J12:$J$13,$J12)=1),OFFSET(V12,-1,0)+1,OFFSET(V12,-1,0))</f>
        <v>Lista CTEFs</v>
      </c>
      <c r="X12" s="514"/>
      <c r="Y12" s="288"/>
      <c r="Z12" s="289"/>
      <c r="AC12" s="184" t="e">
        <f ca="1">IF(_xlfn.SINGLE(ACOMPANHAMENTO)&lt;&gt;"PLE",0,SUMPRODUCT((OFFSET(CÁLCULO!$AX$15:$BH$15,$A12,0,$B12)&lt;=(PLE.Medicao-1))*OFFSET(CÁLCULO!$AB$15:$AL$15,$A12,0,$B12)*OFFSET(ORÇAMENTO!$AA$15,$A12,0,$B12)/(OFFSET(ORÇAMENTO!$X$15,$A12,0,$B12)+10^-12))+IF(AUTOEVENTO="Manual",SUMPRODUCT((OFFSET(CÁLCULO!$M$15,$A12,0,$B12)=1)*OFFSET(ORÇAMENTO!$AA$15,$A12,0,$B12)*(PLE!$AE$9-PLE!$Y$9)),0))</f>
        <v>#N/A</v>
      </c>
      <c r="AD12" s="184" t="e">
        <f ca="1">IF(_xlfn.SINGLE(ACOMPANHAMENTO)&lt;&gt;"PLE",0,SUMPRODUCT((OFFSET(CÁLCULO!$AX$15:$BH$15,$A12,0,$B12)&lt;=(PLE.Medicao-1))*OFFSET(CÁLCULO!$AB$15:$AL$15,$A12,0,$B12)*OFFSET(ORÇAMENTO!$AB$15,$A12,0,$B12)/(OFFSET(ORÇAMENTO!$X$15,$A12,0,$B12)+10^-12))+IF(AUTOEVENTO="Manual",SUMPRODUCT((OFFSET(CÁLCULO!$M$15,$A12,0,$B12)=1)*OFFSET(ORÇAMENTO!$AB$15,$A12,0,$B12)*(PLE!$AE$9-PLE!$Y$9)),0))</f>
        <v>#N/A</v>
      </c>
      <c r="AE12" s="184" t="e">
        <f ca="1">ROUND(IF(_xlfn.SINGLE(ACOMPANHAMENTO)&lt;&gt;"PLE",0,SUMIF(OFFSET(CÁLCULO!$AX$15:$BH$15,$A12,0,$B12),"&lt;="&amp;(PLE.Medicao-1),OFFSET(CÁLCULO!$AB$15:$AL$15,$A12,0,$B12))+IF(AUTOEVENTO="Manual",SUMIF(OFFSET(CÁLCULO!$M$15,$A12,0,$B12),1,OFFSET(ORÇAMENTO!$X$15,$A12,0,$B12))*(PLE!$AE$9-PLE!$Y$9),0)),2)</f>
        <v>#N/A</v>
      </c>
      <c r="AF12" s="184" t="e">
        <f ca="1">IF(_xlfn.SINGLE(ACOMPANHAMENTO)&lt;&gt;"PLE",0,SUMPRODUCT((OFFSET(CÁLCULO!$AX$15:$BH$15,$A12,0,$B12)&lt;=PLE.Medicao)*OFFSET(CÁLCULO!$AB$15:$AL$15,$A12,0,$B12)*OFFSET(ORÇAMENTO!$AA$15,$A12,0,$B12)/(OFFSET(ORÇAMENTO!$X$15,$A12,0,$B12)+10^-12))+IF(AUTOEVENTO="Manual",SUMPRODUCT((OFFSET(CÁLCULO!$M$15,$A12,0,$B12)=1)*OFFSET(ORÇAMENTO!$AA$15,$A12,0,$B12)*PLE!$AE$9),0))</f>
        <v>#N/A</v>
      </c>
      <c r="AG12" s="184" t="e">
        <f ca="1">IF(_xlfn.SINGLE(ACOMPANHAMENTO)&lt;&gt;"PLE",0,SUMPRODUCT((OFFSET(CÁLCULO!$AX$15:$BH$15,$A12,0,$B12)&lt;=PLE.Medicao)*OFFSET(CÁLCULO!$AB$15:$AL$15,$A12,0,$B12)*OFFSET(ORÇAMENTO!$AB$15,$A12,0,$B12)/(OFFSET(ORÇAMENTO!$X$15,$A12,0,$B12)+10^-12))+IF(AUTOEVENTO="Manual",SUMPRODUCT((OFFSET(CÁLCULO!$M$15,$A12,0,$B12)=1)*OFFSET(ORÇAMENTO!$AB$15,$A12,0,$B12)*PLE!$AE$9),0))</f>
        <v>#N/A</v>
      </c>
      <c r="AH12" s="184" t="e">
        <f ca="1">ROUND(IF(_xlfn.SINGLE(ACOMPANHAMENTO)&lt;&gt;"PLE",0,SUMIF(OFFSET(CÁLCULO!$AX$15:$BH$15,$A12,0,$B12),"&lt;="&amp;PLE.Medicao,OFFSET(CÁLCULO!$AB$15:$AL$15,$A12,0,$B12))+IF(AUTOEVENTO="Manual",SUMIF(OFFSET(CÁLCULO!$M$15,$A12,0,$B12),1,OFFSET(ORÇAMENTO!$X$15,$A12,0,$B12))*PLE!$AE$9,0)),2)</f>
        <v>#N/A</v>
      </c>
      <c r="AJ12" s="184">
        <f ca="1">IF(_xlfn.SINGLE(ACOMPANHAMENTO)&lt;&gt;"BM",0,SUMPRODUCT(OFFSET(BM!$M$15,$A12,0,$B12)*(OFFSET(BM!$A$15,$A12,0,$B12)="S")*OFFSET(ORÇAMENTO!AA$15,$A12,0,$B12)/(OFFSET(ORÇAMENTO!$X$15,$A12,0,$B12)+10^-12)))</f>
        <v>0</v>
      </c>
      <c r="AK12" s="184">
        <f ca="1">IF(_xlfn.SINGLE(ACOMPANHAMENTO)&lt;&gt;"BM",0,SUMPRODUCT(OFFSET(BM!$M$15,$A12,0,$B12)*(OFFSET(BM!$A$15,$A12,0,$B12)="S")*OFFSET(ORÇAMENTO!AB$15,$A12,0,$B12)/(OFFSET(ORÇAMENTO!$X$15,$A12,0,$B12)+10^-12)))</f>
        <v>0</v>
      </c>
      <c r="AL12" s="184">
        <f ca="1">IF(_xlfn.SINGLE(ACOMPANHAMENTO)&lt;&gt;"BM",0,OFFSET(BM!$M$15,$A12,0))</f>
        <v>0</v>
      </c>
      <c r="AM12" s="184">
        <f ca="1">IF(_xlfn.SINGLE(ACOMPANHAMENTO)&lt;&gt;"BM",0,SUMPRODUCT(OFFSET(BM!$O$15,$A12,0,$B12)*(OFFSET(BM!$A$15,$A12,0,$B12)="S")*OFFSET(ORÇAMENTO!AA$15,$A12,0,$B12)/(OFFSET(ORÇAMENTO!$X$15,$A12,0,$B12)+10^-12)))</f>
        <v>0</v>
      </c>
      <c r="AN12" s="184">
        <f ca="1">IF(_xlfn.SINGLE(ACOMPANHAMENTO)&lt;&gt;"BM",0,SUMPRODUCT(OFFSET(BM!$O$15,$A12,0,$B12)*(OFFSET(BM!$A$15,$A12,0,$B12)="S")*OFFSET(ORÇAMENTO!AB$15,$A12,0,$B12)/(OFFSET(ORÇAMENTO!$X$15,$A12,0,$B12)+10^-12)))</f>
        <v>0</v>
      </c>
      <c r="AO12" s="184">
        <f ca="1">IF(_xlfn.SINGLE(ACOMPANHAMENTO)&lt;&gt;"BM",0,OFFSET(BM!$O$15,$A12,0))</f>
        <v>0</v>
      </c>
    </row>
    <row r="13" spans="1:41" ht="39.950000000000003" customHeight="1" x14ac:dyDescent="0.2">
      <c r="A13" s="291" t="s">
        <v>881</v>
      </c>
      <c r="B13" s="9" t="s">
        <v>726</v>
      </c>
      <c r="C13" s="291" t="s">
        <v>821</v>
      </c>
      <c r="D13" s="107" t="s">
        <v>661</v>
      </c>
      <c r="E13" s="108" t="s">
        <v>702</v>
      </c>
      <c r="F13" s="108" t="s">
        <v>824</v>
      </c>
      <c r="G13" s="108" t="s">
        <v>670</v>
      </c>
      <c r="H13" s="108" t="s">
        <v>713</v>
      </c>
      <c r="I13" s="108" t="s">
        <v>825</v>
      </c>
      <c r="J13" s="108" t="s">
        <v>826</v>
      </c>
      <c r="K13" s="646" t="s">
        <v>882</v>
      </c>
      <c r="L13" s="108" t="s">
        <v>883</v>
      </c>
      <c r="M13" s="646" t="s">
        <v>879</v>
      </c>
      <c r="N13" s="647" t="s">
        <v>884</v>
      </c>
      <c r="O13" s="292" t="s">
        <v>880</v>
      </c>
      <c r="P13" s="108" t="s">
        <v>885</v>
      </c>
      <c r="R13" s="369" t="s">
        <v>886</v>
      </c>
      <c r="S13" s="369" t="s">
        <v>887</v>
      </c>
      <c r="T13" s="369" t="s">
        <v>888</v>
      </c>
      <c r="U13" s="369" t="s">
        <v>889</v>
      </c>
      <c r="V13" s="451"/>
      <c r="X13" s="646" t="s">
        <v>882</v>
      </c>
      <c r="Y13" s="160" t="s">
        <v>879</v>
      </c>
      <c r="Z13" s="161" t="s">
        <v>880</v>
      </c>
      <c r="AC13" s="110" t="s">
        <v>457</v>
      </c>
      <c r="AD13" s="110" t="s">
        <v>872</v>
      </c>
      <c r="AE13" s="110" t="s">
        <v>874</v>
      </c>
      <c r="AF13" s="110" t="s">
        <v>457</v>
      </c>
      <c r="AG13" s="110" t="s">
        <v>872</v>
      </c>
      <c r="AH13" s="110" t="s">
        <v>874</v>
      </c>
      <c r="AJ13" s="110" t="s">
        <v>457</v>
      </c>
      <c r="AK13" s="110" t="s">
        <v>872</v>
      </c>
      <c r="AL13" s="110" t="s">
        <v>874</v>
      </c>
      <c r="AM13" s="110" t="s">
        <v>457</v>
      </c>
      <c r="AN13" s="110" t="s">
        <v>872</v>
      </c>
      <c r="AO13" s="110" t="s">
        <v>874</v>
      </c>
    </row>
    <row r="14" spans="1:41" ht="30" customHeight="1" x14ac:dyDescent="0.2">
      <c r="A14">
        <f ca="1">MATCH(E14,ORÇAMENTO!$E$15:$E$105,0)-1</f>
        <v>1</v>
      </c>
      <c r="B14">
        <f ca="1">IF(ISERROR($A14),NA(),OFFSET(ORÇAMENTO!$D$15,$A14,0))</f>
        <v>89</v>
      </c>
      <c r="C14" t="str">
        <f ca="1">QCI!B14</f>
        <v>Automático</v>
      </c>
      <c r="D14" t="str">
        <f t="shared" ref="D14:D22" ca="1" si="0">IF(L14&gt;0,"F","")</f>
        <v>F</v>
      </c>
      <c r="E14" s="282">
        <f>QCI!D14</f>
        <v>1</v>
      </c>
      <c r="F14" s="363" t="str">
        <f ca="1">QCI!G14</f>
        <v>REFORMA CASA DA CRIANÇA</v>
      </c>
      <c r="G14" s="364">
        <f>QCI!H14</f>
        <v>0</v>
      </c>
      <c r="H14" s="283">
        <f>QCI!I14</f>
        <v>0</v>
      </c>
      <c r="I14" s="283" t="str">
        <f ca="1">QCI!J14</f>
        <v/>
      </c>
      <c r="J14" s="365" t="str">
        <f ca="1">QCI!K14</f>
        <v>LOTE 1</v>
      </c>
      <c r="K14" s="366">
        <f ca="1">_xlfn.SINGLE(IF($C14="Automático",IF(_xlfn.SINGLE(ACOMPANHAMENTO)="BM",BM.medicao,PLE.Medicao),IF(ISBLANK($X14),"",$X14)))</f>
        <v>1</v>
      </c>
      <c r="L14" s="287">
        <f ca="1">QCI!$O14</f>
        <v>290574.24</v>
      </c>
      <c r="M14" s="284">
        <f t="shared" ref="M14:M22" ca="1" si="1">ROUND(IF(C14="Automático",AE14+AL14,Y14),2)</f>
        <v>0</v>
      </c>
      <c r="N14" s="285">
        <f t="shared" ref="N14:N22" ca="1" si="2">O14-M14</f>
        <v>0</v>
      </c>
      <c r="O14" s="286">
        <f t="shared" ref="O14:O22" ca="1" si="3">ROUND(IF(C14="Automático",AH14+AO14,Z14),2)</f>
        <v>0</v>
      </c>
      <c r="P14" s="368">
        <f t="shared" ref="P14:P22" ca="1" si="4">O14/(L14+10^-12)</f>
        <v>0</v>
      </c>
      <c r="R14" s="367">
        <f ca="1">ROUND(IF($C14="Automático",AC14+AJ14,$Y14*IF(ISERROR(QCI!$AA14/QCI!$O14),0,QCI!$AA14/QCI!$O14)),2)</f>
        <v>0</v>
      </c>
      <c r="S14" s="367">
        <f ca="1">ROUND(IF($C14="Automático",AD14+AK14,$Y14*IF(ISERROR(QCI!$AB14/QCI!$O14),0,QCI!$AB14/QCI!$O14)),2)</f>
        <v>0</v>
      </c>
      <c r="T14" s="367">
        <f ca="1">ROUND(IF($C14="Automático",AF14+AM14,$Z14*IF(ISERROR(QCI!$AA14/QCI!$O14),0,QCI!$AA14/QCI!$O14)),2)</f>
        <v>0</v>
      </c>
      <c r="U14" s="367">
        <f ca="1">ROUND(IF($C14="Automático",AG14+AN14,$Z14*IF(ISERROR(QCI!$AB14/QCI!$O14),0,QCI!$AB14/QCI!$O14)),2)</f>
        <v>0</v>
      </c>
      <c r="V14" s="450">
        <f ca="1">IF(AND($L14&gt;0,$J14&lt;&gt;0,$J14&lt;&gt;"",COUNTIF($J$13:$J14,$J14)=1),OFFSET(V14,-1,0)+1,OFFSET(V14,-1,0))</f>
        <v>1</v>
      </c>
      <c r="X14" s="514"/>
      <c r="Y14" s="288"/>
      <c r="Z14" s="289"/>
      <c r="AC14" s="184">
        <f ca="1">IF(_xlfn.SINGLE(ACOMPANHAMENTO)&lt;&gt;"PLE",0,SUMPRODUCT((OFFSET(CÁLCULO!$AX$15:$BH$15,$A14,0,$B14)&lt;=(PLE.Medicao-1))*OFFSET(CÁLCULO!$AB$15:$AL$15,$A14,0,$B14)*OFFSET(ORÇAMENTO!$AA$15,$A14,0,$B14)/(OFFSET(ORÇAMENTO!$X$15,$A14,0,$B14)+10^-12))+IF(AUTOEVENTO="Manual",SUMPRODUCT((OFFSET(CÁLCULO!$M$15,$A14,0,$B14)=1)*OFFSET(ORÇAMENTO!$AA$15,$A14,0,$B14)*(PLE!$AE$9-PLE!$Y$9)),0))</f>
        <v>0</v>
      </c>
      <c r="AD14" s="184">
        <f ca="1">IF(_xlfn.SINGLE(ACOMPANHAMENTO)&lt;&gt;"PLE",0,SUMPRODUCT((OFFSET(CÁLCULO!$AX$15:$BH$15,$A14,0,$B14)&lt;=(PLE.Medicao-1))*OFFSET(CÁLCULO!$AB$15:$AL$15,$A14,0,$B14)*OFFSET(ORÇAMENTO!$AB$15,$A14,0,$B14)/(OFFSET(ORÇAMENTO!$X$15,$A14,0,$B14)+10^-12))+IF(AUTOEVENTO="Manual",SUMPRODUCT((OFFSET(CÁLCULO!$M$15,$A14,0,$B14)=1)*OFFSET(ORÇAMENTO!$AB$15,$A14,0,$B14)*(PLE!$AE$9-PLE!$Y$9)),0))</f>
        <v>0</v>
      </c>
      <c r="AE14" s="184">
        <f ca="1">ROUND(IF(_xlfn.SINGLE(ACOMPANHAMENTO)&lt;&gt;"PLE",0,SUMIF(OFFSET(CÁLCULO!$AX$15:$BH$15,$A14,0,$B14),"&lt;="&amp;(PLE.Medicao-1),OFFSET(CÁLCULO!$AB$15:$AL$15,$A14,0,$B14))+IF(AUTOEVENTO="Manual",SUMIF(OFFSET(CÁLCULO!$M$15,$A14,0,$B14),1,OFFSET(ORÇAMENTO!$X$15,$A14,0,$B14))*(PLE!$AE$9-PLE!$Y$9),0)),2)</f>
        <v>0</v>
      </c>
      <c r="AF14" s="184">
        <f ca="1">IF(_xlfn.SINGLE(ACOMPANHAMENTO)&lt;&gt;"PLE",0,SUMPRODUCT((OFFSET(CÁLCULO!$AX$15:$BH$15,$A14,0,$B14)&lt;=PLE.Medicao)*OFFSET(CÁLCULO!$AB$15:$AL$15,$A14,0,$B14)*OFFSET(ORÇAMENTO!$AA$15,$A14,0,$B14)/(OFFSET(ORÇAMENTO!$X$15,$A14,0,$B14)+10^-12))+IF(AUTOEVENTO="Manual",SUMPRODUCT((OFFSET(CÁLCULO!$M$15,$A14,0,$B14)=1)*OFFSET(ORÇAMENTO!$AA$15,$A14,0,$B14)*PLE!$AE$9),0))</f>
        <v>0</v>
      </c>
      <c r="AG14" s="184">
        <f ca="1">IF(_xlfn.SINGLE(ACOMPANHAMENTO)&lt;&gt;"PLE",0,SUMPRODUCT((OFFSET(CÁLCULO!$AX$15:$BH$15,$A14,0,$B14)&lt;=PLE.Medicao)*OFFSET(CÁLCULO!$AB$15:$AL$15,$A14,0,$B14)*OFFSET(ORÇAMENTO!$AB$15,$A14,0,$B14)/(OFFSET(ORÇAMENTO!$X$15,$A14,0,$B14)+10^-12))+IF(AUTOEVENTO="Manual",SUMPRODUCT((OFFSET(CÁLCULO!$M$15,$A14,0,$B14)=1)*OFFSET(ORÇAMENTO!$AB$15,$A14,0,$B14)*PLE!$AE$9),0))</f>
        <v>0</v>
      </c>
      <c r="AH14" s="184">
        <f ca="1">ROUND(IF(_xlfn.SINGLE(ACOMPANHAMENTO)&lt;&gt;"PLE",0,SUMIF(OFFSET(CÁLCULO!$AX$15:$BH$15,$A14,0,$B14),"&lt;="&amp;PLE.Medicao,OFFSET(CÁLCULO!$AB$15:$AL$15,$A14,0,$B14))+IF(AUTOEVENTO="Manual",SUMIF(OFFSET(CÁLCULO!$M$15,$A14,0,$B14),1,OFFSET(ORÇAMENTO!$X$15,$A14,0,$B14))*PLE!$AE$9,0)),2)</f>
        <v>0</v>
      </c>
      <c r="AJ14" s="184">
        <f ca="1">IF(_xlfn.SINGLE(ACOMPANHAMENTO)&lt;&gt;"BM",0,SUMPRODUCT(OFFSET(BM!$M$15,$A14,0,$B14)*(OFFSET(BM!$A$15,$A14,0,$B14)="S")*OFFSET(ORÇAMENTO!AA$15,$A14,0,$B14)/(OFFSET(ORÇAMENTO!$X$15,$A14,0,$B14)+10^-12)))</f>
        <v>0</v>
      </c>
      <c r="AK14" s="184">
        <f ca="1">IF(_xlfn.SINGLE(ACOMPANHAMENTO)&lt;&gt;"BM",0,SUMPRODUCT(OFFSET(BM!$M$15,$A14,0,$B14)*(OFFSET(BM!$A$15,$A14,0,$B14)="S")*OFFSET(ORÇAMENTO!AB$15,$A14,0,$B14)/(OFFSET(ORÇAMENTO!$X$15,$A14,0,$B14)+10^-12)))</f>
        <v>0</v>
      </c>
      <c r="AL14" s="184">
        <f ca="1">IF(_xlfn.SINGLE(ACOMPANHAMENTO)&lt;&gt;"BM",0,OFFSET(BM!$M$15,$A14,0))</f>
        <v>0</v>
      </c>
      <c r="AM14" s="184">
        <f ca="1">IF(_xlfn.SINGLE(ACOMPANHAMENTO)&lt;&gt;"BM",0,SUMPRODUCT(OFFSET(BM!$O$15,$A14,0,$B14)*(OFFSET(BM!$A$15,$A14,0,$B14)="S")*OFFSET(ORÇAMENTO!AA$15,$A14,0,$B14)/(OFFSET(ORÇAMENTO!$X$15,$A14,0,$B14)+10^-12)))</f>
        <v>0</v>
      </c>
      <c r="AN14" s="184">
        <f ca="1">IF(_xlfn.SINGLE(ACOMPANHAMENTO)&lt;&gt;"BM",0,SUMPRODUCT(OFFSET(BM!$O$15,$A14,0,$B14)*(OFFSET(BM!$A$15,$A14,0,$B14)="S")*OFFSET(ORÇAMENTO!AB$15,$A14,0,$B14)/(OFFSET(ORÇAMENTO!$X$15,$A14,0,$B14)+10^-12)))</f>
        <v>0</v>
      </c>
      <c r="AO14" s="184">
        <f ca="1">IF(_xlfn.SINGLE(ACOMPANHAMENTO)&lt;&gt;"BM",0,OFFSET(BM!$O$15,$A14,0))</f>
        <v>0</v>
      </c>
    </row>
    <row r="15" spans="1:41" ht="30" customHeight="1" x14ac:dyDescent="0.2">
      <c r="A15" t="e">
        <f ca="1">MATCH(E15,ORÇAMENTO!$E$15:$E$105,0)-1</f>
        <v>#N/A</v>
      </c>
      <c r="B15" t="e">
        <f ca="1">IF(ISERROR($A15),NA(),OFFSET(ORÇAMENTO!$D$15,$A15,0))</f>
        <v>#N/A</v>
      </c>
      <c r="C15" t="str">
        <f ca="1">QCI!B15</f>
        <v>Branco</v>
      </c>
      <c r="D15" t="str">
        <f t="shared" ca="1" si="0"/>
        <v/>
      </c>
      <c r="E15" s="282">
        <f>QCI!D15</f>
        <v>2</v>
      </c>
      <c r="F15" s="363" t="str">
        <f ca="1">QCI!G15</f>
        <v/>
      </c>
      <c r="G15" s="364">
        <f>QCI!H15</f>
        <v>0</v>
      </c>
      <c r="H15" s="283">
        <f>QCI!I15</f>
        <v>0</v>
      </c>
      <c r="I15" s="283" t="str">
        <f ca="1">QCI!J15</f>
        <v/>
      </c>
      <c r="J15" s="365" t="str">
        <f ca="1">QCI!K15</f>
        <v/>
      </c>
      <c r="K15" s="366" t="str">
        <f ca="1">_xlfn.SINGLE(IF($C15="Automático",IF(_xlfn.SINGLE(ACOMPANHAMENTO)="BM",BM.medicao,PLE.Medicao),IF(ISBLANK($X15),"",$X15)))</f>
        <v/>
      </c>
      <c r="L15" s="287">
        <f ca="1">QCI!$O15</f>
        <v>0</v>
      </c>
      <c r="M15" s="284">
        <f t="shared" ca="1" si="1"/>
        <v>0</v>
      </c>
      <c r="N15" s="285">
        <f t="shared" ca="1" si="2"/>
        <v>0</v>
      </c>
      <c r="O15" s="286">
        <f t="shared" ca="1" si="3"/>
        <v>0</v>
      </c>
      <c r="P15" s="368">
        <f t="shared" ca="1" si="4"/>
        <v>0</v>
      </c>
      <c r="R15" s="367">
        <f ca="1">ROUND(IF($C15="Automático",AC15+AJ15,$Y15*IF(ISERROR(QCI!$AA15/QCI!$O15),0,QCI!$AA15/QCI!$O15)),2)</f>
        <v>0</v>
      </c>
      <c r="S15" s="367">
        <f ca="1">ROUND(IF($C15="Automático",AD15+AK15,$Y15*IF(ISERROR(QCI!$AB15/QCI!$O15),0,QCI!$AB15/QCI!$O15)),2)</f>
        <v>0</v>
      </c>
      <c r="T15" s="367">
        <f ca="1">ROUND(IF($C15="Automático",AF15+AM15,$Z15*IF(ISERROR(QCI!$AA15/QCI!$O15),0,QCI!$AA15/QCI!$O15)),2)</f>
        <v>0</v>
      </c>
      <c r="U15" s="367">
        <f ca="1">ROUND(IF($C15="Automático",AG15+AN15,$Z15*IF(ISERROR(QCI!$AB15/QCI!$O15),0,QCI!$AB15/QCI!$O15)),2)</f>
        <v>0</v>
      </c>
      <c r="V15" s="450">
        <f ca="1">IF(AND($L15&gt;0,$J15&lt;&gt;0,$J15&lt;&gt;"",COUNTIF($J$13:$J15,$J15)=1),OFFSET(V15,-1,0)+1,OFFSET(V15,-1,0))</f>
        <v>1</v>
      </c>
      <c r="X15" s="514"/>
      <c r="Y15" s="288"/>
      <c r="Z15" s="289"/>
      <c r="AC15" s="184" t="e">
        <f ca="1">IF(_xlfn.SINGLE(ACOMPANHAMENTO)&lt;&gt;"PLE",0,SUMPRODUCT((OFFSET(CÁLCULO!$AX$15:$BH$15,$A15,0,$B15)&lt;=(PLE.Medicao-1))*OFFSET(CÁLCULO!$AB$15:$AL$15,$A15,0,$B15)*OFFSET(ORÇAMENTO!$AA$15,$A15,0,$B15)/(OFFSET(ORÇAMENTO!$X$15,$A15,0,$B15)+10^-12))+IF(AUTOEVENTO="Manual",SUMPRODUCT((OFFSET(CÁLCULO!$M$15,$A15,0,$B15)=1)*OFFSET(ORÇAMENTO!$AA$15,$A15,0,$B15)*(PLE!$AE$9-PLE!$Y$9)),0))</f>
        <v>#N/A</v>
      </c>
      <c r="AD15" s="184" t="e">
        <f ca="1">IF(_xlfn.SINGLE(ACOMPANHAMENTO)&lt;&gt;"PLE",0,SUMPRODUCT((OFFSET(CÁLCULO!$AX$15:$BH$15,$A15,0,$B15)&lt;=(PLE.Medicao-1))*OFFSET(CÁLCULO!$AB$15:$AL$15,$A15,0,$B15)*OFFSET(ORÇAMENTO!$AB$15,$A15,0,$B15)/(OFFSET(ORÇAMENTO!$X$15,$A15,0,$B15)+10^-12))+IF(AUTOEVENTO="Manual",SUMPRODUCT((OFFSET(CÁLCULO!$M$15,$A15,0,$B15)=1)*OFFSET(ORÇAMENTO!$AB$15,$A15,0,$B15)*(PLE!$AE$9-PLE!$Y$9)),0))</f>
        <v>#N/A</v>
      </c>
      <c r="AE15" s="184" t="e">
        <f ca="1">ROUND(IF(_xlfn.SINGLE(ACOMPANHAMENTO)&lt;&gt;"PLE",0,SUMIF(OFFSET(CÁLCULO!$AX$15:$BH$15,$A15,0,$B15),"&lt;="&amp;(PLE.Medicao-1),OFFSET(CÁLCULO!$AB$15:$AL$15,$A15,0,$B15))+IF(AUTOEVENTO="Manual",SUMIF(OFFSET(CÁLCULO!$M$15,$A15,0,$B15),1,OFFSET(ORÇAMENTO!$X$15,$A15,0,$B15))*(PLE!$AE$9-PLE!$Y$9),0)),2)</f>
        <v>#N/A</v>
      </c>
      <c r="AF15" s="184" t="e">
        <f ca="1">IF(_xlfn.SINGLE(ACOMPANHAMENTO)&lt;&gt;"PLE",0,SUMPRODUCT((OFFSET(CÁLCULO!$AX$15:$BH$15,$A15,0,$B15)&lt;=PLE.Medicao)*OFFSET(CÁLCULO!$AB$15:$AL$15,$A15,0,$B15)*OFFSET(ORÇAMENTO!$AA$15,$A15,0,$B15)/(OFFSET(ORÇAMENTO!$X$15,$A15,0,$B15)+10^-12))+IF(AUTOEVENTO="Manual",SUMPRODUCT((OFFSET(CÁLCULO!$M$15,$A15,0,$B15)=1)*OFFSET(ORÇAMENTO!$AA$15,$A15,0,$B15)*PLE!$AE$9),0))</f>
        <v>#N/A</v>
      </c>
      <c r="AG15" s="184" t="e">
        <f ca="1">IF(_xlfn.SINGLE(ACOMPANHAMENTO)&lt;&gt;"PLE",0,SUMPRODUCT((OFFSET(CÁLCULO!$AX$15:$BH$15,$A15,0,$B15)&lt;=PLE.Medicao)*OFFSET(CÁLCULO!$AB$15:$AL$15,$A15,0,$B15)*OFFSET(ORÇAMENTO!$AB$15,$A15,0,$B15)/(OFFSET(ORÇAMENTO!$X$15,$A15,0,$B15)+10^-12))+IF(AUTOEVENTO="Manual",SUMPRODUCT((OFFSET(CÁLCULO!$M$15,$A15,0,$B15)=1)*OFFSET(ORÇAMENTO!$AB$15,$A15,0,$B15)*PLE!$AE$9),0))</f>
        <v>#N/A</v>
      </c>
      <c r="AH15" s="184" t="e">
        <f ca="1">ROUND(IF(_xlfn.SINGLE(ACOMPANHAMENTO)&lt;&gt;"PLE",0,SUMIF(OFFSET(CÁLCULO!$AX$15:$BH$15,$A15,0,$B15),"&lt;="&amp;PLE.Medicao,OFFSET(CÁLCULO!$AB$15:$AL$15,$A15,0,$B15))+IF(AUTOEVENTO="Manual",SUMIF(OFFSET(CÁLCULO!$M$15,$A15,0,$B15),1,OFFSET(ORÇAMENTO!$X$15,$A15,0,$B15))*PLE!$AE$9,0)),2)</f>
        <v>#N/A</v>
      </c>
      <c r="AJ15" s="184">
        <f ca="1">IF(_xlfn.SINGLE(ACOMPANHAMENTO)&lt;&gt;"BM",0,SUMPRODUCT(OFFSET(BM!$M$15,$A15,0,$B15)*(OFFSET(BM!$A$15,$A15,0,$B15)="S")*OFFSET(ORÇAMENTO!AA$15,$A15,0,$B15)/(OFFSET(ORÇAMENTO!$X$15,$A15,0,$B15)+10^-12)))</f>
        <v>0</v>
      </c>
      <c r="AK15" s="184">
        <f ca="1">IF(_xlfn.SINGLE(ACOMPANHAMENTO)&lt;&gt;"BM",0,SUMPRODUCT(OFFSET(BM!$M$15,$A15,0,$B15)*(OFFSET(BM!$A$15,$A15,0,$B15)="S")*OFFSET(ORÇAMENTO!AB$15,$A15,0,$B15)/(OFFSET(ORÇAMENTO!$X$15,$A15,0,$B15)+10^-12)))</f>
        <v>0</v>
      </c>
      <c r="AL15" s="184">
        <f ca="1">IF(_xlfn.SINGLE(ACOMPANHAMENTO)&lt;&gt;"BM",0,OFFSET(BM!$M$15,$A15,0))</f>
        <v>0</v>
      </c>
      <c r="AM15" s="184">
        <f ca="1">IF(_xlfn.SINGLE(ACOMPANHAMENTO)&lt;&gt;"BM",0,SUMPRODUCT(OFFSET(BM!$O$15,$A15,0,$B15)*(OFFSET(BM!$A$15,$A15,0,$B15)="S")*OFFSET(ORÇAMENTO!AA$15,$A15,0,$B15)/(OFFSET(ORÇAMENTO!$X$15,$A15,0,$B15)+10^-12)))</f>
        <v>0</v>
      </c>
      <c r="AN15" s="184">
        <f ca="1">IF(_xlfn.SINGLE(ACOMPANHAMENTO)&lt;&gt;"BM",0,SUMPRODUCT(OFFSET(BM!$O$15,$A15,0,$B15)*(OFFSET(BM!$A$15,$A15,0,$B15)="S")*OFFSET(ORÇAMENTO!AB$15,$A15,0,$B15)/(OFFSET(ORÇAMENTO!$X$15,$A15,0,$B15)+10^-12)))</f>
        <v>0</v>
      </c>
      <c r="AO15" s="184">
        <f ca="1">IF(_xlfn.SINGLE(ACOMPANHAMENTO)&lt;&gt;"BM",0,OFFSET(BM!$O$15,$A15,0))</f>
        <v>0</v>
      </c>
    </row>
    <row r="16" spans="1:41" ht="30" customHeight="1" x14ac:dyDescent="0.2">
      <c r="A16" t="e">
        <f ca="1">MATCH(E16,ORÇAMENTO!$E$15:$E$105,0)-1</f>
        <v>#N/A</v>
      </c>
      <c r="B16" t="e">
        <f ca="1">IF(ISERROR($A16),NA(),OFFSET(ORÇAMENTO!$D$15,$A16,0))</f>
        <v>#N/A</v>
      </c>
      <c r="C16" t="str">
        <f ca="1">QCI!B16</f>
        <v>Branco</v>
      </c>
      <c r="D16" t="str">
        <f t="shared" ca="1" si="0"/>
        <v/>
      </c>
      <c r="E16" s="282">
        <f>QCI!D16</f>
        <v>3</v>
      </c>
      <c r="F16" s="363" t="str">
        <f ca="1">QCI!G16</f>
        <v/>
      </c>
      <c r="G16" s="364">
        <f>QCI!H16</f>
        <v>0</v>
      </c>
      <c r="H16" s="283">
        <f>QCI!I16</f>
        <v>0</v>
      </c>
      <c r="I16" s="283" t="str">
        <f ca="1">QCI!J16</f>
        <v/>
      </c>
      <c r="J16" s="365" t="str">
        <f ca="1">QCI!K16</f>
        <v/>
      </c>
      <c r="K16" s="366" t="str">
        <f ca="1">_xlfn.SINGLE(IF($C16="Automático",IF(_xlfn.SINGLE(ACOMPANHAMENTO)="BM",BM.medicao,PLE.Medicao),IF(ISBLANK($X16),"",$X16)))</f>
        <v/>
      </c>
      <c r="L16" s="287">
        <f ca="1">QCI!$O16</f>
        <v>0</v>
      </c>
      <c r="M16" s="284">
        <f t="shared" ca="1" si="1"/>
        <v>0</v>
      </c>
      <c r="N16" s="285">
        <f t="shared" ca="1" si="2"/>
        <v>0</v>
      </c>
      <c r="O16" s="286">
        <f t="shared" ca="1" si="3"/>
        <v>0</v>
      </c>
      <c r="P16" s="368">
        <f t="shared" ca="1" si="4"/>
        <v>0</v>
      </c>
      <c r="R16" s="367">
        <f ca="1">ROUND(IF($C16="Automático",AC16+AJ16,$Y16*IF(ISERROR(QCI!$AA16/QCI!$O16),0,QCI!$AA16/QCI!$O16)),2)</f>
        <v>0</v>
      </c>
      <c r="S16" s="367">
        <f ca="1">ROUND(IF($C16="Automático",AD16+AK16,$Y16*IF(ISERROR(QCI!$AB16/QCI!$O16),0,QCI!$AB16/QCI!$O16)),2)</f>
        <v>0</v>
      </c>
      <c r="T16" s="367">
        <f ca="1">ROUND(IF($C16="Automático",AF16+AM16,$Z16*IF(ISERROR(QCI!$AA16/QCI!$O16),0,QCI!$AA16/QCI!$O16)),2)</f>
        <v>0</v>
      </c>
      <c r="U16" s="367">
        <f ca="1">ROUND(IF($C16="Automático",AG16+AN16,$Z16*IF(ISERROR(QCI!$AB16/QCI!$O16),0,QCI!$AB16/QCI!$O16)),2)</f>
        <v>0</v>
      </c>
      <c r="V16" s="450">
        <f ca="1">IF(AND($L16&gt;0,$J16&lt;&gt;0,$J16&lt;&gt;"",COUNTIF($J$13:$J16,$J16)=1),OFFSET(V16,-1,0)+1,OFFSET(V16,-1,0))</f>
        <v>1</v>
      </c>
      <c r="X16" s="514"/>
      <c r="Y16" s="288"/>
      <c r="Z16" s="289"/>
      <c r="AC16" s="184" t="e">
        <f ca="1">IF(_xlfn.SINGLE(ACOMPANHAMENTO)&lt;&gt;"PLE",0,SUMPRODUCT((OFFSET(CÁLCULO!$AX$15:$BH$15,$A16,0,$B16)&lt;=(PLE.Medicao-1))*OFFSET(CÁLCULO!$AB$15:$AL$15,$A16,0,$B16)*OFFSET(ORÇAMENTO!$AA$15,$A16,0,$B16)/(OFFSET(ORÇAMENTO!$X$15,$A16,0,$B16)+10^-12))+IF(AUTOEVENTO="Manual",SUMPRODUCT((OFFSET(CÁLCULO!$M$15,$A16,0,$B16)=1)*OFFSET(ORÇAMENTO!$AA$15,$A16,0,$B16)*(PLE!$AE$9-PLE!$Y$9)),0))</f>
        <v>#N/A</v>
      </c>
      <c r="AD16" s="184" t="e">
        <f ca="1">IF(_xlfn.SINGLE(ACOMPANHAMENTO)&lt;&gt;"PLE",0,SUMPRODUCT((OFFSET(CÁLCULO!$AX$15:$BH$15,$A16,0,$B16)&lt;=(PLE.Medicao-1))*OFFSET(CÁLCULO!$AB$15:$AL$15,$A16,0,$B16)*OFFSET(ORÇAMENTO!$AB$15,$A16,0,$B16)/(OFFSET(ORÇAMENTO!$X$15,$A16,0,$B16)+10^-12))+IF(AUTOEVENTO="Manual",SUMPRODUCT((OFFSET(CÁLCULO!$M$15,$A16,0,$B16)=1)*OFFSET(ORÇAMENTO!$AB$15,$A16,0,$B16)*(PLE!$AE$9-PLE!$Y$9)),0))</f>
        <v>#N/A</v>
      </c>
      <c r="AE16" s="184" t="e">
        <f ca="1">ROUND(IF(_xlfn.SINGLE(ACOMPANHAMENTO)&lt;&gt;"PLE",0,SUMIF(OFFSET(CÁLCULO!$AX$15:$BH$15,$A16,0,$B16),"&lt;="&amp;(PLE.Medicao-1),OFFSET(CÁLCULO!$AB$15:$AL$15,$A16,0,$B16))+IF(AUTOEVENTO="Manual",SUMIF(OFFSET(CÁLCULO!$M$15,$A16,0,$B16),1,OFFSET(ORÇAMENTO!$X$15,$A16,0,$B16))*(PLE!$AE$9-PLE!$Y$9),0)),2)</f>
        <v>#N/A</v>
      </c>
      <c r="AF16" s="184" t="e">
        <f ca="1">IF(_xlfn.SINGLE(ACOMPANHAMENTO)&lt;&gt;"PLE",0,SUMPRODUCT((OFFSET(CÁLCULO!$AX$15:$BH$15,$A16,0,$B16)&lt;=PLE.Medicao)*OFFSET(CÁLCULO!$AB$15:$AL$15,$A16,0,$B16)*OFFSET(ORÇAMENTO!$AA$15,$A16,0,$B16)/(OFFSET(ORÇAMENTO!$X$15,$A16,0,$B16)+10^-12))+IF(AUTOEVENTO="Manual",SUMPRODUCT((OFFSET(CÁLCULO!$M$15,$A16,0,$B16)=1)*OFFSET(ORÇAMENTO!$AA$15,$A16,0,$B16)*PLE!$AE$9),0))</f>
        <v>#N/A</v>
      </c>
      <c r="AG16" s="184" t="e">
        <f ca="1">IF(_xlfn.SINGLE(ACOMPANHAMENTO)&lt;&gt;"PLE",0,SUMPRODUCT((OFFSET(CÁLCULO!$AX$15:$BH$15,$A16,0,$B16)&lt;=PLE.Medicao)*OFFSET(CÁLCULO!$AB$15:$AL$15,$A16,0,$B16)*OFFSET(ORÇAMENTO!$AB$15,$A16,0,$B16)/(OFFSET(ORÇAMENTO!$X$15,$A16,0,$B16)+10^-12))+IF(AUTOEVENTO="Manual",SUMPRODUCT((OFFSET(CÁLCULO!$M$15,$A16,0,$B16)=1)*OFFSET(ORÇAMENTO!$AB$15,$A16,0,$B16)*PLE!$AE$9),0))</f>
        <v>#N/A</v>
      </c>
      <c r="AH16" s="184" t="e">
        <f ca="1">ROUND(IF(_xlfn.SINGLE(ACOMPANHAMENTO)&lt;&gt;"PLE",0,SUMIF(OFFSET(CÁLCULO!$AX$15:$BH$15,$A16,0,$B16),"&lt;="&amp;PLE.Medicao,OFFSET(CÁLCULO!$AB$15:$AL$15,$A16,0,$B16))+IF(AUTOEVENTO="Manual",SUMIF(OFFSET(CÁLCULO!$M$15,$A16,0,$B16),1,OFFSET(ORÇAMENTO!$X$15,$A16,0,$B16))*PLE!$AE$9,0)),2)</f>
        <v>#N/A</v>
      </c>
      <c r="AJ16" s="184">
        <f ca="1">IF(_xlfn.SINGLE(ACOMPANHAMENTO)&lt;&gt;"BM",0,SUMPRODUCT(OFFSET(BM!$M$15,$A16,0,$B16)*(OFFSET(BM!$A$15,$A16,0,$B16)="S")*OFFSET(ORÇAMENTO!AA$15,$A16,0,$B16)/(OFFSET(ORÇAMENTO!$X$15,$A16,0,$B16)+10^-12)))</f>
        <v>0</v>
      </c>
      <c r="AK16" s="184">
        <f ca="1">IF(_xlfn.SINGLE(ACOMPANHAMENTO)&lt;&gt;"BM",0,SUMPRODUCT(OFFSET(BM!$M$15,$A16,0,$B16)*(OFFSET(BM!$A$15,$A16,0,$B16)="S")*OFFSET(ORÇAMENTO!AB$15,$A16,0,$B16)/(OFFSET(ORÇAMENTO!$X$15,$A16,0,$B16)+10^-12)))</f>
        <v>0</v>
      </c>
      <c r="AL16" s="184">
        <f ca="1">IF(_xlfn.SINGLE(ACOMPANHAMENTO)&lt;&gt;"BM",0,OFFSET(BM!$M$15,$A16,0))</f>
        <v>0</v>
      </c>
      <c r="AM16" s="184">
        <f ca="1">IF(_xlfn.SINGLE(ACOMPANHAMENTO)&lt;&gt;"BM",0,SUMPRODUCT(OFFSET(BM!$O$15,$A16,0,$B16)*(OFFSET(BM!$A$15,$A16,0,$B16)="S")*OFFSET(ORÇAMENTO!AA$15,$A16,0,$B16)/(OFFSET(ORÇAMENTO!$X$15,$A16,0,$B16)+10^-12)))</f>
        <v>0</v>
      </c>
      <c r="AN16" s="184">
        <f ca="1">IF(_xlfn.SINGLE(ACOMPANHAMENTO)&lt;&gt;"BM",0,SUMPRODUCT(OFFSET(BM!$O$15,$A16,0,$B16)*(OFFSET(BM!$A$15,$A16,0,$B16)="S")*OFFSET(ORÇAMENTO!AB$15,$A16,0,$B16)/(OFFSET(ORÇAMENTO!$X$15,$A16,0,$B16)+10^-12)))</f>
        <v>0</v>
      </c>
      <c r="AO16" s="184">
        <f ca="1">IF(_xlfn.SINGLE(ACOMPANHAMENTO)&lt;&gt;"BM",0,OFFSET(BM!$O$15,$A16,0))</f>
        <v>0</v>
      </c>
    </row>
    <row r="17" spans="1:41" ht="30" customHeight="1" x14ac:dyDescent="0.2">
      <c r="A17" t="e">
        <f ca="1">MATCH(E17,ORÇAMENTO!$E$15:$E$105,0)-1</f>
        <v>#N/A</v>
      </c>
      <c r="B17" t="e">
        <f ca="1">IF(ISERROR($A17),NA(),OFFSET(ORÇAMENTO!$D$15,$A17,0))</f>
        <v>#N/A</v>
      </c>
      <c r="C17" t="str">
        <f ca="1">QCI!B17</f>
        <v>Branco</v>
      </c>
      <c r="D17" t="str">
        <f t="shared" ca="1" si="0"/>
        <v/>
      </c>
      <c r="E17" s="282">
        <f>QCI!D17</f>
        <v>4</v>
      </c>
      <c r="F17" s="363" t="str">
        <f ca="1">QCI!G17</f>
        <v/>
      </c>
      <c r="G17" s="364">
        <f>QCI!H17</f>
        <v>0</v>
      </c>
      <c r="H17" s="283">
        <f>QCI!I17</f>
        <v>0</v>
      </c>
      <c r="I17" s="283" t="str">
        <f ca="1">QCI!J17</f>
        <v/>
      </c>
      <c r="J17" s="365" t="str">
        <f ca="1">QCI!K17</f>
        <v/>
      </c>
      <c r="K17" s="366" t="str">
        <f ca="1">_xlfn.SINGLE(IF($C17="Automático",IF(_xlfn.SINGLE(ACOMPANHAMENTO)="BM",BM.medicao,PLE.Medicao),IF(ISBLANK($X17),"",$X17)))</f>
        <v/>
      </c>
      <c r="L17" s="287">
        <f ca="1">QCI!$O17</f>
        <v>0</v>
      </c>
      <c r="M17" s="284">
        <f t="shared" ca="1" si="1"/>
        <v>0</v>
      </c>
      <c r="N17" s="285">
        <f t="shared" ca="1" si="2"/>
        <v>0</v>
      </c>
      <c r="O17" s="286">
        <f t="shared" ca="1" si="3"/>
        <v>0</v>
      </c>
      <c r="P17" s="368">
        <f t="shared" ca="1" si="4"/>
        <v>0</v>
      </c>
      <c r="R17" s="367">
        <f ca="1">ROUND(IF($C17="Automático",AC17+AJ17,$Y17*IF(ISERROR(QCI!$AA17/QCI!$O17),0,QCI!$AA17/QCI!$O17)),2)</f>
        <v>0</v>
      </c>
      <c r="S17" s="367">
        <f ca="1">ROUND(IF($C17="Automático",AD17+AK17,$Y17*IF(ISERROR(QCI!$AB17/QCI!$O17),0,QCI!$AB17/QCI!$O17)),2)</f>
        <v>0</v>
      </c>
      <c r="T17" s="367">
        <f ca="1">ROUND(IF($C17="Automático",AF17+AM17,$Z17*IF(ISERROR(QCI!$AA17/QCI!$O17),0,QCI!$AA17/QCI!$O17)),2)</f>
        <v>0</v>
      </c>
      <c r="U17" s="367">
        <f ca="1">ROUND(IF($C17="Automático",AG17+AN17,$Z17*IF(ISERROR(QCI!$AB17/QCI!$O17),0,QCI!$AB17/QCI!$O17)),2)</f>
        <v>0</v>
      </c>
      <c r="V17" s="450">
        <f ca="1">IF(AND($L17&gt;0,$J17&lt;&gt;0,$J17&lt;&gt;"",COUNTIF($J$13:$J17,$J17)=1),OFFSET(V17,-1,0)+1,OFFSET(V17,-1,0))</f>
        <v>1</v>
      </c>
      <c r="X17" s="514"/>
      <c r="Y17" s="288"/>
      <c r="Z17" s="289"/>
      <c r="AC17" s="184" t="e">
        <f ca="1">IF(_xlfn.SINGLE(ACOMPANHAMENTO)&lt;&gt;"PLE",0,SUMPRODUCT((OFFSET(CÁLCULO!$AX$15:$BH$15,$A17,0,$B17)&lt;=(PLE.Medicao-1))*OFFSET(CÁLCULO!$AB$15:$AL$15,$A17,0,$B17)*OFFSET(ORÇAMENTO!$AA$15,$A17,0,$B17)/(OFFSET(ORÇAMENTO!$X$15,$A17,0,$B17)+10^-12))+IF(AUTOEVENTO="Manual",SUMPRODUCT((OFFSET(CÁLCULO!$M$15,$A17,0,$B17)=1)*OFFSET(ORÇAMENTO!$AA$15,$A17,0,$B17)*(PLE!$AE$9-PLE!$Y$9)),0))</f>
        <v>#N/A</v>
      </c>
      <c r="AD17" s="184" t="e">
        <f ca="1">IF(_xlfn.SINGLE(ACOMPANHAMENTO)&lt;&gt;"PLE",0,SUMPRODUCT((OFFSET(CÁLCULO!$AX$15:$BH$15,$A17,0,$B17)&lt;=(PLE.Medicao-1))*OFFSET(CÁLCULO!$AB$15:$AL$15,$A17,0,$B17)*OFFSET(ORÇAMENTO!$AB$15,$A17,0,$B17)/(OFFSET(ORÇAMENTO!$X$15,$A17,0,$B17)+10^-12))+IF(AUTOEVENTO="Manual",SUMPRODUCT((OFFSET(CÁLCULO!$M$15,$A17,0,$B17)=1)*OFFSET(ORÇAMENTO!$AB$15,$A17,0,$B17)*(PLE!$AE$9-PLE!$Y$9)),0))</f>
        <v>#N/A</v>
      </c>
      <c r="AE17" s="184" t="e">
        <f ca="1">ROUND(IF(_xlfn.SINGLE(ACOMPANHAMENTO)&lt;&gt;"PLE",0,SUMIF(OFFSET(CÁLCULO!$AX$15:$BH$15,$A17,0,$B17),"&lt;="&amp;(PLE.Medicao-1),OFFSET(CÁLCULO!$AB$15:$AL$15,$A17,0,$B17))+IF(AUTOEVENTO="Manual",SUMIF(OFFSET(CÁLCULO!$M$15,$A17,0,$B17),1,OFFSET(ORÇAMENTO!$X$15,$A17,0,$B17))*(PLE!$AE$9-PLE!$Y$9),0)),2)</f>
        <v>#N/A</v>
      </c>
      <c r="AF17" s="184" t="e">
        <f ca="1">IF(_xlfn.SINGLE(ACOMPANHAMENTO)&lt;&gt;"PLE",0,SUMPRODUCT((OFFSET(CÁLCULO!$AX$15:$BH$15,$A17,0,$B17)&lt;=PLE.Medicao)*OFFSET(CÁLCULO!$AB$15:$AL$15,$A17,0,$B17)*OFFSET(ORÇAMENTO!$AA$15,$A17,0,$B17)/(OFFSET(ORÇAMENTO!$X$15,$A17,0,$B17)+10^-12))+IF(AUTOEVENTO="Manual",SUMPRODUCT((OFFSET(CÁLCULO!$M$15,$A17,0,$B17)=1)*OFFSET(ORÇAMENTO!$AA$15,$A17,0,$B17)*PLE!$AE$9),0))</f>
        <v>#N/A</v>
      </c>
      <c r="AG17" s="184" t="e">
        <f ca="1">IF(_xlfn.SINGLE(ACOMPANHAMENTO)&lt;&gt;"PLE",0,SUMPRODUCT((OFFSET(CÁLCULO!$AX$15:$BH$15,$A17,0,$B17)&lt;=PLE.Medicao)*OFFSET(CÁLCULO!$AB$15:$AL$15,$A17,0,$B17)*OFFSET(ORÇAMENTO!$AB$15,$A17,0,$B17)/(OFFSET(ORÇAMENTO!$X$15,$A17,0,$B17)+10^-12))+IF(AUTOEVENTO="Manual",SUMPRODUCT((OFFSET(CÁLCULO!$M$15,$A17,0,$B17)=1)*OFFSET(ORÇAMENTO!$AB$15,$A17,0,$B17)*PLE!$AE$9),0))</f>
        <v>#N/A</v>
      </c>
      <c r="AH17" s="184" t="e">
        <f ca="1">ROUND(IF(_xlfn.SINGLE(ACOMPANHAMENTO)&lt;&gt;"PLE",0,SUMIF(OFFSET(CÁLCULO!$AX$15:$BH$15,$A17,0,$B17),"&lt;="&amp;PLE.Medicao,OFFSET(CÁLCULO!$AB$15:$AL$15,$A17,0,$B17))+IF(AUTOEVENTO="Manual",SUMIF(OFFSET(CÁLCULO!$M$15,$A17,0,$B17),1,OFFSET(ORÇAMENTO!$X$15,$A17,0,$B17))*PLE!$AE$9,0)),2)</f>
        <v>#N/A</v>
      </c>
      <c r="AJ17" s="184">
        <f ca="1">IF(_xlfn.SINGLE(ACOMPANHAMENTO)&lt;&gt;"BM",0,SUMPRODUCT(OFFSET(BM!$M$15,$A17,0,$B17)*(OFFSET(BM!$A$15,$A17,0,$B17)="S")*OFFSET(ORÇAMENTO!AA$15,$A17,0,$B17)/(OFFSET(ORÇAMENTO!$X$15,$A17,0,$B17)+10^-12)))</f>
        <v>0</v>
      </c>
      <c r="AK17" s="184">
        <f ca="1">IF(_xlfn.SINGLE(ACOMPANHAMENTO)&lt;&gt;"BM",0,SUMPRODUCT(OFFSET(BM!$M$15,$A17,0,$B17)*(OFFSET(BM!$A$15,$A17,0,$B17)="S")*OFFSET(ORÇAMENTO!AB$15,$A17,0,$B17)/(OFFSET(ORÇAMENTO!$X$15,$A17,0,$B17)+10^-12)))</f>
        <v>0</v>
      </c>
      <c r="AL17" s="184">
        <f ca="1">IF(_xlfn.SINGLE(ACOMPANHAMENTO)&lt;&gt;"BM",0,OFFSET(BM!$M$15,$A17,0))</f>
        <v>0</v>
      </c>
      <c r="AM17" s="184">
        <f ca="1">IF(_xlfn.SINGLE(ACOMPANHAMENTO)&lt;&gt;"BM",0,SUMPRODUCT(OFFSET(BM!$O$15,$A17,0,$B17)*(OFFSET(BM!$A$15,$A17,0,$B17)="S")*OFFSET(ORÇAMENTO!AA$15,$A17,0,$B17)/(OFFSET(ORÇAMENTO!$X$15,$A17,0,$B17)+10^-12)))</f>
        <v>0</v>
      </c>
      <c r="AN17" s="184">
        <f ca="1">IF(_xlfn.SINGLE(ACOMPANHAMENTO)&lt;&gt;"BM",0,SUMPRODUCT(OFFSET(BM!$O$15,$A17,0,$B17)*(OFFSET(BM!$A$15,$A17,0,$B17)="S")*OFFSET(ORÇAMENTO!AB$15,$A17,0,$B17)/(OFFSET(ORÇAMENTO!$X$15,$A17,0,$B17)+10^-12)))</f>
        <v>0</v>
      </c>
      <c r="AO17" s="184">
        <f ca="1">IF(_xlfn.SINGLE(ACOMPANHAMENTO)&lt;&gt;"BM",0,OFFSET(BM!$O$15,$A17,0))</f>
        <v>0</v>
      </c>
    </row>
    <row r="18" spans="1:41" ht="30" customHeight="1" x14ac:dyDescent="0.2">
      <c r="A18" t="e">
        <f ca="1">MATCH(E18,ORÇAMENTO!$E$15:$E$105,0)-1</f>
        <v>#N/A</v>
      </c>
      <c r="B18" t="e">
        <f ca="1">IF(ISERROR($A18),NA(),OFFSET(ORÇAMENTO!$D$15,$A18,0))</f>
        <v>#N/A</v>
      </c>
      <c r="C18" t="str">
        <f ca="1">QCI!B18</f>
        <v>Branco</v>
      </c>
      <c r="D18" t="str">
        <f t="shared" ca="1" si="0"/>
        <v/>
      </c>
      <c r="E18" s="282">
        <f>QCI!D18</f>
        <v>5</v>
      </c>
      <c r="F18" s="363" t="str">
        <f ca="1">QCI!G18</f>
        <v/>
      </c>
      <c r="G18" s="364">
        <f>QCI!H18</f>
        <v>0</v>
      </c>
      <c r="H18" s="283">
        <f>QCI!I18</f>
        <v>0</v>
      </c>
      <c r="I18" s="283" t="str">
        <f ca="1">QCI!J18</f>
        <v/>
      </c>
      <c r="J18" s="365" t="str">
        <f ca="1">QCI!K18</f>
        <v/>
      </c>
      <c r="K18" s="366" t="str">
        <f ca="1">_xlfn.SINGLE(IF($C18="Automático",IF(_xlfn.SINGLE(ACOMPANHAMENTO)="BM",BM.medicao,PLE.Medicao),IF(ISBLANK($X18),"",$X18)))</f>
        <v/>
      </c>
      <c r="L18" s="287">
        <f ca="1">QCI!$O18</f>
        <v>0</v>
      </c>
      <c r="M18" s="284">
        <f t="shared" ca="1" si="1"/>
        <v>0</v>
      </c>
      <c r="N18" s="285">
        <f t="shared" ca="1" si="2"/>
        <v>0</v>
      </c>
      <c r="O18" s="286">
        <f t="shared" ca="1" si="3"/>
        <v>0</v>
      </c>
      <c r="P18" s="368">
        <f t="shared" ca="1" si="4"/>
        <v>0</v>
      </c>
      <c r="R18" s="367">
        <f ca="1">ROUND(IF($C18="Automático",AC18+AJ18,$Y18*IF(ISERROR(QCI!$AA18/QCI!$O18),0,QCI!$AA18/QCI!$O18)),2)</f>
        <v>0</v>
      </c>
      <c r="S18" s="367">
        <f ca="1">ROUND(IF($C18="Automático",AD18+AK18,$Y18*IF(ISERROR(QCI!$AB18/QCI!$O18),0,QCI!$AB18/QCI!$O18)),2)</f>
        <v>0</v>
      </c>
      <c r="T18" s="367">
        <f ca="1">ROUND(IF($C18="Automático",AF18+AM18,$Z18*IF(ISERROR(QCI!$AA18/QCI!$O18),0,QCI!$AA18/QCI!$O18)),2)</f>
        <v>0</v>
      </c>
      <c r="U18" s="367">
        <f ca="1">ROUND(IF($C18="Automático",AG18+AN18,$Z18*IF(ISERROR(QCI!$AB18/QCI!$O18),0,QCI!$AB18/QCI!$O18)),2)</f>
        <v>0</v>
      </c>
      <c r="V18" s="450">
        <f ca="1">IF(AND($L18&gt;0,$J18&lt;&gt;0,$J18&lt;&gt;"",COUNTIF($J$13:$J18,$J18)=1),OFFSET(V18,-1,0)+1,OFFSET(V18,-1,0))</f>
        <v>1</v>
      </c>
      <c r="X18" s="514"/>
      <c r="Y18" s="288"/>
      <c r="Z18" s="289"/>
      <c r="AC18" s="184" t="e">
        <f ca="1">IF(_xlfn.SINGLE(ACOMPANHAMENTO)&lt;&gt;"PLE",0,SUMPRODUCT((OFFSET(CÁLCULO!$AX$15:$BH$15,$A18,0,$B18)&lt;=(PLE.Medicao-1))*OFFSET(CÁLCULO!$AB$15:$AL$15,$A18,0,$B18)*OFFSET(ORÇAMENTO!$AA$15,$A18,0,$B18)/(OFFSET(ORÇAMENTO!$X$15,$A18,0,$B18)+10^-12))+IF(AUTOEVENTO="Manual",SUMPRODUCT((OFFSET(CÁLCULO!$M$15,$A18,0,$B18)=1)*OFFSET(ORÇAMENTO!$AA$15,$A18,0,$B18)*(PLE!$AE$9-PLE!$Y$9)),0))</f>
        <v>#N/A</v>
      </c>
      <c r="AD18" s="184" t="e">
        <f ca="1">IF(_xlfn.SINGLE(ACOMPANHAMENTO)&lt;&gt;"PLE",0,SUMPRODUCT((OFFSET(CÁLCULO!$AX$15:$BH$15,$A18,0,$B18)&lt;=(PLE.Medicao-1))*OFFSET(CÁLCULO!$AB$15:$AL$15,$A18,0,$B18)*OFFSET(ORÇAMENTO!$AB$15,$A18,0,$B18)/(OFFSET(ORÇAMENTO!$X$15,$A18,0,$B18)+10^-12))+IF(AUTOEVENTO="Manual",SUMPRODUCT((OFFSET(CÁLCULO!$M$15,$A18,0,$B18)=1)*OFFSET(ORÇAMENTO!$AB$15,$A18,0,$B18)*(PLE!$AE$9-PLE!$Y$9)),0))</f>
        <v>#N/A</v>
      </c>
      <c r="AE18" s="184" t="e">
        <f ca="1">ROUND(IF(_xlfn.SINGLE(ACOMPANHAMENTO)&lt;&gt;"PLE",0,SUMIF(OFFSET(CÁLCULO!$AX$15:$BH$15,$A18,0,$B18),"&lt;="&amp;(PLE.Medicao-1),OFFSET(CÁLCULO!$AB$15:$AL$15,$A18,0,$B18))+IF(AUTOEVENTO="Manual",SUMIF(OFFSET(CÁLCULO!$M$15,$A18,0,$B18),1,OFFSET(ORÇAMENTO!$X$15,$A18,0,$B18))*(PLE!$AE$9-PLE!$Y$9),0)),2)</f>
        <v>#N/A</v>
      </c>
      <c r="AF18" s="184" t="e">
        <f ca="1">IF(_xlfn.SINGLE(ACOMPANHAMENTO)&lt;&gt;"PLE",0,SUMPRODUCT((OFFSET(CÁLCULO!$AX$15:$BH$15,$A18,0,$B18)&lt;=PLE.Medicao)*OFFSET(CÁLCULO!$AB$15:$AL$15,$A18,0,$B18)*OFFSET(ORÇAMENTO!$AA$15,$A18,0,$B18)/(OFFSET(ORÇAMENTO!$X$15,$A18,0,$B18)+10^-12))+IF(AUTOEVENTO="Manual",SUMPRODUCT((OFFSET(CÁLCULO!$M$15,$A18,0,$B18)=1)*OFFSET(ORÇAMENTO!$AA$15,$A18,0,$B18)*PLE!$AE$9),0))</f>
        <v>#N/A</v>
      </c>
      <c r="AG18" s="184" t="e">
        <f ca="1">IF(_xlfn.SINGLE(ACOMPANHAMENTO)&lt;&gt;"PLE",0,SUMPRODUCT((OFFSET(CÁLCULO!$AX$15:$BH$15,$A18,0,$B18)&lt;=PLE.Medicao)*OFFSET(CÁLCULO!$AB$15:$AL$15,$A18,0,$B18)*OFFSET(ORÇAMENTO!$AB$15,$A18,0,$B18)/(OFFSET(ORÇAMENTO!$X$15,$A18,0,$B18)+10^-12))+IF(AUTOEVENTO="Manual",SUMPRODUCT((OFFSET(CÁLCULO!$M$15,$A18,0,$B18)=1)*OFFSET(ORÇAMENTO!$AB$15,$A18,0,$B18)*PLE!$AE$9),0))</f>
        <v>#N/A</v>
      </c>
      <c r="AH18" s="184" t="e">
        <f ca="1">ROUND(IF(_xlfn.SINGLE(ACOMPANHAMENTO)&lt;&gt;"PLE",0,SUMIF(OFFSET(CÁLCULO!$AX$15:$BH$15,$A18,0,$B18),"&lt;="&amp;PLE.Medicao,OFFSET(CÁLCULO!$AB$15:$AL$15,$A18,0,$B18))+IF(AUTOEVENTO="Manual",SUMIF(OFFSET(CÁLCULO!$M$15,$A18,0,$B18),1,OFFSET(ORÇAMENTO!$X$15,$A18,0,$B18))*PLE!$AE$9,0)),2)</f>
        <v>#N/A</v>
      </c>
      <c r="AJ18" s="184">
        <f ca="1">IF(_xlfn.SINGLE(ACOMPANHAMENTO)&lt;&gt;"BM",0,SUMPRODUCT(OFFSET(BM!$M$15,$A18,0,$B18)*(OFFSET(BM!$A$15,$A18,0,$B18)="S")*OFFSET(ORÇAMENTO!AA$15,$A18,0,$B18)/(OFFSET(ORÇAMENTO!$X$15,$A18,0,$B18)+10^-12)))</f>
        <v>0</v>
      </c>
      <c r="AK18" s="184">
        <f ca="1">IF(_xlfn.SINGLE(ACOMPANHAMENTO)&lt;&gt;"BM",0,SUMPRODUCT(OFFSET(BM!$M$15,$A18,0,$B18)*(OFFSET(BM!$A$15,$A18,0,$B18)="S")*OFFSET(ORÇAMENTO!AB$15,$A18,0,$B18)/(OFFSET(ORÇAMENTO!$X$15,$A18,0,$B18)+10^-12)))</f>
        <v>0</v>
      </c>
      <c r="AL18" s="184">
        <f ca="1">IF(_xlfn.SINGLE(ACOMPANHAMENTO)&lt;&gt;"BM",0,OFFSET(BM!$M$15,$A18,0))</f>
        <v>0</v>
      </c>
      <c r="AM18" s="184">
        <f ca="1">IF(_xlfn.SINGLE(ACOMPANHAMENTO)&lt;&gt;"BM",0,SUMPRODUCT(OFFSET(BM!$O$15,$A18,0,$B18)*(OFFSET(BM!$A$15,$A18,0,$B18)="S")*OFFSET(ORÇAMENTO!AA$15,$A18,0,$B18)/(OFFSET(ORÇAMENTO!$X$15,$A18,0,$B18)+10^-12)))</f>
        <v>0</v>
      </c>
      <c r="AN18" s="184">
        <f ca="1">IF(_xlfn.SINGLE(ACOMPANHAMENTO)&lt;&gt;"BM",0,SUMPRODUCT(OFFSET(BM!$O$15,$A18,0,$B18)*(OFFSET(BM!$A$15,$A18,0,$B18)="S")*OFFSET(ORÇAMENTO!AB$15,$A18,0,$B18)/(OFFSET(ORÇAMENTO!$X$15,$A18,0,$B18)+10^-12)))</f>
        <v>0</v>
      </c>
      <c r="AO18" s="184">
        <f ca="1">IF(_xlfn.SINGLE(ACOMPANHAMENTO)&lt;&gt;"BM",0,OFFSET(BM!$O$15,$A18,0))</f>
        <v>0</v>
      </c>
    </row>
    <row r="19" spans="1:41" ht="30" customHeight="1" x14ac:dyDescent="0.2">
      <c r="A19" t="e">
        <f ca="1">MATCH(E19,ORÇAMENTO!$E$15:$E$105,0)-1</f>
        <v>#N/A</v>
      </c>
      <c r="B19" t="e">
        <f ca="1">IF(ISERROR($A19),NA(),OFFSET(ORÇAMENTO!$D$15,$A19,0))</f>
        <v>#N/A</v>
      </c>
      <c r="C19" t="str">
        <f ca="1">QCI!B19</f>
        <v>Branco</v>
      </c>
      <c r="D19" t="str">
        <f t="shared" ca="1" si="0"/>
        <v/>
      </c>
      <c r="E19" s="282">
        <f>QCI!D19</f>
        <v>6</v>
      </c>
      <c r="F19" s="363" t="str">
        <f ca="1">QCI!G19</f>
        <v/>
      </c>
      <c r="G19" s="364">
        <f>QCI!H19</f>
        <v>0</v>
      </c>
      <c r="H19" s="283">
        <f>QCI!I19</f>
        <v>0</v>
      </c>
      <c r="I19" s="283" t="str">
        <f ca="1">QCI!J19</f>
        <v/>
      </c>
      <c r="J19" s="365" t="str">
        <f ca="1">QCI!K19</f>
        <v/>
      </c>
      <c r="K19" s="366" t="str">
        <f ca="1">_xlfn.SINGLE(IF($C19="Automático",IF(_xlfn.SINGLE(ACOMPANHAMENTO)="BM",BM.medicao,PLE.Medicao),IF(ISBLANK($X19),"",$X19)))</f>
        <v/>
      </c>
      <c r="L19" s="287">
        <f ca="1">QCI!$O19</f>
        <v>0</v>
      </c>
      <c r="M19" s="284">
        <f t="shared" ca="1" si="1"/>
        <v>0</v>
      </c>
      <c r="N19" s="285">
        <f t="shared" ca="1" si="2"/>
        <v>0</v>
      </c>
      <c r="O19" s="286">
        <f t="shared" ca="1" si="3"/>
        <v>0</v>
      </c>
      <c r="P19" s="368">
        <f t="shared" ca="1" si="4"/>
        <v>0</v>
      </c>
      <c r="R19" s="367">
        <f ca="1">ROUND(IF($C19="Automático",AC19+AJ19,$Y19*IF(ISERROR(QCI!$AA19/QCI!$O19),0,QCI!$AA19/QCI!$O19)),2)</f>
        <v>0</v>
      </c>
      <c r="S19" s="367">
        <f ca="1">ROUND(IF($C19="Automático",AD19+AK19,$Y19*IF(ISERROR(QCI!$AB19/QCI!$O19),0,QCI!$AB19/QCI!$O19)),2)</f>
        <v>0</v>
      </c>
      <c r="T19" s="367">
        <f ca="1">ROUND(IF($C19="Automático",AF19+AM19,$Z19*IF(ISERROR(QCI!$AA19/QCI!$O19),0,QCI!$AA19/QCI!$O19)),2)</f>
        <v>0</v>
      </c>
      <c r="U19" s="367">
        <f ca="1">ROUND(IF($C19="Automático",AG19+AN19,$Z19*IF(ISERROR(QCI!$AB19/QCI!$O19),0,QCI!$AB19/QCI!$O19)),2)</f>
        <v>0</v>
      </c>
      <c r="V19" s="450">
        <f ca="1">IF(AND($L19&gt;0,$J19&lt;&gt;0,$J19&lt;&gt;"",COUNTIF($J$13:$J19,$J19)=1),OFFSET(V19,-1,0)+1,OFFSET(V19,-1,0))</f>
        <v>1</v>
      </c>
      <c r="X19" s="514"/>
      <c r="Y19" s="288"/>
      <c r="Z19" s="289"/>
      <c r="AC19" s="184" t="e">
        <f ca="1">IF(_xlfn.SINGLE(ACOMPANHAMENTO)&lt;&gt;"PLE",0,SUMPRODUCT((OFFSET(CÁLCULO!$AX$15:$BH$15,$A19,0,$B19)&lt;=(PLE.Medicao-1))*OFFSET(CÁLCULO!$AB$15:$AL$15,$A19,0,$B19)*OFFSET(ORÇAMENTO!$AA$15,$A19,0,$B19)/(OFFSET(ORÇAMENTO!$X$15,$A19,0,$B19)+10^-12))+IF(AUTOEVENTO="Manual",SUMPRODUCT((OFFSET(CÁLCULO!$M$15,$A19,0,$B19)=1)*OFFSET(ORÇAMENTO!$AA$15,$A19,0,$B19)*(PLE!$AE$9-PLE!$Y$9)),0))</f>
        <v>#N/A</v>
      </c>
      <c r="AD19" s="184" t="e">
        <f ca="1">IF(_xlfn.SINGLE(ACOMPANHAMENTO)&lt;&gt;"PLE",0,SUMPRODUCT((OFFSET(CÁLCULO!$AX$15:$BH$15,$A19,0,$B19)&lt;=(PLE.Medicao-1))*OFFSET(CÁLCULO!$AB$15:$AL$15,$A19,0,$B19)*OFFSET(ORÇAMENTO!$AB$15,$A19,0,$B19)/(OFFSET(ORÇAMENTO!$X$15,$A19,0,$B19)+10^-12))+IF(AUTOEVENTO="Manual",SUMPRODUCT((OFFSET(CÁLCULO!$M$15,$A19,0,$B19)=1)*OFFSET(ORÇAMENTO!$AB$15,$A19,0,$B19)*(PLE!$AE$9-PLE!$Y$9)),0))</f>
        <v>#N/A</v>
      </c>
      <c r="AE19" s="184" t="e">
        <f ca="1">ROUND(IF(_xlfn.SINGLE(ACOMPANHAMENTO)&lt;&gt;"PLE",0,SUMIF(OFFSET(CÁLCULO!$AX$15:$BH$15,$A19,0,$B19),"&lt;="&amp;(PLE.Medicao-1),OFFSET(CÁLCULO!$AB$15:$AL$15,$A19,0,$B19))+IF(AUTOEVENTO="Manual",SUMIF(OFFSET(CÁLCULO!$M$15,$A19,0,$B19),1,OFFSET(ORÇAMENTO!$X$15,$A19,0,$B19))*(PLE!$AE$9-PLE!$Y$9),0)),2)</f>
        <v>#N/A</v>
      </c>
      <c r="AF19" s="184" t="e">
        <f ca="1">IF(_xlfn.SINGLE(ACOMPANHAMENTO)&lt;&gt;"PLE",0,SUMPRODUCT((OFFSET(CÁLCULO!$AX$15:$BH$15,$A19,0,$B19)&lt;=PLE.Medicao)*OFFSET(CÁLCULO!$AB$15:$AL$15,$A19,0,$B19)*OFFSET(ORÇAMENTO!$AA$15,$A19,0,$B19)/(OFFSET(ORÇAMENTO!$X$15,$A19,0,$B19)+10^-12))+IF(AUTOEVENTO="Manual",SUMPRODUCT((OFFSET(CÁLCULO!$M$15,$A19,0,$B19)=1)*OFFSET(ORÇAMENTO!$AA$15,$A19,0,$B19)*PLE!$AE$9),0))</f>
        <v>#N/A</v>
      </c>
      <c r="AG19" s="184" t="e">
        <f ca="1">IF(_xlfn.SINGLE(ACOMPANHAMENTO)&lt;&gt;"PLE",0,SUMPRODUCT((OFFSET(CÁLCULO!$AX$15:$BH$15,$A19,0,$B19)&lt;=PLE.Medicao)*OFFSET(CÁLCULO!$AB$15:$AL$15,$A19,0,$B19)*OFFSET(ORÇAMENTO!$AB$15,$A19,0,$B19)/(OFFSET(ORÇAMENTO!$X$15,$A19,0,$B19)+10^-12))+IF(AUTOEVENTO="Manual",SUMPRODUCT((OFFSET(CÁLCULO!$M$15,$A19,0,$B19)=1)*OFFSET(ORÇAMENTO!$AB$15,$A19,0,$B19)*PLE!$AE$9),0))</f>
        <v>#N/A</v>
      </c>
      <c r="AH19" s="184" t="e">
        <f ca="1">ROUND(IF(_xlfn.SINGLE(ACOMPANHAMENTO)&lt;&gt;"PLE",0,SUMIF(OFFSET(CÁLCULO!$AX$15:$BH$15,$A19,0,$B19),"&lt;="&amp;PLE.Medicao,OFFSET(CÁLCULO!$AB$15:$AL$15,$A19,0,$B19))+IF(AUTOEVENTO="Manual",SUMIF(OFFSET(CÁLCULO!$M$15,$A19,0,$B19),1,OFFSET(ORÇAMENTO!$X$15,$A19,0,$B19))*PLE!$AE$9,0)),2)</f>
        <v>#N/A</v>
      </c>
      <c r="AJ19" s="184">
        <f ca="1">IF(_xlfn.SINGLE(ACOMPANHAMENTO)&lt;&gt;"BM",0,SUMPRODUCT(OFFSET(BM!$M$15,$A19,0,$B19)*(OFFSET(BM!$A$15,$A19,0,$B19)="S")*OFFSET(ORÇAMENTO!AA$15,$A19,0,$B19)/(OFFSET(ORÇAMENTO!$X$15,$A19,0,$B19)+10^-12)))</f>
        <v>0</v>
      </c>
      <c r="AK19" s="184">
        <f ca="1">IF(_xlfn.SINGLE(ACOMPANHAMENTO)&lt;&gt;"BM",0,SUMPRODUCT(OFFSET(BM!$M$15,$A19,0,$B19)*(OFFSET(BM!$A$15,$A19,0,$B19)="S")*OFFSET(ORÇAMENTO!AB$15,$A19,0,$B19)/(OFFSET(ORÇAMENTO!$X$15,$A19,0,$B19)+10^-12)))</f>
        <v>0</v>
      </c>
      <c r="AL19" s="184">
        <f ca="1">IF(_xlfn.SINGLE(ACOMPANHAMENTO)&lt;&gt;"BM",0,OFFSET(BM!$M$15,$A19,0))</f>
        <v>0</v>
      </c>
      <c r="AM19" s="184">
        <f ca="1">IF(_xlfn.SINGLE(ACOMPANHAMENTO)&lt;&gt;"BM",0,SUMPRODUCT(OFFSET(BM!$O$15,$A19,0,$B19)*(OFFSET(BM!$A$15,$A19,0,$B19)="S")*OFFSET(ORÇAMENTO!AA$15,$A19,0,$B19)/(OFFSET(ORÇAMENTO!$X$15,$A19,0,$B19)+10^-12)))</f>
        <v>0</v>
      </c>
      <c r="AN19" s="184">
        <f ca="1">IF(_xlfn.SINGLE(ACOMPANHAMENTO)&lt;&gt;"BM",0,SUMPRODUCT(OFFSET(BM!$O$15,$A19,0,$B19)*(OFFSET(BM!$A$15,$A19,0,$B19)="S")*OFFSET(ORÇAMENTO!AB$15,$A19,0,$B19)/(OFFSET(ORÇAMENTO!$X$15,$A19,0,$B19)+10^-12)))</f>
        <v>0</v>
      </c>
      <c r="AO19" s="184">
        <f ca="1">IF(_xlfn.SINGLE(ACOMPANHAMENTO)&lt;&gt;"BM",0,OFFSET(BM!$O$15,$A19,0))</f>
        <v>0</v>
      </c>
    </row>
    <row r="20" spans="1:41" ht="30" customHeight="1" x14ac:dyDescent="0.2">
      <c r="A20" t="e">
        <f ca="1">MATCH(E20,ORÇAMENTO!$E$15:$E$105,0)-1</f>
        <v>#N/A</v>
      </c>
      <c r="B20" t="e">
        <f ca="1">IF(ISERROR($A20),NA(),OFFSET(ORÇAMENTO!$D$15,$A20,0))</f>
        <v>#N/A</v>
      </c>
      <c r="C20" t="str">
        <f ca="1">QCI!B20</f>
        <v>Branco</v>
      </c>
      <c r="D20" t="str">
        <f t="shared" ca="1" si="0"/>
        <v/>
      </c>
      <c r="E20" s="282">
        <f>QCI!D20</f>
        <v>7</v>
      </c>
      <c r="F20" s="363" t="str">
        <f ca="1">QCI!G20</f>
        <v/>
      </c>
      <c r="G20" s="364">
        <f>QCI!H20</f>
        <v>0</v>
      </c>
      <c r="H20" s="283">
        <f>QCI!I20</f>
        <v>0</v>
      </c>
      <c r="I20" s="283" t="str">
        <f ca="1">QCI!J20</f>
        <v/>
      </c>
      <c r="J20" s="365" t="str">
        <f ca="1">QCI!K20</f>
        <v/>
      </c>
      <c r="K20" s="366" t="str">
        <f ca="1">_xlfn.SINGLE(IF($C20="Automático",IF(_xlfn.SINGLE(ACOMPANHAMENTO)="BM",BM.medicao,PLE.Medicao),IF(ISBLANK($X20),"",$X20)))</f>
        <v/>
      </c>
      <c r="L20" s="287">
        <f ca="1">QCI!$O20</f>
        <v>0</v>
      </c>
      <c r="M20" s="284">
        <f t="shared" ca="1" si="1"/>
        <v>0</v>
      </c>
      <c r="N20" s="285">
        <f t="shared" ca="1" si="2"/>
        <v>0</v>
      </c>
      <c r="O20" s="286">
        <f t="shared" ca="1" si="3"/>
        <v>0</v>
      </c>
      <c r="P20" s="368">
        <f t="shared" ca="1" si="4"/>
        <v>0</v>
      </c>
      <c r="R20" s="367">
        <f ca="1">ROUND(IF($C20="Automático",AC20+AJ20,$Y20*IF(ISERROR(QCI!$AA20/QCI!$O20),0,QCI!$AA20/QCI!$O20)),2)</f>
        <v>0</v>
      </c>
      <c r="S20" s="367">
        <f ca="1">ROUND(IF($C20="Automático",AD20+AK20,$Y20*IF(ISERROR(QCI!$AB20/QCI!$O20),0,QCI!$AB20/QCI!$O20)),2)</f>
        <v>0</v>
      </c>
      <c r="T20" s="367">
        <f ca="1">ROUND(IF($C20="Automático",AF20+AM20,$Z20*IF(ISERROR(QCI!$AA20/QCI!$O20),0,QCI!$AA20/QCI!$O20)),2)</f>
        <v>0</v>
      </c>
      <c r="U20" s="367">
        <f ca="1">ROUND(IF($C20="Automático",AG20+AN20,$Z20*IF(ISERROR(QCI!$AB20/QCI!$O20),0,QCI!$AB20/QCI!$O20)),2)</f>
        <v>0</v>
      </c>
      <c r="V20" s="450">
        <f ca="1">IF(AND($L20&gt;0,$J20&lt;&gt;0,$J20&lt;&gt;"",COUNTIF($J$13:$J20,$J20)=1),OFFSET(V20,-1,0)+1,OFFSET(V20,-1,0))</f>
        <v>1</v>
      </c>
      <c r="X20" s="514"/>
      <c r="Y20" s="288"/>
      <c r="Z20" s="289"/>
      <c r="AC20" s="184" t="e">
        <f ca="1">IF(_xlfn.SINGLE(ACOMPANHAMENTO)&lt;&gt;"PLE",0,SUMPRODUCT((OFFSET(CÁLCULO!$AX$15:$BH$15,$A20,0,$B20)&lt;=(PLE.Medicao-1))*OFFSET(CÁLCULO!$AB$15:$AL$15,$A20,0,$B20)*OFFSET(ORÇAMENTO!$AA$15,$A20,0,$B20)/(OFFSET(ORÇAMENTO!$X$15,$A20,0,$B20)+10^-12))+IF(AUTOEVENTO="Manual",SUMPRODUCT((OFFSET(CÁLCULO!$M$15,$A20,0,$B20)=1)*OFFSET(ORÇAMENTO!$AA$15,$A20,0,$B20)*(PLE!$AE$9-PLE!$Y$9)),0))</f>
        <v>#N/A</v>
      </c>
      <c r="AD20" s="184" t="e">
        <f ca="1">IF(_xlfn.SINGLE(ACOMPANHAMENTO)&lt;&gt;"PLE",0,SUMPRODUCT((OFFSET(CÁLCULO!$AX$15:$BH$15,$A20,0,$B20)&lt;=(PLE.Medicao-1))*OFFSET(CÁLCULO!$AB$15:$AL$15,$A20,0,$B20)*OFFSET(ORÇAMENTO!$AB$15,$A20,0,$B20)/(OFFSET(ORÇAMENTO!$X$15,$A20,0,$B20)+10^-12))+IF(AUTOEVENTO="Manual",SUMPRODUCT((OFFSET(CÁLCULO!$M$15,$A20,0,$B20)=1)*OFFSET(ORÇAMENTO!$AB$15,$A20,0,$B20)*(PLE!$AE$9-PLE!$Y$9)),0))</f>
        <v>#N/A</v>
      </c>
      <c r="AE20" s="184" t="e">
        <f ca="1">ROUND(IF(_xlfn.SINGLE(ACOMPANHAMENTO)&lt;&gt;"PLE",0,SUMIF(OFFSET(CÁLCULO!$AX$15:$BH$15,$A20,0,$B20),"&lt;="&amp;(PLE.Medicao-1),OFFSET(CÁLCULO!$AB$15:$AL$15,$A20,0,$B20))+IF(AUTOEVENTO="Manual",SUMIF(OFFSET(CÁLCULO!$M$15,$A20,0,$B20),1,OFFSET(ORÇAMENTO!$X$15,$A20,0,$B20))*(PLE!$AE$9-PLE!$Y$9),0)),2)</f>
        <v>#N/A</v>
      </c>
      <c r="AF20" s="184" t="e">
        <f ca="1">IF(_xlfn.SINGLE(ACOMPANHAMENTO)&lt;&gt;"PLE",0,SUMPRODUCT((OFFSET(CÁLCULO!$AX$15:$BH$15,$A20,0,$B20)&lt;=PLE.Medicao)*OFFSET(CÁLCULO!$AB$15:$AL$15,$A20,0,$B20)*OFFSET(ORÇAMENTO!$AA$15,$A20,0,$B20)/(OFFSET(ORÇAMENTO!$X$15,$A20,0,$B20)+10^-12))+IF(AUTOEVENTO="Manual",SUMPRODUCT((OFFSET(CÁLCULO!$M$15,$A20,0,$B20)=1)*OFFSET(ORÇAMENTO!$AA$15,$A20,0,$B20)*PLE!$AE$9),0))</f>
        <v>#N/A</v>
      </c>
      <c r="AG20" s="184" t="e">
        <f ca="1">IF(_xlfn.SINGLE(ACOMPANHAMENTO)&lt;&gt;"PLE",0,SUMPRODUCT((OFFSET(CÁLCULO!$AX$15:$BH$15,$A20,0,$B20)&lt;=PLE.Medicao)*OFFSET(CÁLCULO!$AB$15:$AL$15,$A20,0,$B20)*OFFSET(ORÇAMENTO!$AB$15,$A20,0,$B20)/(OFFSET(ORÇAMENTO!$X$15,$A20,0,$B20)+10^-12))+IF(AUTOEVENTO="Manual",SUMPRODUCT((OFFSET(CÁLCULO!$M$15,$A20,0,$B20)=1)*OFFSET(ORÇAMENTO!$AB$15,$A20,0,$B20)*PLE!$AE$9),0))</f>
        <v>#N/A</v>
      </c>
      <c r="AH20" s="184" t="e">
        <f ca="1">ROUND(IF(_xlfn.SINGLE(ACOMPANHAMENTO)&lt;&gt;"PLE",0,SUMIF(OFFSET(CÁLCULO!$AX$15:$BH$15,$A20,0,$B20),"&lt;="&amp;PLE.Medicao,OFFSET(CÁLCULO!$AB$15:$AL$15,$A20,0,$B20))+IF(AUTOEVENTO="Manual",SUMIF(OFFSET(CÁLCULO!$M$15,$A20,0,$B20),1,OFFSET(ORÇAMENTO!$X$15,$A20,0,$B20))*PLE!$AE$9,0)),2)</f>
        <v>#N/A</v>
      </c>
      <c r="AJ20" s="184">
        <f ca="1">IF(_xlfn.SINGLE(ACOMPANHAMENTO)&lt;&gt;"BM",0,SUMPRODUCT(OFFSET(BM!$M$15,$A20,0,$B20)*(OFFSET(BM!$A$15,$A20,0,$B20)="S")*OFFSET(ORÇAMENTO!AA$15,$A20,0,$B20)/(OFFSET(ORÇAMENTO!$X$15,$A20,0,$B20)+10^-12)))</f>
        <v>0</v>
      </c>
      <c r="AK20" s="184">
        <f ca="1">IF(_xlfn.SINGLE(ACOMPANHAMENTO)&lt;&gt;"BM",0,SUMPRODUCT(OFFSET(BM!$M$15,$A20,0,$B20)*(OFFSET(BM!$A$15,$A20,0,$B20)="S")*OFFSET(ORÇAMENTO!AB$15,$A20,0,$B20)/(OFFSET(ORÇAMENTO!$X$15,$A20,0,$B20)+10^-12)))</f>
        <v>0</v>
      </c>
      <c r="AL20" s="184">
        <f ca="1">IF(_xlfn.SINGLE(ACOMPANHAMENTO)&lt;&gt;"BM",0,OFFSET(BM!$M$15,$A20,0))</f>
        <v>0</v>
      </c>
      <c r="AM20" s="184">
        <f ca="1">IF(_xlfn.SINGLE(ACOMPANHAMENTO)&lt;&gt;"BM",0,SUMPRODUCT(OFFSET(BM!$O$15,$A20,0,$B20)*(OFFSET(BM!$A$15,$A20,0,$B20)="S")*OFFSET(ORÇAMENTO!AA$15,$A20,0,$B20)/(OFFSET(ORÇAMENTO!$X$15,$A20,0,$B20)+10^-12)))</f>
        <v>0</v>
      </c>
      <c r="AN20" s="184">
        <f ca="1">IF(_xlfn.SINGLE(ACOMPANHAMENTO)&lt;&gt;"BM",0,SUMPRODUCT(OFFSET(BM!$O$15,$A20,0,$B20)*(OFFSET(BM!$A$15,$A20,0,$B20)="S")*OFFSET(ORÇAMENTO!AB$15,$A20,0,$B20)/(OFFSET(ORÇAMENTO!$X$15,$A20,0,$B20)+10^-12)))</f>
        <v>0</v>
      </c>
      <c r="AO20" s="184">
        <f ca="1">IF(_xlfn.SINGLE(ACOMPANHAMENTO)&lt;&gt;"BM",0,OFFSET(BM!$O$15,$A20,0))</f>
        <v>0</v>
      </c>
    </row>
    <row r="21" spans="1:41" ht="30" customHeight="1" x14ac:dyDescent="0.2">
      <c r="A21" t="e">
        <f ca="1">MATCH(E21,ORÇAMENTO!$E$15:$E$105,0)-1</f>
        <v>#N/A</v>
      </c>
      <c r="B21" t="e">
        <f ca="1">IF(ISERROR($A21),NA(),OFFSET(ORÇAMENTO!$D$15,$A21,0))</f>
        <v>#N/A</v>
      </c>
      <c r="C21" t="str">
        <f ca="1">QCI!B21</f>
        <v>Branco</v>
      </c>
      <c r="D21" t="str">
        <f t="shared" ca="1" si="0"/>
        <v/>
      </c>
      <c r="E21" s="282">
        <f>QCI!D21</f>
        <v>8</v>
      </c>
      <c r="F21" s="363" t="str">
        <f ca="1">QCI!G21</f>
        <v/>
      </c>
      <c r="G21" s="364">
        <f>QCI!H21</f>
        <v>0</v>
      </c>
      <c r="H21" s="283">
        <f>QCI!I21</f>
        <v>0</v>
      </c>
      <c r="I21" s="283" t="str">
        <f ca="1">QCI!J21</f>
        <v/>
      </c>
      <c r="J21" s="365" t="str">
        <f ca="1">QCI!K21</f>
        <v/>
      </c>
      <c r="K21" s="366" t="str">
        <f ca="1">_xlfn.SINGLE(IF($C21="Automático",IF(_xlfn.SINGLE(ACOMPANHAMENTO)="BM",BM.medicao,PLE.Medicao),IF(ISBLANK($X21),"",$X21)))</f>
        <v/>
      </c>
      <c r="L21" s="287">
        <f ca="1">QCI!$O21</f>
        <v>0</v>
      </c>
      <c r="M21" s="284">
        <f t="shared" ca="1" si="1"/>
        <v>0</v>
      </c>
      <c r="N21" s="285">
        <f t="shared" ca="1" si="2"/>
        <v>0</v>
      </c>
      <c r="O21" s="286">
        <f t="shared" ca="1" si="3"/>
        <v>0</v>
      </c>
      <c r="P21" s="368">
        <f t="shared" ca="1" si="4"/>
        <v>0</v>
      </c>
      <c r="R21" s="367">
        <f ca="1">ROUND(IF($C21="Automático",AC21+AJ21,$Y21*IF(ISERROR(QCI!$AA21/QCI!$O21),0,QCI!$AA21/QCI!$O21)),2)</f>
        <v>0</v>
      </c>
      <c r="S21" s="367">
        <f ca="1">ROUND(IF($C21="Automático",AD21+AK21,$Y21*IF(ISERROR(QCI!$AB21/QCI!$O21),0,QCI!$AB21/QCI!$O21)),2)</f>
        <v>0</v>
      </c>
      <c r="T21" s="367">
        <f ca="1">ROUND(IF($C21="Automático",AF21+AM21,$Z21*IF(ISERROR(QCI!$AA21/QCI!$O21),0,QCI!$AA21/QCI!$O21)),2)</f>
        <v>0</v>
      </c>
      <c r="U21" s="367">
        <f ca="1">ROUND(IF($C21="Automático",AG21+AN21,$Z21*IF(ISERROR(QCI!$AB21/QCI!$O21),0,QCI!$AB21/QCI!$O21)),2)</f>
        <v>0</v>
      </c>
      <c r="V21" s="450">
        <f ca="1">IF(AND($L21&gt;0,$J21&lt;&gt;0,$J21&lt;&gt;"",COUNTIF($J$13:$J21,$J21)=1),OFFSET(V21,-1,0)+1,OFFSET(V21,-1,0))</f>
        <v>1</v>
      </c>
      <c r="X21" s="514"/>
      <c r="Y21" s="288"/>
      <c r="Z21" s="289"/>
      <c r="AC21" s="184" t="e">
        <f ca="1">IF(_xlfn.SINGLE(ACOMPANHAMENTO)&lt;&gt;"PLE",0,SUMPRODUCT((OFFSET(CÁLCULO!$AX$15:$BH$15,$A21,0,$B21)&lt;=(PLE.Medicao-1))*OFFSET(CÁLCULO!$AB$15:$AL$15,$A21,0,$B21)*OFFSET(ORÇAMENTO!$AA$15,$A21,0,$B21)/(OFFSET(ORÇAMENTO!$X$15,$A21,0,$B21)+10^-12))+IF(AUTOEVENTO="Manual",SUMPRODUCT((OFFSET(CÁLCULO!$M$15,$A21,0,$B21)=1)*OFFSET(ORÇAMENTO!$AA$15,$A21,0,$B21)*(PLE!$AE$9-PLE!$Y$9)),0))</f>
        <v>#N/A</v>
      </c>
      <c r="AD21" s="184" t="e">
        <f ca="1">IF(_xlfn.SINGLE(ACOMPANHAMENTO)&lt;&gt;"PLE",0,SUMPRODUCT((OFFSET(CÁLCULO!$AX$15:$BH$15,$A21,0,$B21)&lt;=(PLE.Medicao-1))*OFFSET(CÁLCULO!$AB$15:$AL$15,$A21,0,$B21)*OFFSET(ORÇAMENTO!$AB$15,$A21,0,$B21)/(OFFSET(ORÇAMENTO!$X$15,$A21,0,$B21)+10^-12))+IF(AUTOEVENTO="Manual",SUMPRODUCT((OFFSET(CÁLCULO!$M$15,$A21,0,$B21)=1)*OFFSET(ORÇAMENTO!$AB$15,$A21,0,$B21)*(PLE!$AE$9-PLE!$Y$9)),0))</f>
        <v>#N/A</v>
      </c>
      <c r="AE21" s="184" t="e">
        <f ca="1">ROUND(IF(_xlfn.SINGLE(ACOMPANHAMENTO)&lt;&gt;"PLE",0,SUMIF(OFFSET(CÁLCULO!$AX$15:$BH$15,$A21,0,$B21),"&lt;="&amp;(PLE.Medicao-1),OFFSET(CÁLCULO!$AB$15:$AL$15,$A21,0,$B21))+IF(AUTOEVENTO="Manual",SUMIF(OFFSET(CÁLCULO!$M$15,$A21,0,$B21),1,OFFSET(ORÇAMENTO!$X$15,$A21,0,$B21))*(PLE!$AE$9-PLE!$Y$9),0)),2)</f>
        <v>#N/A</v>
      </c>
      <c r="AF21" s="184" t="e">
        <f ca="1">IF(_xlfn.SINGLE(ACOMPANHAMENTO)&lt;&gt;"PLE",0,SUMPRODUCT((OFFSET(CÁLCULO!$AX$15:$BH$15,$A21,0,$B21)&lt;=PLE.Medicao)*OFFSET(CÁLCULO!$AB$15:$AL$15,$A21,0,$B21)*OFFSET(ORÇAMENTO!$AA$15,$A21,0,$B21)/(OFFSET(ORÇAMENTO!$X$15,$A21,0,$B21)+10^-12))+IF(AUTOEVENTO="Manual",SUMPRODUCT((OFFSET(CÁLCULO!$M$15,$A21,0,$B21)=1)*OFFSET(ORÇAMENTO!$AA$15,$A21,0,$B21)*PLE!$AE$9),0))</f>
        <v>#N/A</v>
      </c>
      <c r="AG21" s="184" t="e">
        <f ca="1">IF(_xlfn.SINGLE(ACOMPANHAMENTO)&lt;&gt;"PLE",0,SUMPRODUCT((OFFSET(CÁLCULO!$AX$15:$BH$15,$A21,0,$B21)&lt;=PLE.Medicao)*OFFSET(CÁLCULO!$AB$15:$AL$15,$A21,0,$B21)*OFFSET(ORÇAMENTO!$AB$15,$A21,0,$B21)/(OFFSET(ORÇAMENTO!$X$15,$A21,0,$B21)+10^-12))+IF(AUTOEVENTO="Manual",SUMPRODUCT((OFFSET(CÁLCULO!$M$15,$A21,0,$B21)=1)*OFFSET(ORÇAMENTO!$AB$15,$A21,0,$B21)*PLE!$AE$9),0))</f>
        <v>#N/A</v>
      </c>
      <c r="AH21" s="184" t="e">
        <f ca="1">ROUND(IF(_xlfn.SINGLE(ACOMPANHAMENTO)&lt;&gt;"PLE",0,SUMIF(OFFSET(CÁLCULO!$AX$15:$BH$15,$A21,0,$B21),"&lt;="&amp;PLE.Medicao,OFFSET(CÁLCULO!$AB$15:$AL$15,$A21,0,$B21))+IF(AUTOEVENTO="Manual",SUMIF(OFFSET(CÁLCULO!$M$15,$A21,0,$B21),1,OFFSET(ORÇAMENTO!$X$15,$A21,0,$B21))*PLE!$AE$9,0)),2)</f>
        <v>#N/A</v>
      </c>
      <c r="AJ21" s="184">
        <f ca="1">IF(_xlfn.SINGLE(ACOMPANHAMENTO)&lt;&gt;"BM",0,SUMPRODUCT(OFFSET(BM!$M$15,$A21,0,$B21)*(OFFSET(BM!$A$15,$A21,0,$B21)="S")*OFFSET(ORÇAMENTO!AA$15,$A21,0,$B21)/(OFFSET(ORÇAMENTO!$X$15,$A21,0,$B21)+10^-12)))</f>
        <v>0</v>
      </c>
      <c r="AK21" s="184">
        <f ca="1">IF(_xlfn.SINGLE(ACOMPANHAMENTO)&lt;&gt;"BM",0,SUMPRODUCT(OFFSET(BM!$M$15,$A21,0,$B21)*(OFFSET(BM!$A$15,$A21,0,$B21)="S")*OFFSET(ORÇAMENTO!AB$15,$A21,0,$B21)/(OFFSET(ORÇAMENTO!$X$15,$A21,0,$B21)+10^-12)))</f>
        <v>0</v>
      </c>
      <c r="AL21" s="184">
        <f ca="1">IF(_xlfn.SINGLE(ACOMPANHAMENTO)&lt;&gt;"BM",0,OFFSET(BM!$M$15,$A21,0))</f>
        <v>0</v>
      </c>
      <c r="AM21" s="184">
        <f ca="1">IF(_xlfn.SINGLE(ACOMPANHAMENTO)&lt;&gt;"BM",0,SUMPRODUCT(OFFSET(BM!$O$15,$A21,0,$B21)*(OFFSET(BM!$A$15,$A21,0,$B21)="S")*OFFSET(ORÇAMENTO!AA$15,$A21,0,$B21)/(OFFSET(ORÇAMENTO!$X$15,$A21,0,$B21)+10^-12)))</f>
        <v>0</v>
      </c>
      <c r="AN21" s="184">
        <f ca="1">IF(_xlfn.SINGLE(ACOMPANHAMENTO)&lt;&gt;"BM",0,SUMPRODUCT(OFFSET(BM!$O$15,$A21,0,$B21)*(OFFSET(BM!$A$15,$A21,0,$B21)="S")*OFFSET(ORÇAMENTO!AB$15,$A21,0,$B21)/(OFFSET(ORÇAMENTO!$X$15,$A21,0,$B21)+10^-12)))</f>
        <v>0</v>
      </c>
      <c r="AO21" s="184">
        <f ca="1">IF(_xlfn.SINGLE(ACOMPANHAMENTO)&lt;&gt;"BM",0,OFFSET(BM!$O$15,$A21,0))</f>
        <v>0</v>
      </c>
    </row>
    <row r="22" spans="1:41" ht="30" customHeight="1" x14ac:dyDescent="0.2">
      <c r="A22" t="e">
        <f ca="1">MATCH(E22,ORÇAMENTO!$E$15:$E$105,0)-1</f>
        <v>#N/A</v>
      </c>
      <c r="B22" t="e">
        <f ca="1">IF(ISERROR($A22),NA(),OFFSET(ORÇAMENTO!$D$15,$A22,0))</f>
        <v>#N/A</v>
      </c>
      <c r="C22" t="str">
        <f ca="1">QCI!B22</f>
        <v>Branco</v>
      </c>
      <c r="D22" t="str">
        <f t="shared" ca="1" si="0"/>
        <v/>
      </c>
      <c r="E22" s="282">
        <f>QCI!D22</f>
        <v>9</v>
      </c>
      <c r="F22" s="363" t="str">
        <f ca="1">QCI!G22</f>
        <v/>
      </c>
      <c r="G22" s="364">
        <f>QCI!H22</f>
        <v>0</v>
      </c>
      <c r="H22" s="283">
        <f>QCI!I22</f>
        <v>0</v>
      </c>
      <c r="I22" s="283" t="str">
        <f ca="1">QCI!J22</f>
        <v/>
      </c>
      <c r="J22" s="365" t="str">
        <f ca="1">QCI!K22</f>
        <v/>
      </c>
      <c r="K22" s="366" t="str">
        <f ca="1">_xlfn.SINGLE(IF($C22="Automático",IF(_xlfn.SINGLE(ACOMPANHAMENTO)="BM",BM.medicao,PLE.Medicao),IF(ISBLANK($X22),"",$X22)))</f>
        <v/>
      </c>
      <c r="L22" s="287">
        <f ca="1">QCI!$O22</f>
        <v>0</v>
      </c>
      <c r="M22" s="284">
        <f t="shared" ca="1" si="1"/>
        <v>0</v>
      </c>
      <c r="N22" s="285">
        <f t="shared" ca="1" si="2"/>
        <v>0</v>
      </c>
      <c r="O22" s="286">
        <f t="shared" ca="1" si="3"/>
        <v>0</v>
      </c>
      <c r="P22" s="368">
        <f t="shared" ca="1" si="4"/>
        <v>0</v>
      </c>
      <c r="R22" s="367">
        <f ca="1">ROUND(IF($C22="Automático",AC22+AJ22,$Y22*IF(ISERROR(QCI!$AA22/QCI!$O22),0,QCI!$AA22/QCI!$O22)),2)</f>
        <v>0</v>
      </c>
      <c r="S22" s="367">
        <f ca="1">ROUND(IF($C22="Automático",AD22+AK22,$Y22*IF(ISERROR(QCI!$AB22/QCI!$O22),0,QCI!$AB22/QCI!$O22)),2)</f>
        <v>0</v>
      </c>
      <c r="T22" s="367">
        <f ca="1">ROUND(IF($C22="Automático",AF22+AM22,$Z22*IF(ISERROR(QCI!$AA22/QCI!$O22),0,QCI!$AA22/QCI!$O22)),2)</f>
        <v>0</v>
      </c>
      <c r="U22" s="367">
        <f ca="1">ROUND(IF($C22="Automático",AG22+AN22,$Z22*IF(ISERROR(QCI!$AB22/QCI!$O22),0,QCI!$AB22/QCI!$O22)),2)</f>
        <v>0</v>
      </c>
      <c r="V22" s="450">
        <f ca="1">IF(AND($L22&gt;0,$J22&lt;&gt;0,$J22&lt;&gt;"",COUNTIF($J$13:$J22,$J22)=1),OFFSET(V22,-1,0)+1,OFFSET(V22,-1,0))</f>
        <v>1</v>
      </c>
      <c r="X22" s="514"/>
      <c r="Y22" s="288"/>
      <c r="Z22" s="289"/>
      <c r="AC22" s="184" t="e">
        <f ca="1">IF(_xlfn.SINGLE(ACOMPANHAMENTO)&lt;&gt;"PLE",0,SUMPRODUCT((OFFSET(CÁLCULO!$AX$15:$BH$15,$A22,0,$B22)&lt;=(PLE.Medicao-1))*OFFSET(CÁLCULO!$AB$15:$AL$15,$A22,0,$B22)*OFFSET(ORÇAMENTO!$AA$15,$A22,0,$B22)/(OFFSET(ORÇAMENTO!$X$15,$A22,0,$B22)+10^-12))+IF(AUTOEVENTO="Manual",SUMPRODUCT((OFFSET(CÁLCULO!$M$15,$A22,0,$B22)=1)*OFFSET(ORÇAMENTO!$AA$15,$A22,0,$B22)*(PLE!$AE$9-PLE!$Y$9)),0))</f>
        <v>#N/A</v>
      </c>
      <c r="AD22" s="184" t="e">
        <f ca="1">IF(_xlfn.SINGLE(ACOMPANHAMENTO)&lt;&gt;"PLE",0,SUMPRODUCT((OFFSET(CÁLCULO!$AX$15:$BH$15,$A22,0,$B22)&lt;=(PLE.Medicao-1))*OFFSET(CÁLCULO!$AB$15:$AL$15,$A22,0,$B22)*OFFSET(ORÇAMENTO!$AB$15,$A22,0,$B22)/(OFFSET(ORÇAMENTO!$X$15,$A22,0,$B22)+10^-12))+IF(AUTOEVENTO="Manual",SUMPRODUCT((OFFSET(CÁLCULO!$M$15,$A22,0,$B22)=1)*OFFSET(ORÇAMENTO!$AB$15,$A22,0,$B22)*(PLE!$AE$9-PLE!$Y$9)),0))</f>
        <v>#N/A</v>
      </c>
      <c r="AE22" s="184" t="e">
        <f ca="1">ROUND(IF(_xlfn.SINGLE(ACOMPANHAMENTO)&lt;&gt;"PLE",0,SUMIF(OFFSET(CÁLCULO!$AX$15:$BH$15,$A22,0,$B22),"&lt;="&amp;(PLE.Medicao-1),OFFSET(CÁLCULO!$AB$15:$AL$15,$A22,0,$B22))+IF(AUTOEVENTO="Manual",SUMIF(OFFSET(CÁLCULO!$M$15,$A22,0,$B22),1,OFFSET(ORÇAMENTO!$X$15,$A22,0,$B22))*(PLE!$AE$9-PLE!$Y$9),0)),2)</f>
        <v>#N/A</v>
      </c>
      <c r="AF22" s="184" t="e">
        <f ca="1">IF(_xlfn.SINGLE(ACOMPANHAMENTO)&lt;&gt;"PLE",0,SUMPRODUCT((OFFSET(CÁLCULO!$AX$15:$BH$15,$A22,0,$B22)&lt;=PLE.Medicao)*OFFSET(CÁLCULO!$AB$15:$AL$15,$A22,0,$B22)*OFFSET(ORÇAMENTO!$AA$15,$A22,0,$B22)/(OFFSET(ORÇAMENTO!$X$15,$A22,0,$B22)+10^-12))+IF(AUTOEVENTO="Manual",SUMPRODUCT((OFFSET(CÁLCULO!$M$15,$A22,0,$B22)=1)*OFFSET(ORÇAMENTO!$AA$15,$A22,0,$B22)*PLE!$AE$9),0))</f>
        <v>#N/A</v>
      </c>
      <c r="AG22" s="184" t="e">
        <f ca="1">IF(_xlfn.SINGLE(ACOMPANHAMENTO)&lt;&gt;"PLE",0,SUMPRODUCT((OFFSET(CÁLCULO!$AX$15:$BH$15,$A22,0,$B22)&lt;=PLE.Medicao)*OFFSET(CÁLCULO!$AB$15:$AL$15,$A22,0,$B22)*OFFSET(ORÇAMENTO!$AB$15,$A22,0,$B22)/(OFFSET(ORÇAMENTO!$X$15,$A22,0,$B22)+10^-12))+IF(AUTOEVENTO="Manual",SUMPRODUCT((OFFSET(CÁLCULO!$M$15,$A22,0,$B22)=1)*OFFSET(ORÇAMENTO!$AB$15,$A22,0,$B22)*PLE!$AE$9),0))</f>
        <v>#N/A</v>
      </c>
      <c r="AH22" s="184" t="e">
        <f ca="1">ROUND(IF(_xlfn.SINGLE(ACOMPANHAMENTO)&lt;&gt;"PLE",0,SUMIF(OFFSET(CÁLCULO!$AX$15:$BH$15,$A22,0,$B22),"&lt;="&amp;PLE.Medicao,OFFSET(CÁLCULO!$AB$15:$AL$15,$A22,0,$B22))+IF(AUTOEVENTO="Manual",SUMIF(OFFSET(CÁLCULO!$M$15,$A22,0,$B22),1,OFFSET(ORÇAMENTO!$X$15,$A22,0,$B22))*PLE!$AE$9,0)),2)</f>
        <v>#N/A</v>
      </c>
      <c r="AJ22" s="184">
        <f ca="1">IF(_xlfn.SINGLE(ACOMPANHAMENTO)&lt;&gt;"BM",0,SUMPRODUCT(OFFSET(BM!$M$15,$A22,0,$B22)*(OFFSET(BM!$A$15,$A22,0,$B22)="S")*OFFSET(ORÇAMENTO!AA$15,$A22,0,$B22)/(OFFSET(ORÇAMENTO!$X$15,$A22,0,$B22)+10^-12)))</f>
        <v>0</v>
      </c>
      <c r="AK22" s="184">
        <f ca="1">IF(_xlfn.SINGLE(ACOMPANHAMENTO)&lt;&gt;"BM",0,SUMPRODUCT(OFFSET(BM!$M$15,$A22,0,$B22)*(OFFSET(BM!$A$15,$A22,0,$B22)="S")*OFFSET(ORÇAMENTO!AB$15,$A22,0,$B22)/(OFFSET(ORÇAMENTO!$X$15,$A22,0,$B22)+10^-12)))</f>
        <v>0</v>
      </c>
      <c r="AL22" s="184">
        <f ca="1">IF(_xlfn.SINGLE(ACOMPANHAMENTO)&lt;&gt;"BM",0,OFFSET(BM!$M$15,$A22,0))</f>
        <v>0</v>
      </c>
      <c r="AM22" s="184">
        <f ca="1">IF(_xlfn.SINGLE(ACOMPANHAMENTO)&lt;&gt;"BM",0,SUMPRODUCT(OFFSET(BM!$O$15,$A22,0,$B22)*(OFFSET(BM!$A$15,$A22,0,$B22)="S")*OFFSET(ORÇAMENTO!AA$15,$A22,0,$B22)/(OFFSET(ORÇAMENTO!$X$15,$A22,0,$B22)+10^-12)))</f>
        <v>0</v>
      </c>
      <c r="AN22" s="184">
        <f ca="1">IF(_xlfn.SINGLE(ACOMPANHAMENTO)&lt;&gt;"BM",0,SUMPRODUCT(OFFSET(BM!$O$15,$A22,0,$B22)*(OFFSET(BM!$A$15,$A22,0,$B22)="S")*OFFSET(ORÇAMENTO!AB$15,$A22,0,$B22)/(OFFSET(ORÇAMENTO!$X$15,$A22,0,$B22)+10^-12)))</f>
        <v>0</v>
      </c>
      <c r="AO22" s="184">
        <f ca="1">IF(_xlfn.SINGLE(ACOMPANHAMENTO)&lt;&gt;"BM",0,OFFSET(BM!$O$15,$A22,0))</f>
        <v>0</v>
      </c>
    </row>
    <row r="23" spans="1:41" ht="30" customHeight="1" x14ac:dyDescent="0.2">
      <c r="A23" t="e">
        <f ca="1">MATCH(E23,ORÇAMENTO!$E$15:$E$105,0)-1</f>
        <v>#N/A</v>
      </c>
      <c r="B23" t="e">
        <f ca="1">IF(ISERROR($A23),NA(),OFFSET(ORÇAMENTO!$D$15,$A23,0))</f>
        <v>#N/A</v>
      </c>
      <c r="C23" t="str">
        <f ca="1">QCI!B23</f>
        <v>Branco</v>
      </c>
      <c r="D23" t="str">
        <f ca="1">IF(L23&gt;0,"F","")</f>
        <v/>
      </c>
      <c r="E23" s="282">
        <f>QCI!D23</f>
        <v>10</v>
      </c>
      <c r="F23" s="363" t="str">
        <f ca="1">QCI!G23</f>
        <v/>
      </c>
      <c r="G23" s="364">
        <f>QCI!H23</f>
        <v>0</v>
      </c>
      <c r="H23" s="283">
        <f>QCI!I23</f>
        <v>0</v>
      </c>
      <c r="I23" s="283" t="str">
        <f ca="1">QCI!J23</f>
        <v/>
      </c>
      <c r="J23" s="365" t="str">
        <f ca="1">QCI!K23</f>
        <v/>
      </c>
      <c r="K23" s="366" t="str">
        <f ca="1">_xlfn.SINGLE(IF($C23="Automático",IF(_xlfn.SINGLE(ACOMPANHAMENTO)="BM",BM.medicao,PLE.Medicao),IF(ISBLANK($X23),"",$X23)))</f>
        <v/>
      </c>
      <c r="L23" s="287">
        <f ca="1">QCI!$O23</f>
        <v>0</v>
      </c>
      <c r="M23" s="284">
        <f ca="1">ROUND(IF(C23="Automático",AE23+AL23,Y23),2)</f>
        <v>0</v>
      </c>
      <c r="N23" s="285">
        <f ca="1">O23-M23</f>
        <v>0</v>
      </c>
      <c r="O23" s="286">
        <f ca="1">ROUND(IF(C23="Automático",AH23+AO23,Z23),2)</f>
        <v>0</v>
      </c>
      <c r="P23" s="368">
        <f ca="1">O23/(L23+10^-12)</f>
        <v>0</v>
      </c>
      <c r="R23" s="367">
        <f ca="1">ROUND(IF($C23="Automático",AC23+AJ23,$Y23*IF(ISERROR(QCI!$AA23/QCI!$O23),0,QCI!$AA23/QCI!$O23)),2)</f>
        <v>0</v>
      </c>
      <c r="S23" s="367">
        <f ca="1">ROUND(IF($C23="Automático",AD23+AK23,$Y23*IF(ISERROR(QCI!$AB23/QCI!$O23),0,QCI!$AB23/QCI!$O23)),2)</f>
        <v>0</v>
      </c>
      <c r="T23" s="367">
        <f ca="1">ROUND(IF($C23="Automático",AF23+AM23,$Z23*IF(ISERROR(QCI!$AA23/QCI!$O23),0,QCI!$AA23/QCI!$O23)),2)</f>
        <v>0</v>
      </c>
      <c r="U23" s="367">
        <f ca="1">ROUND(IF($C23="Automático",AG23+AN23,$Z23*IF(ISERROR(QCI!$AB23/QCI!$O23),0,QCI!$AB23/QCI!$O23)),2)</f>
        <v>0</v>
      </c>
      <c r="V23" s="450">
        <f ca="1">IF(AND($L23&gt;0,$J23&lt;&gt;0,$J23&lt;&gt;"",COUNTIF($J$13:$J23,$J23)=1),OFFSET(V23,-1,0)+1,OFFSET(V23,-1,0))</f>
        <v>1</v>
      </c>
      <c r="X23" s="514"/>
      <c r="Y23" s="288"/>
      <c r="Z23" s="289"/>
      <c r="AC23" s="184" t="e">
        <f ca="1">IF(_xlfn.SINGLE(ACOMPANHAMENTO)&lt;&gt;"PLE",0,SUMPRODUCT((OFFSET(CÁLCULO!$AX$15:$BH$15,$A23,0,$B23)&lt;=(PLE.Medicao-1))*OFFSET(CÁLCULO!$AB$15:$AL$15,$A23,0,$B23)*OFFSET(ORÇAMENTO!$AA$15,$A23,0,$B23)/(OFFSET(ORÇAMENTO!$X$15,$A23,0,$B23)+10^-12))+IF(AUTOEVENTO="Manual",SUMPRODUCT((OFFSET(CÁLCULO!$M$15,$A23,0,$B23)=1)*OFFSET(ORÇAMENTO!$AA$15,$A23,0,$B23)*(PLE!$AE$9-PLE!$Y$9)),0))</f>
        <v>#N/A</v>
      </c>
      <c r="AD23" s="184" t="e">
        <f ca="1">IF(_xlfn.SINGLE(ACOMPANHAMENTO)&lt;&gt;"PLE",0,SUMPRODUCT((OFFSET(CÁLCULO!$AX$15:$BH$15,$A23,0,$B23)&lt;=(PLE.Medicao-1))*OFFSET(CÁLCULO!$AB$15:$AL$15,$A23,0,$B23)*OFFSET(ORÇAMENTO!$AB$15,$A23,0,$B23)/(OFFSET(ORÇAMENTO!$X$15,$A23,0,$B23)+10^-12))+IF(AUTOEVENTO="Manual",SUMPRODUCT((OFFSET(CÁLCULO!$M$15,$A23,0,$B23)=1)*OFFSET(ORÇAMENTO!$AB$15,$A23,0,$B23)*(PLE!$AE$9-PLE!$Y$9)),0))</f>
        <v>#N/A</v>
      </c>
      <c r="AE23" s="184" t="e">
        <f ca="1">ROUND(IF(_xlfn.SINGLE(ACOMPANHAMENTO)&lt;&gt;"PLE",0,SUMIF(OFFSET(CÁLCULO!$AX$15:$BH$15,$A23,0,$B23),"&lt;="&amp;(PLE.Medicao-1),OFFSET(CÁLCULO!$AB$15:$AL$15,$A23,0,$B23))+IF(AUTOEVENTO="Manual",SUMIF(OFFSET(CÁLCULO!$M$15,$A23,0,$B23),1,OFFSET(ORÇAMENTO!$X$15,$A23,0,$B23))*(PLE!$AE$9-PLE!$Y$9),0)),2)</f>
        <v>#N/A</v>
      </c>
      <c r="AF23" s="184" t="e">
        <f ca="1">IF(_xlfn.SINGLE(ACOMPANHAMENTO)&lt;&gt;"PLE",0,SUMPRODUCT((OFFSET(CÁLCULO!$AX$15:$BH$15,$A23,0,$B23)&lt;=PLE.Medicao)*OFFSET(CÁLCULO!$AB$15:$AL$15,$A23,0,$B23)*OFFSET(ORÇAMENTO!$AA$15,$A23,0,$B23)/(OFFSET(ORÇAMENTO!$X$15,$A23,0,$B23)+10^-12))+IF(AUTOEVENTO="Manual",SUMPRODUCT((OFFSET(CÁLCULO!$M$15,$A23,0,$B23)=1)*OFFSET(ORÇAMENTO!$AA$15,$A23,0,$B23)*PLE!$AE$9),0))</f>
        <v>#N/A</v>
      </c>
      <c r="AG23" s="184" t="e">
        <f ca="1">IF(_xlfn.SINGLE(ACOMPANHAMENTO)&lt;&gt;"PLE",0,SUMPRODUCT((OFFSET(CÁLCULO!$AX$15:$BH$15,$A23,0,$B23)&lt;=PLE.Medicao)*OFFSET(CÁLCULO!$AB$15:$AL$15,$A23,0,$B23)*OFFSET(ORÇAMENTO!$AB$15,$A23,0,$B23)/(OFFSET(ORÇAMENTO!$X$15,$A23,0,$B23)+10^-12))+IF(AUTOEVENTO="Manual",SUMPRODUCT((OFFSET(CÁLCULO!$M$15,$A23,0,$B23)=1)*OFFSET(ORÇAMENTO!$AB$15,$A23,0,$B23)*PLE!$AE$9),0))</f>
        <v>#N/A</v>
      </c>
      <c r="AH23" s="184" t="e">
        <f ca="1">ROUND(IF(_xlfn.SINGLE(ACOMPANHAMENTO)&lt;&gt;"PLE",0,SUMIF(OFFSET(CÁLCULO!$AX$15:$BH$15,$A23,0,$B23),"&lt;="&amp;PLE.Medicao,OFFSET(CÁLCULO!$AB$15:$AL$15,$A23,0,$B23))+IF(AUTOEVENTO="Manual",SUMIF(OFFSET(CÁLCULO!$M$15,$A23,0,$B23),1,OFFSET(ORÇAMENTO!$X$15,$A23,0,$B23))*PLE!$AE$9,0)),2)</f>
        <v>#N/A</v>
      </c>
      <c r="AJ23" s="184">
        <f ca="1">IF(_xlfn.SINGLE(ACOMPANHAMENTO)&lt;&gt;"BM",0,SUMPRODUCT(OFFSET(BM!$M$15,$A23,0,$B23)*(OFFSET(BM!$A$15,$A23,0,$B23)="S")*OFFSET(ORÇAMENTO!AA$15,$A23,0,$B23)/(OFFSET(ORÇAMENTO!$X$15,$A23,0,$B23)+10^-12)))</f>
        <v>0</v>
      </c>
      <c r="AK23" s="184">
        <f ca="1">IF(_xlfn.SINGLE(ACOMPANHAMENTO)&lt;&gt;"BM",0,SUMPRODUCT(OFFSET(BM!$M$15,$A23,0,$B23)*(OFFSET(BM!$A$15,$A23,0,$B23)="S")*OFFSET(ORÇAMENTO!AB$15,$A23,0,$B23)/(OFFSET(ORÇAMENTO!$X$15,$A23,0,$B23)+10^-12)))</f>
        <v>0</v>
      </c>
      <c r="AL23" s="184">
        <f ca="1">IF(_xlfn.SINGLE(ACOMPANHAMENTO)&lt;&gt;"BM",0,OFFSET(BM!$M$15,$A23,0))</f>
        <v>0</v>
      </c>
      <c r="AM23" s="184">
        <f ca="1">IF(_xlfn.SINGLE(ACOMPANHAMENTO)&lt;&gt;"BM",0,SUMPRODUCT(OFFSET(BM!$O$15,$A23,0,$B23)*(OFFSET(BM!$A$15,$A23,0,$B23)="S")*OFFSET(ORÇAMENTO!AA$15,$A23,0,$B23)/(OFFSET(ORÇAMENTO!$X$15,$A23,0,$B23)+10^-12)))</f>
        <v>0</v>
      </c>
      <c r="AN23" s="184">
        <f ca="1">IF(_xlfn.SINGLE(ACOMPANHAMENTO)&lt;&gt;"BM",0,SUMPRODUCT(OFFSET(BM!$O$15,$A23,0,$B23)*(OFFSET(BM!$A$15,$A23,0,$B23)="S")*OFFSET(ORÇAMENTO!AB$15,$A23,0,$B23)/(OFFSET(ORÇAMENTO!$X$15,$A23,0,$B23)+10^-12)))</f>
        <v>0</v>
      </c>
      <c r="AO23" s="184">
        <f ca="1">IF(_xlfn.SINGLE(ACOMPANHAMENTO)&lt;&gt;"BM",0,OFFSET(BM!$O$15,$A23,0))</f>
        <v>0</v>
      </c>
    </row>
    <row r="24" spans="1:41" ht="12.95" customHeight="1" x14ac:dyDescent="0.2">
      <c r="D24" t="s">
        <v>537</v>
      </c>
      <c r="E24" s="1"/>
      <c r="F24" s="1"/>
      <c r="G24" s="1"/>
      <c r="H24" s="1"/>
      <c r="I24" s="2"/>
      <c r="J24" s="819" t="s">
        <v>890</v>
      </c>
      <c r="K24" s="820"/>
      <c r="L24" s="370">
        <f ca="1">IF(ISERROR(L28/$L28),0,ROUND(L28/$L28,4))</f>
        <v>1</v>
      </c>
      <c r="M24" s="372">
        <f ca="1">IF(ISERROR(M28/$L28),0,ROUND(M28/$L28,4))</f>
        <v>0</v>
      </c>
      <c r="N24" s="371">
        <f ca="1">IF(ISERROR(N28/$L28),0,ROUND(N28/$L28,4))</f>
        <v>0</v>
      </c>
      <c r="O24" s="373">
        <f ca="1">IF(ISERROR(O28/$L28),0,ROUND(O28/$L28,4))</f>
        <v>0</v>
      </c>
      <c r="P24" s="821">
        <f ca="1">O28/(L28+10^-12)</f>
        <v>0</v>
      </c>
      <c r="X24" s="303"/>
      <c r="Y24" s="305"/>
      <c r="Z24" s="306"/>
    </row>
    <row r="25" spans="1:41" ht="12.95" customHeight="1" x14ac:dyDescent="0.2">
      <c r="D25" t="s">
        <v>537</v>
      </c>
      <c r="I25" s="4"/>
      <c r="J25" s="822" t="str">
        <f>IF(import.recurso="FGTS","Financiamento","Repasse")</f>
        <v>Repasse</v>
      </c>
      <c r="K25" s="823"/>
      <c r="L25" s="287">
        <f ca="1">QCI!L24</f>
        <v>0</v>
      </c>
      <c r="M25" s="284">
        <f ca="1">M28-M27-M26</f>
        <v>0</v>
      </c>
      <c r="N25" s="285">
        <f ca="1">O25-M25</f>
        <v>0</v>
      </c>
      <c r="O25" s="286">
        <f ca="1">O28-O27-O26</f>
        <v>0</v>
      </c>
      <c r="P25" s="821"/>
      <c r="X25" s="374"/>
      <c r="Y25" s="375" t="s">
        <v>891</v>
      </c>
      <c r="Z25" s="376" t="s">
        <v>892</v>
      </c>
      <c r="AC25" s="377" t="s">
        <v>893</v>
      </c>
      <c r="AD25" s="377" t="s">
        <v>894</v>
      </c>
    </row>
    <row r="26" spans="1:41" ht="12.95" customHeight="1" x14ac:dyDescent="0.2">
      <c r="D26" t="s">
        <v>537</v>
      </c>
      <c r="I26" s="4"/>
      <c r="J26" s="824" t="s">
        <v>895</v>
      </c>
      <c r="K26" s="825"/>
      <c r="L26" s="378">
        <f ca="1">QCI!M24</f>
        <v>290574.24</v>
      </c>
      <c r="M26" s="379">
        <f ca="1">ROUND(IF(OFFSET($X$26,0,1)&lt;&gt;"",OFFSET($X$26,0,1),SUM(R13:OFFSET(R24,-1,0))),2)</f>
        <v>0</v>
      </c>
      <c r="N26" s="380">
        <f ca="1">O26-M26</f>
        <v>0</v>
      </c>
      <c r="O26" s="381">
        <f ca="1">IF(OFFSET($X$26,0,2)&lt;&gt;"",OFFSET($X$26,0,2),$AE$3)</f>
        <v>0</v>
      </c>
      <c r="P26" s="821"/>
      <c r="X26" s="382" t="s">
        <v>457</v>
      </c>
      <c r="Y26" s="445"/>
      <c r="Z26" s="446"/>
      <c r="AC26" s="383">
        <f ca="1">MIN($L26,$O$28-OFFSET($X$27,0,1))</f>
        <v>0</v>
      </c>
      <c r="AD26" s="383">
        <f ca="1">MIN($L26,$O$28-OFFSET($X$27,0,2))</f>
        <v>0</v>
      </c>
    </row>
    <row r="27" spans="1:41" ht="12.95" customHeight="1" x14ac:dyDescent="0.2">
      <c r="D27" t="s">
        <v>537</v>
      </c>
      <c r="I27" s="4"/>
      <c r="J27" s="826" t="s">
        <v>872</v>
      </c>
      <c r="K27" s="827"/>
      <c r="L27" s="384">
        <f ca="1">QCI!N24</f>
        <v>0</v>
      </c>
      <c r="M27" s="385">
        <f ca="1">ROUND(IF(OFFSET($X$27,0,1)&lt;&gt;"",OFFSET($X$27,0,1),SUM(S13:OFFSET(S24,-1,0))),2)</f>
        <v>0</v>
      </c>
      <c r="N27" s="386">
        <f ca="1">O27-M27</f>
        <v>0</v>
      </c>
      <c r="O27" s="387">
        <f ca="1">IF(OFFSET($X$27,0,2)&lt;&gt;"",OFFSET($X$27,0,2),$AE$4)</f>
        <v>0</v>
      </c>
      <c r="P27" s="821"/>
      <c r="X27" s="388" t="s">
        <v>795</v>
      </c>
      <c r="Y27" s="447"/>
      <c r="Z27" s="448"/>
      <c r="AC27" s="383">
        <f ca="1">MIN($L27,$O$28-OFFSET($X$26,0,1))</f>
        <v>0</v>
      </c>
      <c r="AD27" s="383">
        <f ca="1">MIN($L27,$O$28-OFFSET($X$26,0,2))</f>
        <v>0</v>
      </c>
    </row>
    <row r="28" spans="1:41" ht="15" x14ac:dyDescent="0.2">
      <c r="D28" t="s">
        <v>537</v>
      </c>
      <c r="I28" s="4"/>
      <c r="J28" s="828" t="s">
        <v>874</v>
      </c>
      <c r="K28" s="829"/>
      <c r="L28" s="389">
        <f ca="1">SUM(L13:OFFSET(L24,-1,0))</f>
        <v>290574.24</v>
      </c>
      <c r="M28" s="649">
        <f ca="1">ROUND(SUM(M13:OFFSET(M24,-1,0)),2)</f>
        <v>0</v>
      </c>
      <c r="N28" s="650">
        <f ca="1">O28-M28</f>
        <v>0</v>
      </c>
      <c r="O28" s="390">
        <f ca="1">SUM(O13:OFFSET(O24,-1,0))</f>
        <v>0</v>
      </c>
      <c r="P28" s="821"/>
      <c r="X28" s="315"/>
      <c r="Y28" s="317"/>
      <c r="Z28" s="318"/>
    </row>
    <row r="29" spans="1:41" x14ac:dyDescent="0.2">
      <c r="O29" s="830" t="str">
        <f ca="1">"Acumulado Anterior:  "&amp;TEXT($M$28/($L$28+10^-12),"0,00%")</f>
        <v>Acumulado Anterior:  0,00%</v>
      </c>
      <c r="P29" s="830"/>
    </row>
    <row r="30" spans="1:41" ht="14.25" x14ac:dyDescent="0.2">
      <c r="E30" s="136" t="s">
        <v>690</v>
      </c>
      <c r="P30" s="415"/>
    </row>
    <row r="31" spans="1:41" ht="12.75" customHeight="1" x14ac:dyDescent="0.2">
      <c r="E31" s="813"/>
      <c r="F31" s="814"/>
      <c r="G31" s="814"/>
      <c r="H31" s="814"/>
      <c r="I31" s="814"/>
      <c r="J31" s="814"/>
      <c r="K31" s="814"/>
      <c r="L31" s="814"/>
      <c r="M31" s="814"/>
      <c r="N31" s="814"/>
      <c r="O31" s="814"/>
      <c r="P31" s="815"/>
    </row>
    <row r="32" spans="1:41" ht="12.75" customHeight="1" x14ac:dyDescent="0.2">
      <c r="E32" s="813"/>
      <c r="F32" s="814"/>
      <c r="G32" s="814"/>
      <c r="H32" s="814"/>
      <c r="I32" s="814"/>
      <c r="J32" s="814"/>
      <c r="K32" s="814"/>
      <c r="L32" s="814"/>
      <c r="M32" s="814"/>
      <c r="N32" s="814"/>
      <c r="O32" s="814"/>
      <c r="P32" s="815"/>
      <c r="Y32" s="391"/>
      <c r="Z32" s="391"/>
    </row>
    <row r="33" spans="5:16" ht="12.75" customHeight="1" x14ac:dyDescent="0.2">
      <c r="E33" s="816"/>
      <c r="F33" s="817"/>
      <c r="G33" s="817"/>
      <c r="H33" s="817"/>
      <c r="I33" s="817"/>
      <c r="J33" s="817"/>
      <c r="K33" s="817"/>
      <c r="L33" s="817"/>
      <c r="M33" s="817"/>
      <c r="N33" s="817"/>
      <c r="O33" s="817"/>
      <c r="P33" s="818"/>
    </row>
    <row r="34" spans="5:16" x14ac:dyDescent="0.2">
      <c r="L34" s="572" t="str">
        <f>IF(L35=0,"Preencher a data de fechamento do RRE na aba DADOS (célula "&amp;ADDRESS(ROW(Import.DataFechaRRE),COLUMN(Import.DataFechaRRE),4)&amp;")","")</f>
        <v>Preencher a data de fechamento do RRE na aba DADOS (célula C48)</v>
      </c>
    </row>
    <row r="35" spans="5:16" ht="15" x14ac:dyDescent="0.2">
      <c r="E35" s="675" t="str">
        <f>Import.Município</f>
        <v>RODEIO BONITO/RS</v>
      </c>
      <c r="F35" s="675"/>
      <c r="G35" s="675"/>
      <c r="I35" s="392"/>
      <c r="K35" s="585"/>
      <c r="L35" s="674">
        <f>DADOS!$C$48</f>
        <v>0</v>
      </c>
      <c r="M35" s="674"/>
      <c r="N35" s="674"/>
      <c r="O35" s="674"/>
    </row>
    <row r="36" spans="5:16" x14ac:dyDescent="0.2">
      <c r="E36" s="9" t="s">
        <v>694</v>
      </c>
      <c r="L36" s="9" t="s">
        <v>695</v>
      </c>
    </row>
    <row r="38" spans="5:16" x14ac:dyDescent="0.2">
      <c r="E38" s="181"/>
      <c r="F38" s="181"/>
      <c r="G38" s="181"/>
      <c r="L38" s="181"/>
      <c r="M38" s="181"/>
      <c r="N38" s="181"/>
      <c r="O38" s="181"/>
    </row>
    <row r="39" spans="5:16" x14ac:dyDescent="0.2">
      <c r="E39" s="393" t="str">
        <f>IF(CAIXA.Modo,"Responsável Gerencial CAIXA","Representante Tomador")</f>
        <v>Representante Tomador</v>
      </c>
      <c r="F39" s="7"/>
      <c r="L39" s="393" t="str">
        <f>IF(CAIXA.Modo,"Responsável Técnico CAIXA","Responsável Técnico pela Fiscalização")</f>
        <v>Responsável Técnico pela Fiscalização</v>
      </c>
    </row>
    <row r="40" spans="5:16" x14ac:dyDescent="0.2">
      <c r="E40" s="77" t="s">
        <v>240</v>
      </c>
      <c r="F40" s="272" t="str">
        <f>IF(CAIXA.Modo,DADOS!C60,DADOS!C28)</f>
        <v>LUIZ CARLOS PINTO RIBEIRO</v>
      </c>
      <c r="L40" s="77" t="s">
        <v>240</v>
      </c>
      <c r="M40" s="799">
        <f>IF(CAIXA.Modo,BM!X117,DADOS!C51)</f>
        <v>0</v>
      </c>
      <c r="N40" s="799"/>
      <c r="O40" s="799"/>
    </row>
    <row r="41" spans="5:16" x14ac:dyDescent="0.2">
      <c r="E41" s="77" t="str">
        <f>IF(CAIXA.Modo,"Função:","Cargo:")</f>
        <v>Cargo:</v>
      </c>
      <c r="F41" s="272" t="str">
        <f>IF(CAIXA.Modo,DADOS!C61,DADOS!C29)</f>
        <v>PRESIDENTE CIMAU</v>
      </c>
      <c r="L41" s="77" t="str">
        <f>IF(CAIXA.Modo,"Matrícula:","Profissão:")</f>
        <v>Profissão:</v>
      </c>
      <c r="M41" s="799">
        <f>IF(CAIXA.Modo,BM!X118,DADOS!C52)</f>
        <v>0</v>
      </c>
      <c r="N41" s="799"/>
      <c r="O41" s="799"/>
    </row>
    <row r="42" spans="5:16" x14ac:dyDescent="0.2">
      <c r="L42" s="77" t="s">
        <v>243</v>
      </c>
      <c r="M42" s="799">
        <f>IF(CAIXA.Modo,BM!X119,DADOS!C53)</f>
        <v>0</v>
      </c>
      <c r="N42" s="799"/>
      <c r="O42" s="799"/>
    </row>
    <row r="43" spans="5:16" x14ac:dyDescent="0.2">
      <c r="L43" s="77" t="str">
        <f>IF(CAIXA.Modo,"","ART/RRT:")</f>
        <v>ART/RRT:</v>
      </c>
      <c r="M43" s="12">
        <f>IF(CAIXA.Modo,"",DADOS!C54)</f>
        <v>0</v>
      </c>
    </row>
    <row r="45" spans="5:16" x14ac:dyDescent="0.2">
      <c r="E45" s="181"/>
      <c r="F45" s="181"/>
      <c r="G45" s="181"/>
      <c r="L45" s="181"/>
      <c r="M45" s="181"/>
      <c r="N45" s="181"/>
      <c r="O45" s="181"/>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798"/>
      <c r="G47" s="798"/>
      <c r="L47" s="77" t="s">
        <v>240</v>
      </c>
      <c r="M47" s="798"/>
      <c r="N47" s="798"/>
      <c r="O47" s="798"/>
    </row>
    <row r="48" spans="5:16" x14ac:dyDescent="0.2">
      <c r="E48" s="77" t="str">
        <f>IF(CAIXA.Modo,"Função:","Cargo:")</f>
        <v>Cargo:</v>
      </c>
      <c r="F48" s="798"/>
      <c r="G48" s="798"/>
      <c r="L48" s="77" t="str">
        <f>IF(CAIXA.Modo,"Função:","Cargo:")</f>
        <v>Cargo:</v>
      </c>
      <c r="M48" s="798"/>
      <c r="N48" s="798"/>
      <c r="O48" s="798"/>
    </row>
    <row r="49" spans="5:15" x14ac:dyDescent="0.2">
      <c r="E49" s="77" t="str">
        <f>IF(CAIXA.Modo,"Matr:","")</f>
        <v/>
      </c>
      <c r="F49" s="798"/>
      <c r="G49" s="798"/>
      <c r="L49" s="77" t="str">
        <f>IF(CAIXA.Modo,"Matrícula:","")</f>
        <v/>
      </c>
      <c r="M49" s="798"/>
      <c r="N49" s="798"/>
      <c r="O49" s="798"/>
    </row>
  </sheetData>
  <sheetProtection algorithmName="SHA-512" hashValue="wdoiuQXb6pdnKpUl+nKViD/sqIsvakEzXCoDqzWS9bB49YecudFv77fk8dyc6+qaua4+7SvhU4/bCs/gWmDAHQ==" saltValue="Ns2M3l1gdXJbp74mi7Z66Q=="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7" priority="380" stopIfTrue="1">
      <formula>OR($C12="Automático",$C12="Branco")</formula>
    </cfRule>
  </conditionalFormatting>
  <conditionalFormatting sqref="F49:G49 M49:O49">
    <cfRule type="expression" dxfId="46" priority="381" stopIfTrue="1">
      <formula>CAIXA.Modo=FALSE</formula>
    </cfRule>
  </conditionalFormatting>
  <conditionalFormatting sqref="M12 M25:M28 O12 O25:O28">
    <cfRule type="cellIs" dxfId="45" priority="382" stopIfTrue="1" operator="notBetween">
      <formula>0</formula>
      <formula>$L12</formula>
    </cfRule>
  </conditionalFormatting>
  <conditionalFormatting sqref="M10:N10">
    <cfRule type="cellIs" dxfId="44" priority="383" stopIfTrue="1" operator="lessThan">
      <formula>0</formula>
    </cfRule>
  </conditionalFormatting>
  <conditionalFormatting sqref="X14:Z22">
    <cfRule type="expression" dxfId="43" priority="3" stopIfTrue="1">
      <formula>OR($C14="Automático",$C14="Branco")</formula>
    </cfRule>
  </conditionalFormatting>
  <conditionalFormatting sqref="M14:M22 O14:O22">
    <cfRule type="cellIs" dxfId="42" priority="4" stopIfTrue="1" operator="notBetween">
      <formula>0</formula>
      <formula>$L14</formula>
    </cfRule>
  </conditionalFormatting>
  <conditionalFormatting sqref="X23:Z23">
    <cfRule type="expression" dxfId="41" priority="1" stopIfTrue="1">
      <formula>OR($C23="Automático",$C23="Branco")</formula>
    </cfRule>
  </conditionalFormatting>
  <conditionalFormatting sqref="M23 O23">
    <cfRule type="cellIs" dxfId="40"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&amp;LPMv3.12&amp;R&amp;P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55"/>
      <c r="C1" s="855"/>
      <c r="D1" s="49"/>
      <c r="E1" s="49"/>
      <c r="F1" s="49"/>
      <c r="G1" s="52" t="s">
        <v>645</v>
      </c>
    </row>
    <row r="2" spans="2:13" x14ac:dyDescent="0.2">
      <c r="B2" s="855"/>
      <c r="C2" s="855"/>
      <c r="D2" s="49"/>
      <c r="E2" s="49"/>
      <c r="F2" s="49"/>
      <c r="G2" s="11" t="s">
        <v>896</v>
      </c>
    </row>
    <row r="3" spans="2:13" ht="26.1" customHeight="1" x14ac:dyDescent="0.2">
      <c r="B3" s="855"/>
      <c r="C3" s="855"/>
      <c r="D3" s="49"/>
      <c r="E3" s="49"/>
      <c r="F3" s="49"/>
      <c r="G3" s="394"/>
    </row>
    <row r="4" spans="2:13" ht="12.75" customHeight="1" x14ac:dyDescent="0.2">
      <c r="B4" s="855"/>
      <c r="C4" s="855"/>
      <c r="D4" s="49"/>
      <c r="E4" s="49"/>
      <c r="F4" s="49"/>
      <c r="G4" s="49"/>
    </row>
    <row r="5" spans="2:13" x14ac:dyDescent="0.2">
      <c r="C5" s="572" t="str">
        <f>IF(Import.Ofício.Num=0,"Preencher o número do Ofício","")</f>
        <v>Preencher o número do Ofício</v>
      </c>
    </row>
    <row r="6" spans="2:13" x14ac:dyDescent="0.2">
      <c r="B6" s="395" t="s">
        <v>897</v>
      </c>
      <c r="C6" s="853"/>
      <c r="D6" s="853"/>
      <c r="E6" s="395"/>
      <c r="F6" s="395"/>
      <c r="G6" s="49"/>
      <c r="J6" s="9"/>
    </row>
    <row r="7" spans="2:13" x14ac:dyDescent="0.2">
      <c r="B7" s="49"/>
      <c r="C7" s="49"/>
      <c r="D7" s="49"/>
      <c r="E7" s="49"/>
      <c r="F7" s="49"/>
      <c r="G7" s="49"/>
    </row>
    <row r="8" spans="2:13" x14ac:dyDescent="0.2">
      <c r="B8" s="854" t="str">
        <f>CONCATENATE(RRE!$E$35,", ",TEXT(RRE!$L$35,"dd"" de ""mmmm"" de ""aaaa"))</f>
        <v>RODEIO BONITO/RS, 00 de janeiro de 1900</v>
      </c>
      <c r="C8" s="854"/>
      <c r="D8" s="854"/>
      <c r="E8" s="854"/>
      <c r="F8" s="854"/>
      <c r="G8" s="854"/>
      <c r="H8" s="396"/>
      <c r="J8" s="396"/>
      <c r="K8" s="396"/>
      <c r="L8" s="396"/>
      <c r="M8" s="396"/>
    </row>
    <row r="9" spans="2:13" x14ac:dyDescent="0.2">
      <c r="B9" s="397" t="s">
        <v>898</v>
      </c>
      <c r="C9" s="49"/>
      <c r="D9" s="49"/>
      <c r="G9" s="49"/>
      <c r="H9" s="396"/>
      <c r="J9" s="396"/>
      <c r="K9" s="396"/>
      <c r="L9" s="396"/>
      <c r="M9" s="396"/>
    </row>
    <row r="10" spans="2:13" x14ac:dyDescent="0.2">
      <c r="B10" s="848" t="s">
        <v>899</v>
      </c>
      <c r="C10" s="848"/>
      <c r="D10" s="848"/>
      <c r="G10" s="49"/>
      <c r="H10" s="396"/>
      <c r="J10" s="396"/>
      <c r="K10" s="396"/>
      <c r="L10" s="396"/>
      <c r="M10" s="396"/>
    </row>
    <row r="11" spans="2:13" x14ac:dyDescent="0.2">
      <c r="B11" s="398" t="s">
        <v>900</v>
      </c>
      <c r="C11" s="798"/>
      <c r="D11" s="798"/>
      <c r="G11" s="49"/>
      <c r="H11" s="396"/>
      <c r="J11" s="396"/>
      <c r="K11" s="396"/>
      <c r="L11" s="396"/>
      <c r="M11" s="396"/>
    </row>
    <row r="12" spans="2:13" x14ac:dyDescent="0.2">
      <c r="B12" s="399"/>
      <c r="C12" s="399"/>
      <c r="D12" s="399"/>
      <c r="E12" s="399"/>
      <c r="F12" s="399"/>
      <c r="G12" s="49"/>
      <c r="H12" s="396"/>
      <c r="J12" s="396"/>
      <c r="K12" s="396"/>
      <c r="L12" s="396"/>
      <c r="M12" s="396"/>
    </row>
    <row r="13" spans="2:13" x14ac:dyDescent="0.2">
      <c r="B13" s="49"/>
      <c r="C13" s="49"/>
      <c r="D13" s="49"/>
      <c r="E13" s="49"/>
      <c r="F13" s="49"/>
      <c r="G13" s="49"/>
    </row>
    <row r="14" spans="2:13" x14ac:dyDescent="0.2">
      <c r="B14" s="397" t="s">
        <v>901</v>
      </c>
      <c r="C14" s="848" t="str">
        <f ca="1">CONCATENATE(RRE.Numero,"ª"," Solicitação de ",IF(import.recurso="OGU","Desbloqueio","Desembolso")," de Recursos.")</f>
        <v>1ª Solicitação de Desbloqueio de Recursos.</v>
      </c>
      <c r="D14" s="848"/>
      <c r="E14" s="848"/>
      <c r="F14" s="848"/>
      <c r="G14" s="848"/>
    </row>
    <row r="15" spans="2:13" ht="12.75" customHeight="1" x14ac:dyDescent="0.2">
      <c r="B15" s="397" t="s">
        <v>902</v>
      </c>
      <c r="C15" s="849" t="str">
        <f>CONCATENATE("Contrato de ",IF(import.recurso="OGU","Repasse","Financiamento")," - Operação nº ",Import.CR,IF(Import.TransfereGOV="","",CONCATENATE(" - TransfereGOV nº ",Import.TransfereGOV)))</f>
        <v>Contrato de Repasse - Operação nº 0 - TransfereGOV nº 0</v>
      </c>
      <c r="D15" s="849"/>
      <c r="E15" s="849"/>
      <c r="F15" s="849"/>
      <c r="G15" s="849"/>
    </row>
    <row r="16" spans="2:13" x14ac:dyDescent="0.2">
      <c r="B16" s="397"/>
      <c r="C16" s="849"/>
      <c r="D16" s="849"/>
      <c r="E16" s="849"/>
      <c r="F16" s="849"/>
      <c r="G16" s="849"/>
    </row>
    <row r="17" spans="2:7" x14ac:dyDescent="0.2">
      <c r="B17" s="49"/>
      <c r="C17" s="49"/>
      <c r="D17" s="49"/>
      <c r="E17" s="49"/>
      <c r="F17" s="49"/>
      <c r="G17" s="49"/>
    </row>
    <row r="18" spans="2:7" ht="12.75" customHeight="1" x14ac:dyDescent="0.2">
      <c r="B18" s="272" t="s">
        <v>903</v>
      </c>
      <c r="C18" s="850" t="str">
        <f>Import.DescLote</f>
        <v>REFORMA CASA DA CRIANÇA</v>
      </c>
      <c r="D18" s="850"/>
      <c r="E18" s="850"/>
      <c r="F18" s="850"/>
      <c r="G18" s="850"/>
    </row>
    <row r="19" spans="2:7" ht="12.75" customHeight="1" x14ac:dyDescent="0.2">
      <c r="B19" s="846" t="s">
        <v>904</v>
      </c>
      <c r="C19" s="847" t="str">
        <f>Import.Proponente</f>
        <v>CONSÓRCIO INTERMUNICIPAL DO MÉDIO ALTO URUGUAI - CIMAU</v>
      </c>
      <c r="D19" s="847"/>
      <c r="E19" s="847"/>
      <c r="F19" s="847"/>
      <c r="G19" s="847"/>
    </row>
    <row r="20" spans="2:7" x14ac:dyDescent="0.2">
      <c r="B20" s="846"/>
      <c r="C20" s="847"/>
      <c r="D20" s="847"/>
      <c r="E20" s="847"/>
      <c r="F20" s="847"/>
      <c r="G20" s="847"/>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50"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50"/>
      <c r="D24" s="850"/>
      <c r="E24" s="850"/>
      <c r="F24" s="850"/>
      <c r="G24" s="850"/>
    </row>
    <row r="25" spans="2:7" x14ac:dyDescent="0.2">
      <c r="B25" s="850"/>
      <c r="C25" s="850"/>
      <c r="D25" s="850"/>
      <c r="E25" s="850"/>
      <c r="F25" s="850"/>
      <c r="G25" s="850"/>
    </row>
    <row r="26" spans="2:7" x14ac:dyDescent="0.2">
      <c r="B26" s="850"/>
      <c r="C26" s="850"/>
      <c r="D26" s="850"/>
      <c r="E26" s="850"/>
      <c r="F26" s="850"/>
      <c r="G26" s="850"/>
    </row>
    <row r="27" spans="2:7" x14ac:dyDescent="0.2">
      <c r="B27" s="49"/>
      <c r="C27" s="49"/>
      <c r="D27" s="49"/>
      <c r="E27" s="49"/>
      <c r="F27" s="49"/>
      <c r="G27" s="49"/>
    </row>
    <row r="28" spans="2:7" ht="12.75" customHeight="1" x14ac:dyDescent="0.2">
      <c r="B28" s="845"/>
      <c r="C28" s="845"/>
      <c r="D28" s="851" t="s">
        <v>905</v>
      </c>
      <c r="E28" s="851" t="str">
        <f ca="1">"Evolução da "&amp;RRE.Numero&amp;"ª Medição"</f>
        <v>Evolução da 1ª Medição</v>
      </c>
      <c r="F28" s="852" t="s">
        <v>906</v>
      </c>
      <c r="G28" s="852"/>
    </row>
    <row r="29" spans="2:7" x14ac:dyDescent="0.2">
      <c r="B29" s="845"/>
      <c r="C29" s="845"/>
      <c r="D29" s="851"/>
      <c r="E29" s="851"/>
      <c r="F29" s="852"/>
      <c r="G29" s="852"/>
    </row>
    <row r="30" spans="2:7" x14ac:dyDescent="0.2">
      <c r="B30" s="840" t="str">
        <f>IF(import.recurso="FGTS","Financiamento:","Repasse:")</f>
        <v>Repasse:</v>
      </c>
      <c r="C30" s="840"/>
      <c r="D30" s="400">
        <f ca="1">RRE!L25</f>
        <v>0</v>
      </c>
      <c r="E30" s="400">
        <f ca="1">RRE!N25</f>
        <v>0</v>
      </c>
      <c r="F30" s="841">
        <f ca="1">RRE!O25</f>
        <v>0</v>
      </c>
      <c r="G30" s="841"/>
    </row>
    <row r="31" spans="2:7" x14ac:dyDescent="0.2">
      <c r="B31" s="840" t="s">
        <v>907</v>
      </c>
      <c r="C31" s="840"/>
      <c r="D31" s="400">
        <f ca="1">RRE!L26</f>
        <v>290574.24</v>
      </c>
      <c r="E31" s="400">
        <f ca="1">RRE!N26</f>
        <v>0</v>
      </c>
      <c r="F31" s="841">
        <f ca="1">RRE!O26</f>
        <v>0</v>
      </c>
      <c r="G31" s="841"/>
    </row>
    <row r="32" spans="2:7" x14ac:dyDescent="0.2">
      <c r="B32" s="840" t="s">
        <v>802</v>
      </c>
      <c r="C32" s="840"/>
      <c r="D32" s="400">
        <f ca="1">RRE!L27</f>
        <v>0</v>
      </c>
      <c r="E32" s="400">
        <f ca="1">RRE!N27</f>
        <v>0</v>
      </c>
      <c r="F32" s="841">
        <f ca="1">RRE!O27</f>
        <v>0</v>
      </c>
      <c r="G32" s="841"/>
    </row>
    <row r="33" spans="2:7" x14ac:dyDescent="0.2">
      <c r="B33" s="840" t="s">
        <v>803</v>
      </c>
      <c r="C33" s="840"/>
      <c r="D33" s="400">
        <f ca="1">RRE!L28</f>
        <v>290574.24</v>
      </c>
      <c r="E33" s="400">
        <f ca="1">RRE!N28</f>
        <v>0</v>
      </c>
      <c r="F33" s="841">
        <f ca="1">RRE!O28</f>
        <v>0</v>
      </c>
      <c r="G33" s="841"/>
    </row>
    <row r="34" spans="2:7" x14ac:dyDescent="0.2">
      <c r="B34" s="842" t="s">
        <v>908</v>
      </c>
      <c r="C34" s="842"/>
      <c r="D34" s="401" t="s">
        <v>689</v>
      </c>
      <c r="E34" s="402">
        <f ca="1">RRE!$N$28/(RRE!$L$28+10^-12)</f>
        <v>0</v>
      </c>
      <c r="F34" s="843">
        <f ca="1">RRE!P24</f>
        <v>0</v>
      </c>
      <c r="G34" s="843"/>
    </row>
    <row r="35" spans="2:7" x14ac:dyDescent="0.2">
      <c r="B35" s="182"/>
      <c r="C35" s="49"/>
      <c r="D35" s="49"/>
      <c r="E35" s="49"/>
      <c r="F35" s="49"/>
      <c r="G35" s="49"/>
    </row>
    <row r="36" spans="2:7" x14ac:dyDescent="0.2">
      <c r="B36" s="182"/>
      <c r="C36" s="182"/>
      <c r="D36" s="182"/>
      <c r="E36" s="182"/>
      <c r="F36" s="182"/>
      <c r="G36" s="49"/>
    </row>
    <row r="37" spans="2:7" x14ac:dyDescent="0.2">
      <c r="B37" s="844" t="str">
        <f ca="1">IF(RRE.Numero&gt;1,"2. Encaminhamos ainda a documentação relativa à prestação de contas da etapa físico-financeira anterior.","")</f>
        <v/>
      </c>
      <c r="C37" s="844"/>
      <c r="D37" s="844"/>
      <c r="E37" s="844"/>
      <c r="F37" s="844"/>
      <c r="G37" s="844"/>
    </row>
    <row r="38" spans="2:7" x14ac:dyDescent="0.2">
      <c r="B38" s="844"/>
      <c r="C38" s="844"/>
      <c r="D38" s="844"/>
      <c r="E38" s="844"/>
      <c r="F38" s="844"/>
      <c r="G38" s="844"/>
    </row>
    <row r="39" spans="2:7" ht="12.75" customHeight="1" x14ac:dyDescent="0.2">
      <c r="B39" s="844" t="str">
        <f ca="1">IF(AND(RRE.Numero&gt;1,NOT(ISBLANK(Import.TransfereGOV))),"3. Na oportunidade, informamos que a execução financeira da parcela anterior está devidamente comprovada no TransfereGOV.","")</f>
        <v/>
      </c>
      <c r="C39" s="844"/>
      <c r="D39" s="844"/>
      <c r="E39" s="844"/>
      <c r="F39" s="844"/>
      <c r="G39" s="844"/>
    </row>
    <row r="40" spans="2:7" x14ac:dyDescent="0.2">
      <c r="B40" s="844"/>
      <c r="C40" s="844"/>
      <c r="D40" s="844"/>
      <c r="E40" s="844"/>
      <c r="F40" s="844"/>
      <c r="G40" s="844"/>
    </row>
    <row r="41" spans="2:7" x14ac:dyDescent="0.2">
      <c r="B41" s="403"/>
      <c r="C41" s="398"/>
      <c r="D41" s="398"/>
      <c r="E41" s="398"/>
      <c r="F41" s="398"/>
      <c r="G41" s="398"/>
    </row>
    <row r="42" spans="2:7" ht="12.75" customHeight="1" x14ac:dyDescent="0.2">
      <c r="B42" s="844"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44"/>
      <c r="D42" s="844"/>
      <c r="E42" s="844"/>
      <c r="F42" s="844"/>
      <c r="G42" s="844"/>
    </row>
    <row r="43" spans="2:7" x14ac:dyDescent="0.2">
      <c r="B43" s="844"/>
      <c r="C43" s="844"/>
      <c r="D43" s="844"/>
      <c r="E43" s="844"/>
      <c r="F43" s="844"/>
      <c r="G43" s="844"/>
    </row>
    <row r="44" spans="2:7" x14ac:dyDescent="0.2">
      <c r="B44" s="844"/>
      <c r="C44" s="844"/>
      <c r="D44" s="844"/>
      <c r="E44" s="844"/>
      <c r="F44" s="844"/>
      <c r="G44" s="844"/>
    </row>
    <row r="45" spans="2:7" x14ac:dyDescent="0.2">
      <c r="B45" s="844"/>
      <c r="C45" s="844"/>
      <c r="D45" s="844"/>
      <c r="E45" s="844"/>
      <c r="F45" s="844"/>
      <c r="G45" s="844"/>
    </row>
    <row r="46" spans="2:7" x14ac:dyDescent="0.2">
      <c r="B46" s="844"/>
      <c r="C46" s="844"/>
      <c r="D46" s="844"/>
      <c r="E46" s="844"/>
      <c r="F46" s="844"/>
      <c r="G46" s="844"/>
    </row>
    <row r="47" spans="2:7" x14ac:dyDescent="0.2">
      <c r="G47" s="278"/>
    </row>
    <row r="48" spans="2:7" x14ac:dyDescent="0.2">
      <c r="G48" s="278"/>
    </row>
    <row r="49" spans="2:7" x14ac:dyDescent="0.2">
      <c r="B49" s="49" t="s">
        <v>909</v>
      </c>
      <c r="G49" s="278"/>
    </row>
    <row r="50" spans="2:7" x14ac:dyDescent="0.2">
      <c r="B50" s="278"/>
      <c r="C50" s="278"/>
      <c r="D50" s="278"/>
      <c r="E50" s="278"/>
      <c r="F50" s="278"/>
      <c r="G50" s="278"/>
    </row>
    <row r="51" spans="2:7" x14ac:dyDescent="0.2">
      <c r="B51" s="49"/>
      <c r="C51" s="49"/>
      <c r="D51" s="49"/>
      <c r="E51" s="49"/>
      <c r="F51" s="49"/>
      <c r="G51" s="49"/>
    </row>
    <row r="52" spans="2:7" x14ac:dyDescent="0.2">
      <c r="B52" s="49"/>
      <c r="C52" s="49"/>
      <c r="D52" s="49"/>
      <c r="E52" s="49"/>
      <c r="F52" s="49"/>
      <c r="G52" s="49"/>
    </row>
    <row r="53" spans="2:7" x14ac:dyDescent="0.2">
      <c r="B53" s="404"/>
      <c r="C53" s="404"/>
      <c r="D53" s="404"/>
      <c r="E53" s="49"/>
      <c r="F53" s="49"/>
      <c r="G53" s="49"/>
    </row>
    <row r="54" spans="2:7" x14ac:dyDescent="0.2">
      <c r="B54" s="838" t="str">
        <f>DADOS!$C$28</f>
        <v>LUIZ CARLOS PINTO RIBEIRO</v>
      </c>
      <c r="C54" s="838"/>
      <c r="D54" s="838"/>
      <c r="E54" s="838"/>
      <c r="F54" s="838"/>
      <c r="G54" s="838"/>
    </row>
    <row r="55" spans="2:7" x14ac:dyDescent="0.2">
      <c r="B55" s="838" t="str">
        <f>DADOS!$C$29</f>
        <v>PRESIDENTE CIMAU</v>
      </c>
      <c r="C55" s="838"/>
      <c r="D55" s="838"/>
      <c r="E55" s="838"/>
      <c r="F55" s="838"/>
      <c r="G55" s="838"/>
    </row>
    <row r="56" spans="2:7" x14ac:dyDescent="0.2">
      <c r="B56" s="839"/>
      <c r="C56" s="839"/>
      <c r="D56" s="839"/>
      <c r="E56" s="839"/>
      <c r="F56" s="839"/>
      <c r="G56" s="839"/>
    </row>
  </sheetData>
  <sheetProtection algorithmName="SHA-512" hashValue="Pz5ceqTmvHafevuCBlsnpQ3rDUchwr6+JZT3AY5O1eXuWzpWcc7gqcm/Iq8tIcXKSA0DNkigA5yIRSsE0gq/XQ==" saltValue="vyp7A1s8JagE/Z6XMhvV8A=="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9"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&amp;LPMv3.12&amp;R&amp;P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7" customWidth="1"/>
    <col min="2" max="2" width="25" style="517" customWidth="1"/>
    <col min="3" max="3" width="12" style="517" customWidth="1"/>
    <col min="4" max="4" width="15.5703125" style="519" customWidth="1"/>
    <col min="5" max="5" width="70" style="517" customWidth="1"/>
    <col min="6" max="6" width="20" style="517" customWidth="1"/>
    <col min="7" max="7" width="10" style="517" customWidth="1"/>
    <col min="8" max="8" width="25" style="517" customWidth="1"/>
    <col min="9" max="9" width="15" style="517" customWidth="1"/>
    <col min="10" max="10" width="13" style="517" customWidth="1"/>
    <col min="11" max="12" width="35" style="517" customWidth="1"/>
    <col min="13" max="13" width="20" style="517" customWidth="1"/>
    <col min="14" max="14" width="15" style="517" customWidth="1"/>
    <col min="15" max="15" width="50" style="517" customWidth="1"/>
    <col min="16" max="16" width="20" style="517" customWidth="1"/>
    <col min="17" max="17" width="50" style="517" customWidth="1"/>
    <col min="18" max="18" width="15" style="517" customWidth="1"/>
    <col min="19" max="19" width="17.5703125" style="517" customWidth="1"/>
    <col min="20" max="16384" width="9.140625" style="517"/>
  </cols>
  <sheetData>
    <row r="1" spans="1:19" x14ac:dyDescent="0.25">
      <c r="A1" s="516" t="s">
        <v>910</v>
      </c>
      <c r="B1" s="516" t="s">
        <v>911</v>
      </c>
      <c r="C1" s="516" t="s">
        <v>737</v>
      </c>
      <c r="D1" s="518" t="s">
        <v>738</v>
      </c>
      <c r="E1" s="516" t="s">
        <v>912</v>
      </c>
      <c r="F1" s="516" t="s">
        <v>913</v>
      </c>
      <c r="G1" s="516" t="s">
        <v>914</v>
      </c>
      <c r="H1" s="516" t="s">
        <v>915</v>
      </c>
      <c r="I1" s="516" t="s">
        <v>916</v>
      </c>
      <c r="J1" s="516" t="s">
        <v>23</v>
      </c>
      <c r="K1" s="516" t="s">
        <v>917</v>
      </c>
      <c r="L1" s="516" t="s">
        <v>918</v>
      </c>
      <c r="M1" s="516" t="s">
        <v>919</v>
      </c>
      <c r="N1" s="516" t="s">
        <v>920</v>
      </c>
      <c r="O1" s="516" t="s">
        <v>921</v>
      </c>
      <c r="P1" s="516" t="s">
        <v>922</v>
      </c>
      <c r="Q1" s="516" t="s">
        <v>923</v>
      </c>
      <c r="R1" s="516" t="s">
        <v>924</v>
      </c>
      <c r="S1" s="516" t="s">
        <v>925</v>
      </c>
    </row>
    <row r="2" spans="1:19" ht="45" customHeight="1" x14ac:dyDescent="0.25">
      <c r="A2" s="652"/>
      <c r="B2" s="653"/>
      <c r="C2" s="652"/>
      <c r="D2" s="652"/>
      <c r="E2" s="652"/>
      <c r="F2" s="654"/>
      <c r="G2" s="652"/>
      <c r="H2" s="655"/>
      <c r="I2" s="655"/>
      <c r="J2" s="656"/>
      <c r="K2" s="657"/>
      <c r="L2" s="658"/>
      <c r="M2" s="652"/>
      <c r="N2" s="659"/>
      <c r="O2" s="652"/>
      <c r="P2" s="659"/>
      <c r="Q2" s="652"/>
      <c r="R2" s="660"/>
      <c r="S2" s="657"/>
    </row>
  </sheetData>
  <sheetProtection algorithmName="SHA-512" hashValue="eqFo/ov0/lP2KbDNapLqgRxPGHUXDg+ZvZZQMoMfrfcqb+tO7F371WGXOLt9sxfAzjx/EFG8WVIVSsoaqjCDlA==" saltValue="G21NXo8S2LspBN5u9HAZNw==" spinCount="100000" sheet="1" objects="1" scenarios="1"/>
  <conditionalFormatting sqref="A2:S2">
    <cfRule type="expression" dxfId="38" priority="66">
      <formula>$A2="Macrosserviço"</formula>
    </cfRule>
  </conditionalFormatting>
  <conditionalFormatting sqref="E2">
    <cfRule type="expression" dxfId="37" priority="72">
      <formula>OR(E2="",IF($A2="Macrosserviço",LEN($E2)&gt;100,LEN($E2)&gt;500))</formula>
    </cfRule>
  </conditionalFormatting>
  <conditionalFormatting sqref="M2">
    <cfRule type="expression" dxfId="36" priority="67">
      <formula>IF($A2="Serviço",LEN(M2)&gt;500,M2&lt;&gt;"")</formula>
    </cfRule>
  </conditionalFormatting>
  <conditionalFormatting sqref="A2">
    <cfRule type="expression" dxfId="35" priority="59">
      <formula>AND(A2&lt;&gt;"Macrosserviço",A2&lt;&gt;"Serviço")</formula>
    </cfRule>
  </conditionalFormatting>
  <conditionalFormatting sqref="C2">
    <cfRule type="expression" dxfId="34" priority="58">
      <formula>IF($A2="Serviço",AND(C2&lt;&gt;"Composição",C2&lt;&gt;"Cotação",C2&lt;&gt;"SINAPI",C2&lt;&gt;"Outros"),C2&lt;&gt;"")</formula>
    </cfRule>
  </conditionalFormatting>
  <conditionalFormatting sqref="D2">
    <cfRule type="expression" dxfId="33" priority="57">
      <formula>IF($A2="Serviço",OR(D2="",LEN($D2)&gt;13),D2&lt;&gt;"")</formula>
    </cfRule>
  </conditionalFormatting>
  <conditionalFormatting sqref="H2">
    <cfRule type="expression" dxfId="32" priority="56">
      <formula>IF(A2="Serviço",OR(NOT(ISNUMBER(H2)),H2&lt;&gt;ROUND(H2,2),AND(C2&lt;&gt;"SINAPI",H2=0),H2&lt;0,H2&gt;9999999999.99),H2&lt;&gt;"")</formula>
    </cfRule>
  </conditionalFormatting>
  <conditionalFormatting sqref="I2">
    <cfRule type="expression" dxfId="31" priority="55">
      <formula>IF($A2="Serviço",OR(NOT(ISNUMBER(I2)),I2&lt;&gt;ROUND(I2,2),I2&lt;=0,I2&gt;9999999999.99),I2&lt;&gt;"")</formula>
    </cfRule>
  </conditionalFormatting>
  <conditionalFormatting sqref="J2">
    <cfRule type="expression" dxfId="30" priority="54">
      <formula>IF($A2="Serviço",OR(NOT(ISNUMBER(VALUE(J2))),VALUE(J2)&lt;&gt;ROUND(VALUE(J2),4),VALUE(J2)&lt;=0,VALUE(J2)&gt;100%),J2&lt;&gt;"")</formula>
    </cfRule>
  </conditionalFormatting>
  <conditionalFormatting sqref="N2">
    <cfRule type="expression" dxfId="29" priority="53">
      <formula>IF($A2="Serviço",OR(NOT(ISNUMBER(N2)),N2&lt;&gt;ROUND(N2,0),N2&lt;1,N2&gt;999),N2&lt;&gt;"")</formula>
    </cfRule>
  </conditionalFormatting>
  <conditionalFormatting sqref="O2">
    <cfRule type="expression" dxfId="28" priority="52">
      <formula>IF($A2="Serviço",OR(O2="",LEN(O2)&gt;100),O2&lt;&gt;"")</formula>
    </cfRule>
  </conditionalFormatting>
  <conditionalFormatting sqref="P2">
    <cfRule type="expression" dxfId="27" priority="51">
      <formula>IF($A2="Macrosserviço",P2&lt;&gt;"",OR(NOT(ISNUMBER(P2)),P2&lt;&gt;ROUND(P2,0),P2&lt;1,P2&gt;999))</formula>
    </cfRule>
  </conditionalFormatting>
  <conditionalFormatting sqref="Q2">
    <cfRule type="expression" dxfId="26" priority="50">
      <formula>IF($A2="Macrosserviço",Q2&lt;&gt;"",OR(Q2="",LEN(Q2)&gt;100))</formula>
    </cfRule>
  </conditionalFormatting>
  <conditionalFormatting sqref="B2">
    <cfRule type="cellIs" dxfId="25" priority="49" operator="equal">
      <formula>""</formula>
    </cfRule>
  </conditionalFormatting>
  <conditionalFormatting sqref="R2">
    <cfRule type="expression" dxfId="24" priority="41">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&amp;LPMv3.12&amp;R&amp;P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38" id="{25CCDBA9-1706-4691-BF49-13343E4655EF}">
            <xm:f>AND($A2="Serviço",OR($G2="",ISNA(MATCH($G2,DADOS!$AQ$3:$AQ$221,0))))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ilha2"/>
  <dimension ref="A1:E2"/>
  <sheetViews>
    <sheetView workbookViewId="0"/>
  </sheetViews>
  <sheetFormatPr defaultColWidth="9.140625" defaultRowHeight="15" x14ac:dyDescent="0.25"/>
  <cols>
    <col min="1" max="1" width="15" style="517" customWidth="1"/>
    <col min="2" max="2" width="50" style="517" customWidth="1"/>
    <col min="3" max="3" width="20" style="517" customWidth="1"/>
    <col min="4" max="4" width="50" style="517" customWidth="1"/>
    <col min="5" max="5" width="35" style="517" customWidth="1"/>
    <col min="6" max="16384" width="9.140625" style="517"/>
  </cols>
  <sheetData>
    <row r="1" spans="1:5" x14ac:dyDescent="0.25">
      <c r="A1" s="516" t="s">
        <v>926</v>
      </c>
      <c r="B1" s="516" t="s">
        <v>762</v>
      </c>
      <c r="C1" s="516" t="s">
        <v>927</v>
      </c>
      <c r="D1" s="516" t="s">
        <v>923</v>
      </c>
      <c r="E1" s="516" t="s">
        <v>928</v>
      </c>
    </row>
    <row r="2" spans="1:5" ht="45" customHeight="1" x14ac:dyDescent="0.25">
      <c r="A2" s="662"/>
      <c r="B2" s="662"/>
      <c r="C2" s="661"/>
      <c r="D2" s="661"/>
      <c r="E2" s="661"/>
    </row>
  </sheetData>
  <sheetProtection algorithmName="SHA-512" hashValue="p0GpaIikg4f4bIirZ5/SMeQmY4cV5KwjD4/DTTsL9gm15aCevloAf30cn0ERpGg70jpWy7+s9nUEkJ51qnpafQ==" saltValue="0KZTnRB43pcFj8MYyPbxu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&amp;LPMv3.12&amp;R&amp;P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7" customWidth="1"/>
    <col min="2" max="2" width="25" style="517" customWidth="1"/>
    <col min="3" max="3" width="12" style="517" customWidth="1"/>
    <col min="4" max="4" width="15.5703125" style="519" customWidth="1"/>
    <col min="5" max="5" width="70" style="517" customWidth="1"/>
    <col min="6" max="6" width="20" style="517" customWidth="1"/>
    <col min="7" max="7" width="10" style="517" customWidth="1"/>
    <col min="8" max="8" width="25" style="517" customWidth="1"/>
    <col min="9" max="9" width="15" style="517" customWidth="1"/>
    <col min="10" max="10" width="13" style="517" customWidth="1"/>
    <col min="11" max="12" width="35" style="517" customWidth="1"/>
    <col min="13" max="14" width="20" style="517" customWidth="1"/>
    <col min="15" max="15" width="50" style="517" customWidth="1"/>
    <col min="16" max="16" width="15" style="517" customWidth="1"/>
    <col min="17" max="17" width="17.5703125" style="517" customWidth="1"/>
    <col min="18" max="16384" width="9.140625" style="517"/>
  </cols>
  <sheetData>
    <row r="1" spans="1:17" x14ac:dyDescent="0.25">
      <c r="A1" s="516" t="s">
        <v>910</v>
      </c>
      <c r="B1" s="516" t="s">
        <v>911</v>
      </c>
      <c r="C1" s="516" t="s">
        <v>737</v>
      </c>
      <c r="D1" s="518" t="s">
        <v>738</v>
      </c>
      <c r="E1" s="516" t="s">
        <v>912</v>
      </c>
      <c r="F1" s="516" t="s">
        <v>913</v>
      </c>
      <c r="G1" s="516" t="s">
        <v>914</v>
      </c>
      <c r="H1" s="516" t="s">
        <v>915</v>
      </c>
      <c r="I1" s="516" t="s">
        <v>916</v>
      </c>
      <c r="J1" s="516" t="s">
        <v>23</v>
      </c>
      <c r="K1" s="516" t="s">
        <v>917</v>
      </c>
      <c r="L1" s="516" t="s">
        <v>918</v>
      </c>
      <c r="M1" s="516" t="s">
        <v>919</v>
      </c>
      <c r="N1" s="516" t="s">
        <v>922</v>
      </c>
      <c r="O1" s="516" t="s">
        <v>923</v>
      </c>
      <c r="P1" s="516" t="s">
        <v>924</v>
      </c>
      <c r="Q1" s="516" t="s">
        <v>925</v>
      </c>
    </row>
    <row r="2" spans="1:17" ht="45" customHeight="1" x14ac:dyDescent="0.25">
      <c r="A2" s="589"/>
      <c r="B2" s="590"/>
      <c r="C2" s="589"/>
      <c r="D2" s="589"/>
      <c r="E2" s="589"/>
      <c r="F2" s="591"/>
      <c r="G2" s="589"/>
      <c r="H2" s="592"/>
      <c r="I2" s="592"/>
      <c r="J2" s="593"/>
      <c r="K2" s="594"/>
      <c r="L2" s="594"/>
      <c r="M2" s="589"/>
      <c r="N2" s="595"/>
      <c r="O2" s="589"/>
      <c r="P2" s="596"/>
      <c r="Q2" s="594"/>
    </row>
  </sheetData>
  <sheetProtection algorithmName="SHA-512" hashValue="dQ8df/XHmLmb7cIxtZxe7rpl/Crc8aZyYsAbrtBUgK/B5mC1vpWIMgftwymB87mPe3STL/FSVnjPEbUhbBF1kA==" saltValue="LB0IlpFxTreG7vRduSuf4Q=="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&amp;LPMv3.12&amp;R&amp;P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AND($A2="Serviço",OR($G2="",ISNA(MATCH($G2,DADOS!$AQ$3:$AQ$221,0))))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Planilha4"/>
  <dimension ref="A1:D2"/>
  <sheetViews>
    <sheetView workbookViewId="0"/>
  </sheetViews>
  <sheetFormatPr defaultColWidth="9.140625" defaultRowHeight="15" x14ac:dyDescent="0.25"/>
  <cols>
    <col min="1" max="1" width="15" style="517" customWidth="1"/>
    <col min="2" max="2" width="70" style="517" customWidth="1"/>
    <col min="3" max="3" width="10" style="517" customWidth="1"/>
    <col min="4" max="4" width="20" style="517" customWidth="1"/>
    <col min="5" max="16384" width="9.140625" style="517"/>
  </cols>
  <sheetData>
    <row r="1" spans="1:4" x14ac:dyDescent="0.25">
      <c r="A1" s="516" t="s">
        <v>929</v>
      </c>
      <c r="B1" s="516" t="s">
        <v>930</v>
      </c>
      <c r="C1" s="516" t="s">
        <v>781</v>
      </c>
      <c r="D1" s="516" t="s">
        <v>931</v>
      </c>
    </row>
    <row r="2" spans="1:4" ht="45" customHeight="1" x14ac:dyDescent="0.25">
      <c r="A2" s="599"/>
      <c r="B2" s="599"/>
      <c r="C2" s="651"/>
      <c r="D2" s="597"/>
    </row>
  </sheetData>
  <sheetProtection algorithmName="SHA-512" hashValue="L5qC7ZcSRJhNxTdLWk+2nOzCwXfX+85RlN8Qvc/LnHxagaV7oNy/Dpl+/8vXqmSUDcAu/7NOjEL81bTTvuqI7g==" saltValue="jMy7D0apw59F5g9m/ZTAaQ=="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&amp;LPMv3.12&amp;R&amp;P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Paulo</cp:lastModifiedBy>
  <cp:revision>5</cp:revision>
  <cp:lastPrinted>2026-08-20T13:41:08Z</cp:lastPrinted>
  <dcterms:created xsi:type="dcterms:W3CDTF">1997-01-10T22:22:50Z</dcterms:created>
  <dcterms:modified xsi:type="dcterms:W3CDTF">2026-09-04T11:18:54Z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