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10" windowHeight="11010" tabRatio="802"/>
  </bookViews>
  <sheets>
    <sheet name="Resumo" sheetId="19" r:id="rId1"/>
    <sheet name="1. Coleta Orgânica" sheetId="2" r:id="rId2"/>
    <sheet name="2. Coleta Seletiva e Interior" sheetId="39" r:id="rId3"/>
    <sheet name="3. Contentores" sheetId="38" r:id="rId4"/>
    <sheet name="4.Enc Sociais" sheetId="8" r:id="rId5"/>
    <sheet name="5.CAGED" sheetId="5" r:id="rId6"/>
    <sheet name="6.BDI" sheetId="4" r:id="rId7"/>
    <sheet name="7. Ton" sheetId="34" r:id="rId8"/>
    <sheet name="8. Horários" sheetId="11" r:id="rId9"/>
    <sheet name="9. Roteiros " sheetId="45" r:id="rId10"/>
    <sheet name="10. Depr" sheetId="6" r:id="rId11"/>
    <sheet name="12. Rem capital" sheetId="7" r:id="rId12"/>
    <sheet name="13. Dimens" sheetId="9" r:id="rId13"/>
    <sheet name="ANP" sheetId="44" r:id="rId14"/>
  </sheets>
  <externalReferences>
    <externalReference r:id="rId15"/>
  </externalReferences>
  <definedNames>
    <definedName name="AbaDeprec">'10. Depr'!$A$1</definedName>
    <definedName name="AbaRemun" localSheetId="7">#REF!</definedName>
    <definedName name="AbaRemun" localSheetId="8">#REF!</definedName>
    <definedName name="AbaRemun" localSheetId="0">#REF!</definedName>
    <definedName name="AbaRemun">'12. Rem capital'!$A$1</definedName>
    <definedName name="_xlnm.Print_Area" localSheetId="1">'1. Coleta Orgânica'!$A$1:$F$324</definedName>
    <definedName name="_xlnm.Print_Area" localSheetId="2">'2. Coleta Seletiva e Interior'!$A$1:$F$324</definedName>
    <definedName name="_xlnm.Print_Area" localSheetId="3">'3. Contentores'!$A$1:$F$114</definedName>
    <definedName name="_xlnm.Print_Area" localSheetId="4">'4.Enc Sociais'!$A$1:$C$40</definedName>
    <definedName name="Horário" localSheetId="2">#REF!</definedName>
    <definedName name="Horário">#REF!</definedName>
    <definedName name="_xlnm.Print_Titles" localSheetId="1">'1. Coleta Orgânica'!$1:$8</definedName>
    <definedName name="_xlnm.Print_Titles" localSheetId="2">'2. Coleta Seletiva e Interior'!$1:$8</definedName>
    <definedName name="_xlnm.Print_Titles" localSheetId="3">'3. Contentores'!$1:$7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1" l="1"/>
  <c r="E42" i="45"/>
  <c r="E71" i="45" s="1"/>
  <c r="M29" i="45"/>
  <c r="M33" i="45" s="1"/>
  <c r="E12" i="45"/>
  <c r="E49" i="45" s="1"/>
  <c r="E60" i="45" l="1"/>
  <c r="E63" i="45" s="1"/>
  <c r="M9" i="45" s="1"/>
  <c r="E69" i="45"/>
  <c r="E73" i="45"/>
  <c r="M18" i="45" s="1"/>
  <c r="M21" i="45" s="1"/>
  <c r="M22" i="45" s="1"/>
  <c r="B237" i="39" s="1"/>
  <c r="E51" i="45"/>
  <c r="E54" i="45" s="1"/>
  <c r="M7" i="45" s="1"/>
  <c r="M11" i="45" s="1"/>
  <c r="M12" i="45" s="1"/>
  <c r="B237" i="2" s="1"/>
  <c r="E8" i="19" l="1"/>
  <c r="C8" i="19"/>
  <c r="I7" i="11"/>
  <c r="I6" i="11"/>
  <c r="I5" i="11"/>
  <c r="D144" i="2"/>
  <c r="D138" i="2"/>
  <c r="C131" i="2"/>
  <c r="E125" i="39"/>
  <c r="E125" i="2"/>
  <c r="I10" i="11"/>
  <c r="I9" i="11"/>
  <c r="D8" i="34"/>
  <c r="D10" i="34" s="1"/>
  <c r="C131" i="39" l="1"/>
  <c r="D144" i="39" l="1"/>
  <c r="D137" i="39"/>
  <c r="D137" i="2"/>
  <c r="D249" i="39"/>
  <c r="D247" i="39"/>
  <c r="D245" i="39"/>
  <c r="D243" i="39"/>
  <c r="D231" i="39"/>
  <c r="D231" i="2"/>
  <c r="C91" i="38" l="1"/>
  <c r="C89" i="38"/>
  <c r="D138" i="39" l="1"/>
  <c r="D240" i="39" l="1"/>
  <c r="I27" i="19" l="1"/>
  <c r="I26" i="19"/>
  <c r="D47" i="38" l="1"/>
  <c r="C16" i="4" l="1"/>
  <c r="G27" i="11"/>
  <c r="G30" i="11" s="1"/>
  <c r="G32" i="11" s="1"/>
  <c r="G34" i="11" s="1"/>
  <c r="G39" i="11"/>
  <c r="G42" i="11" s="1"/>
  <c r="G44" i="11" s="1"/>
  <c r="G46" i="11" s="1"/>
  <c r="B54" i="39" s="1"/>
  <c r="G51" i="11"/>
  <c r="G54" i="11" s="1"/>
  <c r="G56" i="11" s="1"/>
  <c r="G58" i="11" s="1"/>
  <c r="E103" i="39" s="1"/>
  <c r="C298" i="39"/>
  <c r="E298" i="39" s="1"/>
  <c r="D299" i="39" s="1"/>
  <c r="E299" i="39" s="1"/>
  <c r="E296" i="39"/>
  <c r="D297" i="39" s="1"/>
  <c r="E297" i="39" s="1"/>
  <c r="E290" i="39"/>
  <c r="E289" i="39"/>
  <c r="E288" i="39"/>
  <c r="E287" i="39"/>
  <c r="E286" i="39"/>
  <c r="E285" i="39"/>
  <c r="E277" i="39"/>
  <c r="E276" i="39"/>
  <c r="E275" i="39"/>
  <c r="C264" i="39"/>
  <c r="E264" i="39" s="1"/>
  <c r="E262" i="39"/>
  <c r="D251" i="39"/>
  <c r="D241" i="39"/>
  <c r="C231" i="39"/>
  <c r="C230" i="39"/>
  <c r="E230" i="39" s="1"/>
  <c r="C229" i="39"/>
  <c r="C224" i="39"/>
  <c r="C218" i="39"/>
  <c r="D217" i="39"/>
  <c r="D212" i="39"/>
  <c r="E212" i="39" s="1"/>
  <c r="C204" i="39"/>
  <c r="C203" i="39"/>
  <c r="D205" i="39" s="1"/>
  <c r="C200" i="39"/>
  <c r="C217" i="39" s="1"/>
  <c r="E217" i="39" s="1"/>
  <c r="C199" i="39"/>
  <c r="C198" i="39"/>
  <c r="E195" i="39"/>
  <c r="D183" i="39"/>
  <c r="C183" i="39"/>
  <c r="D182" i="39"/>
  <c r="C182" i="39"/>
  <c r="D181" i="39"/>
  <c r="C181" i="39"/>
  <c r="D180" i="39"/>
  <c r="C180" i="39"/>
  <c r="D179" i="39"/>
  <c r="C179" i="39"/>
  <c r="D178" i="39"/>
  <c r="C178" i="39"/>
  <c r="E171" i="39"/>
  <c r="E170" i="39"/>
  <c r="E169" i="39"/>
  <c r="E168" i="39"/>
  <c r="E167" i="39"/>
  <c r="E166" i="39"/>
  <c r="E165" i="39"/>
  <c r="E164" i="39"/>
  <c r="E163" i="39"/>
  <c r="E162" i="39"/>
  <c r="E161" i="39"/>
  <c r="E160" i="39"/>
  <c r="C149" i="39"/>
  <c r="E149" i="39" s="1"/>
  <c r="A144" i="39"/>
  <c r="A137" i="39"/>
  <c r="A143" i="39" s="1"/>
  <c r="C132" i="39"/>
  <c r="D120" i="39"/>
  <c r="C120" i="39"/>
  <c r="D117" i="39"/>
  <c r="C117" i="39"/>
  <c r="D115" i="39"/>
  <c r="E115" i="39" s="1"/>
  <c r="D114" i="39"/>
  <c r="C114" i="39"/>
  <c r="D112" i="39"/>
  <c r="E112" i="39" s="1"/>
  <c r="D111" i="39"/>
  <c r="E111" i="39" s="1"/>
  <c r="C111" i="39"/>
  <c r="D109" i="39"/>
  <c r="E108" i="39"/>
  <c r="D95" i="39"/>
  <c r="E95" i="39" s="1"/>
  <c r="D94" i="39"/>
  <c r="E94" i="39" s="1"/>
  <c r="E92" i="39"/>
  <c r="D132" i="39" s="1"/>
  <c r="C83" i="39"/>
  <c r="C81" i="39"/>
  <c r="C78" i="39"/>
  <c r="C75" i="39"/>
  <c r="D73" i="39"/>
  <c r="D79" i="39" s="1"/>
  <c r="E79" i="39" s="1"/>
  <c r="D62" i="39"/>
  <c r="E62" i="39" s="1"/>
  <c r="D61" i="39"/>
  <c r="E61" i="39" s="1"/>
  <c r="E60" i="39"/>
  <c r="D131" i="39" s="1"/>
  <c r="E51" i="39"/>
  <c r="A51" i="39"/>
  <c r="E47" i="39"/>
  <c r="A47" i="39"/>
  <c r="E46" i="39"/>
  <c r="C184" i="39" s="1"/>
  <c r="A46" i="39"/>
  <c r="E45" i="39"/>
  <c r="A45" i="39"/>
  <c r="E44" i="39"/>
  <c r="A44" i="39"/>
  <c r="A38" i="39"/>
  <c r="A37" i="39"/>
  <c r="A36" i="39"/>
  <c r="A35" i="39"/>
  <c r="A34" i="39"/>
  <c r="A33" i="39"/>
  <c r="A32" i="39"/>
  <c r="A31" i="39"/>
  <c r="A30" i="39"/>
  <c r="A29" i="39"/>
  <c r="A28" i="39"/>
  <c r="A27" i="39"/>
  <c r="A26" i="39"/>
  <c r="A25" i="39"/>
  <c r="A24" i="39"/>
  <c r="A23" i="39"/>
  <c r="A22" i="39"/>
  <c r="A21" i="39"/>
  <c r="A20" i="39"/>
  <c r="A19" i="39"/>
  <c r="A18" i="39"/>
  <c r="A17" i="39"/>
  <c r="E91" i="38"/>
  <c r="D92" i="38" s="1"/>
  <c r="E92" i="38" s="1"/>
  <c r="D83" i="38"/>
  <c r="D81" i="38"/>
  <c r="D79" i="38"/>
  <c r="D77" i="38"/>
  <c r="D75" i="38"/>
  <c r="C75" i="38"/>
  <c r="C81" i="38" s="1"/>
  <c r="E67" i="38"/>
  <c r="E65" i="38"/>
  <c r="E64" i="38"/>
  <c r="D63" i="38"/>
  <c r="E63" i="38" s="1"/>
  <c r="D66" i="38" s="1"/>
  <c r="E66" i="38" s="1"/>
  <c r="E59" i="38"/>
  <c r="E52" i="38"/>
  <c r="E47" i="38"/>
  <c r="C50" i="38"/>
  <c r="D51" i="38" s="1"/>
  <c r="E51" i="38" s="1"/>
  <c r="E43" i="38"/>
  <c r="C40" i="38"/>
  <c r="C39" i="38"/>
  <c r="E39" i="38" s="1"/>
  <c r="D40" i="38" s="1"/>
  <c r="E40" i="38" s="1"/>
  <c r="E36" i="38"/>
  <c r="D39" i="38" s="1"/>
  <c r="C35" i="38"/>
  <c r="E31" i="38"/>
  <c r="C49" i="38" s="1"/>
  <c r="E23" i="38"/>
  <c r="C42" i="38" s="1"/>
  <c r="C58" i="38" s="1"/>
  <c r="E89" i="38" s="1"/>
  <c r="D90" i="38" s="1"/>
  <c r="E90" i="38" s="1"/>
  <c r="A22" i="38"/>
  <c r="A17" i="38"/>
  <c r="A16" i="38"/>
  <c r="A15" i="38"/>
  <c r="A14" i="38"/>
  <c r="A13" i="38"/>
  <c r="O7" i="11"/>
  <c r="K7" i="11"/>
  <c r="O5" i="11"/>
  <c r="K5" i="11"/>
  <c r="D81" i="39" l="1"/>
  <c r="D75" i="39"/>
  <c r="E75" i="39" s="1"/>
  <c r="E81" i="38"/>
  <c r="E183" i="39"/>
  <c r="F93" i="38"/>
  <c r="E16" i="38" s="1"/>
  <c r="F67" i="38"/>
  <c r="E114" i="39"/>
  <c r="C172" i="39"/>
  <c r="E231" i="39"/>
  <c r="D96" i="39"/>
  <c r="E96" i="39" s="1"/>
  <c r="D98" i="39" s="1"/>
  <c r="E98" i="39" s="1"/>
  <c r="E99" i="39" s="1"/>
  <c r="D172" i="39"/>
  <c r="E179" i="39"/>
  <c r="E181" i="39"/>
  <c r="E73" i="39"/>
  <c r="E81" i="39"/>
  <c r="E117" i="39"/>
  <c r="E178" i="39"/>
  <c r="E180" i="39"/>
  <c r="E182" i="39"/>
  <c r="D252" i="39"/>
  <c r="F278" i="39"/>
  <c r="F280" i="39" s="1"/>
  <c r="E35" i="39" s="1"/>
  <c r="F291" i="39"/>
  <c r="E36" i="39" s="1"/>
  <c r="C214" i="39"/>
  <c r="D229" i="39" s="1"/>
  <c r="E229" i="39" s="1"/>
  <c r="D34" i="38"/>
  <c r="E34" i="38" s="1"/>
  <c r="D35" i="38" s="1"/>
  <c r="E35" i="38" s="1"/>
  <c r="E41" i="38" s="1"/>
  <c r="D42" i="38" s="1"/>
  <c r="E42" i="38" s="1"/>
  <c r="F43" i="38" s="1"/>
  <c r="D84" i="38"/>
  <c r="D76" i="39"/>
  <c r="E76" i="39" s="1"/>
  <c r="E120" i="39"/>
  <c r="D63" i="39"/>
  <c r="E63" i="39" s="1"/>
  <c r="D265" i="39"/>
  <c r="E265" i="39" s="1"/>
  <c r="D266" i="39" s="1"/>
  <c r="C138" i="39"/>
  <c r="E138" i="39" s="1"/>
  <c r="C144" i="39"/>
  <c r="E144" i="39" s="1"/>
  <c r="E48" i="39"/>
  <c r="D78" i="39"/>
  <c r="E78" i="39" s="1"/>
  <c r="C137" i="39"/>
  <c r="E137" i="39" s="1"/>
  <c r="C143" i="39"/>
  <c r="E143" i="39" s="1"/>
  <c r="D198" i="39"/>
  <c r="E198" i="39" s="1"/>
  <c r="E200" i="39"/>
  <c r="C54" i="38"/>
  <c r="C55" i="38" s="1"/>
  <c r="D56" i="38" s="1"/>
  <c r="E56" i="38" s="1"/>
  <c r="E57" i="38" s="1"/>
  <c r="D58" i="38" s="1"/>
  <c r="E58" i="38" s="1"/>
  <c r="F59" i="38" s="1"/>
  <c r="E15" i="38" s="1"/>
  <c r="E75" i="38"/>
  <c r="C79" i="38"/>
  <c r="E79" i="38" s="1"/>
  <c r="C83" i="38"/>
  <c r="E83" i="38" s="1"/>
  <c r="C77" i="38"/>
  <c r="E77" i="38" s="1"/>
  <c r="E172" i="39" l="1"/>
  <c r="D118" i="39"/>
  <c r="E118" i="39" s="1"/>
  <c r="E121" i="39" s="1"/>
  <c r="D122" i="39" s="1"/>
  <c r="F139" i="39"/>
  <c r="E23" i="39" s="1"/>
  <c r="D232" i="39"/>
  <c r="E232" i="39" s="1"/>
  <c r="D64" i="39"/>
  <c r="E64" i="39" s="1"/>
  <c r="E65" i="39" s="1"/>
  <c r="D184" i="39"/>
  <c r="E184" i="39" s="1"/>
  <c r="E132" i="39"/>
  <c r="D100" i="39"/>
  <c r="D199" i="39"/>
  <c r="E199" i="39" s="1"/>
  <c r="C215" i="39"/>
  <c r="D216" i="39" s="1"/>
  <c r="E216" i="39" s="1"/>
  <c r="D82" i="39"/>
  <c r="E82" i="39" s="1"/>
  <c r="C219" i="39"/>
  <c r="D203" i="39"/>
  <c r="E203" i="39" s="1"/>
  <c r="D204" i="39" s="1"/>
  <c r="E204" i="39" s="1"/>
  <c r="F95" i="38"/>
  <c r="E14" i="38"/>
  <c r="F85" i="38"/>
  <c r="D66" i="39" l="1"/>
  <c r="E131" i="39"/>
  <c r="F133" i="39" s="1"/>
  <c r="E22" i="39" s="1"/>
  <c r="C220" i="39"/>
  <c r="D221" i="39" s="1"/>
  <c r="E221" i="39" s="1"/>
  <c r="E222" i="39" s="1"/>
  <c r="E223" i="39" s="1"/>
  <c r="D224" i="39" s="1"/>
  <c r="E224" i="39" s="1"/>
  <c r="D83" i="39"/>
  <c r="E83" i="39" s="1"/>
  <c r="E84" i="39" s="1"/>
  <c r="E205" i="39"/>
  <c r="E206" i="39" s="1"/>
  <c r="D207" i="39" s="1"/>
  <c r="E207" i="39" s="1"/>
  <c r="E13" i="38"/>
  <c r="D100" i="38"/>
  <c r="D85" i="39" l="1"/>
  <c r="E164" i="2"/>
  <c r="E162" i="2"/>
  <c r="K28" i="19"/>
  <c r="E28" i="19"/>
  <c r="C26" i="19"/>
  <c r="C29" i="19" s="1"/>
  <c r="E26" i="19" l="1"/>
  <c r="E29" i="19" s="1"/>
  <c r="I29" i="19"/>
  <c r="I30" i="19" l="1"/>
  <c r="I31" i="19" s="1"/>
  <c r="J30" i="19"/>
  <c r="K30" i="19" l="1"/>
  <c r="N11" i="11" l="1"/>
  <c r="M11" i="11" l="1"/>
  <c r="L11" i="11" l="1"/>
  <c r="C298" i="2"/>
  <c r="A36" i="2" l="1"/>
  <c r="E289" i="2"/>
  <c r="E288" i="2"/>
  <c r="E290" i="2"/>
  <c r="E287" i="2"/>
  <c r="E286" i="2"/>
  <c r="E285" i="2"/>
  <c r="C132" i="2"/>
  <c r="C149" i="2"/>
  <c r="F291" i="2" l="1"/>
  <c r="E36" i="2" s="1"/>
  <c r="D249" i="2" l="1"/>
  <c r="C22" i="9" l="1"/>
  <c r="C5" i="19"/>
  <c r="C4" i="19"/>
  <c r="A25" i="2" l="1"/>
  <c r="E149" i="2"/>
  <c r="A144" i="2" l="1"/>
  <c r="A18" i="19"/>
  <c r="E5" i="19"/>
  <c r="E4" i="19"/>
  <c r="C183" i="2" l="1"/>
  <c r="C182" i="2"/>
  <c r="C181" i="2"/>
  <c r="C180" i="2"/>
  <c r="C179" i="2"/>
  <c r="C178" i="2"/>
  <c r="G15" i="11" l="1"/>
  <c r="G18" i="11" s="1"/>
  <c r="G20" i="11" l="1"/>
  <c r="G22" i="11" s="1"/>
  <c r="B54" i="2" s="1"/>
  <c r="E103" i="2" l="1"/>
  <c r="E185" i="2" s="1"/>
  <c r="E173" i="2"/>
  <c r="E145" i="2" l="1"/>
  <c r="E208" i="2" s="1"/>
  <c r="E225" i="2" s="1"/>
  <c r="E233" i="2" s="1"/>
  <c r="E300" i="2" s="1"/>
  <c r="E69" i="39"/>
  <c r="E88" i="39"/>
  <c r="E173" i="39"/>
  <c r="F173" i="39" s="1"/>
  <c r="E145" i="39"/>
  <c r="E185" i="39"/>
  <c r="F185" i="39" s="1"/>
  <c r="E151" i="39" l="1"/>
  <c r="F151" i="39" s="1"/>
  <c r="E25" i="39" s="1"/>
  <c r="F187" i="39"/>
  <c r="E26" i="39" s="1"/>
  <c r="E208" i="39"/>
  <c r="F145" i="39"/>
  <c r="C27" i="5"/>
  <c r="E24" i="39" l="1"/>
  <c r="E225" i="39"/>
  <c r="F208" i="39"/>
  <c r="C230" i="2"/>
  <c r="C229" i="2"/>
  <c r="C231" i="2"/>
  <c r="E233" i="39" l="1"/>
  <c r="F225" i="39"/>
  <c r="E30" i="39" s="1"/>
  <c r="E29" i="39"/>
  <c r="A38" i="2"/>
  <c r="A37" i="2"/>
  <c r="A35" i="2"/>
  <c r="A27" i="2"/>
  <c r="A26" i="2"/>
  <c r="A17" i="2"/>
  <c r="E300" i="39" l="1"/>
  <c r="F300" i="39" s="1"/>
  <c r="F302" i="39" s="1"/>
  <c r="E37" i="39" s="1"/>
  <c r="F233" i="39"/>
  <c r="C15" i="9"/>
  <c r="C16" i="9" s="1"/>
  <c r="C18" i="9" l="1"/>
  <c r="C23" i="9" s="1"/>
  <c r="E31" i="39"/>
  <c r="C25" i="9"/>
  <c r="C198" i="2"/>
  <c r="C203" i="2"/>
  <c r="D205" i="2" s="1"/>
  <c r="E47" i="2" l="1"/>
  <c r="E46" i="2"/>
  <c r="C184" i="2" s="1"/>
  <c r="E45" i="2"/>
  <c r="E44" i="2"/>
  <c r="E51" i="2"/>
  <c r="C137" i="2" l="1"/>
  <c r="C144" i="2"/>
  <c r="C138" i="2"/>
  <c r="E138" i="2" s="1"/>
  <c r="C224" i="2"/>
  <c r="C218" i="2"/>
  <c r="D251" i="2"/>
  <c r="D247" i="2"/>
  <c r="D245" i="2"/>
  <c r="D243" i="2"/>
  <c r="D178" i="2" l="1"/>
  <c r="E178" i="2" s="1"/>
  <c r="E161" i="2"/>
  <c r="E163" i="2"/>
  <c r="E165" i="2"/>
  <c r="E166" i="2"/>
  <c r="E167" i="2"/>
  <c r="E168" i="2"/>
  <c r="E169" i="2"/>
  <c r="E170" i="2"/>
  <c r="E171" i="2"/>
  <c r="E160" i="2"/>
  <c r="D62" i="2" l="1"/>
  <c r="E62" i="2" s="1"/>
  <c r="D61" i="2"/>
  <c r="E61" i="2" s="1"/>
  <c r="D94" i="2"/>
  <c r="E94" i="2" s="1"/>
  <c r="C114" i="2"/>
  <c r="D63" i="2" l="1"/>
  <c r="E63" i="2" s="1"/>
  <c r="C117" i="2"/>
  <c r="D95" i="2"/>
  <c r="E95" i="2" s="1"/>
  <c r="D96" i="2" s="1"/>
  <c r="E96" i="2" s="1"/>
  <c r="C81" i="2"/>
  <c r="C78" i="2"/>
  <c r="D109" i="2" l="1"/>
  <c r="A34" i="2"/>
  <c r="A33" i="2"/>
  <c r="A32" i="2"/>
  <c r="A31" i="2"/>
  <c r="A30" i="2"/>
  <c r="A29" i="2"/>
  <c r="A28" i="2"/>
  <c r="A24" i="2"/>
  <c r="A23" i="2"/>
  <c r="A22" i="2"/>
  <c r="A21" i="2"/>
  <c r="A20" i="2"/>
  <c r="A19" i="2"/>
  <c r="A18" i="2"/>
  <c r="C21" i="8"/>
  <c r="E88" i="2"/>
  <c r="E69" i="2"/>
  <c r="E151" i="2" s="1"/>
  <c r="F151" i="2" s="1"/>
  <c r="E25" i="2" s="1"/>
  <c r="D212" i="2"/>
  <c r="C21" i="4"/>
  <c r="F14" i="4"/>
  <c r="E14" i="4"/>
  <c r="D14" i="4"/>
  <c r="C18" i="8"/>
  <c r="C29" i="5"/>
  <c r="C120" i="2"/>
  <c r="C111" i="2"/>
  <c r="D114" i="2"/>
  <c r="E114" i="2" s="1"/>
  <c r="E92" i="2"/>
  <c r="D132" i="2" s="1"/>
  <c r="C264" i="2"/>
  <c r="E264" i="2" s="1"/>
  <c r="D241" i="2"/>
  <c r="D252" i="2" s="1"/>
  <c r="E195" i="2"/>
  <c r="C214" i="2" s="1"/>
  <c r="D217" i="2"/>
  <c r="C204" i="2"/>
  <c r="C199" i="2"/>
  <c r="C75" i="2"/>
  <c r="D73" i="2"/>
  <c r="E298" i="2"/>
  <c r="D299" i="2" s="1"/>
  <c r="E299" i="2" s="1"/>
  <c r="C200" i="2"/>
  <c r="C217" i="2" s="1"/>
  <c r="A44" i="2"/>
  <c r="A45" i="2"/>
  <c r="A46" i="2"/>
  <c r="A47" i="2"/>
  <c r="A51" i="2"/>
  <c r="E60" i="2"/>
  <c r="D131" i="2" s="1"/>
  <c r="C83" i="2"/>
  <c r="A137" i="2"/>
  <c r="A143" i="2" s="1"/>
  <c r="D179" i="2"/>
  <c r="E179" i="2" s="1"/>
  <c r="D180" i="2"/>
  <c r="E180" i="2" s="1"/>
  <c r="D181" i="2"/>
  <c r="E181" i="2" s="1"/>
  <c r="D182" i="2"/>
  <c r="E182" i="2" s="1"/>
  <c r="D183" i="2"/>
  <c r="E183" i="2" s="1"/>
  <c r="E262" i="2"/>
  <c r="E231" i="2"/>
  <c r="E230" i="2"/>
  <c r="E275" i="2"/>
  <c r="E276" i="2"/>
  <c r="E277" i="2"/>
  <c r="C309" i="39" l="1"/>
  <c r="C100" i="38"/>
  <c r="E100" i="38" s="1"/>
  <c r="F101" i="38" s="1"/>
  <c r="F103" i="38" s="1"/>
  <c r="D98" i="2"/>
  <c r="E98" i="2" s="1"/>
  <c r="E99" i="2" s="1"/>
  <c r="E132" i="2" s="1"/>
  <c r="C309" i="2"/>
  <c r="C31" i="5"/>
  <c r="C32" i="5" s="1"/>
  <c r="C30" i="5"/>
  <c r="C32" i="8" s="1"/>
  <c r="D198" i="2"/>
  <c r="E198" i="2" s="1"/>
  <c r="D81" i="2"/>
  <c r="E81" i="2" s="1"/>
  <c r="D76" i="2"/>
  <c r="E76" i="2" s="1"/>
  <c r="E108" i="2"/>
  <c r="D112" i="2"/>
  <c r="E112" i="2" s="1"/>
  <c r="D115" i="2"/>
  <c r="E115" i="2" s="1"/>
  <c r="D117" i="2"/>
  <c r="E117" i="2" s="1"/>
  <c r="D111" i="2"/>
  <c r="E111" i="2" s="1"/>
  <c r="D79" i="2"/>
  <c r="E79" i="2" s="1"/>
  <c r="D78" i="2"/>
  <c r="E78" i="2" s="1"/>
  <c r="D75" i="2"/>
  <c r="E75" i="2" s="1"/>
  <c r="F278" i="2"/>
  <c r="F280" i="2" s="1"/>
  <c r="E35" i="2" s="1"/>
  <c r="E73" i="2"/>
  <c r="E200" i="2"/>
  <c r="C219" i="2" s="1"/>
  <c r="D172" i="2"/>
  <c r="E137" i="2"/>
  <c r="F139" i="2" s="1"/>
  <c r="C172" i="2"/>
  <c r="E48" i="2"/>
  <c r="C143" i="2"/>
  <c r="E143" i="2" s="1"/>
  <c r="E217" i="2"/>
  <c r="E144" i="2"/>
  <c r="D64" i="2"/>
  <c r="E296" i="2"/>
  <c r="D297" i="2" s="1"/>
  <c r="E297" i="2" s="1"/>
  <c r="F300" i="2" s="1"/>
  <c r="F302" i="2" s="1"/>
  <c r="E37" i="2" s="1"/>
  <c r="E212" i="2"/>
  <c r="D265" i="2"/>
  <c r="E265" i="2" s="1"/>
  <c r="D266" i="2" s="1"/>
  <c r="D184" i="2"/>
  <c r="E17" i="38" l="1"/>
  <c r="F106" i="38"/>
  <c r="F114" i="38" s="1"/>
  <c r="E64" i="2"/>
  <c r="E65" i="2" s="1"/>
  <c r="C37" i="5"/>
  <c r="C36" i="8" s="1"/>
  <c r="D199" i="2"/>
  <c r="E199" i="2" s="1"/>
  <c r="D229" i="2"/>
  <c r="C29" i="8"/>
  <c r="C20" i="8"/>
  <c r="C26" i="8" s="1"/>
  <c r="C35" i="8" s="1"/>
  <c r="D82" i="2"/>
  <c r="E82" i="2" s="1"/>
  <c r="D83" i="2" s="1"/>
  <c r="E83" i="2" s="1"/>
  <c r="D118" i="2"/>
  <c r="E118" i="2" s="1"/>
  <c r="D120" i="2" s="1"/>
  <c r="E120" i="2" s="1"/>
  <c r="E23" i="2"/>
  <c r="F145" i="2"/>
  <c r="E184" i="2"/>
  <c r="F185" i="2" s="1"/>
  <c r="E172" i="2"/>
  <c r="F173" i="2" s="1"/>
  <c r="D203" i="2"/>
  <c r="E203" i="2" s="1"/>
  <c r="D204" i="2" s="1"/>
  <c r="E204" i="2" s="1"/>
  <c r="D100" i="2"/>
  <c r="E18" i="38" l="1"/>
  <c r="F6" i="19" s="1"/>
  <c r="F111" i="38"/>
  <c r="D66" i="2"/>
  <c r="E131" i="2"/>
  <c r="F133" i="2" s="1"/>
  <c r="E22" i="2" s="1"/>
  <c r="E205" i="2"/>
  <c r="E206" i="2" s="1"/>
  <c r="D207" i="2" s="1"/>
  <c r="E207" i="2" s="1"/>
  <c r="F208" i="2" s="1"/>
  <c r="E29" i="2" s="1"/>
  <c r="C215" i="2"/>
  <c r="D216" i="2" s="1"/>
  <c r="E216" i="2" s="1"/>
  <c r="E229" i="2"/>
  <c r="D232" i="2" s="1"/>
  <c r="E232" i="2" s="1"/>
  <c r="F233" i="2" s="1"/>
  <c r="E31" i="2" s="1"/>
  <c r="E24" i="2"/>
  <c r="C30" i="8"/>
  <c r="C33" i="8" s="1"/>
  <c r="C37" i="8"/>
  <c r="C220" i="2"/>
  <c r="D221" i="2" s="1"/>
  <c r="E221" i="2" s="1"/>
  <c r="F187" i="2"/>
  <c r="E26" i="2" s="1"/>
  <c r="E121" i="2"/>
  <c r="D122" i="2" s="1"/>
  <c r="E84" i="2"/>
  <c r="E222" i="2" l="1"/>
  <c r="E223" i="2" s="1"/>
  <c r="D224" i="2" s="1"/>
  <c r="E224" i="2" s="1"/>
  <c r="F225" i="2" s="1"/>
  <c r="J27" i="19"/>
  <c r="F16" i="38"/>
  <c r="F14" i="38"/>
  <c r="F13" i="38"/>
  <c r="F15" i="38"/>
  <c r="F17" i="38"/>
  <c r="C38" i="8"/>
  <c r="D85" i="2"/>
  <c r="C100" i="39" l="1"/>
  <c r="E100" i="39" s="1"/>
  <c r="E101" i="39" s="1"/>
  <c r="D102" i="39" s="1"/>
  <c r="E102" i="39" s="1"/>
  <c r="F103" i="39" s="1"/>
  <c r="E20" i="39" s="1"/>
  <c r="C66" i="39"/>
  <c r="E66" i="39" s="1"/>
  <c r="E67" i="39" s="1"/>
  <c r="D68" i="39" s="1"/>
  <c r="E68" i="39" s="1"/>
  <c r="F69" i="39" s="1"/>
  <c r="E18" i="39" s="1"/>
  <c r="C122" i="39"/>
  <c r="E122" i="39" s="1"/>
  <c r="E123" i="39" s="1"/>
  <c r="D124" i="39" s="1"/>
  <c r="E124" i="39" s="1"/>
  <c r="F125" i="39" s="1"/>
  <c r="C85" i="39"/>
  <c r="E85" i="39" s="1"/>
  <c r="E86" i="39" s="1"/>
  <c r="D87" i="39" s="1"/>
  <c r="E87" i="39" s="1"/>
  <c r="F88" i="39" s="1"/>
  <c r="E19" i="39" s="1"/>
  <c r="F18" i="38"/>
  <c r="E30" i="2"/>
  <c r="C100" i="2"/>
  <c r="C85" i="2"/>
  <c r="E85" i="2" s="1"/>
  <c r="E86" i="2" s="1"/>
  <c r="D87" i="2" s="1"/>
  <c r="E87" i="2" s="1"/>
  <c r="F88" i="2" s="1"/>
  <c r="E19" i="2" s="1"/>
  <c r="C66" i="2"/>
  <c r="E66" i="2" s="1"/>
  <c r="E67" i="2" s="1"/>
  <c r="D68" i="2" s="1"/>
  <c r="E68" i="2" s="1"/>
  <c r="F69" i="2" s="1"/>
  <c r="C122" i="2"/>
  <c r="E122" i="2" s="1"/>
  <c r="E123" i="2" s="1"/>
  <c r="D124" i="2" s="1"/>
  <c r="E124" i="2" s="1"/>
  <c r="F125" i="2" s="1"/>
  <c r="E100" i="2"/>
  <c r="E101" i="2" s="1"/>
  <c r="D102" i="2" s="1"/>
  <c r="E102" i="2" s="1"/>
  <c r="F103" i="2" s="1"/>
  <c r="E21" i="39" l="1"/>
  <c r="F153" i="39"/>
  <c r="E18" i="2"/>
  <c r="E20" i="2"/>
  <c r="E21" i="2"/>
  <c r="F153" i="2"/>
  <c r="E17" i="39" l="1"/>
  <c r="E17" i="2"/>
  <c r="K27" i="19" l="1"/>
  <c r="C241" i="2" l="1"/>
  <c r="E241" i="2" s="1"/>
  <c r="C266" i="2"/>
  <c r="E266" i="2" s="1"/>
  <c r="F267" i="2" s="1"/>
  <c r="E34" i="2" s="1"/>
  <c r="C266" i="39"/>
  <c r="E266" i="39" s="1"/>
  <c r="F267" i="39" s="1"/>
  <c r="E34" i="39" s="1"/>
  <c r="C251" i="2" l="1"/>
  <c r="E251" i="2" s="1"/>
  <c r="C247" i="2"/>
  <c r="E247" i="2" s="1"/>
  <c r="C257" i="2"/>
  <c r="E257" i="2" s="1"/>
  <c r="F258" i="2" s="1"/>
  <c r="E33" i="2" s="1"/>
  <c r="C245" i="2"/>
  <c r="E245" i="2" s="1"/>
  <c r="C243" i="2"/>
  <c r="C249" i="2" s="1"/>
  <c r="E249" i="2" s="1"/>
  <c r="C241" i="39"/>
  <c r="C247" i="39" s="1"/>
  <c r="E247" i="39" s="1"/>
  <c r="E243" i="2" l="1"/>
  <c r="F253" i="2" s="1"/>
  <c r="E32" i="2" s="1"/>
  <c r="E28" i="2" s="1"/>
  <c r="C243" i="39"/>
  <c r="E243" i="39" s="1"/>
  <c r="E241" i="39"/>
  <c r="C251" i="39"/>
  <c r="E251" i="39" s="1"/>
  <c r="C245" i="39"/>
  <c r="E245" i="39" s="1"/>
  <c r="C257" i="39"/>
  <c r="E257" i="39" s="1"/>
  <c r="F258" i="39" s="1"/>
  <c r="E33" i="39" s="1"/>
  <c r="F270" i="2"/>
  <c r="F304" i="2" s="1"/>
  <c r="C249" i="39" l="1"/>
  <c r="E249" i="39" s="1"/>
  <c r="F253" i="39" s="1"/>
  <c r="E32" i="39" s="1"/>
  <c r="E28" i="39" s="1"/>
  <c r="E27" i="2"/>
  <c r="D309" i="2"/>
  <c r="E309" i="2" s="1"/>
  <c r="F310" i="2" s="1"/>
  <c r="F312" i="2" s="1"/>
  <c r="E38" i="2" s="1"/>
  <c r="F270" i="39" l="1"/>
  <c r="E27" i="39" s="1"/>
  <c r="E39" i="2"/>
  <c r="F315" i="2"/>
  <c r="F304" i="39" l="1"/>
  <c r="D309" i="39" s="1"/>
  <c r="E309" i="39" s="1"/>
  <c r="F310" i="39" s="1"/>
  <c r="F312" i="39" s="1"/>
  <c r="E38" i="39" s="1"/>
  <c r="E39" i="39" s="1"/>
  <c r="F18" i="39" s="1"/>
  <c r="F320" i="2"/>
  <c r="F4" i="19"/>
  <c r="F22" i="2"/>
  <c r="F30" i="2"/>
  <c r="F25" i="2"/>
  <c r="F29" i="2"/>
  <c r="F35" i="2"/>
  <c r="F21" i="2"/>
  <c r="F31" i="2"/>
  <c r="F26" i="2"/>
  <c r="F24" i="2"/>
  <c r="F23" i="2"/>
  <c r="F36" i="2"/>
  <c r="F20" i="2"/>
  <c r="F17" i="2"/>
  <c r="F18" i="2"/>
  <c r="F19" i="2"/>
  <c r="F37" i="2"/>
  <c r="F34" i="2"/>
  <c r="F33" i="2"/>
  <c r="F32" i="2"/>
  <c r="F27" i="2"/>
  <c r="F28" i="2"/>
  <c r="F38" i="2"/>
  <c r="F315" i="39" l="1"/>
  <c r="F320" i="39" s="1"/>
  <c r="F29" i="39"/>
  <c r="F20" i="39"/>
  <c r="F37" i="39"/>
  <c r="F38" i="39"/>
  <c r="F17" i="39"/>
  <c r="F30" i="39"/>
  <c r="F35" i="39"/>
  <c r="F21" i="39"/>
  <c r="F23" i="39"/>
  <c r="F22" i="39"/>
  <c r="F31" i="39"/>
  <c r="F24" i="39"/>
  <c r="F19" i="39"/>
  <c r="F28" i="39"/>
  <c r="F25" i="39"/>
  <c r="F26" i="39"/>
  <c r="F36" i="39"/>
  <c r="F27" i="39"/>
  <c r="F32" i="39"/>
  <c r="F33" i="39"/>
  <c r="F34" i="39"/>
  <c r="F39" i="2"/>
  <c r="H4" i="19"/>
  <c r="G4" i="19"/>
  <c r="F5" i="19" l="1"/>
  <c r="F39" i="39"/>
  <c r="J26" i="19" l="1"/>
  <c r="J31" i="19" s="1"/>
  <c r="F8" i="19"/>
  <c r="G5" i="19"/>
  <c r="H5" i="19"/>
  <c r="K26" i="19" l="1"/>
  <c r="J29" i="19"/>
  <c r="K29" i="19" s="1"/>
  <c r="A19" i="19"/>
</calcChain>
</file>

<file path=xl/sharedStrings.xml><?xml version="1.0" encoding="utf-8"?>
<sst xmlns="http://schemas.openxmlformats.org/spreadsheetml/2006/main" count="1660" uniqueCount="615">
  <si>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</si>
  <si>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</si>
  <si>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</si>
  <si>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</si>
  <si>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</si>
  <si>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</si>
  <si>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</si>
  <si>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</si>
  <si>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</si>
  <si>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</si>
  <si>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</si>
  <si>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</si>
  <si>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</si>
  <si>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</si>
  <si>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</si>
  <si>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</si>
  <si>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</si>
  <si>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</si>
  <si>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</si>
  <si>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</si>
  <si>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</si>
  <si>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</si>
  <si>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</si>
  <si>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</si>
  <si>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</si>
  <si>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</si>
  <si>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</si>
  <si>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</si>
  <si>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</si>
  <si>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</si>
  <si>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</si>
  <si>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</si>
  <si>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</si>
  <si>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</si>
  <si>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R$/tonelada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</si>
  <si>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</si>
  <si>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</si>
  <si>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</si>
  <si>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</si>
  <si>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</si>
  <si>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</si>
  <si>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</si>
  <si>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</si>
  <si>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</si>
  <si>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</si>
  <si>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</si>
  <si>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</si>
  <si>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</si>
  <si>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</si>
  <si>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</si>
  <si>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</si>
  <si>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</si>
  <si>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</si>
  <si>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</si>
  <si>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</si>
  <si>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</si>
  <si>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</si>
  <si>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</si>
  <si>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</si>
  <si>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cj</t>
  </si>
  <si>
    <t>Total de mão-de-obra (postos de trabalho)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</si>
  <si>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</si>
  <si>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</si>
  <si>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</si>
  <si>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</si>
  <si>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</si>
  <si>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</si>
  <si>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</si>
  <si>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</si>
  <si>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</si>
  <si>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</si>
  <si>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PREÇO POR TONELADA COLETADA:  [A/B]</t>
  </si>
  <si>
    <t>Custo de recapagem</t>
  </si>
  <si>
    <t>Recipiente térmico para água (5L)</t>
  </si>
  <si>
    <t>Total por Coletor</t>
  </si>
  <si>
    <t>Coletor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</si>
  <si>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</si>
  <si>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</si>
  <si>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</si>
  <si>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</si>
  <si>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</si>
  <si>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</si>
  <si>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</si>
  <si>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</si>
  <si>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</si>
  <si>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</si>
  <si>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Fórmula para o cálculo do BDI:</t>
  </si>
  <si>
    <t>{[(1+AC+SRG) x (1+L) x (1+DF)] / (1-T)} -1</t>
  </si>
  <si>
    <t>Resultado do cálculo do BDI: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</si>
  <si>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</si>
  <si>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</si>
  <si>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</si>
  <si>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</si>
  <si>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</si>
  <si>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</si>
  <si>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</si>
  <si>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</si>
  <si>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</si>
  <si>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Horas Extras Noturnas (100%)</t>
  </si>
  <si>
    <t>1.1. Coletor Turno Dia</t>
  </si>
  <si>
    <t>hora contabilizada</t>
  </si>
  <si>
    <t>Vida útil do chassis</t>
  </si>
  <si>
    <t>anos</t>
  </si>
  <si>
    <t>Depreciação do chassis</t>
  </si>
  <si>
    <t>Custo de aquisição do chassis</t>
  </si>
  <si>
    <t>i = taxa de juros do mercado (sugere-se adotar a taxa SELIC)</t>
  </si>
  <si>
    <t>n = vida útil do bem em anos</t>
  </si>
  <si>
    <t>Custo do chassis</t>
  </si>
  <si>
    <t>3.1.2. Remuneração do Capital</t>
  </si>
  <si>
    <t>Im = investimento médio</t>
  </si>
  <si>
    <t>Investimento médio total do chassis</t>
  </si>
  <si>
    <t>Remuneração mensal de capital do chassis</t>
  </si>
  <si>
    <t>Custo de manutenção dos caminhões</t>
  </si>
  <si>
    <t>Quilometragem mensal</t>
  </si>
  <si>
    <t>R$/km rodado</t>
  </si>
  <si>
    <t>Número de recapagens por pneu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</si>
  <si>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</si>
  <si>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</si>
  <si>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</si>
  <si>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</si>
  <si>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</si>
  <si>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</si>
  <si>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</si>
  <si>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</si>
  <si>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</si>
  <si>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</si>
  <si>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</si>
  <si>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</si>
  <si>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</si>
  <si>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</si>
  <si>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</si>
  <si>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</si>
  <si>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</si>
  <si>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</si>
  <si>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</si>
  <si>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</si>
  <si>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</si>
  <si>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</si>
  <si>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</si>
  <si>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</si>
  <si>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</si>
  <si>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</si>
  <si>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</si>
  <si>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</si>
  <si>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</si>
  <si>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</si>
  <si>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</si>
  <si>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</si>
  <si>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</si>
  <si>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</si>
  <si>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</si>
  <si>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</si>
  <si>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</si>
  <si>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</si>
  <si>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</si>
  <si>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</si>
  <si>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</si>
  <si>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</si>
  <si>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</si>
  <si>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</si>
  <si>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</si>
  <si>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</si>
  <si>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</si>
  <si>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</si>
  <si>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</si>
  <si>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</si>
  <si>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</si>
  <si>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</si>
  <si>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</si>
  <si>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</si>
  <si>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</si>
  <si>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</si>
  <si>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</si>
  <si>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</si>
  <si>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</si>
  <si>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</si>
  <si>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</si>
  <si>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</si>
  <si>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</si>
  <si>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</si>
  <si>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</si>
  <si>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</si>
  <si>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</si>
  <si>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</si>
  <si>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</si>
  <si>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</si>
  <si>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</si>
  <si>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</si>
  <si>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</si>
  <si>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</si>
  <si>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</si>
  <si>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</si>
  <si>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</si>
  <si>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</si>
  <si>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</si>
  <si>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Excluir esta linha caso a contratação seja por preço global mensal</t>
  </si>
  <si>
    <t>Rio Grande do Sul  - Coleta de Resíduos Não-Perigosos - CNAE 38114</t>
  </si>
  <si>
    <t xml:space="preserve">1. Acesse o Portal do CAGED no link http://bi.mte.gov.br/cagedestabelecimento/pages/consulta.xhtml 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</si>
  <si>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</si>
  <si>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</si>
  <si>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</si>
  <si>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Para preencher esta planilha siga os passos 1 a 5:</t>
  </si>
  <si>
    <t>Idade do veículo (ano)</t>
  </si>
  <si>
    <t>Idade do veículo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</si>
  <si>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</si>
  <si>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</si>
  <si>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</si>
  <si>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</si>
  <si>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</si>
  <si>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</si>
  <si>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</si>
  <si>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</si>
  <si>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</si>
  <si>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</si>
  <si>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</si>
  <si>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</si>
  <si>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</si>
  <si>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</si>
  <si>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</si>
  <si>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</si>
  <si>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</si>
  <si>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</si>
  <si>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</si>
  <si>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</si>
  <si>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</si>
  <si>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</si>
  <si>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</si>
  <si>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</si>
  <si>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</si>
  <si>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</si>
  <si>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</si>
  <si>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</si>
  <si>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6. Preencha as células em amarelo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</si>
  <si>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</si>
  <si>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</si>
  <si>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</si>
  <si>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</si>
  <si>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</si>
  <si>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</si>
  <si>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</si>
  <si>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</si>
  <si>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</si>
  <si>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</si>
  <si>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</si>
  <si>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</si>
  <si>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</si>
  <si>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2. Na Especificação da Consulta, selecione "Demonstrativo por período" e informe as competências relativas ao período Inicial e Final (últimos 12 meses)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</si>
  <si>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</si>
  <si>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</si>
  <si>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</si>
  <si>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</si>
  <si>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</si>
  <si>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</si>
  <si>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</si>
  <si>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</si>
  <si>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</si>
  <si>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</si>
  <si>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</si>
  <si>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</si>
  <si>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</si>
  <si>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</si>
  <si>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</si>
  <si>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</si>
  <si>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</si>
  <si>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</si>
  <si>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</si>
  <si>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</si>
  <si>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</si>
  <si>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</si>
  <si>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</si>
  <si>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</si>
  <si>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</si>
  <si>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</si>
  <si>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</si>
  <si>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</si>
  <si>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</si>
  <si>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</si>
  <si>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</si>
  <si>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</si>
  <si>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</si>
  <si>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</si>
  <si>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</si>
  <si>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</si>
  <si>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</si>
  <si>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</si>
  <si>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</si>
  <si>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</si>
  <si>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</si>
  <si>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</si>
  <si>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</si>
  <si>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Estoque recuperado início do Período 01-03-2018</t>
  </si>
  <si>
    <t>Estoque recuperado final do Período 28-02-2019</t>
  </si>
  <si>
    <t>Variação Emprego Absoluta de 01-03-2018 a 28-02-2019</t>
  </si>
  <si>
    <t xml:space="preserve">O orçamento deve ser realizado por responsável técnico habilitado e é de </t>
  </si>
  <si>
    <t>responsabilidade do seu autor.</t>
  </si>
  <si>
    <t>realizada nos últimos 12 meses</t>
  </si>
  <si>
    <t xml:space="preserve"> todos os turnos de trabalho.</t>
  </si>
  <si>
    <t>Obs:</t>
  </si>
  <si>
    <t>&gt; Informar a população do município a ser atendida</t>
  </si>
  <si>
    <t xml:space="preserve">&gt; Caso o município possua informações de pesagem, ajustar com o valor da geração média per capita </t>
  </si>
  <si>
    <t>&gt; Informe o número de dias de coleta por semana</t>
  </si>
  <si>
    <t xml:space="preserve">&gt; Informar 1 para caminhão toco; Informar 2 para caminhão truck </t>
  </si>
  <si>
    <t>&gt; Informar a capacidade do compactador em m³</t>
  </si>
  <si>
    <t>&gt; Informar o número de percursos de coleta (cargas) que cada caminhão realiza por dia, considerando</t>
  </si>
  <si>
    <t xml:space="preserve">O orçamento deve ser realizado por responsável técnico habilitado e é </t>
  </si>
  <si>
    <t>de responsabilidade do seu autor.</t>
  </si>
  <si>
    <t xml:space="preserve">O orçamento deve ser realizado por responsável técnico habilitado e </t>
  </si>
  <si>
    <t>é de responsabilidade do seu autor.</t>
  </si>
  <si>
    <t xml:space="preserve">Ordem </t>
  </si>
  <si>
    <t xml:space="preserve">Nr. Func. </t>
  </si>
  <si>
    <t xml:space="preserve">Cargo </t>
  </si>
  <si>
    <t xml:space="preserve">Dias </t>
  </si>
  <si>
    <t xml:space="preserve">Entrada </t>
  </si>
  <si>
    <t>Saída</t>
  </si>
  <si>
    <t xml:space="preserve">Total de horas por coletor </t>
  </si>
  <si>
    <t xml:space="preserve">Total de dias por semana </t>
  </si>
  <si>
    <t xml:space="preserve">Total de horas por semana </t>
  </si>
  <si>
    <t xml:space="preserve">Dias úteis semana </t>
  </si>
  <si>
    <t>Total de dias com (DSR) Descanso Semanal Remunerado</t>
  </si>
  <si>
    <t>Total de horas/dia com (DSR)</t>
  </si>
  <si>
    <t xml:space="preserve">Total de dias no mês (30 dias) </t>
  </si>
  <si>
    <t>Total geral de horas mês com (DSR)</t>
  </si>
  <si>
    <t xml:space="preserve">Total de horas por motorista </t>
  </si>
  <si>
    <t>Total geral de horas base mês com (DSR)</t>
  </si>
  <si>
    <t xml:space="preserve">Fator de utilização </t>
  </si>
  <si>
    <t>Distância</t>
  </si>
  <si>
    <t>Und.</t>
  </si>
  <si>
    <t>Cor Linha</t>
  </si>
  <si>
    <t>Ponto a Ponto</t>
  </si>
  <si>
    <t>m</t>
  </si>
  <si>
    <t>Trecho 01</t>
  </si>
  <si>
    <t>1 - 2</t>
  </si>
  <si>
    <t>Trecho 02</t>
  </si>
  <si>
    <t>2 - 3</t>
  </si>
  <si>
    <t>Trecho 03</t>
  </si>
  <si>
    <t>3 - 4</t>
  </si>
  <si>
    <t>Trecho 04</t>
  </si>
  <si>
    <t>4 - 5</t>
  </si>
  <si>
    <t>Trecho 05</t>
  </si>
  <si>
    <t>5 - 6</t>
  </si>
  <si>
    <t>Trecho 06</t>
  </si>
  <si>
    <t>6 - 7</t>
  </si>
  <si>
    <t>Distância total da Rota:</t>
  </si>
  <si>
    <t>Dias da semana</t>
  </si>
  <si>
    <t>Nu. Coleta Semanal</t>
  </si>
  <si>
    <t>Trecho</t>
  </si>
  <si>
    <t>x</t>
  </si>
  <si>
    <t>Total Semanal</t>
  </si>
  <si>
    <t>Km</t>
  </si>
  <si>
    <t>Total Mensal</t>
  </si>
  <si>
    <t xml:space="preserve">Cargo: Motorista da coleta do lixo orgânico </t>
  </si>
  <si>
    <t>Tributos - PIS/COFINS/ e CPP se houver</t>
  </si>
  <si>
    <t>3.1. Veículo Coletor com compactador</t>
  </si>
  <si>
    <t>Custo de aquisição do compactador</t>
  </si>
  <si>
    <t>Idade do chassis</t>
  </si>
  <si>
    <t>Depreciação mensal do chassis</t>
  </si>
  <si>
    <t xml:space="preserve">Descrição </t>
  </si>
  <si>
    <t>IPCA</t>
  </si>
  <si>
    <t>Valor Atual</t>
  </si>
  <si>
    <t xml:space="preserve">Diferença </t>
  </si>
  <si>
    <t>Total Geral</t>
  </si>
  <si>
    <t xml:space="preserve">Toneladas Total </t>
  </si>
  <si>
    <t>Custo R$/Ton</t>
  </si>
  <si>
    <t>Resumo</t>
  </si>
  <si>
    <t xml:space="preserve">Admin. </t>
  </si>
  <si>
    <t>Encargos Soc.</t>
  </si>
  <si>
    <t xml:space="preserve">Total % </t>
  </si>
  <si>
    <t>Total Margem</t>
  </si>
  <si>
    <t>Publicidade (adesivos equipamentos e veículos)</t>
  </si>
  <si>
    <t>Valor atual R$</t>
  </si>
  <si>
    <t xml:space="preserve">PO Novo </t>
  </si>
  <si>
    <t>Diferença %</t>
  </si>
  <si>
    <t>Fator de util.</t>
  </si>
  <si>
    <t xml:space="preserve">Plano de Benefício Social </t>
  </si>
  <si>
    <t>ROTAS DE COLETA</t>
  </si>
  <si>
    <t xml:space="preserve">Total dos percursos Orgânicos </t>
  </si>
  <si>
    <t>Rota</t>
  </si>
  <si>
    <t>Distância: Coleta +  Transporte</t>
  </si>
  <si>
    <t>Rota 1</t>
  </si>
  <si>
    <t>Distância total diária:</t>
  </si>
  <si>
    <t xml:space="preserve">Composição dos Encargos Sociais </t>
  </si>
  <si>
    <t>6. CAGED</t>
  </si>
  <si>
    <t>Composição do BDI - Benefícios e Despesas Indiretas</t>
  </si>
  <si>
    <t>Depreciação Referencial TCE/RS (%)</t>
  </si>
  <si>
    <t>Remuneração de Capital</t>
  </si>
  <si>
    <t xml:space="preserve">Custo do jogo de pneus </t>
  </si>
  <si>
    <t xml:space="preserve">Custo mensal com Arla </t>
  </si>
  <si>
    <t>Custo de arla (5% do consumo de Óleo Diesel)</t>
  </si>
  <si>
    <t xml:space="preserve">Investimento médio total </t>
  </si>
  <si>
    <t xml:space="preserve">Remuneração mensal de capital </t>
  </si>
  <si>
    <t xml:space="preserve"> TOTAL = ROTAS DE COLETA + TRANSPORTE </t>
  </si>
  <si>
    <t xml:space="preserve">TOTAL MENSAL = ROTAS DE COLETA + TRANSPORTE </t>
  </si>
  <si>
    <t xml:space="preserve">Coleta orgânica e transporte </t>
  </si>
  <si>
    <t>Frota Reserva 10%</t>
  </si>
  <si>
    <t>Horas/dia</t>
  </si>
  <si>
    <t>Total por Encarregado</t>
  </si>
  <si>
    <t>Orgânica</t>
  </si>
  <si>
    <t xml:space="preserve">Coleta </t>
  </si>
  <si>
    <t>Seletiva</t>
  </si>
  <si>
    <t>Custo com despesas de água/luz/fone/internet</t>
  </si>
  <si>
    <t xml:space="preserve">Serviços de limpeza do galpão mensal </t>
  </si>
  <si>
    <t xml:space="preserve">Custo mensal com veículo de apoio </t>
  </si>
  <si>
    <t xml:space="preserve">5. Administração Local </t>
  </si>
  <si>
    <t>6. Monitoramento da Frota</t>
  </si>
  <si>
    <t>7. Benefícios e Despesas Indiretas - BDI</t>
  </si>
  <si>
    <t xml:space="preserve">Total Atual </t>
  </si>
  <si>
    <t xml:space="preserve">Valor atualizado </t>
  </si>
  <si>
    <t xml:space="preserve">4. Ferramentas, Materiais de Consumo </t>
  </si>
  <si>
    <t>1.2. Motorista Turno do Dia</t>
  </si>
  <si>
    <t>1.3. Encarregado/Supervisor</t>
  </si>
  <si>
    <t>1.4. Vale Transporte</t>
  </si>
  <si>
    <t>1.6. Auxílio Alimentação (mensal)</t>
  </si>
  <si>
    <t xml:space="preserve">1.7. Plano de Benefício Social  </t>
  </si>
  <si>
    <t xml:space="preserve">Obs: Convenção Coletiva (Sind. ASSEIO 2021).  </t>
  </si>
  <si>
    <t xml:space="preserve">Coletor </t>
  </si>
  <si>
    <t>Planilha com os horários dos funcionários coleta de resíduos orgânicos e seletivos</t>
  </si>
  <si>
    <t>1. Esta planilha é somente um modelo-base. Qualquer custo previsto no edital e não contemplado nesta planilha deverá ser devidamente incluído</t>
  </si>
  <si>
    <t>3. As células azuis deverão ter seus valores preenchidos em outra planilha do arquivo.</t>
  </si>
  <si>
    <t>Previsão Toneladas coletadas e enviadas ao aterro sanitário</t>
  </si>
  <si>
    <t xml:space="preserve">Total Geral toneladas ano </t>
  </si>
  <si>
    <t xml:space="preserve"> + Inflac.</t>
  </si>
  <si>
    <t xml:space="preserve">Atual </t>
  </si>
  <si>
    <t xml:space="preserve">Variação </t>
  </si>
  <si>
    <t xml:space="preserve">Bermuda com reflexivo </t>
  </si>
  <si>
    <t xml:space="preserve">Camiseta manga curta com reflexivo </t>
  </si>
  <si>
    <t xml:space="preserve">Rota 1 </t>
  </si>
  <si>
    <t>Hrs/se-mana</t>
  </si>
  <si>
    <t xml:space="preserve">Cargo: Coletor de resíduos orgânicos </t>
  </si>
  <si>
    <t xml:space="preserve">Total de horas </t>
  </si>
  <si>
    <t xml:space="preserve">Piso da categoria </t>
  </si>
  <si>
    <t xml:space="preserve">Lavagem dos caminhões compactadores </t>
  </si>
  <si>
    <t>2. Benefícios e Despesas Indiretas - BDI</t>
  </si>
  <si>
    <t>Comparação com o Edital Anterior</t>
  </si>
  <si>
    <t>Equipamentos</t>
  </si>
  <si>
    <t>Total de Contentores</t>
  </si>
  <si>
    <t xml:space="preserve">1. Contentores </t>
  </si>
  <si>
    <t>1.1.1. Depreciação</t>
  </si>
  <si>
    <t xml:space="preserve">Custo de aquisição dos contentores </t>
  </si>
  <si>
    <t xml:space="preserve">Vida útil do contentor </t>
  </si>
  <si>
    <t xml:space="preserve">Idade do contentor </t>
  </si>
  <si>
    <t>Depreciação do contentor</t>
  </si>
  <si>
    <t xml:space="preserve">Depreciação mensal contentor </t>
  </si>
  <si>
    <t>Vida útil do compactador</t>
  </si>
  <si>
    <t>Idade do compactador</t>
  </si>
  <si>
    <t>Depreciação do compactador</t>
  </si>
  <si>
    <t>Depreciação mensal do compactador</t>
  </si>
  <si>
    <t xml:space="preserve">Total </t>
  </si>
  <si>
    <t>1.1.2. Remuneração do Capital</t>
  </si>
  <si>
    <t>Custo dos contentores</t>
  </si>
  <si>
    <t>Valor do container proposto (V0)</t>
  </si>
  <si>
    <t xml:space="preserve">Investimento médio total dos contentores </t>
  </si>
  <si>
    <t>Remuneração mensal de capital dos contentores</t>
  </si>
  <si>
    <t>Custo do compactador</t>
  </si>
  <si>
    <t>Investimento médio total do compactador</t>
  </si>
  <si>
    <t>Remuneração mensal de capital do compactador</t>
  </si>
  <si>
    <t xml:space="preserve">1.1.3 Lavagem e manutenção dos contentores </t>
  </si>
  <si>
    <t>Custo de lavagem</t>
  </si>
  <si>
    <t>Custo mensal com lavagem de contentores</t>
  </si>
  <si>
    <t>Custo mensal com manutenção, reposição e materiais</t>
  </si>
  <si>
    <t xml:space="preserve">Quantidade de contentores mês: </t>
  </si>
  <si>
    <t>unidades</t>
  </si>
  <si>
    <t>PREÇO POR CONTAINER:  [A/B]</t>
  </si>
  <si>
    <t>R$/UNIDADE</t>
  </si>
  <si>
    <t xml:space="preserve">Contentores </t>
  </si>
  <si>
    <t xml:space="preserve">Resumo Custo Edital Coleta de Resíduos Sólidos </t>
  </si>
  <si>
    <t xml:space="preserve">Custo Unitário por contentor </t>
  </si>
  <si>
    <t>Locais de coleta: Área urbana da cidade</t>
  </si>
  <si>
    <t>DISTÂNCIA ATÉ O ATERRO SANITÁRIO</t>
  </si>
  <si>
    <t>Percurso</t>
  </si>
  <si>
    <t>Centro de Triagem - Aterro Sanitário</t>
  </si>
  <si>
    <t>Total</t>
  </si>
  <si>
    <t xml:space="preserve">Quantidade de viagens mensais: </t>
  </si>
  <si>
    <t>Rota 2</t>
  </si>
  <si>
    <t>Coleta</t>
  </si>
  <si>
    <t xml:space="preserve">Quilometragem total mensal : </t>
  </si>
  <si>
    <t>Custo Total mês c/manutenção, reposição e materiais</t>
  </si>
  <si>
    <t>3. Locação, Higiênização e Manutenção de Contentores</t>
  </si>
  <si>
    <t xml:space="preserve">1. Coleta e Transportes de Resíduos Orgânicos </t>
  </si>
  <si>
    <t>Coleta orgânica e seletiva</t>
  </si>
  <si>
    <t>Obs: Salário do motorista conforme Convenção Coletiva (Sinecarga 2021/2023)</t>
  </si>
  <si>
    <t xml:space="preserve">Quarta </t>
  </si>
  <si>
    <t xml:space="preserve"> Quarta</t>
  </si>
  <si>
    <t xml:space="preserve">Total dos percursos Seletivos </t>
  </si>
  <si>
    <t>vezes</t>
  </si>
  <si>
    <t xml:space="preserve">Previsão de Toneladas de lixo coletados </t>
  </si>
  <si>
    <t>Coleta seletiva e transporte</t>
  </si>
  <si>
    <t xml:space="preserve">Obs: Convenção Coletiva (Sind. ASSEIO 2022).  </t>
  </si>
  <si>
    <t xml:space="preserve">2. Coleta e Transportes de Resíduos Seletivos e Interior </t>
  </si>
  <si>
    <t xml:space="preserve">Considerado 01 hora semanal.  </t>
  </si>
  <si>
    <t>1.5. Vale Lanche (diário)</t>
  </si>
  <si>
    <t xml:space="preserve">AGÊNCIA NACIONAL DO PETRÓLEO, GÁS NATURAL E BIOCOMBUSTÍVEIS - ANP </t>
  </si>
  <si>
    <t xml:space="preserve">COORDENADORIA DE DEFESA DA CONCORRÊNCIA </t>
  </si>
  <si>
    <t xml:space="preserve">SISTEMA DE LEVANTAMENTO DE PREÇOS </t>
  </si>
  <si>
    <t xml:space="preserve">Resumo I - OLEO DIESEL S10 R$/l </t>
  </si>
  <si>
    <t>RELAÇÃO DE POSTOS PESQUISADOS</t>
  </si>
  <si>
    <t>RAZÃO SOCIAL</t>
  </si>
  <si>
    <t>ENDEREÇO</t>
  </si>
  <si>
    <t>BAIRRO</t>
  </si>
  <si>
    <t>BANDEIRA</t>
  </si>
  <si>
    <t>PREÇO VENDA</t>
  </si>
  <si>
    <t>DATA COLETA</t>
  </si>
  <si>
    <t>Centro</t>
  </si>
  <si>
    <t>BRANCA</t>
  </si>
  <si>
    <t>VIBRA ENERGIA</t>
  </si>
  <si>
    <t>IPIRANGA</t>
  </si>
  <si>
    <t>RAIZEN</t>
  </si>
  <si>
    <t>SIM REDE DE POSTOS LTDA</t>
  </si>
  <si>
    <t>Sao Cristovao</t>
  </si>
  <si>
    <t>MÉDIA</t>
  </si>
  <si>
    <t>DESVIO PADRÃO</t>
  </si>
  <si>
    <t>VALOR MÍNIMO</t>
  </si>
  <si>
    <t>VALOR MÁXIMO</t>
  </si>
  <si>
    <t>Periodicidade: Segunda, quarta e sexta</t>
  </si>
  <si>
    <t>Trecho 07</t>
  </si>
  <si>
    <t>Trecho 08</t>
  </si>
  <si>
    <t>7 - 8</t>
  </si>
  <si>
    <t>8 - 9</t>
  </si>
  <si>
    <t>Aterro Sanitário - Garagem</t>
  </si>
  <si>
    <t>Locais de coleta: Orla e Margens da BR 153</t>
  </si>
  <si>
    <t>Trecho 09</t>
  </si>
  <si>
    <t>9 - 10</t>
  </si>
  <si>
    <t>10 - 11</t>
  </si>
  <si>
    <t>11 - 12</t>
  </si>
  <si>
    <t>12 - 13</t>
  </si>
  <si>
    <t>13 - 14</t>
  </si>
  <si>
    <t>14 - 15</t>
  </si>
  <si>
    <t>15 - 16</t>
  </si>
  <si>
    <t>16 - 17</t>
  </si>
  <si>
    <t xml:space="preserve">17 - 18 </t>
  </si>
  <si>
    <t>18 - 19</t>
  </si>
  <si>
    <t>20 - 21</t>
  </si>
  <si>
    <t>19 - 20</t>
  </si>
  <si>
    <t>Trecho 10</t>
  </si>
  <si>
    <t>Trecho 11</t>
  </si>
  <si>
    <t>Trecho 12</t>
  </si>
  <si>
    <t>Trecho 13</t>
  </si>
  <si>
    <t>Trecho 14</t>
  </si>
  <si>
    <t>Trecho 15</t>
  </si>
  <si>
    <t>Trecho 16</t>
  </si>
  <si>
    <t>Trecho 17</t>
  </si>
  <si>
    <t>Trecho 18</t>
  </si>
  <si>
    <t>Trecho 19</t>
  </si>
  <si>
    <t>Trecho 20</t>
  </si>
  <si>
    <t>Trecho 21</t>
  </si>
  <si>
    <t>Trecho 22</t>
  </si>
  <si>
    <t>Trecho 23</t>
  </si>
  <si>
    <t>Trecho 24</t>
  </si>
  <si>
    <t xml:space="preserve">21 - 22 </t>
  </si>
  <si>
    <t xml:space="preserve">22 - 23 </t>
  </si>
  <si>
    <t xml:space="preserve">23 - 24 </t>
  </si>
  <si>
    <t>24 - 25</t>
  </si>
  <si>
    <t>Resumo do Percurso - Coletas de Orgânico - Área Urbana</t>
  </si>
  <si>
    <t>Coleta Rota 1 - Orgânico</t>
  </si>
  <si>
    <t>Rota 1 - Urbano</t>
  </si>
  <si>
    <t xml:space="preserve">Prefeitura Municipal de Ernestina </t>
  </si>
  <si>
    <t>Prefeitura Municipal de Ernestina</t>
  </si>
  <si>
    <t>Período: Estimativa 2022</t>
  </si>
  <si>
    <t>Síntese dos Preços Praticados - PASSO FUNDO</t>
  </si>
  <si>
    <t xml:space="preserve">Período: De 22/05/2022 a 28/05/2022 </t>
  </si>
  <si>
    <t>AUTO POSTO PRESIDENTE LTDA</t>
  </si>
  <si>
    <t>AVENIDA RIO GRANDE, 850</t>
  </si>
  <si>
    <t>Vera Cruz</t>
  </si>
  <si>
    <t>S S COMERCIO DE COMBUSTIVEIS SA</t>
  </si>
  <si>
    <t>AVENIDA PRESIDENTE VARGAS, 1348</t>
  </si>
  <si>
    <t>Vila Rodrigues</t>
  </si>
  <si>
    <t>STT - COMERCIO DE COMBUSTIVEIS LTDA</t>
  </si>
  <si>
    <t>AVENIDA SETE DE SETEMBRO, 220</t>
  </si>
  <si>
    <t>AVENIDA ASPIRANTE JENNER, 1133</t>
  </si>
  <si>
    <t>Lucas Araujo</t>
  </si>
  <si>
    <t>AVENIDA PRESIDENTE VARGAS, 2023</t>
  </si>
  <si>
    <t>AVENIDA PRESIDENTE VARGAS, 3767</t>
  </si>
  <si>
    <t>JCA COMERCIO DE COMBUSTIVEIS LTDA</t>
  </si>
  <si>
    <t>RUA BENJAMIN CONSTANT, 875</t>
  </si>
  <si>
    <t>COMERCIAL BUFFON COMBUSTIVEIS E TRANSPORTES LIMITADA</t>
  </si>
  <si>
    <t>ESTRADA RS 324 KM 104, S/N</t>
  </si>
  <si>
    <t>Vila Matos</t>
  </si>
  <si>
    <t>MP POSTOS E LOGISTICA LTDA</t>
  </si>
  <si>
    <t>RUA FAGUNDES DOS REIS, 125</t>
  </si>
  <si>
    <t>AUTO POSTO SETE DE SETEMBRO LTDA.</t>
  </si>
  <si>
    <t>AVENIDA SETE DE SETEMBRO, 569</t>
  </si>
  <si>
    <t>Data de Emissão : 28/05/2022</t>
  </si>
  <si>
    <t xml:space="preserve">KG/dia </t>
  </si>
  <si>
    <t xml:space="preserve">Ton/Mês </t>
  </si>
  <si>
    <t>População Urbana 2021</t>
  </si>
  <si>
    <t xml:space="preserve">Segunda </t>
  </si>
  <si>
    <t>Orgânica c/orla</t>
  </si>
  <si>
    <t>Sexta</t>
  </si>
  <si>
    <t xml:space="preserve">Orgânica </t>
  </si>
  <si>
    <t xml:space="preserve">Cargo: Coletor de resíduos seletivos, interior e orla </t>
  </si>
  <si>
    <t>Cargo: motorista de resíduos seletivos, interior, orla, triagem x aterro</t>
  </si>
  <si>
    <t xml:space="preserve">Considerado 02 horas semanais.  </t>
  </si>
  <si>
    <t>Subtotal Geral</t>
  </si>
  <si>
    <t xml:space="preserve">Obs: deste total considera-se que é possível reciclar cerca de 2ton/mês,   </t>
  </si>
  <si>
    <t xml:space="preserve">ou seja, 20% da coleta seletiva </t>
  </si>
  <si>
    <t>Rotas</t>
  </si>
  <si>
    <t>Rota 1 e 2 - Urbano e Orla</t>
  </si>
  <si>
    <t xml:space="preserve">Segunda  </t>
  </si>
  <si>
    <t xml:space="preserve">Sexta </t>
  </si>
  <si>
    <t>Resumo do Percurso - Coletas de Orgânico - Área Urbana e Orla</t>
  </si>
  <si>
    <t>Coleta Seletivo - Rotas 1 e 2</t>
  </si>
  <si>
    <t>Garagem - Inicio da Rota 1</t>
  </si>
  <si>
    <t xml:space="preserve">Início da Rota 1 - Final da Rota 1 </t>
  </si>
  <si>
    <t>Final da rota 1 - Início da Rota 2</t>
  </si>
  <si>
    <t xml:space="preserve">Início da Rota 2 - Final da Rota 2 </t>
  </si>
  <si>
    <t>Final da rota 2 - Aterro Sanitário</t>
  </si>
  <si>
    <t>Início da Rota 1 - Final da Rota 1</t>
  </si>
  <si>
    <t>Final da rota 1 - Aterro Sanitário</t>
  </si>
  <si>
    <t>Resumo do Percurso - Coletas de Seletivo - Área Urbana e Orla</t>
  </si>
  <si>
    <t>Final da rota 2 - Centro de Triagem</t>
  </si>
  <si>
    <t>Rota 1 e 2</t>
  </si>
  <si>
    <t xml:space="preserve">Dimensionamento da frota - Município de Ernestina </t>
  </si>
  <si>
    <t>Seletiva c/orla, centro de triagem e aterro</t>
  </si>
  <si>
    <t>1.5. Vale-refeição/vale lanche (diário)</t>
  </si>
  <si>
    <t>Pesagem dos caminhões (inicio e fim da coleta)</t>
  </si>
  <si>
    <t>Pesagem dos caminhões (inicio da coleta)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</si>
</sst>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_-;\-* #,##0.00_-;_-* &quot;-&quot;?_-;_-@_-"/>
    <numFmt numFmtId="171" formatCode="_-* #,##0.0_-;\-* #,##0.0_-;_-* &quot;-&quot;??_-;_-@_-"/>
    <numFmt numFmtId="172" formatCode="_ * #,##0.00_ ;_ * \-#,##0.00_ ;_ * &quot;-&quot;??_ ;_ @_ "/>
    <numFmt numFmtId="173" formatCode="_(* #,##0.0000_);_(* \(#,##0.0000\);_(* &quot;-&quot;??_);_(@_)"/>
    <numFmt numFmtId="174" formatCode="0.0"/>
    <numFmt numFmtId="175" formatCode="0.000"/>
    <numFmt numFmtId="176" formatCode="_(* #,##0.0000000_);_(* \(#,##0.0000000\);_(* &quot;-&quot;??_);_(@_)"/>
    <numFmt numFmtId="177" formatCode="_(* #,##0.000000_);_(* \(#,##0.000000\);_(* &quot;-&quot;??_);_(@_)"/>
    <numFmt numFmtId="178" formatCode="_-* #,##0_-;\-* #,##0_-;_-* &quot;-&quot;??_-;_-@_-"/>
  </numFmts>
  <fonts count="6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2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094AE"/>
        <bgColor indexed="64"/>
      </patternFill>
    </fill>
    <fill>
      <patternFill patternType="solid">
        <fgColor rgb="FFEFEFEF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4">
    <xf numFmtId="0" fontId="0" fillId="0" borderId="0"/>
    <xf numFmtId="0" fontId="32" fillId="0" borderId="0" applyNumberFormat="0" applyFill="0" applyBorder="0" applyAlignment="0" applyProtection="0">
      <alignment vertical="top"/>
      <protection locked="0"/>
    </xf>
    <xf numFmtId="9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5" fillId="0" borderId="0" applyFont="0" applyFill="0" applyBorder="0" applyAlignment="0" applyProtection="0"/>
    <xf numFmtId="171" fontId="53" fillId="0" borderId="0" applyFont="0" applyFill="0" applyBorder="0" applyAlignment="0" applyProtection="0"/>
    <xf numFmtId="0" fontId="24" fillId="0" borderId="0"/>
    <xf numFmtId="0" fontId="25" fillId="0" borderId="0"/>
    <xf numFmtId="0" fontId="53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53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2" fontId="25" fillId="0" borderId="0" applyFont="0" applyFill="0" applyBorder="0" applyAlignment="0" applyProtection="0"/>
    <xf numFmtId="0" fontId="23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2" fillId="0" borderId="0"/>
    <xf numFmtId="0" fontId="11" fillId="0" borderId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6" fillId="0" borderId="0"/>
    <xf numFmtId="0" fontId="5" fillId="0" borderId="0"/>
    <xf numFmtId="0" fontId="1" fillId="0" borderId="0"/>
  </cellStyleXfs>
  <cellXfs count="739">
    <xf numFmtId="0" fontId="0" fillId="0" borderId="0" xfId="0"/>
    <xf numFmtId="0" fontId="30" fillId="0" borderId="0" xfId="0" applyFont="1"/>
    <xf numFmtId="0" fontId="30" fillId="0" borderId="1" xfId="0" applyFont="1" applyBorder="1"/>
    <xf numFmtId="0" fontId="30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165" fontId="30" fillId="0" borderId="0" xfId="3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0" fillId="0" borderId="2" xfId="0" applyFont="1" applyBorder="1" applyAlignment="1">
      <alignment vertical="center"/>
    </xf>
    <xf numFmtId="0" fontId="30" fillId="0" borderId="2" xfId="0" applyFont="1" applyBorder="1" applyAlignment="1">
      <alignment horizontal="center" vertical="center"/>
    </xf>
    <xf numFmtId="165" fontId="30" fillId="0" borderId="2" xfId="3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165" fontId="30" fillId="0" borderId="1" xfId="3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165" fontId="30" fillId="0" borderId="0" xfId="3" applyFont="1" applyAlignment="1">
      <alignment horizontal="center" vertical="center"/>
    </xf>
    <xf numFmtId="165" fontId="27" fillId="2" borderId="4" xfId="3" applyFont="1" applyFill="1" applyBorder="1" applyAlignment="1">
      <alignment horizontal="center" vertical="center"/>
    </xf>
    <xf numFmtId="165" fontId="27" fillId="2" borderId="4" xfId="3" applyFont="1" applyFill="1" applyBorder="1" applyAlignment="1">
      <alignment vertical="center"/>
    </xf>
    <xf numFmtId="165" fontId="27" fillId="0" borderId="0" xfId="3" applyFont="1" applyFill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165" fontId="27" fillId="0" borderId="6" xfId="3" applyFont="1" applyBorder="1" applyAlignment="1">
      <alignment vertical="center"/>
    </xf>
    <xf numFmtId="165" fontId="27" fillId="0" borderId="7" xfId="3" applyFont="1" applyBorder="1" applyAlignment="1">
      <alignment vertical="center"/>
    </xf>
    <xf numFmtId="0" fontId="30" fillId="0" borderId="6" xfId="0" applyFont="1" applyBorder="1" applyAlignment="1">
      <alignment vertical="center"/>
    </xf>
    <xf numFmtId="165" fontId="30" fillId="0" borderId="6" xfId="3" applyFont="1" applyBorder="1" applyAlignment="1">
      <alignment vertical="center"/>
    </xf>
    <xf numFmtId="165" fontId="30" fillId="0" borderId="7" xfId="3" applyFont="1" applyBorder="1" applyAlignment="1">
      <alignment vertical="center"/>
    </xf>
    <xf numFmtId="165" fontId="27" fillId="0" borderId="0" xfId="3" applyFont="1" applyBorder="1" applyAlignment="1">
      <alignment horizontal="center" vertical="center"/>
    </xf>
    <xf numFmtId="3" fontId="30" fillId="0" borderId="0" xfId="0" applyNumberFormat="1" applyFont="1" applyAlignment="1">
      <alignment vertical="center"/>
    </xf>
    <xf numFmtId="165" fontId="27" fillId="0" borderId="0" xfId="3" applyFont="1" applyFill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165" fontId="27" fillId="0" borderId="0" xfId="3" applyFont="1" applyBorder="1" applyAlignment="1">
      <alignment vertical="center"/>
    </xf>
    <xf numFmtId="165" fontId="29" fillId="0" borderId="0" xfId="3" applyFont="1" applyAlignment="1">
      <alignment vertical="center"/>
    </xf>
    <xf numFmtId="166" fontId="30" fillId="0" borderId="1" xfId="3" applyNumberFormat="1" applyFont="1" applyBorder="1" applyAlignment="1">
      <alignment vertical="center"/>
    </xf>
    <xf numFmtId="165" fontId="30" fillId="0" borderId="0" xfId="3" applyFont="1"/>
    <xf numFmtId="165" fontId="28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27" fillId="0" borderId="12" xfId="3" applyFont="1" applyBorder="1" applyAlignment="1">
      <alignment horizontal="center" vertical="center"/>
    </xf>
    <xf numFmtId="165" fontId="27" fillId="0" borderId="5" xfId="3" applyFont="1" applyBorder="1" applyAlignment="1">
      <alignment horizontal="left" vertical="center"/>
    </xf>
    <xf numFmtId="4" fontId="27" fillId="0" borderId="6" xfId="0" applyNumberFormat="1" applyFont="1" applyBorder="1" applyAlignment="1">
      <alignment horizontal="centerContinuous" vertical="center"/>
    </xf>
    <xf numFmtId="165" fontId="27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27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30" fillId="0" borderId="1" xfId="3" applyFont="1" applyBorder="1" applyAlignment="1">
      <alignment vertical="center"/>
    </xf>
    <xf numFmtId="0" fontId="35" fillId="0" borderId="0" xfId="0" applyFont="1" applyAlignment="1">
      <alignment vertical="center"/>
    </xf>
    <xf numFmtId="0" fontId="30" fillId="0" borderId="0" xfId="0" applyFont="1" applyFill="1" applyAlignment="1">
      <alignment vertical="center"/>
    </xf>
    <xf numFmtId="0" fontId="34" fillId="0" borderId="1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165" fontId="30" fillId="0" borderId="0" xfId="3" applyFont="1" applyFill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165" fontId="28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30" fillId="0" borderId="0" xfId="3" applyFont="1" applyBorder="1" applyAlignment="1">
      <alignment vertical="center"/>
    </xf>
    <xf numFmtId="0" fontId="37" fillId="2" borderId="16" xfId="0" applyFont="1" applyFill="1" applyBorder="1" applyAlignment="1">
      <alignment horizontal="center" vertical="center"/>
    </xf>
    <xf numFmtId="0" fontId="37" fillId="2" borderId="17" xfId="0" applyFont="1" applyFill="1" applyBorder="1" applyAlignment="1">
      <alignment horizontal="center" vertical="center"/>
    </xf>
    <xf numFmtId="165" fontId="37" fillId="2" borderId="17" xfId="3" applyFont="1" applyFill="1" applyBorder="1" applyAlignment="1">
      <alignment horizontal="center" vertical="center"/>
    </xf>
    <xf numFmtId="165" fontId="37" fillId="2" borderId="18" xfId="3" applyFont="1" applyFill="1" applyBorder="1" applyAlignment="1">
      <alignment horizontal="center" vertical="center"/>
    </xf>
    <xf numFmtId="165" fontId="27" fillId="0" borderId="19" xfId="3" applyFont="1" applyBorder="1" applyAlignment="1">
      <alignment horizontal="center" vertical="center"/>
    </xf>
    <xf numFmtId="165" fontId="25" fillId="0" borderId="14" xfId="3" applyFont="1" applyBorder="1" applyAlignment="1">
      <alignment horizontal="left" vertical="center"/>
    </xf>
    <xf numFmtId="165" fontId="30" fillId="0" borderId="9" xfId="3" applyFont="1" applyBorder="1" applyAlignment="1">
      <alignment vertical="center"/>
    </xf>
    <xf numFmtId="165" fontId="30" fillId="0" borderId="14" xfId="3" applyFont="1" applyBorder="1" applyAlignment="1">
      <alignment vertical="center"/>
    </xf>
    <xf numFmtId="166" fontId="30" fillId="0" borderId="0" xfId="3" applyNumberFormat="1" applyFont="1" applyBorder="1" applyAlignment="1">
      <alignment horizontal="center" vertical="center"/>
    </xf>
    <xf numFmtId="1" fontId="30" fillId="0" borderId="1" xfId="0" applyNumberFormat="1" applyFont="1" applyBorder="1" applyAlignment="1">
      <alignment horizontal="center" vertical="center"/>
    </xf>
    <xf numFmtId="1" fontId="30" fillId="0" borderId="20" xfId="3" applyNumberFormat="1" applyFont="1" applyBorder="1" applyAlignment="1">
      <alignment horizontal="center" vertical="center"/>
    </xf>
    <xf numFmtId="165" fontId="27" fillId="0" borderId="28" xfId="3" applyFont="1" applyBorder="1" applyAlignment="1">
      <alignment vertical="center"/>
    </xf>
    <xf numFmtId="4" fontId="27" fillId="0" borderId="29" xfId="0" applyNumberFormat="1" applyFont="1" applyBorder="1" applyAlignment="1">
      <alignment vertical="center"/>
    </xf>
    <xf numFmtId="165" fontId="30" fillId="0" borderId="19" xfId="3" applyFont="1" applyBorder="1" applyAlignment="1">
      <alignment vertical="center"/>
    </xf>
    <xf numFmtId="165" fontId="30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30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27" fillId="0" borderId="31" xfId="3" applyNumberFormat="1" applyFont="1" applyBorder="1" applyAlignment="1">
      <alignment horizontal="center" vertical="center"/>
    </xf>
    <xf numFmtId="165" fontId="36" fillId="0" borderId="1" xfId="3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165" fontId="27" fillId="2" borderId="4" xfId="3" applyNumberFormat="1" applyFont="1" applyFill="1" applyBorder="1" applyAlignment="1">
      <alignment horizontal="center" vertical="center"/>
    </xf>
    <xf numFmtId="165" fontId="30" fillId="0" borderId="1" xfId="3" applyFont="1" applyFill="1" applyBorder="1" applyAlignment="1">
      <alignment horizontal="center" vertical="center"/>
    </xf>
    <xf numFmtId="165" fontId="35" fillId="0" borderId="0" xfId="3" applyFont="1" applyAlignment="1">
      <alignment vertical="center"/>
    </xf>
    <xf numFmtId="43" fontId="30" fillId="0" borderId="0" xfId="0" applyNumberFormat="1" applyFont="1" applyAlignment="1">
      <alignment vertical="center"/>
    </xf>
    <xf numFmtId="0" fontId="30" fillId="3" borderId="1" xfId="0" applyFont="1" applyFill="1" applyBorder="1" applyAlignment="1">
      <alignment horizontal="center" vertical="center"/>
    </xf>
    <xf numFmtId="165" fontId="30" fillId="3" borderId="2" xfId="3" applyFont="1" applyFill="1" applyBorder="1" applyAlignment="1">
      <alignment horizontal="center" vertical="center"/>
    </xf>
    <xf numFmtId="2" fontId="30" fillId="3" borderId="1" xfId="0" applyNumberFormat="1" applyFont="1" applyFill="1" applyBorder="1" applyAlignment="1">
      <alignment horizontal="center" vertical="center"/>
    </xf>
    <xf numFmtId="165" fontId="30" fillId="3" borderId="1" xfId="3" applyFont="1" applyFill="1" applyBorder="1" applyAlignment="1">
      <alignment horizontal="center" vertical="center"/>
    </xf>
    <xf numFmtId="1" fontId="30" fillId="3" borderId="1" xfId="0" applyNumberFormat="1" applyFont="1" applyFill="1" applyBorder="1" applyAlignment="1">
      <alignment horizontal="center" vertical="center"/>
    </xf>
    <xf numFmtId="0" fontId="30" fillId="3" borderId="0" xfId="0" applyFont="1" applyFill="1" applyAlignment="1">
      <alignment vertical="center"/>
    </xf>
    <xf numFmtId="165" fontId="30" fillId="3" borderId="0" xfId="3" applyFont="1" applyFill="1" applyAlignment="1">
      <alignment vertical="center"/>
    </xf>
    <xf numFmtId="0" fontId="30" fillId="0" borderId="0" xfId="0" applyFont="1" applyAlignment="1">
      <alignment horizontal="right" vertical="center"/>
    </xf>
    <xf numFmtId="166" fontId="30" fillId="0" borderId="1" xfId="3" applyNumberFormat="1" applyFont="1" applyBorder="1" applyAlignment="1">
      <alignment horizontal="center" vertical="center"/>
    </xf>
    <xf numFmtId="165" fontId="30" fillId="3" borderId="1" xfId="3" applyNumberFormat="1" applyFont="1" applyFill="1" applyBorder="1" applyAlignment="1">
      <alignment horizontal="center" vertical="center"/>
    </xf>
    <xf numFmtId="0" fontId="30" fillId="3" borderId="2" xfId="0" applyFont="1" applyFill="1" applyBorder="1" applyAlignment="1">
      <alignment horizontal="center" vertical="center"/>
    </xf>
    <xf numFmtId="4" fontId="30" fillId="3" borderId="2" xfId="0" applyNumberFormat="1" applyFont="1" applyFill="1" applyBorder="1" applyAlignment="1">
      <alignment horizontal="center" vertical="center"/>
    </xf>
    <xf numFmtId="167" fontId="30" fillId="3" borderId="2" xfId="3" applyNumberFormat="1" applyFont="1" applyFill="1" applyBorder="1" applyAlignment="1">
      <alignment horizontal="center" vertical="center"/>
    </xf>
    <xf numFmtId="3" fontId="30" fillId="3" borderId="1" xfId="0" applyNumberFormat="1" applyFont="1" applyFill="1" applyBorder="1" applyAlignment="1">
      <alignment horizontal="center" vertical="center"/>
    </xf>
    <xf numFmtId="4" fontId="30" fillId="3" borderId="1" xfId="0" applyNumberFormat="1" applyFont="1" applyFill="1" applyBorder="1" applyAlignment="1">
      <alignment horizontal="center" vertical="center"/>
    </xf>
    <xf numFmtId="13" fontId="30" fillId="3" borderId="1" xfId="0" applyNumberFormat="1" applyFont="1" applyFill="1" applyBorder="1" applyAlignment="1">
      <alignment horizontal="center" vertical="center"/>
    </xf>
    <xf numFmtId="166" fontId="30" fillId="0" borderId="1" xfId="3" applyNumberFormat="1" applyFont="1" applyFill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165" fontId="27" fillId="0" borderId="1" xfId="3" applyFont="1" applyBorder="1" applyAlignment="1">
      <alignment horizontal="center" vertical="center"/>
    </xf>
    <xf numFmtId="165" fontId="30" fillId="0" borderId="2" xfId="3" applyFont="1" applyFill="1" applyBorder="1" applyAlignment="1">
      <alignment horizontal="center" vertical="center"/>
    </xf>
    <xf numFmtId="0" fontId="32" fillId="0" borderId="0" xfId="1" applyAlignment="1" applyProtection="1">
      <alignment vertical="center"/>
    </xf>
    <xf numFmtId="0" fontId="27" fillId="0" borderId="0" xfId="0" applyFont="1"/>
    <xf numFmtId="0" fontId="37" fillId="2" borderId="32" xfId="0" applyFont="1" applyFill="1" applyBorder="1" applyAlignment="1">
      <alignment horizontal="center" vertical="center"/>
    </xf>
    <xf numFmtId="0" fontId="37" fillId="2" borderId="33" xfId="0" applyFont="1" applyFill="1" applyBorder="1" applyAlignment="1">
      <alignment horizontal="center" vertical="center"/>
    </xf>
    <xf numFmtId="165" fontId="37" fillId="2" borderId="33" xfId="3" applyFont="1" applyFill="1" applyBorder="1" applyAlignment="1">
      <alignment horizontal="center" vertical="center"/>
    </xf>
    <xf numFmtId="165" fontId="30" fillId="0" borderId="0" xfId="3" applyFont="1" applyFill="1" applyAlignment="1">
      <alignment vertical="center"/>
    </xf>
    <xf numFmtId="165" fontId="27" fillId="0" borderId="1" xfId="3" applyFont="1" applyFill="1" applyBorder="1" applyAlignment="1">
      <alignment horizontal="center" vertical="center"/>
    </xf>
    <xf numFmtId="164" fontId="27" fillId="0" borderId="34" xfId="0" applyNumberFormat="1" applyFont="1" applyBorder="1" applyAlignment="1">
      <alignment vertical="center"/>
    </xf>
    <xf numFmtId="165" fontId="27" fillId="0" borderId="35" xfId="3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165" fontId="27" fillId="0" borderId="0" xfId="3" applyFont="1" applyAlignment="1">
      <alignment horizontal="center" vertical="center"/>
    </xf>
    <xf numFmtId="165" fontId="27" fillId="0" borderId="3" xfId="3" applyFont="1" applyBorder="1" applyAlignment="1">
      <alignment horizontal="center" vertical="center"/>
    </xf>
    <xf numFmtId="2" fontId="30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30" fillId="0" borderId="0" xfId="3" applyFont="1" applyAlignment="1">
      <alignment horizontal="right" vertical="center"/>
    </xf>
    <xf numFmtId="165" fontId="27" fillId="2" borderId="7" xfId="3" applyFont="1" applyFill="1" applyBorder="1" applyAlignment="1">
      <alignment horizontal="center" vertical="center"/>
    </xf>
    <xf numFmtId="165" fontId="27" fillId="0" borderId="14" xfId="3" applyFont="1" applyBorder="1" applyAlignment="1">
      <alignment vertical="center"/>
    </xf>
    <xf numFmtId="165" fontId="27" fillId="0" borderId="9" xfId="0" applyNumberFormat="1" applyFont="1" applyBorder="1" applyAlignment="1">
      <alignment vertical="center"/>
    </xf>
    <xf numFmtId="165" fontId="27" fillId="0" borderId="9" xfId="3" applyFont="1" applyBorder="1" applyAlignment="1">
      <alignment vertical="center"/>
    </xf>
    <xf numFmtId="10" fontId="27" fillId="0" borderId="15" xfId="2" applyNumberFormat="1" applyFont="1" applyBorder="1" applyAlignment="1">
      <alignment vertical="center"/>
    </xf>
    <xf numFmtId="165" fontId="27" fillId="0" borderId="38" xfId="3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5" fontId="30" fillId="0" borderId="39" xfId="3" applyFont="1" applyBorder="1" applyAlignment="1">
      <alignment vertical="center"/>
    </xf>
    <xf numFmtId="165" fontId="30" fillId="0" borderId="40" xfId="3" applyFont="1" applyBorder="1" applyAlignment="1">
      <alignment vertical="center"/>
    </xf>
    <xf numFmtId="165" fontId="30" fillId="0" borderId="41" xfId="3" applyFont="1" applyBorder="1" applyAlignment="1">
      <alignment vertical="center"/>
    </xf>
    <xf numFmtId="0" fontId="30" fillId="0" borderId="41" xfId="0" applyFont="1" applyBorder="1" applyAlignment="1">
      <alignment vertical="center"/>
    </xf>
    <xf numFmtId="1" fontId="30" fillId="0" borderId="37" xfId="3" applyNumberFormat="1" applyFont="1" applyBorder="1" applyAlignment="1">
      <alignment horizontal="center" vertical="center"/>
    </xf>
    <xf numFmtId="165" fontId="27" fillId="0" borderId="14" xfId="3" applyFont="1" applyBorder="1" applyAlignment="1">
      <alignment horizontal="left" vertical="center"/>
    </xf>
    <xf numFmtId="4" fontId="27" fillId="0" borderId="9" xfId="0" applyNumberFormat="1" applyFont="1" applyBorder="1" applyAlignment="1">
      <alignment horizontal="centerContinuous" vertical="center"/>
    </xf>
    <xf numFmtId="0" fontId="25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30" fillId="0" borderId="0" xfId="0" applyNumberFormat="1" applyFont="1" applyBorder="1" applyAlignment="1">
      <alignment vertical="center"/>
    </xf>
    <xf numFmtId="165" fontId="30" fillId="6" borderId="1" xfId="3" applyFont="1" applyFill="1" applyBorder="1" applyAlignment="1">
      <alignment horizontal="center" vertical="center"/>
    </xf>
    <xf numFmtId="165" fontId="30" fillId="6" borderId="1" xfId="3" applyFont="1" applyFill="1" applyBorder="1" applyAlignment="1">
      <alignment vertical="center"/>
    </xf>
    <xf numFmtId="9" fontId="27" fillId="0" borderId="18" xfId="2" applyFont="1" applyBorder="1" applyAlignment="1">
      <alignment vertical="center"/>
    </xf>
    <xf numFmtId="10" fontId="30" fillId="0" borderId="15" xfId="2" applyNumberFormat="1" applyFont="1" applyBorder="1" applyAlignment="1">
      <alignment vertical="center"/>
    </xf>
    <xf numFmtId="0" fontId="29" fillId="0" borderId="0" xfId="0" applyFont="1" applyFill="1" applyAlignment="1">
      <alignment vertical="center"/>
    </xf>
    <xf numFmtId="0" fontId="29" fillId="0" borderId="0" xfId="0" applyFont="1" applyFill="1" applyBorder="1" applyAlignment="1">
      <alignment vertical="center"/>
    </xf>
    <xf numFmtId="0" fontId="29" fillId="0" borderId="0" xfId="0" applyFont="1"/>
    <xf numFmtId="0" fontId="29" fillId="0" borderId="0" xfId="0" applyFont="1" applyAlignment="1">
      <alignment horizontal="center"/>
    </xf>
    <xf numFmtId="165" fontId="30" fillId="0" borderId="1" xfId="0" applyNumberFormat="1" applyFont="1" applyFill="1" applyBorder="1" applyAlignment="1">
      <alignment horizontal="center" vertical="center"/>
    </xf>
    <xf numFmtId="0" fontId="39" fillId="0" borderId="0" xfId="0" applyFont="1" applyFill="1" applyAlignment="1">
      <alignment vertical="center"/>
    </xf>
    <xf numFmtId="0" fontId="0" fillId="0" borderId="38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0" fontId="30" fillId="0" borderId="1" xfId="0" applyNumberFormat="1" applyFont="1" applyBorder="1" applyAlignment="1">
      <alignment horizontal="center" vertical="center"/>
    </xf>
    <xf numFmtId="166" fontId="27" fillId="0" borderId="0" xfId="3" applyNumberFormat="1" applyFont="1" applyBorder="1" applyAlignment="1">
      <alignment horizontal="center" vertical="center"/>
    </xf>
    <xf numFmtId="0" fontId="40" fillId="0" borderId="14" xfId="0" applyFont="1" applyBorder="1"/>
    <xf numFmtId="0" fontId="30" fillId="0" borderId="0" xfId="0" applyFont="1" applyBorder="1"/>
    <xf numFmtId="0" fontId="40" fillId="0" borderId="47" xfId="0" applyFont="1" applyBorder="1"/>
    <xf numFmtId="0" fontId="40" fillId="3" borderId="20" xfId="0" applyFont="1" applyFill="1" applyBorder="1"/>
    <xf numFmtId="0" fontId="40" fillId="0" borderId="23" xfId="0" applyFont="1" applyBorder="1"/>
    <xf numFmtId="0" fontId="40" fillId="0" borderId="48" xfId="0" applyFont="1" applyBorder="1"/>
    <xf numFmtId="0" fontId="40" fillId="0" borderId="20" xfId="0" applyFont="1" applyBorder="1"/>
    <xf numFmtId="0" fontId="40" fillId="0" borderId="28" xfId="0" applyFont="1" applyBorder="1"/>
    <xf numFmtId="2" fontId="41" fillId="7" borderId="1" xfId="0" applyNumberFormat="1" applyFont="1" applyFill="1" applyBorder="1" applyAlignment="1">
      <alignment horizontal="right" vertical="center"/>
    </xf>
    <xf numFmtId="0" fontId="41" fillId="0" borderId="23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2" fontId="41" fillId="7" borderId="36" xfId="0" applyNumberFormat="1" applyFont="1" applyFill="1" applyBorder="1" applyAlignment="1">
      <alignment horizontal="right" vertical="center"/>
    </xf>
    <xf numFmtId="0" fontId="41" fillId="0" borderId="23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20" xfId="0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10" fontId="41" fillId="0" borderId="20" xfId="0" applyNumberFormat="1" applyFont="1" applyBorder="1" applyAlignment="1">
      <alignment horizontal="right" vertical="center"/>
    </xf>
    <xf numFmtId="0" fontId="41" fillId="0" borderId="0" xfId="0" applyFont="1" applyFill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10" fontId="45" fillId="0" borderId="20" xfId="0" applyNumberFormat="1" applyFont="1" applyBorder="1" applyAlignment="1">
      <alignment horizontal="right" vertical="center"/>
    </xf>
    <xf numFmtId="0" fontId="41" fillId="5" borderId="23" xfId="0" applyFont="1" applyFill="1" applyBorder="1" applyAlignment="1">
      <alignment horizontal="left" vertical="center"/>
    </xf>
    <xf numFmtId="0" fontId="45" fillId="5" borderId="1" xfId="0" applyFont="1" applyFill="1" applyBorder="1" applyAlignment="1">
      <alignment horizontal="left" vertical="center"/>
    </xf>
    <xf numFmtId="10" fontId="45" fillId="5" borderId="20" xfId="0" applyNumberFormat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left" vertical="center"/>
    </xf>
    <xf numFmtId="0" fontId="47" fillId="0" borderId="0" xfId="0" applyFont="1" applyFill="1" applyBorder="1" applyAlignment="1">
      <alignment horizontal="left" vertical="center"/>
    </xf>
    <xf numFmtId="10" fontId="30" fillId="0" borderId="0" xfId="0" applyNumberFormat="1" applyFont="1"/>
    <xf numFmtId="9" fontId="41" fillId="0" borderId="0" xfId="2" applyFont="1" applyBorder="1" applyAlignment="1">
      <alignment horizontal="right" vertical="center"/>
    </xf>
    <xf numFmtId="10" fontId="30" fillId="0" borderId="0" xfId="0" applyNumberFormat="1" applyFont="1" applyBorder="1"/>
    <xf numFmtId="0" fontId="41" fillId="0" borderId="1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center"/>
    </xf>
    <xf numFmtId="0" fontId="41" fillId="9" borderId="24" xfId="0" applyFont="1" applyFill="1" applyBorder="1" applyAlignment="1">
      <alignment horizontal="left" vertical="center"/>
    </xf>
    <xf numFmtId="0" fontId="45" fillId="9" borderId="36" xfId="0" applyFont="1" applyFill="1" applyBorder="1" applyAlignment="1">
      <alignment horizontal="left" vertical="center"/>
    </xf>
    <xf numFmtId="10" fontId="45" fillId="9" borderId="37" xfId="0" applyNumberFormat="1" applyFont="1" applyFill="1" applyBorder="1" applyAlignment="1">
      <alignment horizontal="right" vertical="center"/>
    </xf>
    <xf numFmtId="0" fontId="45" fillId="0" borderId="0" xfId="0" applyFont="1" applyFill="1" applyBorder="1" applyAlignment="1">
      <alignment horizontal="left" vertical="center"/>
    </xf>
    <xf numFmtId="10" fontId="45" fillId="0" borderId="0" xfId="0" applyNumberFormat="1" applyFont="1" applyFill="1" applyBorder="1" applyAlignment="1">
      <alignment horizontal="right" vertical="center"/>
    </xf>
    <xf numFmtId="0" fontId="47" fillId="4" borderId="0" xfId="0" applyFont="1" applyFill="1" applyBorder="1" applyAlignment="1">
      <alignment horizontal="left" vertical="center"/>
    </xf>
    <xf numFmtId="10" fontId="41" fillId="0" borderId="0" xfId="0" applyNumberFormat="1" applyFont="1" applyFill="1" applyBorder="1" applyAlignment="1">
      <alignment horizontal="right" vertical="center"/>
    </xf>
    <xf numFmtId="0" fontId="41" fillId="4" borderId="0" xfId="0" applyFont="1" applyFill="1" applyBorder="1" applyAlignment="1">
      <alignment horizontal="left" vertical="center"/>
    </xf>
    <xf numFmtId="10" fontId="41" fillId="0" borderId="0" xfId="0" applyNumberFormat="1" applyFont="1" applyBorder="1" applyAlignment="1">
      <alignment horizontal="right" vertical="center"/>
    </xf>
    <xf numFmtId="0" fontId="45" fillId="0" borderId="0" xfId="0" applyFont="1" applyBorder="1" applyAlignment="1">
      <alignment horizontal="left" vertical="center"/>
    </xf>
    <xf numFmtId="10" fontId="45" fillId="0" borderId="0" xfId="0" applyNumberFormat="1" applyFont="1" applyBorder="1" applyAlignment="1">
      <alignment horizontal="right" vertical="center"/>
    </xf>
    <xf numFmtId="0" fontId="48" fillId="0" borderId="0" xfId="0" applyFont="1" applyBorder="1" applyAlignment="1">
      <alignment horizontal="justify" vertical="center"/>
    </xf>
    <xf numFmtId="0" fontId="32" fillId="0" borderId="0" xfId="1" applyFont="1" applyBorder="1" applyAlignment="1" applyProtection="1">
      <alignment horizontal="left" vertical="center"/>
    </xf>
    <xf numFmtId="0" fontId="49" fillId="0" borderId="0" xfId="0" applyFont="1" applyBorder="1"/>
    <xf numFmtId="0" fontId="41" fillId="0" borderId="0" xfId="0" applyFont="1" applyBorder="1" applyAlignment="1">
      <alignment horizontal="right" vertical="center"/>
    </xf>
    <xf numFmtId="0" fontId="32" fillId="0" borderId="0" xfId="1" applyFont="1" applyBorder="1" applyAlignment="1" applyProtection="1">
      <alignment vertical="center"/>
    </xf>
    <xf numFmtId="0" fontId="29" fillId="0" borderId="15" xfId="0" applyFont="1" applyBorder="1"/>
    <xf numFmtId="0" fontId="29" fillId="0" borderId="23" xfId="0" applyFont="1" applyBorder="1"/>
    <xf numFmtId="0" fontId="29" fillId="3" borderId="20" xfId="0" applyFont="1" applyFill="1" applyBorder="1"/>
    <xf numFmtId="0" fontId="29" fillId="0" borderId="47" xfId="0" applyFont="1" applyBorder="1"/>
    <xf numFmtId="0" fontId="29" fillId="3" borderId="48" xfId="0" applyFont="1" applyFill="1" applyBorder="1"/>
    <xf numFmtId="0" fontId="29" fillId="0" borderId="49" xfId="0" applyFont="1" applyBorder="1"/>
    <xf numFmtId="0" fontId="29" fillId="3" borderId="50" xfId="0" applyFont="1" applyFill="1" applyBorder="1"/>
    <xf numFmtId="0" fontId="29" fillId="0" borderId="38" xfId="0" applyFont="1" applyBorder="1"/>
    <xf numFmtId="0" fontId="29" fillId="0" borderId="39" xfId="0" applyFont="1" applyBorder="1"/>
    <xf numFmtId="0" fontId="31" fillId="0" borderId="48" xfId="0" applyFont="1" applyBorder="1"/>
    <xf numFmtId="0" fontId="31" fillId="0" borderId="38" xfId="0" applyFont="1" applyFill="1" applyBorder="1" applyAlignment="1">
      <alignment horizontal="left" vertical="center"/>
    </xf>
    <xf numFmtId="0" fontId="29" fillId="0" borderId="0" xfId="0" applyFont="1" applyBorder="1"/>
    <xf numFmtId="9" fontId="29" fillId="0" borderId="23" xfId="2" applyFont="1" applyBorder="1"/>
    <xf numFmtId="9" fontId="29" fillId="0" borderId="1" xfId="2" applyFont="1" applyBorder="1" applyAlignment="1">
      <alignment horizontal="center"/>
    </xf>
    <xf numFmtId="9" fontId="29" fillId="0" borderId="20" xfId="2" applyFont="1" applyBorder="1"/>
    <xf numFmtId="0" fontId="29" fillId="0" borderId="21" xfId="0" applyFont="1" applyFill="1" applyBorder="1" applyAlignment="1">
      <alignment horizontal="left" vertical="center"/>
    </xf>
    <xf numFmtId="0" fontId="29" fillId="0" borderId="22" xfId="0" applyFont="1" applyFill="1" applyBorder="1" applyAlignment="1">
      <alignment horizontal="center" vertical="center"/>
    </xf>
    <xf numFmtId="10" fontId="29" fillId="3" borderId="12" xfId="0" applyNumberFormat="1" applyFont="1" applyFill="1" applyBorder="1" applyAlignment="1">
      <alignment horizontal="center" vertical="center"/>
    </xf>
    <xf numFmtId="10" fontId="29" fillId="0" borderId="20" xfId="2" applyNumberFormat="1" applyFont="1" applyBorder="1"/>
    <xf numFmtId="0" fontId="29" fillId="0" borderId="23" xfId="0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center" vertical="center"/>
    </xf>
    <xf numFmtId="10" fontId="29" fillId="3" borderId="20" xfId="0" applyNumberFormat="1" applyFont="1" applyFill="1" applyBorder="1" applyAlignment="1">
      <alignment horizontal="center" vertical="center"/>
    </xf>
    <xf numFmtId="10" fontId="29" fillId="0" borderId="20" xfId="0" applyNumberFormat="1" applyFont="1" applyFill="1" applyBorder="1" applyAlignment="1">
      <alignment horizontal="center" vertical="center"/>
    </xf>
    <xf numFmtId="10" fontId="29" fillId="3" borderId="1" xfId="2" applyNumberFormat="1" applyFont="1" applyFill="1" applyBorder="1" applyAlignment="1">
      <alignment horizontal="center"/>
    </xf>
    <xf numFmtId="0" fontId="29" fillId="3" borderId="1" xfId="0" applyFont="1" applyFill="1" applyBorder="1" applyAlignment="1">
      <alignment horizontal="center"/>
    </xf>
    <xf numFmtId="0" fontId="29" fillId="0" borderId="20" xfId="0" applyFont="1" applyBorder="1"/>
    <xf numFmtId="0" fontId="29" fillId="0" borderId="24" xfId="0" applyFont="1" applyFill="1" applyBorder="1" applyAlignment="1">
      <alignment horizontal="left" vertical="center"/>
    </xf>
    <xf numFmtId="10" fontId="29" fillId="3" borderId="37" xfId="0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/>
    </xf>
    <xf numFmtId="0" fontId="29" fillId="0" borderId="25" xfId="0" applyFont="1" applyFill="1" applyBorder="1" applyAlignment="1">
      <alignment vertical="center"/>
    </xf>
    <xf numFmtId="0" fontId="29" fillId="0" borderId="26" xfId="0" applyFont="1" applyFill="1" applyBorder="1" applyAlignment="1">
      <alignment vertical="center"/>
    </xf>
    <xf numFmtId="10" fontId="29" fillId="0" borderId="27" xfId="0" applyNumberFormat="1" applyFont="1" applyFill="1" applyBorder="1" applyAlignment="1">
      <alignment vertical="center"/>
    </xf>
    <xf numFmtId="0" fontId="29" fillId="0" borderId="28" xfId="0" applyFont="1" applyFill="1" applyBorder="1" applyAlignment="1">
      <alignment horizontal="left" vertical="center"/>
    </xf>
    <xf numFmtId="0" fontId="29" fillId="0" borderId="29" xfId="0" applyFont="1" applyFill="1" applyBorder="1" applyAlignment="1">
      <alignment horizontal="left" vertical="center"/>
    </xf>
    <xf numFmtId="0" fontId="29" fillId="0" borderId="30" xfId="0" applyFont="1" applyFill="1" applyBorder="1" applyAlignment="1">
      <alignment vertical="center"/>
    </xf>
    <xf numFmtId="0" fontId="31" fillId="5" borderId="5" xfId="0" applyFont="1" applyFill="1" applyBorder="1" applyAlignment="1">
      <alignment vertical="center" wrapText="1"/>
    </xf>
    <xf numFmtId="0" fontId="29" fillId="5" borderId="6" xfId="0" applyFont="1" applyFill="1" applyBorder="1" applyAlignment="1">
      <alignment vertical="center"/>
    </xf>
    <xf numFmtId="10" fontId="31" fillId="5" borderId="7" xfId="0" applyNumberFormat="1" applyFont="1" applyFill="1" applyBorder="1" applyAlignment="1">
      <alignment horizontal="center" vertical="center" wrapText="1"/>
    </xf>
    <xf numFmtId="10" fontId="29" fillId="0" borderId="23" xfId="2" applyNumberFormat="1" applyFont="1" applyBorder="1" applyAlignment="1">
      <alignment horizontal="right"/>
    </xf>
    <xf numFmtId="10" fontId="29" fillId="0" borderId="1" xfId="2" applyNumberFormat="1" applyFont="1" applyBorder="1" applyAlignment="1">
      <alignment horizontal="right"/>
    </xf>
    <xf numFmtId="10" fontId="29" fillId="0" borderId="20" xfId="2" applyNumberFormat="1" applyFont="1" applyBorder="1" applyAlignment="1">
      <alignment horizontal="right"/>
    </xf>
    <xf numFmtId="10" fontId="29" fillId="0" borderId="24" xfId="2" applyNumberFormat="1" applyFont="1" applyBorder="1" applyAlignment="1">
      <alignment horizontal="right"/>
    </xf>
    <xf numFmtId="10" fontId="29" fillId="0" borderId="36" xfId="2" applyNumberFormat="1" applyFont="1" applyBorder="1" applyAlignment="1">
      <alignment horizontal="right"/>
    </xf>
    <xf numFmtId="10" fontId="29" fillId="0" borderId="37" xfId="2" applyNumberFormat="1" applyFont="1" applyBorder="1" applyAlignment="1">
      <alignment horizontal="right"/>
    </xf>
    <xf numFmtId="0" fontId="30" fillId="0" borderId="52" xfId="0" applyFont="1" applyBorder="1"/>
    <xf numFmtId="0" fontId="42" fillId="0" borderId="52" xfId="0" applyFont="1" applyBorder="1" applyAlignment="1">
      <alignment horizontal="justify"/>
    </xf>
    <xf numFmtId="0" fontId="42" fillId="0" borderId="53" xfId="0" applyFont="1" applyBorder="1" applyAlignment="1">
      <alignment horizontal="justify"/>
    </xf>
    <xf numFmtId="0" fontId="39" fillId="10" borderId="51" xfId="0" applyFont="1" applyFill="1" applyBorder="1" applyAlignment="1">
      <alignment horizontal="center"/>
    </xf>
    <xf numFmtId="1" fontId="30" fillId="0" borderId="0" xfId="3" applyNumberFormat="1" applyFont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165" fontId="30" fillId="3" borderId="9" xfId="3" applyNumberFormat="1" applyFont="1" applyFill="1" applyBorder="1" applyAlignment="1">
      <alignment vertical="center"/>
    </xf>
    <xf numFmtId="165" fontId="30" fillId="0" borderId="10" xfId="3" applyFont="1" applyBorder="1" applyAlignment="1">
      <alignment vertical="center"/>
    </xf>
    <xf numFmtId="165" fontId="27" fillId="0" borderId="7" xfId="3" applyFont="1" applyBorder="1" applyAlignment="1">
      <alignment horizontal="right" vertical="center"/>
    </xf>
    <xf numFmtId="165" fontId="27" fillId="2" borderId="4" xfId="3" applyFont="1" applyFill="1" applyBorder="1" applyAlignment="1">
      <alignment horizontal="right" vertical="center"/>
    </xf>
    <xf numFmtId="168" fontId="27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27" fillId="0" borderId="36" xfId="0" applyNumberFormat="1" applyFont="1" applyBorder="1" applyAlignment="1">
      <alignment vertical="center"/>
    </xf>
    <xf numFmtId="165" fontId="27" fillId="0" borderId="11" xfId="3" applyFont="1" applyBorder="1" applyAlignment="1">
      <alignment vertical="center"/>
    </xf>
    <xf numFmtId="165" fontId="27" fillId="0" borderId="5" xfId="3" applyFont="1" applyBorder="1" applyAlignment="1">
      <alignment vertical="center"/>
    </xf>
    <xf numFmtId="0" fontId="28" fillId="0" borderId="38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39" xfId="0" applyFont="1" applyFill="1" applyBorder="1" applyAlignment="1">
      <alignment horizontal="center" vertical="center"/>
    </xf>
    <xf numFmtId="0" fontId="45" fillId="0" borderId="23" xfId="0" applyFont="1" applyBorder="1" applyAlignment="1">
      <alignment horizontal="center" vertical="center"/>
    </xf>
    <xf numFmtId="0" fontId="45" fillId="7" borderId="1" xfId="0" applyFont="1" applyFill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165" fontId="27" fillId="0" borderId="9" xfId="3" applyFont="1" applyBorder="1" applyAlignment="1">
      <alignment horizontal="center" vertical="center"/>
    </xf>
    <xf numFmtId="0" fontId="37" fillId="2" borderId="17" xfId="0" applyFont="1" applyFill="1" applyBorder="1" applyAlignment="1">
      <alignment horizontal="center" vertical="center" wrapText="1"/>
    </xf>
    <xf numFmtId="167" fontId="30" fillId="0" borderId="1" xfId="3" applyNumberFormat="1" applyFont="1" applyBorder="1" applyAlignment="1">
      <alignment horizontal="center" vertical="center"/>
    </xf>
    <xf numFmtId="166" fontId="27" fillId="0" borderId="1" xfId="3" applyNumberFormat="1" applyFont="1" applyBorder="1" applyAlignment="1">
      <alignment horizontal="center" vertical="center"/>
    </xf>
    <xf numFmtId="167" fontId="27" fillId="0" borderId="1" xfId="3" applyNumberFormat="1" applyFont="1" applyBorder="1" applyAlignment="1">
      <alignment horizontal="center" vertical="center"/>
    </xf>
    <xf numFmtId="167" fontId="30" fillId="0" borderId="2" xfId="3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 wrapText="1"/>
    </xf>
    <xf numFmtId="0" fontId="30" fillId="0" borderId="2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25" fillId="0" borderId="0" xfId="0" applyFont="1"/>
    <xf numFmtId="0" fontId="27" fillId="0" borderId="54" xfId="0" applyFont="1" applyBorder="1" applyAlignment="1">
      <alignment vertical="center"/>
    </xf>
    <xf numFmtId="0" fontId="27" fillId="0" borderId="54" xfId="0" applyFont="1" applyBorder="1" applyAlignment="1">
      <alignment horizontal="center" vertical="center"/>
    </xf>
    <xf numFmtId="165" fontId="27" fillId="0" borderId="54" xfId="3" applyFont="1" applyBorder="1" applyAlignment="1">
      <alignment horizontal="center" vertical="center"/>
    </xf>
    <xf numFmtId="165" fontId="27" fillId="0" borderId="54" xfId="3" applyFont="1" applyFill="1" applyBorder="1" applyAlignment="1">
      <alignment horizontal="center" vertical="center"/>
    </xf>
    <xf numFmtId="4" fontId="25" fillId="0" borderId="0" xfId="0" applyNumberFormat="1" applyFont="1" applyBorder="1" applyAlignment="1">
      <alignment vertical="center"/>
    </xf>
    <xf numFmtId="0" fontId="25" fillId="0" borderId="0" xfId="0" applyFont="1" applyFill="1"/>
    <xf numFmtId="0" fontId="31" fillId="0" borderId="23" xfId="0" applyFont="1" applyBorder="1"/>
    <xf numFmtId="0" fontId="31" fillId="0" borderId="1" xfId="0" applyFont="1" applyBorder="1"/>
    <xf numFmtId="0" fontId="31" fillId="0" borderId="20" xfId="0" applyFont="1" applyBorder="1"/>
    <xf numFmtId="0" fontId="29" fillId="0" borderId="23" xfId="0" applyFont="1" applyFill="1" applyBorder="1"/>
    <xf numFmtId="0" fontId="29" fillId="0" borderId="1" xfId="0" applyFont="1" applyFill="1" applyBorder="1"/>
    <xf numFmtId="0" fontId="29" fillId="0" borderId="1" xfId="0" applyFont="1" applyBorder="1"/>
    <xf numFmtId="170" fontId="29" fillId="0" borderId="20" xfId="0" applyNumberFormat="1" applyFont="1" applyBorder="1"/>
    <xf numFmtId="2" fontId="29" fillId="0" borderId="20" xfId="0" applyNumberFormat="1" applyFont="1" applyBorder="1"/>
    <xf numFmtId="0" fontId="29" fillId="0" borderId="24" xfId="0" applyFont="1" applyFill="1" applyBorder="1"/>
    <xf numFmtId="0" fontId="29" fillId="0" borderId="36" xfId="0" applyFont="1" applyBorder="1"/>
    <xf numFmtId="170" fontId="29" fillId="3" borderId="20" xfId="0" applyNumberFormat="1" applyFont="1" applyFill="1" applyBorder="1"/>
    <xf numFmtId="170" fontId="29" fillId="0" borderId="37" xfId="0" applyNumberFormat="1" applyFont="1" applyBorder="1"/>
    <xf numFmtId="0" fontId="39" fillId="0" borderId="1" xfId="0" applyFont="1" applyFill="1" applyBorder="1" applyAlignment="1">
      <alignment horizontal="center"/>
    </xf>
    <xf numFmtId="0" fontId="39" fillId="0" borderId="23" xfId="0" applyFont="1" applyFill="1" applyBorder="1" applyAlignment="1">
      <alignment horizontal="center"/>
    </xf>
    <xf numFmtId="0" fontId="39" fillId="0" borderId="20" xfId="0" applyFont="1" applyFill="1" applyBorder="1" applyAlignment="1">
      <alignment horizontal="center"/>
    </xf>
    <xf numFmtId="0" fontId="29" fillId="0" borderId="23" xfId="0" applyFont="1" applyBorder="1" applyAlignment="1">
      <alignment horizontal="right"/>
    </xf>
    <xf numFmtId="0" fontId="28" fillId="0" borderId="0" xfId="0" applyFont="1" applyAlignment="1">
      <alignment vertical="center"/>
    </xf>
    <xf numFmtId="4" fontId="51" fillId="0" borderId="0" xfId="0" applyNumberFormat="1" applyFont="1" applyBorder="1" applyAlignment="1">
      <alignment vertical="center"/>
    </xf>
    <xf numFmtId="4" fontId="52" fillId="0" borderId="0" xfId="0" applyNumberFormat="1" applyFont="1" applyBorder="1" applyAlignment="1">
      <alignment vertical="center"/>
    </xf>
    <xf numFmtId="0" fontId="29" fillId="0" borderId="20" xfId="0" applyFont="1" applyFill="1" applyBorder="1"/>
    <xf numFmtId="0" fontId="50" fillId="0" borderId="0" xfId="0" applyFont="1"/>
    <xf numFmtId="0" fontId="25" fillId="0" borderId="2" xfId="0" applyFont="1" applyBorder="1" applyAlignment="1">
      <alignment vertical="center"/>
    </xf>
    <xf numFmtId="169" fontId="31" fillId="0" borderId="20" xfId="0" applyNumberFormat="1" applyFont="1" applyBorder="1"/>
    <xf numFmtId="9" fontId="40" fillId="0" borderId="20" xfId="2" applyFont="1" applyBorder="1"/>
    <xf numFmtId="10" fontId="40" fillId="0" borderId="20" xfId="2" applyNumberFormat="1" applyFont="1" applyBorder="1"/>
    <xf numFmtId="9" fontId="31" fillId="0" borderId="31" xfId="2" applyFont="1" applyBorder="1"/>
    <xf numFmtId="0" fontId="29" fillId="0" borderId="55" xfId="0" applyFont="1" applyBorder="1"/>
    <xf numFmtId="0" fontId="29" fillId="0" borderId="0" xfId="0" applyFont="1" applyFill="1" applyBorder="1"/>
    <xf numFmtId="170" fontId="29" fillId="0" borderId="0" xfId="0" applyNumberFormat="1" applyFont="1" applyBorder="1"/>
    <xf numFmtId="165" fontId="25" fillId="3" borderId="2" xfId="3" applyFont="1" applyFill="1" applyBorder="1" applyAlignment="1">
      <alignment horizontal="center" vertical="center"/>
    </xf>
    <xf numFmtId="10" fontId="27" fillId="3" borderId="7" xfId="2" applyNumberFormat="1" applyFont="1" applyFill="1" applyBorder="1" applyAlignment="1">
      <alignment vertical="center"/>
    </xf>
    <xf numFmtId="173" fontId="30" fillId="0" borderId="1" xfId="3" applyNumberFormat="1" applyFont="1" applyBorder="1" applyAlignment="1">
      <alignment vertical="center"/>
    </xf>
    <xf numFmtId="0" fontId="54" fillId="0" borderId="0" xfId="25" applyFont="1"/>
    <xf numFmtId="0" fontId="23" fillId="0" borderId="0" xfId="25"/>
    <xf numFmtId="0" fontId="54" fillId="0" borderId="1" xfId="25" applyFont="1" applyBorder="1"/>
    <xf numFmtId="0" fontId="23" fillId="0" borderId="8" xfId="25" applyBorder="1"/>
    <xf numFmtId="0" fontId="23" fillId="0" borderId="9" xfId="25" applyBorder="1"/>
    <xf numFmtId="0" fontId="23" fillId="0" borderId="1" xfId="25" applyBorder="1"/>
    <xf numFmtId="0" fontId="23" fillId="0" borderId="8" xfId="25" applyFont="1" applyBorder="1"/>
    <xf numFmtId="0" fontId="54" fillId="0" borderId="8" xfId="25" applyFont="1" applyBorder="1"/>
    <xf numFmtId="0" fontId="54" fillId="0" borderId="9" xfId="25" applyFont="1" applyBorder="1"/>
    <xf numFmtId="10" fontId="54" fillId="0" borderId="1" xfId="2" applyNumberFormat="1" applyFont="1" applyBorder="1"/>
    <xf numFmtId="165" fontId="0" fillId="3" borderId="1" xfId="3" applyFont="1" applyFill="1" applyBorder="1"/>
    <xf numFmtId="13" fontId="25" fillId="3" borderId="1" xfId="0" applyNumberFormat="1" applyFont="1" applyFill="1" applyBorder="1" applyAlignment="1">
      <alignment vertical="center"/>
    </xf>
    <xf numFmtId="0" fontId="25" fillId="0" borderId="1" xfId="0" applyFont="1" applyBorder="1" applyAlignment="1">
      <alignment vertical="center"/>
    </xf>
    <xf numFmtId="165" fontId="23" fillId="0" borderId="1" xfId="3" applyFont="1" applyBorder="1"/>
    <xf numFmtId="13" fontId="30" fillId="3" borderId="1" xfId="0" applyNumberFormat="1" applyFont="1" applyFill="1" applyBorder="1" applyAlignment="1">
      <alignment vertical="center"/>
    </xf>
    <xf numFmtId="165" fontId="54" fillId="0" borderId="1" xfId="3" applyFont="1" applyBorder="1"/>
    <xf numFmtId="165" fontId="30" fillId="0" borderId="0" xfId="0" applyNumberFormat="1" applyFont="1" applyAlignment="1">
      <alignment vertical="center"/>
    </xf>
    <xf numFmtId="4" fontId="28" fillId="0" borderId="0" xfId="0" applyNumberFormat="1" applyFont="1" applyBorder="1" applyAlignment="1">
      <alignment vertical="center"/>
    </xf>
    <xf numFmtId="0" fontId="39" fillId="0" borderId="0" xfId="0" applyFont="1" applyAlignment="1">
      <alignment vertical="center"/>
    </xf>
    <xf numFmtId="4" fontId="30" fillId="3" borderId="1" xfId="0" applyNumberFormat="1" applyFont="1" applyFill="1" applyBorder="1" applyAlignment="1">
      <alignment vertical="center"/>
    </xf>
    <xf numFmtId="165" fontId="25" fillId="0" borderId="0" xfId="3" applyFont="1" applyAlignment="1">
      <alignment vertical="center"/>
    </xf>
    <xf numFmtId="165" fontId="25" fillId="0" borderId="1" xfId="3" applyFont="1" applyBorder="1" applyAlignment="1">
      <alignment horizontal="center" vertical="center"/>
    </xf>
    <xf numFmtId="165" fontId="25" fillId="0" borderId="0" xfId="3" applyFont="1" applyAlignment="1">
      <alignment horizontal="right" vertical="center"/>
    </xf>
    <xf numFmtId="165" fontId="25" fillId="0" borderId="1" xfId="3" applyFont="1" applyBorder="1" applyAlignment="1">
      <alignment vertical="center"/>
    </xf>
    <xf numFmtId="166" fontId="25" fillId="0" borderId="1" xfId="3" applyNumberFormat="1" applyFont="1" applyBorder="1" applyAlignment="1">
      <alignment horizontal="center" vertical="center"/>
    </xf>
    <xf numFmtId="165" fontId="25" fillId="3" borderId="1" xfId="3" applyFont="1" applyFill="1" applyBorder="1" applyAlignment="1">
      <alignment horizontal="center" vertical="center"/>
    </xf>
    <xf numFmtId="167" fontId="25" fillId="0" borderId="1" xfId="3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0" fillId="0" borderId="1" xfId="3" applyFont="1" applyBorder="1"/>
    <xf numFmtId="0" fontId="27" fillId="0" borderId="1" xfId="0" applyFont="1" applyBorder="1"/>
    <xf numFmtId="165" fontId="27" fillId="0" borderId="1" xfId="0" applyNumberFormat="1" applyFont="1" applyBorder="1"/>
    <xf numFmtId="165" fontId="27" fillId="0" borderId="1" xfId="3" applyFont="1" applyBorder="1"/>
    <xf numFmtId="0" fontId="25" fillId="0" borderId="1" xfId="0" applyFont="1" applyBorder="1"/>
    <xf numFmtId="43" fontId="0" fillId="3" borderId="1" xfId="0" applyNumberFormat="1" applyFill="1" applyBorder="1"/>
    <xf numFmtId="0" fontId="25" fillId="3" borderId="1" xfId="0" applyFont="1" applyFill="1" applyBorder="1"/>
    <xf numFmtId="165" fontId="0" fillId="0" borderId="1" xfId="2" applyNumberFormat="1" applyFont="1" applyBorder="1"/>
    <xf numFmtId="165" fontId="0" fillId="0" borderId="0" xfId="3" applyFont="1"/>
    <xf numFmtId="0" fontId="27" fillId="0" borderId="10" xfId="0" applyFont="1" applyBorder="1" applyAlignment="1">
      <alignment horizontal="center"/>
    </xf>
    <xf numFmtId="43" fontId="0" fillId="0" borderId="10" xfId="0" applyNumberFormat="1" applyBorder="1"/>
    <xf numFmtId="43" fontId="27" fillId="0" borderId="10" xfId="0" applyNumberFormat="1" applyFont="1" applyBorder="1"/>
    <xf numFmtId="0" fontId="0" fillId="0" borderId="10" xfId="0" applyBorder="1"/>
    <xf numFmtId="0" fontId="0" fillId="0" borderId="0" xfId="0" applyBorder="1"/>
    <xf numFmtId="165" fontId="0" fillId="0" borderId="0" xfId="3" applyFont="1" applyBorder="1"/>
    <xf numFmtId="43" fontId="0" fillId="0" borderId="0" xfId="0" applyNumberFormat="1" applyBorder="1"/>
    <xf numFmtId="165" fontId="27" fillId="0" borderId="0" xfId="0" applyNumberFormat="1" applyFont="1" applyBorder="1"/>
    <xf numFmtId="43" fontId="27" fillId="0" borderId="0" xfId="0" applyNumberFormat="1" applyFont="1" applyBorder="1"/>
    <xf numFmtId="0" fontId="25" fillId="0" borderId="0" xfId="0" applyFont="1" applyBorder="1"/>
    <xf numFmtId="175" fontId="23" fillId="0" borderId="0" xfId="25" applyNumberFormat="1"/>
    <xf numFmtId="173" fontId="30" fillId="0" borderId="0" xfId="3" applyNumberFormat="1" applyFont="1" applyAlignment="1">
      <alignment vertical="center"/>
    </xf>
    <xf numFmtId="0" fontId="25" fillId="0" borderId="1" xfId="0" applyFont="1" applyBorder="1" applyAlignment="1">
      <alignment horizontal="center" vertical="center"/>
    </xf>
    <xf numFmtId="44" fontId="25" fillId="0" borderId="1" xfId="38" applyFont="1" applyBorder="1" applyAlignment="1">
      <alignment vertical="center"/>
    </xf>
    <xf numFmtId="10" fontId="0" fillId="0" borderId="1" xfId="2" applyNumberFormat="1" applyFont="1" applyBorder="1"/>
    <xf numFmtId="173" fontId="30" fillId="0" borderId="0" xfId="3" applyNumberFormat="1" applyFont="1" applyBorder="1" applyAlignment="1">
      <alignment vertical="center"/>
    </xf>
    <xf numFmtId="1" fontId="25" fillId="0" borderId="1" xfId="3" applyNumberFormat="1" applyFont="1" applyFill="1" applyBorder="1" applyAlignment="1">
      <alignment horizontal="center" vertical="center"/>
    </xf>
    <xf numFmtId="44" fontId="25" fillId="3" borderId="1" xfId="6" applyFont="1" applyFill="1" applyBorder="1" applyAlignment="1">
      <alignment horizontal="center" vertical="center"/>
    </xf>
    <xf numFmtId="44" fontId="25" fillId="3" borderId="1" xfId="6" applyFont="1" applyFill="1" applyBorder="1" applyAlignment="1">
      <alignment vertical="center"/>
    </xf>
    <xf numFmtId="0" fontId="26" fillId="0" borderId="56" xfId="0" applyFont="1" applyBorder="1" applyAlignment="1">
      <alignment vertical="center"/>
    </xf>
    <xf numFmtId="44" fontId="27" fillId="2" borderId="4" xfId="6" applyFont="1" applyFill="1" applyBorder="1" applyAlignment="1">
      <alignment vertical="center"/>
    </xf>
    <xf numFmtId="13" fontId="30" fillId="3" borderId="1" xfId="0" applyNumberFormat="1" applyFont="1" applyFill="1" applyBorder="1" applyAlignment="1">
      <alignment horizontal="right" vertical="center"/>
    </xf>
    <xf numFmtId="4" fontId="25" fillId="3" borderId="1" xfId="0" applyNumberFormat="1" applyFont="1" applyFill="1" applyBorder="1" applyAlignment="1">
      <alignment horizontal="center" vertical="center"/>
    </xf>
    <xf numFmtId="176" fontId="27" fillId="0" borderId="0" xfId="3" applyNumberFormat="1" applyFont="1" applyAlignment="1">
      <alignment vertical="center"/>
    </xf>
    <xf numFmtId="165" fontId="0" fillId="0" borderId="0" xfId="3" applyFont="1" applyFill="1"/>
    <xf numFmtId="165" fontId="0" fillId="0" borderId="0" xfId="0" applyNumberFormat="1" applyFill="1"/>
    <xf numFmtId="165" fontId="27" fillId="0" borderId="14" xfId="3" applyFont="1" applyBorder="1" applyAlignment="1">
      <alignment horizontal="left" vertical="center"/>
    </xf>
    <xf numFmtId="173" fontId="25" fillId="0" borderId="1" xfId="3" applyNumberFormat="1" applyFont="1" applyBorder="1" applyAlignment="1">
      <alignment vertical="center"/>
    </xf>
    <xf numFmtId="177" fontId="0" fillId="0" borderId="0" xfId="3" applyNumberFormat="1" applyFont="1" applyFill="1"/>
    <xf numFmtId="0" fontId="25" fillId="3" borderId="0" xfId="0" applyFont="1" applyFill="1"/>
    <xf numFmtId="0" fontId="0" fillId="3" borderId="0" xfId="0" applyFill="1"/>
    <xf numFmtId="10" fontId="0" fillId="3" borderId="0" xfId="2" applyNumberFormat="1" applyFont="1" applyFill="1"/>
    <xf numFmtId="165" fontId="30" fillId="0" borderId="1" xfId="3" applyNumberFormat="1" applyFont="1" applyBorder="1" applyAlignment="1">
      <alignment horizontal="center" vertical="center"/>
    </xf>
    <xf numFmtId="0" fontId="25" fillId="0" borderId="0" xfId="0" applyFont="1" applyFill="1" applyAlignment="1">
      <alignment vertical="center"/>
    </xf>
    <xf numFmtId="2" fontId="23" fillId="0" borderId="1" xfId="25" applyNumberFormat="1" applyBorder="1"/>
    <xf numFmtId="2" fontId="23" fillId="0" borderId="0" xfId="25" applyNumberFormat="1"/>
    <xf numFmtId="173" fontId="23" fillId="0" borderId="0" xfId="3" applyNumberFormat="1" applyFont="1"/>
    <xf numFmtId="0" fontId="54" fillId="0" borderId="0" xfId="25" applyFont="1" applyBorder="1"/>
    <xf numFmtId="10" fontId="54" fillId="0" borderId="0" xfId="2" applyNumberFormat="1" applyFont="1" applyBorder="1"/>
    <xf numFmtId="169" fontId="23" fillId="0" borderId="0" xfId="25" applyNumberFormat="1"/>
    <xf numFmtId="10" fontId="25" fillId="0" borderId="15" xfId="2" applyNumberFormat="1" applyFont="1" applyBorder="1" applyAlignment="1">
      <alignment vertical="center"/>
    </xf>
    <xf numFmtId="165" fontId="25" fillId="0" borderId="14" xfId="3" applyFont="1" applyBorder="1" applyAlignment="1">
      <alignment vertical="center"/>
    </xf>
    <xf numFmtId="165" fontId="25" fillId="0" borderId="9" xfId="3" applyFont="1" applyBorder="1" applyAlignment="1">
      <alignment vertical="center"/>
    </xf>
    <xf numFmtId="1" fontId="25" fillId="0" borderId="20" xfId="3" applyNumberFormat="1" applyFont="1" applyBorder="1" applyAlignment="1">
      <alignment horizontal="center" vertical="center"/>
    </xf>
    <xf numFmtId="165" fontId="25" fillId="0" borderId="0" xfId="3" applyFont="1" applyBorder="1" applyAlignment="1">
      <alignment vertical="center"/>
    </xf>
    <xf numFmtId="165" fontId="25" fillId="0" borderId="39" xfId="3" applyFont="1" applyBorder="1" applyAlignment="1">
      <alignment vertical="center"/>
    </xf>
    <xf numFmtId="166" fontId="25" fillId="0" borderId="0" xfId="3" applyNumberFormat="1" applyFont="1" applyBorder="1" applyAlignment="1">
      <alignment horizontal="center" vertical="center"/>
    </xf>
    <xf numFmtId="165" fontId="25" fillId="0" borderId="2" xfId="3" applyFont="1" applyBorder="1" applyAlignment="1">
      <alignment horizontal="center" vertical="center"/>
    </xf>
    <xf numFmtId="165" fontId="25" fillId="0" borderId="1" xfId="3" applyFont="1" applyFill="1" applyBorder="1" applyAlignment="1">
      <alignment horizontal="center" vertical="center"/>
    </xf>
    <xf numFmtId="165" fontId="25" fillId="6" borderId="1" xfId="3" applyFont="1" applyFill="1" applyBorder="1" applyAlignment="1">
      <alignment horizontal="center" vertical="center"/>
    </xf>
    <xf numFmtId="165" fontId="25" fillId="0" borderId="6" xfId="3" applyFont="1" applyBorder="1" applyAlignment="1">
      <alignment vertical="center"/>
    </xf>
    <xf numFmtId="165" fontId="25" fillId="0" borderId="7" xfId="3" applyFont="1" applyBorder="1" applyAlignment="1">
      <alignment vertical="center"/>
    </xf>
    <xf numFmtId="165" fontId="25" fillId="0" borderId="0" xfId="3" applyFont="1" applyAlignment="1">
      <alignment horizontal="center" vertical="center"/>
    </xf>
    <xf numFmtId="167" fontId="25" fillId="3" borderId="2" xfId="3" applyNumberFormat="1" applyFont="1" applyFill="1" applyBorder="1" applyAlignment="1">
      <alignment horizontal="center" vertical="center"/>
    </xf>
    <xf numFmtId="167" fontId="25" fillId="0" borderId="2" xfId="3" applyNumberFormat="1" applyFont="1" applyBorder="1" applyAlignment="1">
      <alignment horizontal="center" vertical="center"/>
    </xf>
    <xf numFmtId="165" fontId="25" fillId="0" borderId="2" xfId="3" applyFont="1" applyFill="1" applyBorder="1" applyAlignment="1">
      <alignment horizontal="center" vertical="center"/>
    </xf>
    <xf numFmtId="0" fontId="55" fillId="0" borderId="0" xfId="51" applyFont="1"/>
    <xf numFmtId="0" fontId="11" fillId="0" borderId="0" xfId="51"/>
    <xf numFmtId="0" fontId="54" fillId="0" borderId="0" xfId="51" applyFont="1"/>
    <xf numFmtId="165" fontId="0" fillId="0" borderId="1" xfId="3" applyFont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43" fontId="0" fillId="0" borderId="1" xfId="0" applyNumberFormat="1" applyBorder="1"/>
    <xf numFmtId="43" fontId="27" fillId="0" borderId="1" xfId="0" applyNumberFormat="1" applyFont="1" applyBorder="1"/>
    <xf numFmtId="0" fontId="9" fillId="0" borderId="0" xfId="58"/>
    <xf numFmtId="0" fontId="54" fillId="0" borderId="16" xfId="58" applyFont="1" applyBorder="1" applyAlignment="1">
      <alignment horizontal="center" vertical="center"/>
    </xf>
    <xf numFmtId="0" fontId="54" fillId="0" borderId="17" xfId="58" applyFont="1" applyBorder="1" applyAlignment="1">
      <alignment horizontal="center" vertical="center"/>
    </xf>
    <xf numFmtId="0" fontId="9" fillId="0" borderId="22" xfId="58" applyFont="1" applyBorder="1" applyAlignment="1">
      <alignment horizontal="center"/>
    </xf>
    <xf numFmtId="2" fontId="54" fillId="0" borderId="12" xfId="58" applyNumberFormat="1" applyFont="1" applyBorder="1" applyAlignment="1">
      <alignment horizontal="right"/>
    </xf>
    <xf numFmtId="0" fontId="9" fillId="0" borderId="36" xfId="58" applyFont="1" applyBorder="1" applyAlignment="1">
      <alignment horizontal="center"/>
    </xf>
    <xf numFmtId="2" fontId="54" fillId="0" borderId="37" xfId="58" applyNumberFormat="1" applyFont="1" applyBorder="1" applyAlignment="1">
      <alignment horizontal="right"/>
    </xf>
    <xf numFmtId="2" fontId="9" fillId="0" borderId="0" xfId="58" applyNumberFormat="1"/>
    <xf numFmtId="0" fontId="54" fillId="0" borderId="17" xfId="58" applyFont="1" applyBorder="1" applyAlignment="1">
      <alignment horizontal="center" vertical="center" wrapText="1"/>
    </xf>
    <xf numFmtId="0" fontId="54" fillId="0" borderId="18" xfId="58" applyFont="1" applyBorder="1" applyAlignment="1">
      <alignment horizontal="center" vertical="center" wrapText="1"/>
    </xf>
    <xf numFmtId="2" fontId="54" fillId="0" borderId="1" xfId="25" applyNumberFormat="1" applyFont="1" applyBorder="1"/>
    <xf numFmtId="0" fontId="9" fillId="0" borderId="8" xfId="25" applyFont="1" applyBorder="1"/>
    <xf numFmtId="165" fontId="27" fillId="0" borderId="14" xfId="3" applyFont="1" applyBorder="1" applyAlignment="1">
      <alignment horizontal="left" vertical="center"/>
    </xf>
    <xf numFmtId="165" fontId="25" fillId="0" borderId="14" xfId="3" applyFont="1" applyBorder="1" applyAlignment="1">
      <alignment horizontal="left" vertical="center"/>
    </xf>
    <xf numFmtId="0" fontId="0" fillId="0" borderId="0" xfId="0" applyFill="1"/>
    <xf numFmtId="165" fontId="27" fillId="0" borderId="14" xfId="3" applyFont="1" applyBorder="1" applyAlignment="1">
      <alignment horizontal="left" vertical="center"/>
    </xf>
    <xf numFmtId="165" fontId="25" fillId="0" borderId="14" xfId="3" applyFont="1" applyBorder="1" applyAlignment="1">
      <alignment horizontal="left" vertical="center"/>
    </xf>
    <xf numFmtId="0" fontId="25" fillId="4" borderId="0" xfId="0" applyFont="1" applyFill="1" applyBorder="1" applyAlignment="1">
      <alignment vertical="center"/>
    </xf>
    <xf numFmtId="4" fontId="0" fillId="4" borderId="0" xfId="0" applyNumberFormat="1" applyFill="1" applyBorder="1" applyAlignment="1">
      <alignment vertical="center"/>
    </xf>
    <xf numFmtId="4" fontId="0" fillId="4" borderId="0" xfId="0" applyNumberFormat="1" applyFill="1" applyAlignment="1">
      <alignment vertical="center"/>
    </xf>
    <xf numFmtId="165" fontId="0" fillId="4" borderId="0" xfId="3" applyFont="1" applyFill="1" applyAlignment="1">
      <alignment vertical="center"/>
    </xf>
    <xf numFmtId="9" fontId="27" fillId="0" borderId="7" xfId="2" applyFont="1" applyFill="1" applyBorder="1" applyAlignment="1">
      <alignment vertical="center"/>
    </xf>
    <xf numFmtId="0" fontId="25" fillId="0" borderId="2" xfId="0" applyFont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7" fillId="0" borderId="54" xfId="0" applyFont="1" applyFill="1" applyBorder="1" applyAlignment="1">
      <alignment horizontal="center" vertical="center"/>
    </xf>
    <xf numFmtId="165" fontId="25" fillId="0" borderId="1" xfId="3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165" fontId="27" fillId="0" borderId="0" xfId="3" applyFont="1" applyFill="1" applyAlignment="1">
      <alignment horizontal="center" vertical="center"/>
    </xf>
    <xf numFmtId="165" fontId="25" fillId="0" borderId="1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3" fontId="25" fillId="0" borderId="0" xfId="0" applyNumberFormat="1" applyFont="1" applyAlignment="1">
      <alignment vertical="center"/>
    </xf>
    <xf numFmtId="3" fontId="25" fillId="3" borderId="1" xfId="0" applyNumberFormat="1" applyFont="1" applyFill="1" applyBorder="1" applyAlignment="1">
      <alignment vertical="center"/>
    </xf>
    <xf numFmtId="4" fontId="25" fillId="3" borderId="2" xfId="0" applyNumberFormat="1" applyFont="1" applyFill="1" applyBorder="1" applyAlignment="1">
      <alignment horizontal="center" vertical="center"/>
    </xf>
    <xf numFmtId="0" fontId="25" fillId="0" borderId="6" xfId="0" applyFont="1" applyBorder="1" applyAlignment="1">
      <alignment vertical="center"/>
    </xf>
    <xf numFmtId="0" fontId="29" fillId="4" borderId="0" xfId="0" applyFont="1" applyFill="1" applyAlignment="1">
      <alignment vertical="center"/>
    </xf>
    <xf numFmtId="165" fontId="29" fillId="4" borderId="0" xfId="3" applyFont="1" applyFill="1" applyAlignment="1">
      <alignment vertical="center"/>
    </xf>
    <xf numFmtId="165" fontId="25" fillId="4" borderId="0" xfId="3" applyFont="1" applyFill="1" applyAlignment="1">
      <alignment vertical="center"/>
    </xf>
    <xf numFmtId="0" fontId="25" fillId="4" borderId="8" xfId="0" applyFont="1" applyFill="1" applyBorder="1" applyAlignment="1">
      <alignment vertical="center"/>
    </xf>
    <xf numFmtId="0" fontId="25" fillId="4" borderId="9" xfId="0" applyFont="1" applyFill="1" applyBorder="1" applyAlignment="1">
      <alignment vertical="center"/>
    </xf>
    <xf numFmtId="165" fontId="25" fillId="4" borderId="9" xfId="3" applyNumberFormat="1" applyFont="1" applyFill="1" applyBorder="1" applyAlignment="1">
      <alignment vertical="center"/>
    </xf>
    <xf numFmtId="165" fontId="25" fillId="4" borderId="10" xfId="3" applyFont="1" applyFill="1" applyBorder="1" applyAlignment="1">
      <alignment vertical="center"/>
    </xf>
    <xf numFmtId="0" fontId="25" fillId="4" borderId="0" xfId="0" applyFont="1" applyFill="1" applyAlignment="1">
      <alignment vertical="center"/>
    </xf>
    <xf numFmtId="0" fontId="27" fillId="4" borderId="5" xfId="0" applyFont="1" applyFill="1" applyBorder="1" applyAlignment="1">
      <alignment vertical="center"/>
    </xf>
    <xf numFmtId="0" fontId="27" fillId="4" borderId="6" xfId="0" applyFont="1" applyFill="1" applyBorder="1" applyAlignment="1">
      <alignment vertical="center"/>
    </xf>
    <xf numFmtId="165" fontId="27" fillId="4" borderId="6" xfId="3" applyFont="1" applyFill="1" applyBorder="1" applyAlignment="1">
      <alignment vertical="center"/>
    </xf>
    <xf numFmtId="165" fontId="27" fillId="4" borderId="7" xfId="3" applyFont="1" applyFill="1" applyBorder="1" applyAlignment="1">
      <alignment horizontal="right" vertical="center"/>
    </xf>
    <xf numFmtId="165" fontId="27" fillId="4" borderId="4" xfId="3" applyFont="1" applyFill="1" applyBorder="1" applyAlignment="1">
      <alignment horizontal="right" vertical="center"/>
    </xf>
    <xf numFmtId="0" fontId="27" fillId="4" borderId="0" xfId="0" applyFont="1" applyFill="1" applyBorder="1" applyAlignment="1">
      <alignment vertical="center"/>
    </xf>
    <xf numFmtId="165" fontId="27" fillId="4" borderId="0" xfId="3" applyFont="1" applyFill="1" applyBorder="1" applyAlignment="1">
      <alignment vertical="center"/>
    </xf>
    <xf numFmtId="0" fontId="56" fillId="4" borderId="0" xfId="0" applyFont="1" applyFill="1" applyAlignment="1">
      <alignment vertical="center"/>
    </xf>
    <xf numFmtId="0" fontId="56" fillId="4" borderId="0" xfId="0" applyFont="1" applyFill="1" applyAlignment="1">
      <alignment horizontal="center" vertical="center"/>
    </xf>
    <xf numFmtId="165" fontId="25" fillId="4" borderId="0" xfId="3" applyFont="1" applyFill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57" fillId="4" borderId="5" xfId="0" applyFont="1" applyFill="1" applyBorder="1" applyAlignment="1">
      <alignment horizontal="left" vertical="center"/>
    </xf>
    <xf numFmtId="0" fontId="25" fillId="4" borderId="6" xfId="0" applyFont="1" applyFill="1" applyBorder="1" applyAlignment="1">
      <alignment vertical="center"/>
    </xf>
    <xf numFmtId="165" fontId="25" fillId="4" borderId="6" xfId="3" applyFont="1" applyFill="1" applyBorder="1" applyAlignment="1">
      <alignment vertical="center"/>
    </xf>
    <xf numFmtId="165" fontId="25" fillId="4" borderId="7" xfId="3" applyFont="1" applyFill="1" applyBorder="1" applyAlignment="1">
      <alignment vertical="center"/>
    </xf>
    <xf numFmtId="0" fontId="28" fillId="4" borderId="5" xfId="0" applyFont="1" applyFill="1" applyBorder="1" applyAlignment="1">
      <alignment vertical="center"/>
    </xf>
    <xf numFmtId="0" fontId="28" fillId="4" borderId="6" xfId="0" applyFont="1" applyFill="1" applyBorder="1" applyAlignment="1">
      <alignment vertical="center"/>
    </xf>
    <xf numFmtId="165" fontId="28" fillId="4" borderId="6" xfId="3" applyFont="1" applyFill="1" applyBorder="1" applyAlignment="1">
      <alignment vertical="center"/>
    </xf>
    <xf numFmtId="165" fontId="28" fillId="4" borderId="7" xfId="3" applyFont="1" applyFill="1" applyBorder="1" applyAlignment="1">
      <alignment vertical="center"/>
    </xf>
    <xf numFmtId="1" fontId="25" fillId="0" borderId="1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" fontId="0" fillId="0" borderId="1" xfId="3" applyNumberFormat="1" applyFont="1" applyBorder="1" applyAlignment="1">
      <alignment horizontal="right"/>
    </xf>
    <xf numFmtId="0" fontId="0" fillId="0" borderId="20" xfId="0" applyBorder="1"/>
    <xf numFmtId="0" fontId="0" fillId="0" borderId="48" xfId="0" applyBorder="1"/>
    <xf numFmtId="2" fontId="54" fillId="0" borderId="17" xfId="3" applyNumberFormat="1" applyFont="1" applyBorder="1"/>
    <xf numFmtId="0" fontId="54" fillId="0" borderId="18" xfId="0" applyFont="1" applyBorder="1"/>
    <xf numFmtId="0" fontId="0" fillId="0" borderId="20" xfId="0" applyFill="1" applyBorder="1"/>
    <xf numFmtId="4" fontId="0" fillId="0" borderId="1" xfId="0" applyNumberFormat="1" applyBorder="1"/>
    <xf numFmtId="4" fontId="54" fillId="0" borderId="3" xfId="3" applyNumberFormat="1" applyFont="1" applyBorder="1"/>
    <xf numFmtId="0" fontId="54" fillId="0" borderId="48" xfId="0" applyFont="1" applyFill="1" applyBorder="1"/>
    <xf numFmtId="0" fontId="0" fillId="0" borderId="8" xfId="0" applyBorder="1" applyAlignment="1">
      <alignment horizontal="center" vertical="center"/>
    </xf>
    <xf numFmtId="1" fontId="0" fillId="0" borderId="8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2" fontId="0" fillId="0" borderId="10" xfId="0" applyNumberFormat="1" applyBorder="1"/>
    <xf numFmtId="2" fontId="0" fillId="0" borderId="20" xfId="0" applyNumberFormat="1" applyBorder="1"/>
    <xf numFmtId="2" fontId="54" fillId="0" borderId="1" xfId="0" applyNumberFormat="1" applyFont="1" applyBorder="1"/>
    <xf numFmtId="2" fontId="54" fillId="0" borderId="20" xfId="0" applyNumberFormat="1" applyFont="1" applyBorder="1"/>
    <xf numFmtId="2" fontId="54" fillId="0" borderId="37" xfId="0" applyNumberFormat="1" applyFont="1" applyBorder="1"/>
    <xf numFmtId="4" fontId="54" fillId="0" borderId="58" xfId="0" applyNumberFormat="1" applyFont="1" applyBorder="1" applyAlignment="1"/>
    <xf numFmtId="2" fontId="54" fillId="0" borderId="31" xfId="0" applyNumberFormat="1" applyFont="1" applyBorder="1"/>
    <xf numFmtId="0" fontId="0" fillId="0" borderId="2" xfId="0" applyBorder="1"/>
    <xf numFmtId="0" fontId="0" fillId="0" borderId="50" xfId="0" applyBorder="1"/>
    <xf numFmtId="0" fontId="54" fillId="0" borderId="33" xfId="0" applyFont="1" applyBorder="1"/>
    <xf numFmtId="0" fontId="54" fillId="0" borderId="13" xfId="0" applyFont="1" applyBorder="1"/>
    <xf numFmtId="0" fontId="25" fillId="3" borderId="1" xfId="0" applyFont="1" applyFill="1" applyBorder="1" applyAlignment="1">
      <alignment horizontal="center" vertical="center"/>
    </xf>
    <xf numFmtId="173" fontId="0" fillId="0" borderId="0" xfId="3" applyNumberFormat="1" applyFont="1" applyAlignment="1">
      <alignment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4" fontId="0" fillId="4" borderId="1" xfId="3" applyNumberFormat="1" applyFont="1" applyFill="1" applyBorder="1" applyAlignment="1">
      <alignment horizontal="right"/>
    </xf>
    <xf numFmtId="20" fontId="7" fillId="0" borderId="22" xfId="58" applyNumberFormat="1" applyFont="1" applyBorder="1"/>
    <xf numFmtId="20" fontId="7" fillId="0" borderId="36" xfId="58" applyNumberFormat="1" applyFont="1" applyBorder="1"/>
    <xf numFmtId="0" fontId="7" fillId="0" borderId="22" xfId="58" applyFont="1" applyBorder="1"/>
    <xf numFmtId="0" fontId="7" fillId="0" borderId="36" xfId="58" applyFont="1" applyBorder="1"/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4" fontId="0" fillId="0" borderId="0" xfId="3" applyNumberFormat="1" applyFont="1" applyBorder="1" applyAlignment="1">
      <alignment horizontal="right"/>
    </xf>
    <xf numFmtId="2" fontId="0" fillId="0" borderId="9" xfId="0" applyNumberFormat="1" applyBorder="1" applyAlignment="1">
      <alignment horizontal="center"/>
    </xf>
    <xf numFmtId="13" fontId="25" fillId="3" borderId="1" xfId="0" applyNumberFormat="1" applyFont="1" applyFill="1" applyBorder="1" applyAlignment="1">
      <alignment horizontal="center" vertical="center"/>
    </xf>
    <xf numFmtId="1" fontId="30" fillId="0" borderId="1" xfId="0" applyNumberFormat="1" applyFont="1" applyBorder="1" applyAlignment="1">
      <alignment vertical="center"/>
    </xf>
    <xf numFmtId="0" fontId="25" fillId="0" borderId="8" xfId="0" applyFont="1" applyBorder="1" applyAlignment="1">
      <alignment horizontal="center" vertical="center"/>
    </xf>
    <xf numFmtId="4" fontId="0" fillId="0" borderId="1" xfId="0" applyNumberFormat="1" applyFill="1" applyBorder="1"/>
    <xf numFmtId="0" fontId="25" fillId="0" borderId="1" xfId="0" applyFont="1" applyBorder="1" applyAlignment="1">
      <alignment horizontal="center"/>
    </xf>
    <xf numFmtId="0" fontId="54" fillId="0" borderId="0" xfId="0" applyFont="1"/>
    <xf numFmtId="0" fontId="54" fillId="0" borderId="71" xfId="0" applyFont="1" applyBorder="1" applyAlignment="1">
      <alignment horizontal="left" wrapText="1"/>
    </xf>
    <xf numFmtId="0" fontId="54" fillId="0" borderId="71" xfId="0" applyFont="1" applyBorder="1" applyAlignment="1">
      <alignment horizontal="center" wrapText="1"/>
    </xf>
    <xf numFmtId="0" fontId="0" fillId="0" borderId="71" xfId="0" applyBorder="1" applyAlignment="1">
      <alignment horizontal="left" wrapText="1"/>
    </xf>
    <xf numFmtId="0" fontId="0" fillId="0" borderId="71" xfId="0" applyBorder="1" applyAlignment="1">
      <alignment wrapText="1"/>
    </xf>
    <xf numFmtId="0" fontId="0" fillId="0" borderId="71" xfId="0" applyBorder="1" applyAlignment="1">
      <alignment horizontal="center" wrapText="1"/>
    </xf>
    <xf numFmtId="14" fontId="0" fillId="0" borderId="71" xfId="0" applyNumberFormat="1" applyBorder="1" applyAlignment="1">
      <alignment horizontal="center" wrapText="1"/>
    </xf>
    <xf numFmtId="0" fontId="54" fillId="0" borderId="71" xfId="0" applyFont="1" applyBorder="1" applyAlignment="1">
      <alignment wrapText="1"/>
    </xf>
    <xf numFmtId="0" fontId="23" fillId="0" borderId="0" xfId="25" applyFill="1"/>
    <xf numFmtId="0" fontId="54" fillId="0" borderId="17" xfId="58" applyFont="1" applyFill="1" applyBorder="1" applyAlignment="1">
      <alignment horizontal="center" vertical="center"/>
    </xf>
    <xf numFmtId="20" fontId="7" fillId="0" borderId="22" xfId="58" applyNumberFormat="1" applyFont="1" applyFill="1" applyBorder="1"/>
    <xf numFmtId="20" fontId="7" fillId="0" borderId="36" xfId="58" applyNumberFormat="1" applyFont="1" applyFill="1" applyBorder="1"/>
    <xf numFmtId="0" fontId="54" fillId="0" borderId="0" xfId="25" applyFont="1" applyFill="1" applyBorder="1"/>
    <xf numFmtId="2" fontId="54" fillId="0" borderId="72" xfId="58" applyNumberFormat="1" applyFont="1" applyBorder="1" applyAlignment="1">
      <alignment horizontal="right"/>
    </xf>
    <xf numFmtId="165" fontId="27" fillId="0" borderId="0" xfId="0" applyNumberFormat="1" applyFont="1" applyFill="1"/>
    <xf numFmtId="165" fontId="0" fillId="0" borderId="1" xfId="3" applyFont="1" applyFill="1" applyBorder="1"/>
    <xf numFmtId="165" fontId="27" fillId="0" borderId="1" xfId="3" applyFont="1" applyFill="1" applyBorder="1"/>
    <xf numFmtId="2" fontId="25" fillId="0" borderId="23" xfId="0" applyNumberFormat="1" applyFont="1" applyBorder="1" applyAlignment="1">
      <alignment horizontal="center"/>
    </xf>
    <xf numFmtId="2" fontId="0" fillId="0" borderId="1" xfId="3" applyNumberFormat="1" applyFont="1" applyBorder="1" applyAlignment="1">
      <alignment horizontal="right"/>
    </xf>
    <xf numFmtId="2" fontId="25" fillId="0" borderId="1" xfId="3" applyNumberFormat="1" applyFont="1" applyBorder="1" applyAlignment="1">
      <alignment horizontal="right"/>
    </xf>
    <xf numFmtId="0" fontId="54" fillId="0" borderId="0" xfId="0" applyFont="1" applyAlignment="1">
      <alignment wrapText="1"/>
    </xf>
    <xf numFmtId="0" fontId="54" fillId="0" borderId="1" xfId="4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78" fontId="0" fillId="0" borderId="1" xfId="5" applyNumberFormat="1" applyFont="1" applyBorder="1" applyAlignment="1">
      <alignment horizontal="center"/>
    </xf>
    <xf numFmtId="43" fontId="0" fillId="0" borderId="1" xfId="5" applyNumberFormat="1" applyFont="1" applyBorder="1" applyAlignment="1">
      <alignment horizontal="center"/>
    </xf>
    <xf numFmtId="17" fontId="3" fillId="0" borderId="1" xfId="4" applyNumberFormat="1" applyFont="1" applyBorder="1" applyAlignment="1">
      <alignment horizontal="center"/>
    </xf>
    <xf numFmtId="0" fontId="54" fillId="0" borderId="10" xfId="4" applyFont="1" applyBorder="1" applyAlignment="1">
      <alignment horizontal="center"/>
    </xf>
    <xf numFmtId="43" fontId="0" fillId="0" borderId="1" xfId="5" applyNumberFormat="1" applyFont="1" applyBorder="1" applyAlignment="1"/>
    <xf numFmtId="0" fontId="2" fillId="0" borderId="63" xfId="58" applyFont="1" applyBorder="1" applyAlignment="1">
      <alignment horizontal="center" wrapText="1"/>
    </xf>
    <xf numFmtId="0" fontId="2" fillId="0" borderId="63" xfId="58" applyFont="1" applyBorder="1" applyAlignment="1">
      <alignment horizontal="center"/>
    </xf>
    <xf numFmtId="0" fontId="54" fillId="0" borderId="18" xfId="0" applyFont="1" applyBorder="1" applyAlignment="1">
      <alignment horizontal="center"/>
    </xf>
    <xf numFmtId="0" fontId="54" fillId="0" borderId="43" xfId="0" applyFont="1" applyBorder="1" applyAlignment="1">
      <alignment horizontal="center"/>
    </xf>
    <xf numFmtId="0" fontId="54" fillId="0" borderId="1" xfId="4" applyFont="1" applyBorder="1" applyAlignment="1">
      <alignment horizontal="center" wrapText="1"/>
    </xf>
    <xf numFmtId="0" fontId="54" fillId="0" borderId="67" xfId="4" applyFont="1" applyBorder="1" applyAlignment="1"/>
    <xf numFmtId="0" fontId="54" fillId="0" borderId="42" xfId="4" applyFont="1" applyBorder="1" applyAlignment="1"/>
    <xf numFmtId="0" fontId="54" fillId="0" borderId="64" xfId="4" applyFont="1" applyBorder="1" applyAlignment="1"/>
    <xf numFmtId="0" fontId="11" fillId="0" borderId="0" xfId="51" applyBorder="1"/>
    <xf numFmtId="43" fontId="46" fillId="0" borderId="20" xfId="3" applyNumberFormat="1" applyFont="1" applyBorder="1" applyAlignment="1">
      <alignment horizontal="center" vertical="center" wrapText="1"/>
    </xf>
    <xf numFmtId="0" fontId="1" fillId="0" borderId="0" xfId="63"/>
    <xf numFmtId="0" fontId="1" fillId="0" borderId="0" xfId="63" applyBorder="1"/>
    <xf numFmtId="0" fontId="1" fillId="0" borderId="0" xfId="63" applyBorder="1" applyAlignment="1">
      <alignment horizontal="center"/>
    </xf>
    <xf numFmtId="0" fontId="1" fillId="0" borderId="0" xfId="63" applyAlignment="1">
      <alignment horizontal="center"/>
    </xf>
    <xf numFmtId="0" fontId="60" fillId="0" borderId="0" xfId="63" applyFont="1"/>
    <xf numFmtId="2" fontId="1" fillId="0" borderId="0" xfId="63" applyNumberFormat="1"/>
    <xf numFmtId="0" fontId="1" fillId="0" borderId="0" xfId="63" applyFont="1"/>
    <xf numFmtId="2" fontId="1" fillId="4" borderId="1" xfId="63" applyNumberFormat="1" applyFill="1" applyBorder="1" applyAlignment="1">
      <alignment vertical="center"/>
    </xf>
    <xf numFmtId="2" fontId="1" fillId="0" borderId="20" xfId="63" applyNumberFormat="1" applyFont="1" applyBorder="1" applyAlignment="1">
      <alignment vertical="center"/>
    </xf>
    <xf numFmtId="4" fontId="54" fillId="0" borderId="17" xfId="63" applyNumberFormat="1" applyFont="1" applyBorder="1" applyAlignment="1"/>
    <xf numFmtId="2" fontId="54" fillId="0" borderId="18" xfId="63" applyNumberFormat="1" applyFont="1" applyBorder="1" applyAlignment="1"/>
    <xf numFmtId="2" fontId="54" fillId="0" borderId="0" xfId="63" applyNumberFormat="1" applyFont="1" applyBorder="1" applyAlignment="1">
      <alignment horizontal="right" vertical="center" wrapText="1"/>
    </xf>
    <xf numFmtId="4" fontId="54" fillId="0" borderId="0" xfId="63" applyNumberFormat="1" applyFont="1" applyBorder="1" applyAlignment="1"/>
    <xf numFmtId="2" fontId="54" fillId="0" borderId="0" xfId="63" applyNumberFormat="1" applyFont="1" applyBorder="1" applyAlignment="1"/>
    <xf numFmtId="4" fontId="1" fillId="0" borderId="0" xfId="63" applyNumberFormat="1"/>
    <xf numFmtId="2" fontId="25" fillId="0" borderId="23" xfId="0" applyNumberFormat="1" applyFont="1" applyBorder="1" applyAlignment="1">
      <alignment horizontal="center" wrapText="1"/>
    </xf>
    <xf numFmtId="165" fontId="0" fillId="0" borderId="0" xfId="2" applyNumberFormat="1" applyFont="1" applyFill="1"/>
    <xf numFmtId="0" fontId="27" fillId="0" borderId="32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165" fontId="27" fillId="0" borderId="14" xfId="3" applyFont="1" applyBorder="1" applyAlignment="1">
      <alignment horizontal="left" vertical="center"/>
    </xf>
    <xf numFmtId="165" fontId="27" fillId="0" borderId="9" xfId="3" applyFont="1" applyBorder="1" applyAlignment="1">
      <alignment horizontal="left" vertical="center"/>
    </xf>
    <xf numFmtId="0" fontId="39" fillId="8" borderId="25" xfId="0" applyFont="1" applyFill="1" applyBorder="1" applyAlignment="1">
      <alignment horizontal="center" vertical="center"/>
    </xf>
    <xf numFmtId="0" fontId="39" fillId="8" borderId="26" xfId="0" applyFont="1" applyFill="1" applyBorder="1" applyAlignment="1">
      <alignment horizontal="center" vertical="center"/>
    </xf>
    <xf numFmtId="0" fontId="39" fillId="8" borderId="27" xfId="0" applyFont="1" applyFill="1" applyBorder="1" applyAlignment="1">
      <alignment horizontal="center" vertical="center"/>
    </xf>
    <xf numFmtId="0" fontId="31" fillId="8" borderId="44" xfId="0" applyFont="1" applyFill="1" applyBorder="1" applyAlignment="1">
      <alignment horizontal="center" vertical="center"/>
    </xf>
    <xf numFmtId="0" fontId="31" fillId="8" borderId="42" xfId="0" applyFont="1" applyFill="1" applyBorder="1" applyAlignment="1">
      <alignment horizontal="center" vertical="center"/>
    </xf>
    <xf numFmtId="0" fontId="31" fillId="8" borderId="45" xfId="0" applyFont="1" applyFill="1" applyBorder="1" applyAlignment="1">
      <alignment horizontal="center" vertical="center"/>
    </xf>
    <xf numFmtId="165" fontId="27" fillId="0" borderId="5" xfId="3" applyFont="1" applyBorder="1" applyAlignment="1">
      <alignment horizontal="center" vertical="center"/>
    </xf>
    <xf numFmtId="165" fontId="27" fillId="0" borderId="6" xfId="3" applyFont="1" applyBorder="1" applyAlignment="1">
      <alignment horizontal="center" vertical="center"/>
    </xf>
    <xf numFmtId="165" fontId="27" fillId="0" borderId="43" xfId="3" applyFont="1" applyBorder="1" applyAlignment="1">
      <alignment horizontal="center" vertical="center"/>
    </xf>
    <xf numFmtId="165" fontId="28" fillId="8" borderId="5" xfId="3" applyFont="1" applyFill="1" applyBorder="1" applyAlignment="1">
      <alignment horizontal="center" vertical="center"/>
    </xf>
    <xf numFmtId="165" fontId="28" fillId="8" borderId="6" xfId="3" applyFont="1" applyFill="1" applyBorder="1" applyAlignment="1">
      <alignment horizontal="center" vertical="center"/>
    </xf>
    <xf numFmtId="165" fontId="28" fillId="8" borderId="7" xfId="3" applyFont="1" applyFill="1" applyBorder="1" applyAlignment="1">
      <alignment horizontal="center" vertical="center"/>
    </xf>
    <xf numFmtId="0" fontId="59" fillId="4" borderId="0" xfId="0" applyFont="1" applyFill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165" fontId="58" fillId="4" borderId="0" xfId="3" applyFont="1" applyFill="1" applyAlignment="1">
      <alignment horizontal="center" vertical="center"/>
    </xf>
    <xf numFmtId="165" fontId="59" fillId="4" borderId="0" xfId="3" applyFont="1" applyFill="1" applyAlignment="1">
      <alignment horizontal="center" vertical="center"/>
    </xf>
    <xf numFmtId="0" fontId="39" fillId="8" borderId="21" xfId="0" applyFont="1" applyFill="1" applyBorder="1" applyAlignment="1">
      <alignment horizontal="center" vertical="center"/>
    </xf>
    <xf numFmtId="0" fontId="39" fillId="8" borderId="22" xfId="0" applyFont="1" applyFill="1" applyBorder="1" applyAlignment="1">
      <alignment horizontal="center" vertical="center"/>
    </xf>
    <xf numFmtId="0" fontId="39" fillId="8" borderId="12" xfId="0" applyFont="1" applyFill="1" applyBorder="1" applyAlignment="1">
      <alignment horizontal="center" vertical="center"/>
    </xf>
    <xf numFmtId="0" fontId="39" fillId="10" borderId="19" xfId="0" applyFont="1" applyFill="1" applyBorder="1" applyAlignment="1">
      <alignment horizontal="center"/>
    </xf>
    <xf numFmtId="0" fontId="39" fillId="10" borderId="46" xfId="0" applyFont="1" applyFill="1" applyBorder="1" applyAlignment="1">
      <alignment horizontal="center"/>
    </xf>
    <xf numFmtId="0" fontId="30" fillId="0" borderId="0" xfId="0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9" fillId="0" borderId="1" xfId="0" applyFont="1" applyFill="1" applyBorder="1" applyAlignment="1">
      <alignment horizontal="center" vertical="center"/>
    </xf>
    <xf numFmtId="0" fontId="29" fillId="0" borderId="36" xfId="0" applyFont="1" applyFill="1" applyBorder="1" applyAlignment="1">
      <alignment horizontal="center" vertical="center"/>
    </xf>
    <xf numFmtId="9" fontId="31" fillId="0" borderId="21" xfId="2" applyFont="1" applyBorder="1" applyAlignment="1">
      <alignment horizontal="center"/>
    </xf>
    <xf numFmtId="9" fontId="31" fillId="0" borderId="22" xfId="2" applyFont="1" applyBorder="1" applyAlignment="1">
      <alignment horizontal="center"/>
    </xf>
    <xf numFmtId="9" fontId="31" fillId="0" borderId="12" xfId="2" applyFont="1" applyBorder="1" applyAlignment="1">
      <alignment horizontal="center"/>
    </xf>
    <xf numFmtId="0" fontId="28" fillId="10" borderId="25" xfId="0" applyFont="1" applyFill="1" applyBorder="1" applyAlignment="1">
      <alignment horizontal="center" vertical="center"/>
    </xf>
    <xf numFmtId="0" fontId="28" fillId="10" borderId="26" xfId="0" applyFont="1" applyFill="1" applyBorder="1" applyAlignment="1">
      <alignment horizontal="center" vertical="center"/>
    </xf>
    <xf numFmtId="0" fontId="28" fillId="10" borderId="27" xfId="0" applyFont="1" applyFill="1" applyBorder="1" applyAlignment="1">
      <alignment horizontal="center" vertical="center"/>
    </xf>
    <xf numFmtId="0" fontId="54" fillId="0" borderId="8" xfId="4" applyFont="1" applyBorder="1" applyAlignment="1">
      <alignment horizontal="center"/>
    </xf>
    <xf numFmtId="0" fontId="54" fillId="0" borderId="10" xfId="4" applyFont="1" applyBorder="1" applyAlignment="1">
      <alignment horizontal="center"/>
    </xf>
    <xf numFmtId="0" fontId="54" fillId="0" borderId="32" xfId="58" applyFont="1" applyBorder="1" applyAlignment="1">
      <alignment horizontal="center" vertical="center" wrapText="1"/>
    </xf>
    <xf numFmtId="0" fontId="54" fillId="0" borderId="57" xfId="58" applyFont="1" applyBorder="1" applyAlignment="1">
      <alignment horizontal="center" vertical="center" wrapText="1"/>
    </xf>
    <xf numFmtId="0" fontId="3" fillId="0" borderId="33" xfId="58" applyFont="1" applyBorder="1" applyAlignment="1">
      <alignment horizontal="center" vertical="center" wrapText="1"/>
    </xf>
    <xf numFmtId="0" fontId="9" fillId="0" borderId="58" xfId="58" applyFont="1" applyBorder="1" applyAlignment="1">
      <alignment horizontal="center" vertical="center" wrapText="1"/>
    </xf>
    <xf numFmtId="0" fontId="2" fillId="0" borderId="33" xfId="58" applyFont="1" applyBorder="1" applyAlignment="1">
      <alignment horizontal="center" vertical="center" wrapText="1"/>
    </xf>
    <xf numFmtId="0" fontId="2" fillId="0" borderId="33" xfId="58" applyFont="1" applyBorder="1" applyAlignment="1">
      <alignment horizontal="center" vertical="center"/>
    </xf>
    <xf numFmtId="0" fontId="9" fillId="0" borderId="58" xfId="58" applyFont="1" applyBorder="1" applyAlignment="1">
      <alignment horizontal="center" vertical="center"/>
    </xf>
    <xf numFmtId="0" fontId="1" fillId="0" borderId="33" xfId="58" applyFont="1" applyBorder="1" applyAlignment="1">
      <alignment horizontal="center" vertical="center" wrapText="1"/>
    </xf>
    <xf numFmtId="0" fontId="4" fillId="0" borderId="33" xfId="58" applyFont="1" applyBorder="1" applyAlignment="1">
      <alignment horizontal="center" vertical="center"/>
    </xf>
    <xf numFmtId="0" fontId="4" fillId="0" borderId="63" xfId="58" applyFont="1" applyBorder="1" applyAlignment="1">
      <alignment horizontal="center" vertical="center"/>
    </xf>
    <xf numFmtId="0" fontId="54" fillId="0" borderId="5" xfId="0" applyFont="1" applyBorder="1" applyAlignment="1">
      <alignment horizontal="center"/>
    </xf>
    <xf numFmtId="0" fontId="54" fillId="0" borderId="6" xfId="0" applyFont="1" applyBorder="1" applyAlignment="1">
      <alignment horizontal="center"/>
    </xf>
    <xf numFmtId="0" fontId="54" fillId="0" borderId="7" xfId="0" applyFont="1" applyBorder="1" applyAlignment="1">
      <alignment horizontal="center"/>
    </xf>
    <xf numFmtId="0" fontId="54" fillId="0" borderId="5" xfId="0" applyFont="1" applyBorder="1" applyAlignment="1">
      <alignment horizontal="center" wrapText="1"/>
    </xf>
    <xf numFmtId="0" fontId="54" fillId="0" borderId="6" xfId="0" applyFont="1" applyBorder="1" applyAlignment="1">
      <alignment horizontal="center" wrapText="1"/>
    </xf>
    <xf numFmtId="0" fontId="54" fillId="0" borderId="7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54" fillId="0" borderId="16" xfId="0" applyFont="1" applyBorder="1" applyAlignment="1">
      <alignment horizontal="center"/>
    </xf>
    <xf numFmtId="0" fontId="54" fillId="0" borderId="17" xfId="0" applyFont="1" applyBorder="1" applyAlignment="1">
      <alignment horizontal="center"/>
    </xf>
    <xf numFmtId="0" fontId="54" fillId="0" borderId="18" xfId="0" applyFont="1" applyBorder="1" applyAlignment="1">
      <alignment horizontal="center"/>
    </xf>
    <xf numFmtId="0" fontId="54" fillId="0" borderId="5" xfId="0" applyFont="1" applyBorder="1" applyAlignment="1">
      <alignment horizontal="center" vertical="center" wrapText="1"/>
    </xf>
    <xf numFmtId="0" fontId="54" fillId="0" borderId="6" xfId="0" applyFont="1" applyBorder="1" applyAlignment="1">
      <alignment horizontal="center" vertical="center" wrapText="1"/>
    </xf>
    <xf numFmtId="0" fontId="54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2" fontId="25" fillId="0" borderId="14" xfId="0" applyNumberFormat="1" applyFont="1" applyBorder="1" applyAlignment="1">
      <alignment horizontal="center"/>
    </xf>
    <xf numFmtId="2" fontId="25" fillId="0" borderId="9" xfId="0" applyNumberFormat="1" applyFont="1" applyBorder="1" applyAlignment="1">
      <alignment horizontal="center"/>
    </xf>
    <xf numFmtId="2" fontId="25" fillId="0" borderId="15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15" xfId="0" applyBorder="1" applyAlignment="1">
      <alignment horizontal="center"/>
    </xf>
    <xf numFmtId="0" fontId="54" fillId="0" borderId="14" xfId="0" applyFont="1" applyBorder="1" applyAlignment="1">
      <alignment horizontal="center" vertical="center" wrapText="1"/>
    </xf>
    <xf numFmtId="0" fontId="54" fillId="0" borderId="9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right"/>
    </xf>
    <xf numFmtId="0" fontId="27" fillId="0" borderId="17" xfId="0" applyFont="1" applyFill="1" applyBorder="1" applyAlignment="1">
      <alignment horizontal="right"/>
    </xf>
    <xf numFmtId="0" fontId="54" fillId="0" borderId="40" xfId="0" applyFont="1" applyBorder="1" applyAlignment="1">
      <alignment horizontal="center" vertical="center" wrapText="1"/>
    </xf>
    <xf numFmtId="0" fontId="54" fillId="0" borderId="41" xfId="0" applyFont="1" applyBorder="1" applyAlignment="1">
      <alignment horizontal="center" vertical="center" wrapText="1"/>
    </xf>
    <xf numFmtId="0" fontId="54" fillId="0" borderId="59" xfId="0" applyFont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3" xfId="0" applyBorder="1" applyAlignment="1">
      <alignment horizontal="center"/>
    </xf>
    <xf numFmtId="2" fontId="25" fillId="0" borderId="21" xfId="0" applyNumberFormat="1" applyFon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4" fontId="54" fillId="0" borderId="25" xfId="0" applyNumberFormat="1" applyFont="1" applyBorder="1" applyAlignment="1">
      <alignment horizontal="center"/>
    </xf>
    <xf numFmtId="174" fontId="54" fillId="0" borderId="26" xfId="0" applyNumberFormat="1" applyFont="1" applyBorder="1" applyAlignment="1">
      <alignment horizontal="center"/>
    </xf>
    <xf numFmtId="174" fontId="54" fillId="0" borderId="27" xfId="0" applyNumberFormat="1" applyFont="1" applyBorder="1" applyAlignment="1">
      <alignment horizontal="center"/>
    </xf>
    <xf numFmtId="174" fontId="54" fillId="0" borderId="38" xfId="0" applyNumberFormat="1" applyFont="1" applyBorder="1" applyAlignment="1">
      <alignment horizontal="center"/>
    </xf>
    <xf numFmtId="174" fontId="54" fillId="0" borderId="0" xfId="0" applyNumberFormat="1" applyFont="1" applyBorder="1" applyAlignment="1">
      <alignment horizontal="center"/>
    </xf>
    <xf numFmtId="174" fontId="54" fillId="0" borderId="39" xfId="0" applyNumberFormat="1" applyFont="1" applyBorder="1" applyAlignment="1">
      <alignment horizontal="center"/>
    </xf>
    <xf numFmtId="0" fontId="54" fillId="0" borderId="16" xfId="0" applyFont="1" applyBorder="1" applyAlignment="1">
      <alignment horizontal="center" vertical="center" wrapText="1"/>
    </xf>
    <xf numFmtId="0" fontId="54" fillId="0" borderId="43" xfId="0" applyFont="1" applyBorder="1" applyAlignment="1">
      <alignment horizontal="center" vertical="center" wrapText="1"/>
    </xf>
    <xf numFmtId="0" fontId="54" fillId="0" borderId="17" xfId="0" applyFont="1" applyBorder="1" applyAlignment="1">
      <alignment horizontal="center" vertical="center" wrapText="1"/>
    </xf>
    <xf numFmtId="0" fontId="54" fillId="0" borderId="18" xfId="0" applyFon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/>
    </xf>
    <xf numFmtId="2" fontId="1" fillId="0" borderId="55" xfId="63" applyNumberFormat="1" applyBorder="1" applyAlignment="1">
      <alignment horizontal="center" vertical="center" wrapText="1"/>
    </xf>
    <xf numFmtId="2" fontId="1" fillId="0" borderId="56" xfId="63" applyNumberFormat="1" applyBorder="1" applyAlignment="1">
      <alignment horizontal="center" vertical="center" wrapText="1"/>
    </xf>
    <xf numFmtId="2" fontId="1" fillId="0" borderId="61" xfId="63" applyNumberFormat="1" applyBorder="1" applyAlignment="1">
      <alignment horizontal="center" vertical="center" wrapText="1"/>
    </xf>
    <xf numFmtId="2" fontId="0" fillId="0" borderId="23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38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39" xfId="0" applyNumberFormat="1" applyBorder="1" applyAlignment="1">
      <alignment horizontal="center"/>
    </xf>
    <xf numFmtId="0" fontId="54" fillId="0" borderId="23" xfId="0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54" fillId="0" borderId="57" xfId="0" applyFont="1" applyBorder="1" applyAlignment="1">
      <alignment horizontal="center" vertical="center" wrapText="1"/>
    </xf>
    <xf numFmtId="0" fontId="54" fillId="0" borderId="65" xfId="0" applyFont="1" applyBorder="1" applyAlignment="1">
      <alignment horizontal="center" vertical="center" wrapText="1"/>
    </xf>
    <xf numFmtId="0" fontId="54" fillId="0" borderId="58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65" xfId="0" applyFont="1" applyBorder="1" applyAlignment="1">
      <alignment horizontal="center" vertical="center"/>
    </xf>
    <xf numFmtId="0" fontId="54" fillId="0" borderId="32" xfId="0" applyFont="1" applyBorder="1" applyAlignment="1">
      <alignment horizontal="center"/>
    </xf>
    <xf numFmtId="0" fontId="54" fillId="0" borderId="66" xfId="0" applyFont="1" applyBorder="1" applyAlignment="1">
      <alignment horizontal="center"/>
    </xf>
    <xf numFmtId="0" fontId="54" fillId="0" borderId="33" xfId="0" applyFont="1" applyBorder="1" applyAlignment="1">
      <alignment horizontal="center"/>
    </xf>
    <xf numFmtId="2" fontId="1" fillId="0" borderId="21" xfId="63" applyNumberFormat="1" applyBorder="1" applyAlignment="1">
      <alignment horizontal="center"/>
    </xf>
    <xf numFmtId="2" fontId="1" fillId="0" borderId="60" xfId="63" applyNumberFormat="1" applyBorder="1" applyAlignment="1">
      <alignment horizontal="center"/>
    </xf>
    <xf numFmtId="2" fontId="1" fillId="0" borderId="22" xfId="63" applyNumberFormat="1" applyBorder="1" applyAlignment="1">
      <alignment horizontal="center"/>
    </xf>
    <xf numFmtId="2" fontId="1" fillId="0" borderId="12" xfId="63" applyNumberFormat="1" applyBorder="1" applyAlignment="1">
      <alignment horizontal="center"/>
    </xf>
    <xf numFmtId="2" fontId="1" fillId="0" borderId="23" xfId="63" applyNumberFormat="1" applyFont="1" applyBorder="1" applyAlignment="1">
      <alignment horizontal="right" vertical="center" wrapText="1"/>
    </xf>
    <xf numFmtId="2" fontId="1" fillId="0" borderId="10" xfId="63" applyNumberFormat="1" applyFont="1" applyBorder="1" applyAlignment="1">
      <alignment horizontal="right" vertical="center" wrapText="1"/>
    </xf>
    <xf numFmtId="2" fontId="1" fillId="0" borderId="1" xfId="63" applyNumberFormat="1" applyFont="1" applyBorder="1" applyAlignment="1">
      <alignment horizontal="right" vertical="center" wrapText="1"/>
    </xf>
    <xf numFmtId="0" fontId="25" fillId="0" borderId="14" xfId="0" applyFont="1" applyBorder="1" applyAlignment="1">
      <alignment horizontal="center"/>
    </xf>
    <xf numFmtId="0" fontId="0" fillId="0" borderId="10" xfId="0" applyBorder="1" applyAlignment="1">
      <alignment horizontal="center"/>
    </xf>
    <xf numFmtId="2" fontId="54" fillId="0" borderId="16" xfId="63" applyNumberFormat="1" applyFont="1" applyBorder="1" applyAlignment="1">
      <alignment horizontal="right" vertical="center" wrapText="1"/>
    </xf>
    <xf numFmtId="2" fontId="54" fillId="0" borderId="43" xfId="63" applyNumberFormat="1" applyFont="1" applyBorder="1" applyAlignment="1">
      <alignment horizontal="right" vertical="center" wrapText="1"/>
    </xf>
    <xf numFmtId="2" fontId="54" fillId="0" borderId="17" xfId="63" applyNumberFormat="1" applyFont="1" applyBorder="1" applyAlignment="1">
      <alignment horizontal="right" vertical="center" wrapText="1"/>
    </xf>
    <xf numFmtId="0" fontId="54" fillId="0" borderId="19" xfId="0" applyFont="1" applyBorder="1" applyAlignment="1">
      <alignment horizontal="center"/>
    </xf>
    <xf numFmtId="0" fontId="54" fillId="0" borderId="11" xfId="0" applyFont="1" applyBorder="1" applyAlignment="1">
      <alignment horizontal="center"/>
    </xf>
    <xf numFmtId="0" fontId="54" fillId="0" borderId="46" xfId="0" applyFont="1" applyBorder="1" applyAlignment="1">
      <alignment horizontal="center"/>
    </xf>
    <xf numFmtId="0" fontId="27" fillId="0" borderId="55" xfId="0" applyFont="1" applyFill="1" applyBorder="1" applyAlignment="1">
      <alignment horizontal="right"/>
    </xf>
    <xf numFmtId="0" fontId="27" fillId="0" borderId="56" xfId="0" applyFont="1" applyFill="1" applyBorder="1" applyAlignment="1">
      <alignment horizontal="right"/>
    </xf>
    <xf numFmtId="0" fontId="27" fillId="0" borderId="62" xfId="0" applyFont="1" applyFill="1" applyBorder="1" applyAlignment="1">
      <alignment horizontal="right"/>
    </xf>
    <xf numFmtId="0" fontId="28" fillId="10" borderId="5" xfId="0" applyFont="1" applyFill="1" applyBorder="1" applyAlignment="1">
      <alignment horizontal="center" vertical="center"/>
    </xf>
    <xf numFmtId="0" fontId="28" fillId="10" borderId="6" xfId="0" applyFont="1" applyFill="1" applyBorder="1" applyAlignment="1">
      <alignment horizontal="center" vertical="center"/>
    </xf>
    <xf numFmtId="0" fontId="39" fillId="10" borderId="21" xfId="0" applyFont="1" applyFill="1" applyBorder="1" applyAlignment="1">
      <alignment horizontal="center"/>
    </xf>
    <xf numFmtId="0" fontId="39" fillId="10" borderId="22" xfId="0" applyFont="1" applyFill="1" applyBorder="1" applyAlignment="1">
      <alignment horizontal="center"/>
    </xf>
    <xf numFmtId="0" fontId="39" fillId="10" borderId="12" xfId="0" applyFont="1" applyFill="1" applyBorder="1" applyAlignment="1">
      <alignment horizontal="center"/>
    </xf>
    <xf numFmtId="0" fontId="54" fillId="0" borderId="0" xfId="0" applyFont="1" applyAlignment="1">
      <alignment wrapText="1"/>
    </xf>
    <xf numFmtId="0" fontId="54" fillId="11" borderId="68" xfId="0" applyFont="1" applyFill="1" applyBorder="1" applyAlignment="1">
      <alignment horizontal="center" vertical="center" wrapText="1"/>
    </xf>
    <xf numFmtId="0" fontId="54" fillId="11" borderId="69" xfId="0" applyFont="1" applyFill="1" applyBorder="1" applyAlignment="1">
      <alignment horizontal="center" vertical="center" wrapText="1"/>
    </xf>
    <xf numFmtId="0" fontId="54" fillId="11" borderId="70" xfId="0" applyFont="1" applyFill="1" applyBorder="1" applyAlignment="1">
      <alignment horizontal="center" vertical="center" wrapText="1"/>
    </xf>
    <xf numFmtId="0" fontId="54" fillId="12" borderId="68" xfId="0" applyFont="1" applyFill="1" applyBorder="1" applyAlignment="1">
      <alignment horizontal="center" vertical="center" wrapText="1"/>
    </xf>
    <xf numFmtId="0" fontId="54" fillId="12" borderId="70" xfId="0" applyFont="1" applyFill="1" applyBorder="1" applyAlignment="1">
      <alignment horizontal="center" vertical="center" wrapText="1"/>
    </xf>
  </cellXfs>
  <cellStyles count="64">
    <cellStyle name="Hiperlink" xfId="1" builtinId="8"/>
    <cellStyle name="Moeda 2" xfId="6"/>
    <cellStyle name="Moeda 3" xfId="7"/>
    <cellStyle name="Moeda 4" xfId="38"/>
    <cellStyle name="Moeda 5" xfId="43"/>
    <cellStyle name="Normal" xfId="0" builtinId="0"/>
    <cellStyle name="Normal 10" xfId="26"/>
    <cellStyle name="Normal 11" xfId="27"/>
    <cellStyle name="Normal 12" xfId="30"/>
    <cellStyle name="Normal 13" xfId="32"/>
    <cellStyle name="Normal 14" xfId="34"/>
    <cellStyle name="Normal 15" xfId="37"/>
    <cellStyle name="Normal 16" xfId="39"/>
    <cellStyle name="Normal 17" xfId="41"/>
    <cellStyle name="Normal 18" xfId="44"/>
    <cellStyle name="Normal 19" xfId="46"/>
    <cellStyle name="Normal 2" xfId="8"/>
    <cellStyle name="Normal 2 2" xfId="9"/>
    <cellStyle name="Normal 2 3" xfId="25"/>
    <cellStyle name="Normal 2 3 2" xfId="58"/>
    <cellStyle name="Normal 20" xfId="48"/>
    <cellStyle name="Normal 21" xfId="50"/>
    <cellStyle name="Normal 22" xfId="53"/>
    <cellStyle name="Normal 23" xfId="55"/>
    <cellStyle name="Normal 24" xfId="59"/>
    <cellStyle name="Normal 24 2" xfId="63"/>
    <cellStyle name="Normal 25" xfId="61"/>
    <cellStyle name="Normal 26" xfId="62"/>
    <cellStyle name="Normal 3" xfId="10"/>
    <cellStyle name="Normal 4" xfId="11"/>
    <cellStyle name="Normal 5" xfId="12"/>
    <cellStyle name="Normal 6" xfId="4"/>
    <cellStyle name="Normal 6 2" xfId="51"/>
    <cellStyle name="Normal 6 3" xfId="57"/>
    <cellStyle name="Normal 7" xfId="13"/>
    <cellStyle name="Normal 8" xfId="14"/>
    <cellStyle name="Normal 9" xfId="15"/>
    <cellStyle name="Porcentagem" xfId="2" builtinId="5"/>
    <cellStyle name="Porcentagem 2" xfId="16"/>
    <cellStyle name="Porcentagem 3" xfId="17"/>
    <cellStyle name="Separador de milhares 10" xfId="28"/>
    <cellStyle name="Separador de milhares 11" xfId="31"/>
    <cellStyle name="Separador de milhares 12" xfId="33"/>
    <cellStyle name="Separador de milhares 13" xfId="35"/>
    <cellStyle name="Separador de milhares 14" xfId="36"/>
    <cellStyle name="Separador de milhares 15" xfId="40"/>
    <cellStyle name="Separador de milhares 16" xfId="42"/>
    <cellStyle name="Separador de milhares 17" xfId="45"/>
    <cellStyle name="Separador de milhares 18" xfId="47"/>
    <cellStyle name="Separador de milhares 19" xfId="49"/>
    <cellStyle name="Separador de milhares 2" xfId="18"/>
    <cellStyle name="Separador de milhares 20" xfId="54"/>
    <cellStyle name="Separador de milhares 21" xfId="56"/>
    <cellStyle name="Separador de milhares 22" xfId="60"/>
    <cellStyle name="Separador de milhares 3" xfId="19"/>
    <cellStyle name="Separador de milhares 4" xfId="20"/>
    <cellStyle name="Separador de milhares 5" xfId="5"/>
    <cellStyle name="Separador de milhares 5 2" xfId="52"/>
    <cellStyle name="Separador de milhares 6" xfId="21"/>
    <cellStyle name="Separador de milhares 7" xfId="22"/>
    <cellStyle name="Separador de milhares 8" xfId="23"/>
    <cellStyle name="Separador de milhares 9" xfId="29"/>
    <cellStyle name="Vírgula" xfId="3" builtinId="3"/>
    <cellStyle name="Vírgula 2" xfId="2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360045</xdr:colOff>
      <xdr:row>174</xdr:row>
      <xdr:rowOff>66040</xdr:rowOff>
    </xdr:from>
    <xdr:to>
      <xdr:col>5</xdr:col>
      <xdr:colOff>760095</xdr:colOff>
      <xdr:row>174</xdr:row>
      <xdr:rowOff>66040</xdr:rowOff>
    </xdr:to>
    <xdr:cxnSp macro="">
      <xdr:nvCxnSpPr>
        <xdr:cNvPr id="2" name="Lin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>
          <a:off x="4512945" y="21211540"/>
          <a:ext cx="3280410" cy="0"/>
        </a:xfrm>
        <a:prstGeom prst="line">
          <a:avLst/>
        </a:prstGeom>
        <a:noFill/>
        <a:ln w="10668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="" xmlns:a16="http://schemas.microsoft.com/office/drawing/2014/main" id="{00000000-0008-0000-0D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="" xmlns:a16="http://schemas.microsoft.com/office/drawing/2014/main" id="{00000000-0008-0000-0D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s\Desktop\2020\Nova%20Bassano\Edital%20anterior\Container%20-%20Planilha%20Or&#231;amento%20modelo%20TCE%20Nova%20Bassan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Coleta Domiciliar"/>
      <sheetName val="2.Encargos Sociais"/>
      <sheetName val="3.CAGED"/>
      <sheetName val="4.BDI"/>
      <sheetName val="5. Depreciação"/>
      <sheetName val="6.Remuneração de capital"/>
      <sheetName val="7. Dimensionamento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/>
  </sheetViews>
  <sheetFormatPr defaultRowHeight="12.75" x14ac:dyDescent="0.2"/>
  <cols>
    <col min="1" max="1" width="7.5703125" customWidth="1"/>
    <col min="2" max="2" width="32.42578125" customWidth="1"/>
    <col min="3" max="3" width="13.28515625" hidden="1" customWidth="1"/>
    <col min="4" max="4" width="11.85546875" hidden="1" customWidth="1"/>
    <col min="5" max="5" width="4.42578125" hidden="1" customWidth="1"/>
    <col min="6" max="6" width="11.28515625" customWidth="1"/>
    <col min="7" max="8" width="13.7109375" hidden="1" customWidth="1"/>
    <col min="9" max="11" width="10.42578125" bestFit="1" customWidth="1"/>
    <col min="12" max="12" width="11.42578125" bestFit="1" customWidth="1"/>
    <col min="13" max="13" width="10.42578125" bestFit="1" customWidth="1"/>
  </cols>
  <sheetData>
    <row r="1" spans="1:9" ht="18" x14ac:dyDescent="0.2">
      <c r="A1" s="334" t="s">
        <v>554</v>
      </c>
    </row>
    <row r="2" spans="1:9" x14ac:dyDescent="0.2">
      <c r="A2" s="108" t="s">
        <v>464</v>
      </c>
    </row>
    <row r="3" spans="1:9" x14ac:dyDescent="0.2">
      <c r="A3" s="343" t="s">
        <v>308</v>
      </c>
      <c r="B3" s="343" t="s">
        <v>356</v>
      </c>
      <c r="C3" s="343" t="s">
        <v>369</v>
      </c>
      <c r="D3" s="343" t="s">
        <v>357</v>
      </c>
      <c r="E3" s="343" t="s">
        <v>358</v>
      </c>
      <c r="F3" s="343" t="s">
        <v>370</v>
      </c>
      <c r="G3" s="343" t="s">
        <v>359</v>
      </c>
      <c r="H3" s="343" t="s">
        <v>371</v>
      </c>
    </row>
    <row r="4" spans="1:9" x14ac:dyDescent="0.2">
      <c r="A4" s="343">
        <v>1</v>
      </c>
      <c r="B4" s="345" t="s">
        <v>392</v>
      </c>
      <c r="C4" s="368">
        <f>9901.41+8807.51+4497.81</f>
        <v>23206.73</v>
      </c>
      <c r="D4" s="345"/>
      <c r="E4" s="346">
        <f>C4*D4</f>
        <v>0</v>
      </c>
      <c r="F4" s="346">
        <f>'1. Coleta Orgânica'!F315</f>
        <v>9159.8175426015168</v>
      </c>
      <c r="G4" s="346">
        <f>F4-C4</f>
        <v>-14046.912457398483</v>
      </c>
      <c r="H4" s="369">
        <f>F4/C4-1</f>
        <v>-0.60529477687715949</v>
      </c>
    </row>
    <row r="5" spans="1:9" x14ac:dyDescent="0.2">
      <c r="A5" s="343">
        <v>2</v>
      </c>
      <c r="B5" s="345" t="s">
        <v>485</v>
      </c>
      <c r="C5" s="368">
        <f>4649.22+2392.89</f>
        <v>7042.1100000000006</v>
      </c>
      <c r="D5" s="345"/>
      <c r="E5" s="346">
        <f t="shared" ref="E5" si="0">C5*D5</f>
        <v>0</v>
      </c>
      <c r="F5" s="346">
        <f>'2. Coleta Seletiva e Interior'!F315</f>
        <v>8237.517391940888</v>
      </c>
      <c r="G5" s="346">
        <f t="shared" ref="G5" si="1">F5-C5</f>
        <v>1195.4073919408875</v>
      </c>
      <c r="H5" s="369">
        <f t="shared" ref="H5" si="2">F5/C5-1</f>
        <v>0.16975130918728731</v>
      </c>
    </row>
    <row r="6" spans="1:9" x14ac:dyDescent="0.2">
      <c r="A6" s="343">
        <v>3</v>
      </c>
      <c r="B6" s="350" t="s">
        <v>463</v>
      </c>
      <c r="C6" s="368"/>
      <c r="D6" s="345"/>
      <c r="E6" s="346"/>
      <c r="F6" s="346">
        <f>'3. Contentores'!E18</f>
        <v>5975.3262060625011</v>
      </c>
      <c r="G6" s="346"/>
      <c r="H6" s="369"/>
    </row>
    <row r="7" spans="1:9" x14ac:dyDescent="0.2">
      <c r="A7" s="344"/>
      <c r="B7" s="350"/>
      <c r="C7" s="368"/>
      <c r="D7" s="345"/>
      <c r="E7" s="346"/>
      <c r="F7" s="346"/>
      <c r="G7" s="346"/>
      <c r="H7" s="369"/>
    </row>
    <row r="8" spans="1:9" x14ac:dyDescent="0.2">
      <c r="A8" s="347" t="s">
        <v>591</v>
      </c>
      <c r="B8" s="347"/>
      <c r="C8" s="348" t="e">
        <f>SUM(#REF!)</f>
        <v>#REF!</v>
      </c>
      <c r="D8" s="347"/>
      <c r="E8" s="349" t="e">
        <f>SUM(#REF!)</f>
        <v>#REF!</v>
      </c>
      <c r="F8" s="349">
        <f>SUM(F4:F7)</f>
        <v>23372.661140604909</v>
      </c>
      <c r="G8" s="346"/>
      <c r="H8" s="369"/>
    </row>
    <row r="9" spans="1:9" x14ac:dyDescent="0.2">
      <c r="A9" s="344"/>
      <c r="B9" s="350"/>
      <c r="C9" s="368"/>
      <c r="D9" s="345"/>
      <c r="E9" s="346"/>
      <c r="F9" s="346"/>
      <c r="G9" s="346"/>
      <c r="H9" s="369"/>
    </row>
    <row r="10" spans="1:9" x14ac:dyDescent="0.2">
      <c r="F10" s="432"/>
    </row>
    <row r="11" spans="1:9" hidden="1" x14ac:dyDescent="0.2">
      <c r="B11" s="108" t="s">
        <v>405</v>
      </c>
      <c r="F11" s="379"/>
    </row>
    <row r="12" spans="1:9" hidden="1" x14ac:dyDescent="0.2">
      <c r="B12" s="108"/>
      <c r="F12" s="383"/>
    </row>
    <row r="13" spans="1:9" hidden="1" x14ac:dyDescent="0.2">
      <c r="B13" s="384" t="s">
        <v>406</v>
      </c>
      <c r="C13" s="385"/>
      <c r="D13" s="385"/>
      <c r="E13" s="385"/>
      <c r="F13" s="379"/>
    </row>
    <row r="14" spans="1:9" hidden="1" x14ac:dyDescent="0.2">
      <c r="A14" s="108" t="s">
        <v>363</v>
      </c>
      <c r="F14" s="380"/>
    </row>
    <row r="15" spans="1:9" hidden="1" x14ac:dyDescent="0.2">
      <c r="A15" s="346">
        <v>10</v>
      </c>
      <c r="B15" s="350" t="s">
        <v>80</v>
      </c>
      <c r="C15" s="359"/>
      <c r="D15" s="355"/>
      <c r="F15" s="380"/>
      <c r="I15" s="386"/>
    </row>
    <row r="16" spans="1:9" hidden="1" x14ac:dyDescent="0.2">
      <c r="A16" s="346">
        <v>5</v>
      </c>
      <c r="B16" s="350" t="s">
        <v>364</v>
      </c>
      <c r="C16" s="361"/>
      <c r="D16" s="356"/>
      <c r="F16" s="432"/>
    </row>
    <row r="17" spans="1:11" hidden="1" x14ac:dyDescent="0.2">
      <c r="A17" s="346">
        <v>5</v>
      </c>
      <c r="B17" s="350" t="s">
        <v>365</v>
      </c>
      <c r="C17" s="361"/>
      <c r="D17" s="356"/>
      <c r="F17" s="432"/>
    </row>
    <row r="18" spans="1:11" hidden="1" x14ac:dyDescent="0.2">
      <c r="A18" s="353">
        <f>SUM(A15:A17)</f>
        <v>20</v>
      </c>
      <c r="B18" s="350" t="s">
        <v>366</v>
      </c>
      <c r="C18" s="361"/>
      <c r="D18" s="356"/>
      <c r="F18" s="432"/>
    </row>
    <row r="19" spans="1:11" hidden="1" x14ac:dyDescent="0.2">
      <c r="A19" s="351" t="e">
        <f>#REF!*A18/100</f>
        <v>#REF!</v>
      </c>
      <c r="B19" s="352" t="s">
        <v>367</v>
      </c>
      <c r="C19" s="361"/>
      <c r="D19" s="356"/>
      <c r="F19" s="432"/>
    </row>
    <row r="20" spans="1:11" hidden="1" x14ac:dyDescent="0.2">
      <c r="A20" s="359"/>
      <c r="B20" s="360"/>
      <c r="C20" s="361"/>
      <c r="D20" s="356"/>
      <c r="F20" s="432"/>
    </row>
    <row r="21" spans="1:11" hidden="1" x14ac:dyDescent="0.2">
      <c r="A21" s="359"/>
      <c r="B21" s="359"/>
      <c r="C21" s="359"/>
      <c r="D21" s="356"/>
      <c r="F21" s="379"/>
    </row>
    <row r="22" spans="1:11" hidden="1" x14ac:dyDescent="0.2">
      <c r="A22" s="359"/>
      <c r="B22" s="362"/>
      <c r="C22" s="363"/>
      <c r="D22" s="357"/>
      <c r="F22" s="379"/>
    </row>
    <row r="23" spans="1:11" x14ac:dyDescent="0.2">
      <c r="A23" s="359"/>
      <c r="B23" s="364"/>
      <c r="C23" s="359"/>
      <c r="D23" s="358"/>
      <c r="F23" s="540"/>
    </row>
    <row r="24" spans="1:11" hidden="1" x14ac:dyDescent="0.2">
      <c r="A24" s="359" t="s">
        <v>432</v>
      </c>
      <c r="B24" s="364"/>
      <c r="C24" s="359"/>
      <c r="D24" s="358"/>
      <c r="F24" s="432"/>
    </row>
    <row r="25" spans="1:11" hidden="1" x14ac:dyDescent="0.2">
      <c r="A25" s="343" t="s">
        <v>308</v>
      </c>
      <c r="B25" s="343" t="s">
        <v>356</v>
      </c>
      <c r="C25" s="343" t="s">
        <v>369</v>
      </c>
      <c r="D25" s="343" t="s">
        <v>357</v>
      </c>
      <c r="E25" s="343" t="s">
        <v>358</v>
      </c>
      <c r="F25" s="415"/>
      <c r="I25" s="415" t="s">
        <v>420</v>
      </c>
      <c r="J25" s="415" t="s">
        <v>421</v>
      </c>
      <c r="K25" s="415" t="s">
        <v>422</v>
      </c>
    </row>
    <row r="26" spans="1:11" hidden="1" x14ac:dyDescent="0.2">
      <c r="A26" s="344">
        <v>1</v>
      </c>
      <c r="B26" s="345" t="s">
        <v>478</v>
      </c>
      <c r="C26" s="368">
        <f>9901.41+8807.51+4497.81</f>
        <v>23206.73</v>
      </c>
      <c r="D26" s="345"/>
      <c r="E26" s="346">
        <f>C26*D26</f>
        <v>0</v>
      </c>
      <c r="F26" s="541"/>
      <c r="I26" s="416">
        <f>F26*1.052</f>
        <v>0</v>
      </c>
      <c r="J26" s="416" t="e">
        <f>F4+F5+#REF!</f>
        <v>#REF!</v>
      </c>
      <c r="K26" s="416" t="e">
        <f>J26-I26</f>
        <v>#REF!</v>
      </c>
    </row>
    <row r="27" spans="1:11" hidden="1" x14ac:dyDescent="0.2">
      <c r="A27" s="344">
        <v>2</v>
      </c>
      <c r="B27" s="350" t="s">
        <v>463</v>
      </c>
      <c r="C27" s="368"/>
      <c r="D27" s="345"/>
      <c r="E27" s="346"/>
      <c r="F27" s="541"/>
      <c r="I27" s="416">
        <f>F27*1.052</f>
        <v>0</v>
      </c>
      <c r="J27" s="416">
        <f>F6</f>
        <v>5975.3262060625011</v>
      </c>
      <c r="K27" s="416">
        <f t="shared" ref="K27:K29" si="3">J27-I27</f>
        <v>5975.3262060625011</v>
      </c>
    </row>
    <row r="28" spans="1:11" hidden="1" x14ac:dyDescent="0.2">
      <c r="A28" s="344"/>
      <c r="B28" s="345"/>
      <c r="C28" s="345"/>
      <c r="D28" s="345"/>
      <c r="E28" s="346">
        <f t="shared" ref="E28" si="4">C28*D28</f>
        <v>0</v>
      </c>
      <c r="F28" s="541"/>
      <c r="I28" s="345"/>
      <c r="J28" s="345"/>
      <c r="K28" s="416">
        <f t="shared" si="3"/>
        <v>0</v>
      </c>
    </row>
    <row r="29" spans="1:11" hidden="1" x14ac:dyDescent="0.2">
      <c r="A29" s="347" t="s">
        <v>360</v>
      </c>
      <c r="B29" s="347"/>
      <c r="C29" s="348">
        <f>SUM(C26:C28)</f>
        <v>23206.73</v>
      </c>
      <c r="D29" s="347"/>
      <c r="E29" s="349">
        <f>SUM(E26:E28)</f>
        <v>0</v>
      </c>
      <c r="F29" s="542"/>
      <c r="I29" s="349">
        <f>SUM(I26:I28)</f>
        <v>0</v>
      </c>
      <c r="J29" s="349" t="e">
        <f>SUM(J26:J28)</f>
        <v>#REF!</v>
      </c>
      <c r="K29" s="417" t="e">
        <f t="shared" si="3"/>
        <v>#REF!</v>
      </c>
    </row>
    <row r="30" spans="1:11" hidden="1" x14ac:dyDescent="0.2">
      <c r="A30" s="347" t="s">
        <v>361</v>
      </c>
      <c r="B30" s="345"/>
      <c r="C30" s="345"/>
      <c r="D30" s="345"/>
      <c r="E30" s="349"/>
      <c r="F30" s="542"/>
      <c r="I30" s="349" t="e">
        <f>#REF!</f>
        <v>#REF!</v>
      </c>
      <c r="J30" s="349" t="e">
        <f>#REF!</f>
        <v>#REF!</v>
      </c>
      <c r="K30" s="416" t="e">
        <f>J30-I30</f>
        <v>#REF!</v>
      </c>
    </row>
    <row r="31" spans="1:11" hidden="1" x14ac:dyDescent="0.2">
      <c r="A31" s="347" t="s">
        <v>362</v>
      </c>
      <c r="B31" s="345"/>
      <c r="C31" s="345"/>
      <c r="D31" s="345"/>
      <c r="E31" s="349"/>
      <c r="F31" s="542"/>
      <c r="I31" s="349" t="e">
        <f t="shared" ref="I31:J31" si="5">I26/I30</f>
        <v>#REF!</v>
      </c>
      <c r="J31" s="349" t="e">
        <f t="shared" si="5"/>
        <v>#REF!</v>
      </c>
      <c r="K31" s="416"/>
    </row>
    <row r="32" spans="1:11" hidden="1" x14ac:dyDescent="0.2">
      <c r="F32" s="432"/>
    </row>
    <row r="33" spans="6:6" x14ac:dyDescent="0.2">
      <c r="F33" s="379"/>
    </row>
    <row r="34" spans="6:6" x14ac:dyDescent="0.2">
      <c r="F34" s="580"/>
    </row>
    <row r="36" spans="6:6" x14ac:dyDescent="0.2">
      <c r="F36" s="354"/>
    </row>
  </sheetData>
  <pageMargins left="0.511811024" right="0.511811024" top="0.78740157499999996" bottom="0.78740157499999996" header="0.31496062000000002" footer="0.31496062000000002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4"/>
  <sheetViews>
    <sheetView topLeftCell="A202" zoomScaleSheetLayoutView="100" workbookViewId="0">
      <selection activeCell="C214" sqref="C214"/>
    </sheetView>
  </sheetViews>
  <sheetFormatPr defaultColWidth="9.140625"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ht="15.75" x14ac:dyDescent="0.2">
      <c r="A1" s="300" t="s">
        <v>193</v>
      </c>
    </row>
    <row r="2" spans="1:7" ht="15.75" x14ac:dyDescent="0.2">
      <c r="A2" s="333" t="s">
        <v>278</v>
      </c>
    </row>
    <row r="3" spans="1:7" ht="15.75" x14ac:dyDescent="0.2">
      <c r="A3" s="333" t="s">
        <v>279</v>
      </c>
    </row>
    <row r="4" spans="1:7" ht="15.75" x14ac:dyDescent="0.2">
      <c r="A4" s="333" t="s">
        <v>281</v>
      </c>
    </row>
    <row r="5" spans="1:7" s="4" customFormat="1" ht="15.6" customHeight="1" x14ac:dyDescent="0.2">
      <c r="A5" s="300" t="s">
        <v>275</v>
      </c>
      <c r="C5" s="138"/>
      <c r="D5" s="138"/>
      <c r="E5" s="138"/>
      <c r="F5" s="138"/>
      <c r="G5" s="6"/>
    </row>
    <row r="6" spans="1:7" s="4" customFormat="1" ht="15.6" customHeight="1" x14ac:dyDescent="0.2">
      <c r="A6" s="301" t="s">
        <v>280</v>
      </c>
      <c r="B6" s="138"/>
      <c r="C6" s="138"/>
      <c r="D6" s="138"/>
      <c r="E6" s="138"/>
      <c r="F6" s="138"/>
      <c r="G6" s="6"/>
    </row>
    <row r="7" spans="1:7" s="4" customFormat="1" ht="15.6" hidden="1" customHeight="1" x14ac:dyDescent="0.2">
      <c r="A7" s="137"/>
      <c r="B7" s="138"/>
      <c r="C7" s="138"/>
      <c r="D7" s="138"/>
      <c r="E7" s="138"/>
      <c r="F7" s="138"/>
      <c r="G7" s="6"/>
    </row>
    <row r="8" spans="1:7" s="4" customFormat="1" ht="15.6" hidden="1" customHeight="1" x14ac:dyDescent="0.2">
      <c r="A8" s="302" t="s">
        <v>286</v>
      </c>
      <c r="B8" s="138"/>
      <c r="C8" s="138"/>
      <c r="D8" s="138"/>
      <c r="E8" s="138"/>
      <c r="F8" s="138"/>
      <c r="G8" s="6"/>
    </row>
    <row r="9" spans="1:7" s="4" customFormat="1" ht="15.6" customHeight="1" x14ac:dyDescent="0.2">
      <c r="A9" s="333" t="s">
        <v>283</v>
      </c>
      <c r="B9" s="138"/>
      <c r="C9" s="138"/>
      <c r="D9" s="138"/>
      <c r="E9" s="138"/>
      <c r="F9" s="138"/>
      <c r="G9" s="6"/>
    </row>
    <row r="10" spans="1:7" s="4" customFormat="1" ht="16.5" customHeight="1" x14ac:dyDescent="0.2">
      <c r="A10" s="7"/>
      <c r="B10" s="5"/>
      <c r="C10" s="5"/>
      <c r="D10" s="6"/>
      <c r="E10" s="6"/>
      <c r="F10" s="6"/>
      <c r="G10" s="6"/>
    </row>
    <row r="11" spans="1:7" s="4" customFormat="1" ht="16.5" customHeight="1" thickBot="1" x14ac:dyDescent="0.25">
      <c r="A11" s="334" t="s">
        <v>554</v>
      </c>
      <c r="B11" s="5"/>
      <c r="C11" s="5"/>
      <c r="D11" s="6"/>
      <c r="E11" s="6"/>
      <c r="F11" s="6"/>
      <c r="G11" s="6"/>
    </row>
    <row r="12" spans="1:7" s="8" customFormat="1" ht="18" x14ac:dyDescent="0.2">
      <c r="A12" s="585" t="s">
        <v>477</v>
      </c>
      <c r="B12" s="586"/>
      <c r="C12" s="586"/>
      <c r="D12" s="586"/>
      <c r="E12" s="586"/>
      <c r="F12" s="587"/>
      <c r="G12" s="36"/>
    </row>
    <row r="13" spans="1:7" s="8" customFormat="1" ht="21.75" customHeight="1" x14ac:dyDescent="0.2">
      <c r="A13" s="588" t="s">
        <v>45</v>
      </c>
      <c r="B13" s="589"/>
      <c r="C13" s="589"/>
      <c r="D13" s="589"/>
      <c r="E13" s="589"/>
      <c r="F13" s="590"/>
      <c r="G13" s="36"/>
    </row>
    <row r="14" spans="1:7" s="4" customFormat="1" ht="10.9" customHeight="1" thickBot="1" x14ac:dyDescent="0.25">
      <c r="A14" s="150"/>
      <c r="B14" s="151"/>
      <c r="C14" s="151"/>
      <c r="D14" s="152"/>
      <c r="E14" s="152"/>
      <c r="F14" s="153"/>
      <c r="G14" s="6"/>
    </row>
    <row r="15" spans="1:7" s="4" customFormat="1" ht="15.75" customHeight="1" thickBot="1" x14ac:dyDescent="0.25">
      <c r="A15" s="594" t="s">
        <v>192</v>
      </c>
      <c r="B15" s="595"/>
      <c r="C15" s="595"/>
      <c r="D15" s="595"/>
      <c r="E15" s="595"/>
      <c r="F15" s="596"/>
      <c r="G15" s="6"/>
    </row>
    <row r="16" spans="1:7" s="4" customFormat="1" ht="15.75" customHeight="1" x14ac:dyDescent="0.2">
      <c r="A16" s="64" t="s">
        <v>191</v>
      </c>
      <c r="B16" s="40"/>
      <c r="C16" s="40"/>
      <c r="D16" s="260"/>
      <c r="E16" s="115" t="s">
        <v>40</v>
      </c>
      <c r="F16" s="41" t="s">
        <v>2</v>
      </c>
      <c r="G16" s="6"/>
    </row>
    <row r="17" spans="1:7" s="11" customFormat="1" ht="15.75" customHeight="1" x14ac:dyDescent="0.2">
      <c r="A17" s="124" t="str">
        <f>A56</f>
        <v>1. Mão-de-obra</v>
      </c>
      <c r="B17" s="125"/>
      <c r="C17" s="126"/>
      <c r="D17" s="126"/>
      <c r="E17" s="257">
        <f>+F153</f>
        <v>2436.9615981259712</v>
      </c>
      <c r="F17" s="127">
        <f>IFERROR(E17/$E$39,0)</f>
        <v>0.2660491420043985</v>
      </c>
      <c r="G17" s="44"/>
    </row>
    <row r="18" spans="1:7" s="4" customFormat="1" ht="15.75" customHeight="1" x14ac:dyDescent="0.2">
      <c r="A18" s="49" t="str">
        <f>A58</f>
        <v>1.1. Coletor Turno Dia</v>
      </c>
      <c r="B18" s="45"/>
      <c r="C18" s="47"/>
      <c r="D18" s="47"/>
      <c r="E18" s="258">
        <f>F69</f>
        <v>1168.9972505442001</v>
      </c>
      <c r="F18" s="58">
        <f>IFERROR(E18/$E$39,0)</f>
        <v>0.12762232927755332</v>
      </c>
      <c r="G18" s="6"/>
    </row>
    <row r="19" spans="1:7" s="4" customFormat="1" ht="15.75" hidden="1" customHeight="1" x14ac:dyDescent="0.2">
      <c r="A19" s="49" t="str">
        <f>A71</f>
        <v>1.2. Coletor Turno Noite</v>
      </c>
      <c r="B19" s="45"/>
      <c r="C19" s="47"/>
      <c r="D19" s="47"/>
      <c r="E19" s="258">
        <f>F88</f>
        <v>0</v>
      </c>
      <c r="F19" s="58">
        <f t="shared" ref="F19:F38" si="0">IFERROR(E19/$E$39,0)</f>
        <v>0</v>
      </c>
      <c r="G19" s="6"/>
    </row>
    <row r="20" spans="1:7" s="4" customFormat="1" ht="15.75" customHeight="1" x14ac:dyDescent="0.2">
      <c r="A20" s="49" t="str">
        <f>A90</f>
        <v>1.2. Motorista Turno do Dia</v>
      </c>
      <c r="B20" s="45"/>
      <c r="C20" s="47"/>
      <c r="D20" s="47"/>
      <c r="E20" s="258">
        <f>F103</f>
        <v>752.60396890350023</v>
      </c>
      <c r="F20" s="58">
        <f t="shared" si="0"/>
        <v>8.2163641950639785E-2</v>
      </c>
      <c r="G20" s="508"/>
    </row>
    <row r="21" spans="1:7" s="4" customFormat="1" ht="15.75" customHeight="1" x14ac:dyDescent="0.2">
      <c r="A21" s="49" t="str">
        <f>A106</f>
        <v>1.3. Encarregado/Supervisor</v>
      </c>
      <c r="B21" s="45"/>
      <c r="C21" s="47"/>
      <c r="D21" s="47"/>
      <c r="E21" s="258">
        <f>F125</f>
        <v>162.51889815879071</v>
      </c>
      <c r="F21" s="58">
        <f t="shared" si="0"/>
        <v>1.7742591203692586E-2</v>
      </c>
      <c r="G21" s="6"/>
    </row>
    <row r="22" spans="1:7" s="4" customFormat="1" ht="15.75" customHeight="1" x14ac:dyDescent="0.2">
      <c r="A22" s="49" t="str">
        <f>A127</f>
        <v>1.4. Vale Transporte</v>
      </c>
      <c r="B22" s="45"/>
      <c r="C22" s="47"/>
      <c r="D22" s="47"/>
      <c r="E22" s="258">
        <f>F133</f>
        <v>92.074371428571396</v>
      </c>
      <c r="F22" s="58">
        <f t="shared" si="0"/>
        <v>1.0051987498696506E-2</v>
      </c>
      <c r="G22" s="6"/>
    </row>
    <row r="23" spans="1:7" s="4" customFormat="1" ht="15.75" customHeight="1" x14ac:dyDescent="0.2">
      <c r="A23" s="49" t="str">
        <f>A135</f>
        <v>1.5. Vale Lanche (diário)</v>
      </c>
      <c r="B23" s="45"/>
      <c r="C23" s="47"/>
      <c r="D23" s="47"/>
      <c r="E23" s="258">
        <f>F139</f>
        <v>239.3442</v>
      </c>
      <c r="F23" s="58">
        <f t="shared" si="0"/>
        <v>2.612979995363782E-2</v>
      </c>
      <c r="G23" s="6"/>
    </row>
    <row r="24" spans="1:7" s="4" customFormat="1" ht="15.75" customHeight="1" x14ac:dyDescent="0.2">
      <c r="A24" s="49" t="str">
        <f>A141</f>
        <v>1.6. Auxílio Alimentação (mensal)</v>
      </c>
      <c r="B24" s="45"/>
      <c r="C24" s="47"/>
      <c r="D24" s="47"/>
      <c r="E24" s="258">
        <f>F145</f>
        <v>15.912000000000001</v>
      </c>
      <c r="F24" s="58">
        <f t="shared" si="0"/>
        <v>1.7371525061492404E-3</v>
      </c>
      <c r="G24" s="6"/>
    </row>
    <row r="25" spans="1:7" s="4" customFormat="1" ht="15.75" customHeight="1" x14ac:dyDescent="0.2">
      <c r="A25" s="49" t="str">
        <f>A147</f>
        <v xml:space="preserve">1.7. Plano de Benefício Social  </v>
      </c>
      <c r="B25" s="45"/>
      <c r="C25" s="47"/>
      <c r="D25" s="47"/>
      <c r="E25" s="258">
        <f>F151</f>
        <v>5.5109090909090908</v>
      </c>
      <c r="F25" s="58">
        <f t="shared" ref="F25" si="1">IFERROR(E25/$E$39,0)</f>
        <v>6.0163961402924569E-4</v>
      </c>
      <c r="G25" s="6"/>
    </row>
    <row r="26" spans="1:7" s="11" customFormat="1" ht="15.75" customHeight="1" x14ac:dyDescent="0.2">
      <c r="A26" s="583" t="str">
        <f>A155</f>
        <v>2. Uniformes e Equipamentos de Proteção Individual</v>
      </c>
      <c r="B26" s="584"/>
      <c r="C26" s="584"/>
      <c r="D26" s="126"/>
      <c r="E26" s="257">
        <f>+F187</f>
        <v>56.191287878787875</v>
      </c>
      <c r="F26" s="127">
        <f t="shared" si="0"/>
        <v>6.1345422676212782E-3</v>
      </c>
      <c r="G26" s="44"/>
    </row>
    <row r="27" spans="1:7" s="11" customFormat="1" ht="15.75" customHeight="1" x14ac:dyDescent="0.2">
      <c r="A27" s="135" t="str">
        <f>A189</f>
        <v>3. Veículos e Equipamentos</v>
      </c>
      <c r="B27" s="136"/>
      <c r="C27" s="126"/>
      <c r="D27" s="126"/>
      <c r="E27" s="257">
        <f>+F270</f>
        <v>4536.8923905718839</v>
      </c>
      <c r="F27" s="127">
        <f t="shared" si="0"/>
        <v>0.49530379502333871</v>
      </c>
      <c r="G27" s="44"/>
    </row>
    <row r="28" spans="1:7" s="4" customFormat="1" ht="15.75" customHeight="1" x14ac:dyDescent="0.2">
      <c r="A28" s="65" t="str">
        <f>A191</f>
        <v>3.1. Veículo Coletor com compactador</v>
      </c>
      <c r="B28" s="46"/>
      <c r="C28" s="47"/>
      <c r="D28" s="47"/>
      <c r="E28" s="258">
        <f>SUM(E29:E34)</f>
        <v>4536.8923905718839</v>
      </c>
      <c r="F28" s="143">
        <f t="shared" si="0"/>
        <v>0.49530379502333871</v>
      </c>
      <c r="G28" s="6"/>
    </row>
    <row r="29" spans="1:7" s="4" customFormat="1" ht="15.75" customHeight="1" x14ac:dyDescent="0.2">
      <c r="A29" s="65" t="str">
        <f>A193</f>
        <v>3.1.1. Depreciação</v>
      </c>
      <c r="B29" s="46"/>
      <c r="C29" s="47"/>
      <c r="D29" s="47"/>
      <c r="E29" s="258">
        <f>F208</f>
        <v>454.63049999999998</v>
      </c>
      <c r="F29" s="143">
        <f t="shared" si="0"/>
        <v>4.9633139294047397E-2</v>
      </c>
      <c r="G29" s="6"/>
    </row>
    <row r="30" spans="1:7" s="4" customFormat="1" ht="15.75" customHeight="1" x14ac:dyDescent="0.2">
      <c r="A30" s="65" t="str">
        <f>A210</f>
        <v>3.1.2. Remuneração do Capital</v>
      </c>
      <c r="B30" s="46"/>
      <c r="C30" s="47"/>
      <c r="D30" s="47"/>
      <c r="E30" s="258">
        <f>F225</f>
        <v>653.11406437500011</v>
      </c>
      <c r="F30" s="143">
        <f t="shared" si="0"/>
        <v>7.1302082310856441E-2</v>
      </c>
      <c r="G30" s="6"/>
    </row>
    <row r="31" spans="1:7" s="4" customFormat="1" ht="15.75" customHeight="1" x14ac:dyDescent="0.2">
      <c r="A31" s="65" t="str">
        <f>A227</f>
        <v>3.1.3. Impostos e Seguros</v>
      </c>
      <c r="B31" s="46"/>
      <c r="C31" s="47"/>
      <c r="D31" s="47"/>
      <c r="E31" s="258">
        <f>F233</f>
        <v>91.495329545454553</v>
      </c>
      <c r="F31" s="143">
        <f t="shared" si="0"/>
        <v>9.9887720601330443E-3</v>
      </c>
      <c r="G31" s="6"/>
    </row>
    <row r="32" spans="1:7" s="4" customFormat="1" ht="15.75" customHeight="1" x14ac:dyDescent="0.2">
      <c r="A32" s="65" t="str">
        <f>A235</f>
        <v>3.1.4. Consumos</v>
      </c>
      <c r="B32" s="46"/>
      <c r="C32" s="47"/>
      <c r="D32" s="47"/>
      <c r="E32" s="258">
        <f>F253</f>
        <v>2410.0624678628578</v>
      </c>
      <c r="F32" s="143">
        <f t="shared" si="0"/>
        <v>0.26311249723631136</v>
      </c>
      <c r="G32" s="6"/>
    </row>
    <row r="33" spans="1:7" s="4" customFormat="1" ht="15.75" customHeight="1" x14ac:dyDescent="0.2">
      <c r="A33" s="65" t="str">
        <f>A255</f>
        <v>3.1.5. Manutenção</v>
      </c>
      <c r="B33" s="46"/>
      <c r="C33" s="47"/>
      <c r="D33" s="47"/>
      <c r="E33" s="258">
        <f>F258</f>
        <v>721.28386285714294</v>
      </c>
      <c r="F33" s="143">
        <f t="shared" si="0"/>
        <v>7.8744348291056476E-2</v>
      </c>
      <c r="G33" s="6"/>
    </row>
    <row r="34" spans="1:7" s="4" customFormat="1" ht="15.75" customHeight="1" x14ac:dyDescent="0.2">
      <c r="A34" s="65" t="str">
        <f>A260</f>
        <v>3.1.6. Pneus</v>
      </c>
      <c r="B34" s="46"/>
      <c r="C34" s="47"/>
      <c r="D34" s="47"/>
      <c r="E34" s="258">
        <f>F267</f>
        <v>206.30616593142858</v>
      </c>
      <c r="F34" s="143">
        <f t="shared" si="0"/>
        <v>2.2522955830934024E-2</v>
      </c>
      <c r="G34" s="6"/>
    </row>
    <row r="35" spans="1:7" s="11" customFormat="1" ht="15.75" customHeight="1" x14ac:dyDescent="0.2">
      <c r="A35" s="135" t="str">
        <f>A272</f>
        <v xml:space="preserve">4. Ferramentas, Materiais de Consumo </v>
      </c>
      <c r="B35" s="136"/>
      <c r="C35" s="126"/>
      <c r="D35" s="126"/>
      <c r="E35" s="257">
        <f>+F280</f>
        <v>17.833333333333332</v>
      </c>
      <c r="F35" s="127">
        <f t="shared" si="0"/>
        <v>1.9469092315858962E-3</v>
      </c>
      <c r="G35" s="44"/>
    </row>
    <row r="36" spans="1:7" s="11" customFormat="1" ht="15.75" customHeight="1" x14ac:dyDescent="0.2">
      <c r="A36" s="381" t="str">
        <f>A282</f>
        <v xml:space="preserve">5. Administração Local </v>
      </c>
      <c r="B36" s="136"/>
      <c r="C36" s="126"/>
      <c r="D36" s="126"/>
      <c r="E36" s="257">
        <f>F291</f>
        <v>252.5</v>
      </c>
      <c r="F36" s="127">
        <f t="shared" si="0"/>
        <v>2.7566051269650775E-2</v>
      </c>
      <c r="G36" s="44"/>
    </row>
    <row r="37" spans="1:7" s="11" customFormat="1" ht="15.75" customHeight="1" x14ac:dyDescent="0.2">
      <c r="A37" s="135" t="str">
        <f>A293</f>
        <v>6. Monitoramento da Frota</v>
      </c>
      <c r="B37" s="136"/>
      <c r="C37" s="126"/>
      <c r="D37" s="126"/>
      <c r="E37" s="257">
        <f>+F302</f>
        <v>24.545454545454547</v>
      </c>
      <c r="F37" s="127">
        <f t="shared" si="0"/>
        <v>2.6796881522252783E-3</v>
      </c>
      <c r="G37" s="44"/>
    </row>
    <row r="38" spans="1:7" s="11" customFormat="1" ht="15.75" customHeight="1" thickBot="1" x14ac:dyDescent="0.25">
      <c r="A38" s="135" t="str">
        <f>A306</f>
        <v>7. Benefícios e Despesas Indiretas - BDI</v>
      </c>
      <c r="B38" s="136"/>
      <c r="C38" s="126"/>
      <c r="D38" s="126"/>
      <c r="E38" s="259">
        <f>+F312</f>
        <v>1834.8934781460855</v>
      </c>
      <c r="F38" s="127">
        <f t="shared" si="0"/>
        <v>0.20031987205117952</v>
      </c>
      <c r="G38" s="44"/>
    </row>
    <row r="39" spans="1:7" s="4" customFormat="1" ht="15.75" customHeight="1" thickBot="1" x14ac:dyDescent="0.25">
      <c r="A39" s="42" t="s">
        <v>229</v>
      </c>
      <c r="B39" s="43"/>
      <c r="C39" s="26"/>
      <c r="D39" s="26"/>
      <c r="E39" s="114">
        <f>E17+E26+E27+E35+E37+E38+E36</f>
        <v>9159.8175426015168</v>
      </c>
      <c r="F39" s="142">
        <f>F17+F26+F27+F35+F37+F38+F36</f>
        <v>1</v>
      </c>
      <c r="G39" s="6"/>
    </row>
    <row r="41" spans="1:7" ht="13.5" thickBot="1" x14ac:dyDescent="0.25"/>
    <row r="42" spans="1:7" s="4" customFormat="1" ht="15" customHeight="1" thickBot="1" x14ac:dyDescent="0.25">
      <c r="A42" s="594" t="s">
        <v>96</v>
      </c>
      <c r="B42" s="595"/>
      <c r="C42" s="595"/>
      <c r="D42" s="595"/>
      <c r="E42" s="596"/>
      <c r="F42" s="10"/>
      <c r="G42" s="6"/>
    </row>
    <row r="43" spans="1:7" s="4" customFormat="1" ht="15" customHeight="1" thickBot="1" x14ac:dyDescent="0.25">
      <c r="A43" s="591" t="s">
        <v>41</v>
      </c>
      <c r="B43" s="592"/>
      <c r="C43" s="592"/>
      <c r="D43" s="593"/>
      <c r="E43" s="48" t="s">
        <v>42</v>
      </c>
      <c r="F43" s="10"/>
      <c r="G43" s="6"/>
    </row>
    <row r="44" spans="1:7" s="4" customFormat="1" ht="15" customHeight="1" x14ac:dyDescent="0.2">
      <c r="A44" s="73" t="str">
        <f>+A58</f>
        <v>1.1. Coletor Turno Dia</v>
      </c>
      <c r="B44" s="74"/>
      <c r="C44" s="74"/>
      <c r="D44" s="75"/>
      <c r="E44" s="76">
        <f>C68</f>
        <v>2</v>
      </c>
      <c r="F44" s="10"/>
      <c r="G44" s="6"/>
    </row>
    <row r="45" spans="1:7" s="4" customFormat="1" ht="15" hidden="1" customHeight="1" x14ac:dyDescent="0.2">
      <c r="A45" s="67" t="str">
        <f>+A71</f>
        <v>1.2. Coletor Turno Noite</v>
      </c>
      <c r="B45" s="66"/>
      <c r="C45" s="66"/>
      <c r="D45" s="77"/>
      <c r="E45" s="70">
        <f>C87</f>
        <v>0</v>
      </c>
      <c r="F45" s="10"/>
      <c r="G45" s="6"/>
    </row>
    <row r="46" spans="1:7" s="4" customFormat="1" ht="15" customHeight="1" x14ac:dyDescent="0.2">
      <c r="A46" s="67" t="str">
        <f>+A90</f>
        <v>1.2. Motorista Turno do Dia</v>
      </c>
      <c r="B46" s="66"/>
      <c r="C46" s="66"/>
      <c r="D46" s="77"/>
      <c r="E46" s="70">
        <f>C102</f>
        <v>1</v>
      </c>
      <c r="F46" s="10"/>
      <c r="G46" s="6"/>
    </row>
    <row r="47" spans="1:7" s="4" customFormat="1" ht="15" customHeight="1" x14ac:dyDescent="0.2">
      <c r="A47" s="67" t="str">
        <f>+A106</f>
        <v>1.3. Encarregado/Supervisor</v>
      </c>
      <c r="B47" s="66"/>
      <c r="C47" s="66"/>
      <c r="D47" s="77"/>
      <c r="E47" s="70">
        <f>C124</f>
        <v>1</v>
      </c>
      <c r="F47" s="10"/>
      <c r="G47" s="6"/>
    </row>
    <row r="48" spans="1:7" s="4" customFormat="1" ht="15" customHeight="1" thickBot="1" x14ac:dyDescent="0.25">
      <c r="A48" s="71" t="s">
        <v>60</v>
      </c>
      <c r="B48" s="72"/>
      <c r="C48" s="72"/>
      <c r="D48" s="78"/>
      <c r="E48" s="79">
        <f>SUM(E44:E47)</f>
        <v>4</v>
      </c>
      <c r="F48" s="10"/>
      <c r="G48" s="6"/>
    </row>
    <row r="49" spans="1:7" s="4" customFormat="1" ht="15" customHeight="1" thickBot="1" x14ac:dyDescent="0.25">
      <c r="A49" s="128"/>
      <c r="B49" s="129"/>
      <c r="C49" s="59"/>
      <c r="D49" s="59"/>
      <c r="E49" s="130"/>
      <c r="F49" s="10"/>
      <c r="G49" s="6"/>
    </row>
    <row r="50" spans="1:7" s="4" customFormat="1" ht="15" customHeight="1" x14ac:dyDescent="0.2">
      <c r="A50" s="581" t="s">
        <v>58</v>
      </c>
      <c r="B50" s="582"/>
      <c r="C50" s="582"/>
      <c r="D50" s="582"/>
      <c r="E50" s="48" t="s">
        <v>42</v>
      </c>
      <c r="F50" s="9"/>
      <c r="G50" s="6"/>
    </row>
    <row r="51" spans="1:7" s="4" customFormat="1" ht="15" customHeight="1" thickBot="1" x14ac:dyDescent="0.25">
      <c r="A51" s="131" t="str">
        <f>+A191</f>
        <v>3.1. Veículo Coletor com compactador</v>
      </c>
      <c r="B51" s="132"/>
      <c r="C51" s="132"/>
      <c r="D51" s="133"/>
      <c r="E51" s="134">
        <f>C207</f>
        <v>1</v>
      </c>
      <c r="F51" s="9"/>
      <c r="G51" s="6"/>
    </row>
    <row r="52" spans="1:7" s="4" customFormat="1" ht="15" customHeight="1" x14ac:dyDescent="0.2">
      <c r="A52" s="59"/>
      <c r="B52" s="59"/>
      <c r="C52" s="59"/>
      <c r="D52" s="54"/>
      <c r="E52" s="250"/>
      <c r="F52" s="9"/>
      <c r="G52" s="6"/>
    </row>
    <row r="53" spans="1:7" s="4" customFormat="1" ht="13.5" thickBot="1" x14ac:dyDescent="0.25">
      <c r="A53" s="59"/>
      <c r="B53" s="59"/>
      <c r="C53" s="59"/>
      <c r="D53" s="54"/>
      <c r="E53" s="68"/>
      <c r="F53" s="9"/>
      <c r="G53" s="6"/>
    </row>
    <row r="54" spans="1:7" s="11" customFormat="1" ht="15.75" customHeight="1" thickBot="1" x14ac:dyDescent="0.25">
      <c r="A54" s="261" t="s">
        <v>187</v>
      </c>
      <c r="B54" s="314">
        <f>'8. Horários'!G22</f>
        <v>0.15909090909090909</v>
      </c>
      <c r="C54" s="35"/>
      <c r="D54" s="34"/>
      <c r="E54" s="155"/>
      <c r="G54" s="44"/>
    </row>
    <row r="55" spans="1:7" s="4" customFormat="1" ht="15.75" customHeight="1" x14ac:dyDescent="0.2">
      <c r="A55" s="59"/>
      <c r="B55" s="59"/>
      <c r="C55" s="59"/>
      <c r="D55" s="54"/>
      <c r="E55" s="68"/>
      <c r="F55" s="9"/>
      <c r="G55" s="6"/>
    </row>
    <row r="56" spans="1:7" ht="13.15" customHeight="1" x14ac:dyDescent="0.2">
      <c r="A56" s="11" t="s">
        <v>49</v>
      </c>
    </row>
    <row r="57" spans="1:7" ht="11.25" customHeight="1" x14ac:dyDescent="0.2"/>
    <row r="58" spans="1:7" ht="13.9" customHeight="1" thickBot="1" x14ac:dyDescent="0.25">
      <c r="A58" s="9" t="s">
        <v>99</v>
      </c>
    </row>
    <row r="59" spans="1:7" ht="13.9" customHeight="1" thickBot="1" x14ac:dyDescent="0.25">
      <c r="A59" s="60" t="s">
        <v>64</v>
      </c>
      <c r="B59" s="61" t="s">
        <v>65</v>
      </c>
      <c r="C59" s="61" t="s">
        <v>42</v>
      </c>
      <c r="D59" s="62" t="s">
        <v>225</v>
      </c>
      <c r="E59" s="62" t="s">
        <v>66</v>
      </c>
      <c r="F59" s="63" t="s">
        <v>67</v>
      </c>
    </row>
    <row r="60" spans="1:7" ht="13.15" customHeight="1" x14ac:dyDescent="0.2">
      <c r="A60" s="13" t="s">
        <v>207</v>
      </c>
      <c r="B60" s="14" t="s">
        <v>8</v>
      </c>
      <c r="C60" s="14">
        <v>1</v>
      </c>
      <c r="D60" s="313">
        <v>1549.57</v>
      </c>
      <c r="E60" s="15">
        <f>C60*D60</f>
        <v>1549.57</v>
      </c>
    </row>
    <row r="61" spans="1:7" hidden="1" x14ac:dyDescent="0.2">
      <c r="A61" s="16" t="s">
        <v>36</v>
      </c>
      <c r="B61" s="17" t="s">
        <v>0</v>
      </c>
      <c r="C61" s="88"/>
      <c r="D61" s="18">
        <f>D60/220*2</f>
        <v>14.087</v>
      </c>
      <c r="E61" s="18">
        <f>C61*D61</f>
        <v>0</v>
      </c>
    </row>
    <row r="62" spans="1:7" ht="13.15" hidden="1" customHeight="1" x14ac:dyDescent="0.2">
      <c r="A62" s="16" t="s">
        <v>37</v>
      </c>
      <c r="B62" s="17" t="s">
        <v>0</v>
      </c>
      <c r="C62" s="88"/>
      <c r="D62" s="18">
        <f>D60/220*1.5</f>
        <v>10.565249999999999</v>
      </c>
      <c r="E62" s="18">
        <f>C62*D62</f>
        <v>0</v>
      </c>
    </row>
    <row r="63" spans="1:7" ht="13.15" hidden="1" customHeight="1" x14ac:dyDescent="0.2">
      <c r="A63" s="16" t="s">
        <v>211</v>
      </c>
      <c r="B63" s="17" t="s">
        <v>35</v>
      </c>
      <c r="D63" s="18">
        <f>63/302*(SUM(E61:E62))</f>
        <v>0</v>
      </c>
      <c r="E63" s="18">
        <f>D63</f>
        <v>0</v>
      </c>
    </row>
    <row r="64" spans="1:7" x14ac:dyDescent="0.2">
      <c r="A64" s="16" t="s">
        <v>1</v>
      </c>
      <c r="B64" s="17" t="s">
        <v>2</v>
      </c>
      <c r="C64" s="17">
        <v>40</v>
      </c>
      <c r="D64" s="83">
        <f>SUM(E60:E63)</f>
        <v>1549.57</v>
      </c>
      <c r="E64" s="18">
        <f>C64*D64/100</f>
        <v>619.82799999999997</v>
      </c>
    </row>
    <row r="65" spans="1:8" x14ac:dyDescent="0.2">
      <c r="A65" s="116" t="s">
        <v>3</v>
      </c>
      <c r="B65" s="117"/>
      <c r="C65" s="117"/>
      <c r="D65" s="118"/>
      <c r="E65" s="119">
        <f>SUM(E60:E64)</f>
        <v>2169.3980000000001</v>
      </c>
    </row>
    <row r="66" spans="1:8" x14ac:dyDescent="0.2">
      <c r="A66" s="16" t="s">
        <v>4</v>
      </c>
      <c r="B66" s="17" t="s">
        <v>2</v>
      </c>
      <c r="C66" s="140">
        <f>'4.Enc Sociais'!$C$38*100</f>
        <v>69.355340000000012</v>
      </c>
      <c r="D66" s="18">
        <f>E65</f>
        <v>2169.3980000000001</v>
      </c>
      <c r="E66" s="18">
        <f>D66*C66/100</f>
        <v>1504.5933588532002</v>
      </c>
    </row>
    <row r="67" spans="1:8" x14ac:dyDescent="0.2">
      <c r="A67" s="116" t="s">
        <v>74</v>
      </c>
      <c r="B67" s="117"/>
      <c r="C67" s="117"/>
      <c r="D67" s="118"/>
      <c r="E67" s="119">
        <f>E65+E66</f>
        <v>3673.9913588532004</v>
      </c>
    </row>
    <row r="68" spans="1:8" ht="13.5" thickBot="1" x14ac:dyDescent="0.25">
      <c r="A68" s="16" t="s">
        <v>5</v>
      </c>
      <c r="B68" s="17" t="s">
        <v>6</v>
      </c>
      <c r="C68" s="86">
        <v>2</v>
      </c>
      <c r="D68" s="18">
        <f>E67</f>
        <v>3673.9913588532004</v>
      </c>
      <c r="E68" s="18">
        <f>C68*D68</f>
        <v>7347.9827177064008</v>
      </c>
      <c r="G68" s="6"/>
      <c r="H68" s="332"/>
    </row>
    <row r="69" spans="1:8" ht="13.9" customHeight="1" thickBot="1" x14ac:dyDescent="0.25">
      <c r="A69" s="7" t="s">
        <v>486</v>
      </c>
      <c r="D69" s="122" t="s">
        <v>186</v>
      </c>
      <c r="E69" s="315">
        <f>$B$54</f>
        <v>0.15909090909090909</v>
      </c>
      <c r="F69" s="123">
        <f>E68*E69</f>
        <v>1168.9972505442001</v>
      </c>
      <c r="G69" s="6"/>
      <c r="H69" s="332"/>
    </row>
    <row r="70" spans="1:8" ht="11.25" customHeight="1" x14ac:dyDescent="0.2">
      <c r="A70" s="7"/>
    </row>
    <row r="71" spans="1:8" hidden="1" x14ac:dyDescent="0.2">
      <c r="A71" s="9" t="s">
        <v>89</v>
      </c>
    </row>
    <row r="72" spans="1:8" ht="13.5" hidden="1" thickBot="1" x14ac:dyDescent="0.25">
      <c r="A72" s="60" t="s">
        <v>64</v>
      </c>
      <c r="B72" s="61" t="s">
        <v>65</v>
      </c>
      <c r="C72" s="61" t="s">
        <v>42</v>
      </c>
      <c r="D72" s="62" t="s">
        <v>225</v>
      </c>
      <c r="E72" s="62" t="s">
        <v>66</v>
      </c>
      <c r="F72" s="63" t="s">
        <v>67</v>
      </c>
    </row>
    <row r="73" spans="1:8" hidden="1" x14ac:dyDescent="0.2">
      <c r="A73" s="13" t="s">
        <v>207</v>
      </c>
      <c r="B73" s="14" t="s">
        <v>8</v>
      </c>
      <c r="C73" s="14">
        <v>1</v>
      </c>
      <c r="D73" s="15">
        <f>D60</f>
        <v>1549.57</v>
      </c>
      <c r="E73" s="15">
        <f>C73*D73</f>
        <v>1549.57</v>
      </c>
    </row>
    <row r="74" spans="1:8" hidden="1" x14ac:dyDescent="0.2">
      <c r="A74" s="16" t="s">
        <v>7</v>
      </c>
      <c r="B74" s="17" t="s">
        <v>97</v>
      </c>
      <c r="C74" s="88"/>
      <c r="D74" s="18"/>
      <c r="E74" s="18"/>
    </row>
    <row r="75" spans="1:8" hidden="1" x14ac:dyDescent="0.2">
      <c r="A75" s="16"/>
      <c r="B75" s="17" t="s">
        <v>100</v>
      </c>
      <c r="C75" s="120">
        <f>C74*8/7</f>
        <v>0</v>
      </c>
      <c r="D75" s="18">
        <f>D73/220*0.2</f>
        <v>1.4087000000000001</v>
      </c>
      <c r="E75" s="18">
        <f>C74*D75</f>
        <v>0</v>
      </c>
    </row>
    <row r="76" spans="1:8" hidden="1" x14ac:dyDescent="0.2">
      <c r="A76" s="16" t="s">
        <v>36</v>
      </c>
      <c r="B76" s="17" t="s">
        <v>0</v>
      </c>
      <c r="C76" s="88"/>
      <c r="D76" s="18">
        <f>D73/220*2</f>
        <v>14.087</v>
      </c>
      <c r="E76" s="18">
        <f>C76*D76</f>
        <v>0</v>
      </c>
    </row>
    <row r="77" spans="1:8" hidden="1" x14ac:dyDescent="0.2">
      <c r="A77" s="16" t="s">
        <v>98</v>
      </c>
      <c r="B77" s="17" t="s">
        <v>97</v>
      </c>
      <c r="C77" s="88"/>
      <c r="D77" s="18"/>
      <c r="E77" s="18"/>
    </row>
    <row r="78" spans="1:8" hidden="1" x14ac:dyDescent="0.2">
      <c r="A78" s="16"/>
      <c r="B78" s="17" t="s">
        <v>100</v>
      </c>
      <c r="C78" s="120">
        <f>C77*8/7</f>
        <v>0</v>
      </c>
      <c r="D78" s="18">
        <f>D73/220*2*1.2</f>
        <v>16.904399999999999</v>
      </c>
      <c r="E78" s="18">
        <f>C78*D78</f>
        <v>0</v>
      </c>
    </row>
    <row r="79" spans="1:8" hidden="1" x14ac:dyDescent="0.2">
      <c r="A79" s="16" t="s">
        <v>37</v>
      </c>
      <c r="B79" s="17" t="s">
        <v>0</v>
      </c>
      <c r="C79" s="88"/>
      <c r="D79" s="18">
        <f>D73/220*1.5</f>
        <v>10.565249999999999</v>
      </c>
      <c r="E79" s="18">
        <f>C79*D79</f>
        <v>0</v>
      </c>
    </row>
    <row r="80" spans="1:8" hidden="1" x14ac:dyDescent="0.2">
      <c r="A80" s="16" t="s">
        <v>209</v>
      </c>
      <c r="B80" s="17" t="s">
        <v>97</v>
      </c>
      <c r="C80" s="88"/>
      <c r="D80" s="18"/>
      <c r="E80" s="18"/>
    </row>
    <row r="81" spans="1:7" hidden="1" x14ac:dyDescent="0.2">
      <c r="A81" s="16"/>
      <c r="B81" s="17" t="s">
        <v>100</v>
      </c>
      <c r="C81" s="18">
        <f>C80*8/7</f>
        <v>0</v>
      </c>
      <c r="D81" s="18">
        <f>D73/220*1.5*1.2</f>
        <v>12.678299999999998</v>
      </c>
      <c r="E81" s="18">
        <f>C81*D81</f>
        <v>0</v>
      </c>
    </row>
    <row r="82" spans="1:7" ht="13.15" hidden="1" customHeight="1" x14ac:dyDescent="0.2">
      <c r="A82" s="16" t="s">
        <v>211</v>
      </c>
      <c r="B82" s="17" t="s">
        <v>35</v>
      </c>
      <c r="D82" s="18">
        <f>63/302*(SUM(E76:E81))</f>
        <v>0</v>
      </c>
      <c r="E82" s="18">
        <f>D82</f>
        <v>0</v>
      </c>
    </row>
    <row r="83" spans="1:7" hidden="1" x14ac:dyDescent="0.2">
      <c r="A83" s="16" t="s">
        <v>1</v>
      </c>
      <c r="B83" s="17" t="s">
        <v>2</v>
      </c>
      <c r="C83" s="17">
        <f>+C64</f>
        <v>40</v>
      </c>
      <c r="D83" s="83">
        <f>SUM(E73:E82)</f>
        <v>1549.57</v>
      </c>
      <c r="E83" s="18">
        <f>C83*D83/100</f>
        <v>619.82799999999997</v>
      </c>
    </row>
    <row r="84" spans="1:7" hidden="1" x14ac:dyDescent="0.2">
      <c r="A84" s="116" t="s">
        <v>3</v>
      </c>
      <c r="B84" s="117"/>
      <c r="C84" s="117"/>
      <c r="D84" s="118"/>
      <c r="E84" s="119">
        <f>SUM(E73:E83)</f>
        <v>2169.3980000000001</v>
      </c>
    </row>
    <row r="85" spans="1:7" hidden="1" x14ac:dyDescent="0.2">
      <c r="A85" s="16" t="s">
        <v>4</v>
      </c>
      <c r="B85" s="17" t="s">
        <v>2</v>
      </c>
      <c r="C85" s="140">
        <f>'4.Enc Sociais'!$C$38*100</f>
        <v>69.355340000000012</v>
      </c>
      <c r="D85" s="18">
        <f>E84</f>
        <v>2169.3980000000001</v>
      </c>
      <c r="E85" s="18">
        <f>D85*C85/100</f>
        <v>1504.5933588532002</v>
      </c>
    </row>
    <row r="86" spans="1:7" hidden="1" x14ac:dyDescent="0.2">
      <c r="A86" s="116" t="s">
        <v>74</v>
      </c>
      <c r="B86" s="117"/>
      <c r="C86" s="117"/>
      <c r="D86" s="118"/>
      <c r="E86" s="119">
        <f>E84+E85</f>
        <v>3673.9913588532004</v>
      </c>
    </row>
    <row r="87" spans="1:7" hidden="1" x14ac:dyDescent="0.2">
      <c r="A87" s="16" t="s">
        <v>5</v>
      </c>
      <c r="B87" s="17" t="s">
        <v>6</v>
      </c>
      <c r="C87" s="86"/>
      <c r="D87" s="18">
        <f>E86</f>
        <v>3673.9913588532004</v>
      </c>
      <c r="E87" s="18">
        <f>C87*D87</f>
        <v>0</v>
      </c>
    </row>
    <row r="88" spans="1:7" ht="13.5" hidden="1" thickBot="1" x14ac:dyDescent="0.25">
      <c r="D88" s="122" t="s">
        <v>186</v>
      </c>
      <c r="E88" s="50">
        <f>$B$54</f>
        <v>0.15909090909090909</v>
      </c>
      <c r="F88" s="123">
        <f>E87*E88</f>
        <v>0</v>
      </c>
    </row>
    <row r="89" spans="1:7" ht="11.25" customHeight="1" x14ac:dyDescent="0.2"/>
    <row r="90" spans="1:7" ht="13.5" thickBot="1" x14ac:dyDescent="0.25">
      <c r="A90" s="388" t="s">
        <v>408</v>
      </c>
    </row>
    <row r="91" spans="1:7" s="12" customFormat="1" ht="13.15" customHeight="1" thickBot="1" x14ac:dyDescent="0.25">
      <c r="A91" s="60" t="s">
        <v>64</v>
      </c>
      <c r="B91" s="61" t="s">
        <v>65</v>
      </c>
      <c r="C91" s="61" t="s">
        <v>42</v>
      </c>
      <c r="D91" s="62" t="s">
        <v>225</v>
      </c>
      <c r="E91" s="62" t="s">
        <v>66</v>
      </c>
      <c r="F91" s="63" t="s">
        <v>67</v>
      </c>
      <c r="G91" s="10"/>
    </row>
    <row r="92" spans="1:7" x14ac:dyDescent="0.2">
      <c r="A92" s="305" t="s">
        <v>284</v>
      </c>
      <c r="B92" s="14" t="s">
        <v>8</v>
      </c>
      <c r="C92" s="14">
        <v>1</v>
      </c>
      <c r="D92" s="313">
        <v>1930.19</v>
      </c>
      <c r="E92" s="15">
        <f>C92*D92</f>
        <v>1930.19</v>
      </c>
    </row>
    <row r="93" spans="1:7" x14ac:dyDescent="0.2">
      <c r="A93" s="305" t="s">
        <v>285</v>
      </c>
      <c r="B93" s="14" t="s">
        <v>8</v>
      </c>
      <c r="C93" s="14">
        <v>1</v>
      </c>
      <c r="D93" s="87">
        <v>1212</v>
      </c>
      <c r="E93" s="15"/>
    </row>
    <row r="94" spans="1:7" hidden="1" x14ac:dyDescent="0.2">
      <c r="A94" s="16" t="s">
        <v>36</v>
      </c>
      <c r="B94" s="17" t="s">
        <v>0</v>
      </c>
      <c r="C94" s="88"/>
      <c r="D94" s="18">
        <f>D92/220*2</f>
        <v>17.547181818181819</v>
      </c>
      <c r="E94" s="18">
        <f>C94*D94</f>
        <v>0</v>
      </c>
    </row>
    <row r="95" spans="1:7" hidden="1" x14ac:dyDescent="0.2">
      <c r="A95" s="16" t="s">
        <v>37</v>
      </c>
      <c r="B95" s="17" t="s">
        <v>0</v>
      </c>
      <c r="C95" s="88"/>
      <c r="D95" s="18">
        <f>D92/220*1.5</f>
        <v>13.160386363636364</v>
      </c>
      <c r="E95" s="18">
        <f>C95*D95</f>
        <v>0</v>
      </c>
    </row>
    <row r="96" spans="1:7" ht="13.15" hidden="1" customHeight="1" x14ac:dyDescent="0.2">
      <c r="A96" s="16" t="s">
        <v>211</v>
      </c>
      <c r="B96" s="17" t="s">
        <v>35</v>
      </c>
      <c r="D96" s="18">
        <f>63/302*(SUM(E94:E95))</f>
        <v>0</v>
      </c>
      <c r="E96" s="18">
        <f>D96</f>
        <v>0</v>
      </c>
    </row>
    <row r="97" spans="1:8" x14ac:dyDescent="0.2">
      <c r="A97" s="16" t="s">
        <v>208</v>
      </c>
      <c r="B97" s="17"/>
      <c r="C97" s="90">
        <v>1</v>
      </c>
      <c r="D97" s="18"/>
      <c r="E97" s="18"/>
    </row>
    <row r="98" spans="1:8" x14ac:dyDescent="0.2">
      <c r="A98" s="16" t="s">
        <v>1</v>
      </c>
      <c r="B98" s="17" t="s">
        <v>2</v>
      </c>
      <c r="C98" s="86">
        <v>20</v>
      </c>
      <c r="D98" s="83">
        <f>IF(C97=2,SUM(E92:E96),IF(C97=1,(SUM(E92:E96))*D93/D92,0))</f>
        <v>1212</v>
      </c>
      <c r="E98" s="18">
        <f>C98*D98/100</f>
        <v>242.4</v>
      </c>
    </row>
    <row r="99" spans="1:8" s="11" customFormat="1" x14ac:dyDescent="0.2">
      <c r="A99" s="103" t="s">
        <v>3</v>
      </c>
      <c r="B99" s="117"/>
      <c r="C99" s="117"/>
      <c r="D99" s="118"/>
      <c r="E99" s="105">
        <f>SUM(E92:E98)</f>
        <v>2172.59</v>
      </c>
      <c r="F99" s="44"/>
      <c r="G99" s="44"/>
    </row>
    <row r="100" spans="1:8" x14ac:dyDescent="0.2">
      <c r="A100" s="16" t="s">
        <v>4</v>
      </c>
      <c r="B100" s="17" t="s">
        <v>2</v>
      </c>
      <c r="C100" s="140">
        <f>'4.Enc Sociais'!$C$38*100</f>
        <v>69.355340000000012</v>
      </c>
      <c r="D100" s="18">
        <f>E99</f>
        <v>2172.59</v>
      </c>
      <c r="E100" s="18">
        <f>D100*C100/100</f>
        <v>1506.8071813060003</v>
      </c>
    </row>
    <row r="101" spans="1:8" s="11" customFormat="1" x14ac:dyDescent="0.2">
      <c r="A101" s="103" t="s">
        <v>245</v>
      </c>
      <c r="B101" s="267"/>
      <c r="C101" s="267"/>
      <c r="D101" s="268"/>
      <c r="E101" s="105">
        <f>E99+E100</f>
        <v>3679.3971813060007</v>
      </c>
      <c r="F101" s="44"/>
      <c r="G101" s="44"/>
    </row>
    <row r="102" spans="1:8" ht="13.5" thickBot="1" x14ac:dyDescent="0.25">
      <c r="A102" s="16" t="s">
        <v>5</v>
      </c>
      <c r="B102" s="17" t="s">
        <v>6</v>
      </c>
      <c r="C102" s="86">
        <v>1</v>
      </c>
      <c r="D102" s="18">
        <f>E101</f>
        <v>3679.3971813060007</v>
      </c>
      <c r="E102" s="18">
        <f>C102*D102</f>
        <v>3679.3971813060007</v>
      </c>
    </row>
    <row r="103" spans="1:8" ht="13.5" thickBot="1" x14ac:dyDescent="0.25">
      <c r="A103" s="7" t="s">
        <v>479</v>
      </c>
      <c r="D103" s="122" t="s">
        <v>186</v>
      </c>
      <c r="E103" s="315">
        <f>'8. Horários'!G34</f>
        <v>0.20454545454545456</v>
      </c>
      <c r="F103" s="123">
        <f>E102*E103</f>
        <v>752.60396890350023</v>
      </c>
      <c r="H103" s="332"/>
    </row>
    <row r="104" spans="1:8" ht="11.25" customHeight="1" x14ac:dyDescent="0.2">
      <c r="A104" s="7"/>
    </row>
    <row r="105" spans="1:8" ht="11.25" customHeight="1" x14ac:dyDescent="0.2">
      <c r="A105" s="7"/>
    </row>
    <row r="106" spans="1:8" ht="13.5" thickBot="1" x14ac:dyDescent="0.25">
      <c r="A106" s="7" t="s">
        <v>409</v>
      </c>
    </row>
    <row r="107" spans="1:8" ht="13.5" thickBot="1" x14ac:dyDescent="0.25">
      <c r="A107" s="60" t="s">
        <v>64</v>
      </c>
      <c r="B107" s="61" t="s">
        <v>65</v>
      </c>
      <c r="C107" s="61" t="s">
        <v>42</v>
      </c>
      <c r="D107" s="62" t="s">
        <v>225</v>
      </c>
      <c r="E107" s="62" t="s">
        <v>66</v>
      </c>
      <c r="F107" s="63" t="s">
        <v>67</v>
      </c>
    </row>
    <row r="108" spans="1:8" x14ac:dyDescent="0.2">
      <c r="A108" s="305" t="s">
        <v>429</v>
      </c>
      <c r="B108" s="14" t="s">
        <v>8</v>
      </c>
      <c r="C108" s="14">
        <v>1</v>
      </c>
      <c r="D108" s="87">
        <v>2063.21</v>
      </c>
      <c r="E108" s="15">
        <f>C108*D108</f>
        <v>2063.21</v>
      </c>
    </row>
    <row r="109" spans="1:8" hidden="1" x14ac:dyDescent="0.2">
      <c r="A109" s="305" t="s">
        <v>285</v>
      </c>
      <c r="B109" s="14" t="s">
        <v>8</v>
      </c>
      <c r="C109" s="14">
        <v>1</v>
      </c>
      <c r="D109" s="18">
        <f>D93</f>
        <v>1212</v>
      </c>
      <c r="E109" s="18"/>
    </row>
    <row r="110" spans="1:8" hidden="1" x14ac:dyDescent="0.2">
      <c r="A110" s="16" t="s">
        <v>7</v>
      </c>
      <c r="B110" s="17" t="s">
        <v>97</v>
      </c>
      <c r="C110" s="88"/>
      <c r="D110" s="16"/>
      <c r="E110" s="16"/>
    </row>
    <row r="111" spans="1:8" hidden="1" x14ac:dyDescent="0.2">
      <c r="A111" s="16"/>
      <c r="B111" s="17" t="s">
        <v>100</v>
      </c>
      <c r="C111" s="18">
        <f>C110*8/7</f>
        <v>0</v>
      </c>
      <c r="D111" s="18">
        <f>D108/220*0.2</f>
        <v>1.8756454545454546</v>
      </c>
      <c r="E111" s="18">
        <f>C110*D111</f>
        <v>0</v>
      </c>
    </row>
    <row r="112" spans="1:8" hidden="1" x14ac:dyDescent="0.2">
      <c r="A112" s="16" t="s">
        <v>36</v>
      </c>
      <c r="B112" s="17" t="s">
        <v>0</v>
      </c>
      <c r="C112" s="88"/>
      <c r="D112" s="18">
        <f>D108/220*2</f>
        <v>18.756454545454545</v>
      </c>
      <c r="E112" s="18">
        <f>C112*D112</f>
        <v>0</v>
      </c>
      <c r="G112" s="10" t="s">
        <v>241</v>
      </c>
    </row>
    <row r="113" spans="1:7" hidden="1" x14ac:dyDescent="0.2">
      <c r="A113" s="16" t="s">
        <v>98</v>
      </c>
      <c r="B113" s="17" t="s">
        <v>97</v>
      </c>
      <c r="C113" s="88"/>
      <c r="D113" s="18"/>
      <c r="E113" s="18"/>
      <c r="G113" s="10" t="s">
        <v>242</v>
      </c>
    </row>
    <row r="114" spans="1:7" hidden="1" x14ac:dyDescent="0.2">
      <c r="A114" s="16"/>
      <c r="B114" s="17" t="s">
        <v>100</v>
      </c>
      <c r="C114" s="18">
        <f>C113*8/7</f>
        <v>0</v>
      </c>
      <c r="D114" s="18">
        <f>D108/220*2*1.2</f>
        <v>22.507745454545454</v>
      </c>
      <c r="E114" s="18">
        <f>C114*D114</f>
        <v>0</v>
      </c>
      <c r="G114" s="10" t="s">
        <v>242</v>
      </c>
    </row>
    <row r="115" spans="1:7" hidden="1" x14ac:dyDescent="0.2">
      <c r="A115" s="16" t="s">
        <v>37</v>
      </c>
      <c r="B115" s="17" t="s">
        <v>0</v>
      </c>
      <c r="C115" s="88"/>
      <c r="D115" s="18">
        <f>D108/220*1.5</f>
        <v>14.067340909090909</v>
      </c>
      <c r="E115" s="18">
        <f>C115*D115</f>
        <v>0</v>
      </c>
      <c r="G115" s="10" t="s">
        <v>243</v>
      </c>
    </row>
    <row r="116" spans="1:7" hidden="1" x14ac:dyDescent="0.2">
      <c r="A116" s="16" t="s">
        <v>209</v>
      </c>
      <c r="B116" s="17" t="s">
        <v>97</v>
      </c>
      <c r="C116" s="88"/>
      <c r="D116" s="18"/>
      <c r="E116" s="18"/>
      <c r="G116" s="10" t="s">
        <v>244</v>
      </c>
    </row>
    <row r="117" spans="1:7" hidden="1" x14ac:dyDescent="0.2">
      <c r="A117" s="16"/>
      <c r="B117" s="17" t="s">
        <v>100</v>
      </c>
      <c r="C117" s="18">
        <f>C116*8/7</f>
        <v>0</v>
      </c>
      <c r="D117" s="18">
        <f>D108/220*1.5*1.2</f>
        <v>16.880809090909089</v>
      </c>
      <c r="E117" s="18">
        <f>C117*D117</f>
        <v>0</v>
      </c>
      <c r="G117" s="10" t="s">
        <v>244</v>
      </c>
    </row>
    <row r="118" spans="1:7" ht="13.15" hidden="1" customHeight="1" x14ac:dyDescent="0.2">
      <c r="A118" s="16" t="s">
        <v>211</v>
      </c>
      <c r="B118" s="17" t="s">
        <v>35</v>
      </c>
      <c r="D118" s="18">
        <f>63/302*(SUM(E112:E117))</f>
        <v>0</v>
      </c>
      <c r="E118" s="18">
        <f>D118</f>
        <v>0</v>
      </c>
      <c r="G118" s="10" t="s">
        <v>210</v>
      </c>
    </row>
    <row r="119" spans="1:7" hidden="1" x14ac:dyDescent="0.2">
      <c r="A119" s="16" t="s">
        <v>208</v>
      </c>
      <c r="B119" s="17"/>
      <c r="C119" s="90"/>
      <c r="D119" s="18"/>
      <c r="E119" s="18"/>
    </row>
    <row r="120" spans="1:7" hidden="1" x14ac:dyDescent="0.2">
      <c r="A120" s="16" t="s">
        <v>1</v>
      </c>
      <c r="B120" s="17" t="s">
        <v>2</v>
      </c>
      <c r="C120" s="83">
        <f>+C98</f>
        <v>20</v>
      </c>
      <c r="D120" s="83">
        <f>IF(C119=2,SUM(E108:E118),IF(C119=1,SUM(E108:E118)*D109/D108,0))</f>
        <v>0</v>
      </c>
      <c r="E120" s="18">
        <f>C120*D120/100</f>
        <v>0</v>
      </c>
    </row>
    <row r="121" spans="1:7" s="11" customFormat="1" x14ac:dyDescent="0.2">
      <c r="A121" s="116" t="s">
        <v>3</v>
      </c>
      <c r="B121" s="117"/>
      <c r="C121" s="117"/>
      <c r="D121" s="118"/>
      <c r="E121" s="119">
        <f>SUM(E108:E120)</f>
        <v>2063.21</v>
      </c>
      <c r="F121" s="44"/>
      <c r="G121" s="44"/>
    </row>
    <row r="122" spans="1:7" x14ac:dyDescent="0.2">
      <c r="A122" s="16" t="s">
        <v>4</v>
      </c>
      <c r="B122" s="17" t="s">
        <v>2</v>
      </c>
      <c r="C122" s="140">
        <f>'4.Enc Sociais'!$C$38*100</f>
        <v>69.355340000000012</v>
      </c>
      <c r="D122" s="18">
        <f>E121</f>
        <v>2063.21</v>
      </c>
      <c r="E122" s="18">
        <f>D122*C122/100</f>
        <v>1430.9463104140002</v>
      </c>
    </row>
    <row r="123" spans="1:7" s="11" customFormat="1" x14ac:dyDescent="0.2">
      <c r="A123" s="116" t="s">
        <v>395</v>
      </c>
      <c r="B123" s="117"/>
      <c r="C123" s="117"/>
      <c r="D123" s="118"/>
      <c r="E123" s="119">
        <f>E121+E122</f>
        <v>3494.1563104140005</v>
      </c>
      <c r="F123" s="44"/>
      <c r="G123" s="44"/>
    </row>
    <row r="124" spans="1:7" ht="13.5" thickBot="1" x14ac:dyDescent="0.25">
      <c r="A124" s="16" t="s">
        <v>5</v>
      </c>
      <c r="B124" s="17" t="s">
        <v>6</v>
      </c>
      <c r="C124" s="86">
        <v>1</v>
      </c>
      <c r="D124" s="18">
        <f>E123</f>
        <v>3494.1563104140005</v>
      </c>
      <c r="E124" s="18">
        <f>C124*D124</f>
        <v>3494.1563104140005</v>
      </c>
    </row>
    <row r="125" spans="1:7" ht="13.5" thickBot="1" x14ac:dyDescent="0.25">
      <c r="A125" s="11" t="s">
        <v>590</v>
      </c>
      <c r="D125" s="122" t="s">
        <v>186</v>
      </c>
      <c r="E125" s="315">
        <f>2/43</f>
        <v>4.6511627906976744E-2</v>
      </c>
      <c r="F125" s="123">
        <f>E124*E125</f>
        <v>162.51889815879071</v>
      </c>
    </row>
    <row r="126" spans="1:7" ht="11.25" customHeight="1" x14ac:dyDescent="0.2">
      <c r="G126" s="9"/>
    </row>
    <row r="127" spans="1:7" ht="13.5" thickBot="1" x14ac:dyDescent="0.25">
      <c r="A127" s="7" t="s">
        <v>410</v>
      </c>
      <c r="B127" s="93"/>
      <c r="D127" s="9"/>
      <c r="E127" s="332"/>
      <c r="G127" s="9"/>
    </row>
    <row r="128" spans="1:7" ht="13.5" thickBot="1" x14ac:dyDescent="0.25">
      <c r="A128" s="60" t="s">
        <v>64</v>
      </c>
      <c r="B128" s="61" t="s">
        <v>65</v>
      </c>
      <c r="C128" s="61" t="s">
        <v>42</v>
      </c>
      <c r="D128" s="62" t="s">
        <v>225</v>
      </c>
      <c r="E128" s="62" t="s">
        <v>66</v>
      </c>
      <c r="F128" s="63" t="s">
        <v>67</v>
      </c>
      <c r="G128" s="9"/>
    </row>
    <row r="129" spans="1:8" x14ac:dyDescent="0.2">
      <c r="A129" s="16" t="s">
        <v>90</v>
      </c>
      <c r="B129" s="17" t="s">
        <v>35</v>
      </c>
      <c r="C129" s="94">
        <v>1</v>
      </c>
      <c r="D129" s="92">
        <v>4.0999999999999996</v>
      </c>
      <c r="E129" s="18"/>
      <c r="G129" s="9"/>
    </row>
    <row r="130" spans="1:8" x14ac:dyDescent="0.2">
      <c r="A130" s="16" t="s">
        <v>91</v>
      </c>
      <c r="B130" s="17" t="s">
        <v>92</v>
      </c>
      <c r="C130" s="91">
        <v>9</v>
      </c>
      <c r="D130" s="18"/>
      <c r="E130" s="18"/>
      <c r="G130" s="85"/>
      <c r="H130" s="85"/>
    </row>
    <row r="131" spans="1:8" x14ac:dyDescent="0.2">
      <c r="A131" s="16" t="s">
        <v>75</v>
      </c>
      <c r="B131" s="17" t="s">
        <v>9</v>
      </c>
      <c r="C131" s="37">
        <f>$C$130*2*(C68+C87)</f>
        <v>36</v>
      </c>
      <c r="D131" s="15">
        <f>D129-(E60/42*0.06)</f>
        <v>1.8863285714285709</v>
      </c>
      <c r="E131" s="18">
        <f>IFERROR(C131*D131,"-")</f>
        <v>67.907828571428553</v>
      </c>
      <c r="H131" s="85"/>
    </row>
    <row r="132" spans="1:8" ht="13.5" thickBot="1" x14ac:dyDescent="0.25">
      <c r="A132" s="13" t="s">
        <v>46</v>
      </c>
      <c r="B132" s="14" t="s">
        <v>9</v>
      </c>
      <c r="C132" s="37">
        <f>$C$130*2*(C102)</f>
        <v>18</v>
      </c>
      <c r="D132" s="15">
        <f>D129-(E92/42*0.06)</f>
        <v>1.3425857142857138</v>
      </c>
      <c r="E132" s="15">
        <f>IFERROR(C132*D132,"-")</f>
        <v>24.166542857142851</v>
      </c>
      <c r="G132" s="9"/>
      <c r="H132" s="85"/>
    </row>
    <row r="133" spans="1:8" ht="13.5" thickBot="1" x14ac:dyDescent="0.25">
      <c r="F133" s="22">
        <f>SUM(E131:E132)</f>
        <v>92.074371428571396</v>
      </c>
      <c r="G133" s="9"/>
    </row>
    <row r="134" spans="1:8" ht="11.25" customHeight="1" x14ac:dyDescent="0.2">
      <c r="G134" s="9"/>
    </row>
    <row r="135" spans="1:8" ht="13.5" thickBot="1" x14ac:dyDescent="0.25">
      <c r="A135" s="388" t="s">
        <v>489</v>
      </c>
      <c r="F135" s="23"/>
      <c r="G135" s="9"/>
    </row>
    <row r="136" spans="1:8" ht="13.5" thickBot="1" x14ac:dyDescent="0.25">
      <c r="A136" s="60" t="s">
        <v>64</v>
      </c>
      <c r="B136" s="61" t="s">
        <v>65</v>
      </c>
      <c r="C136" s="61" t="s">
        <v>42</v>
      </c>
      <c r="D136" s="62" t="s">
        <v>225</v>
      </c>
      <c r="E136" s="62" t="s">
        <v>66</v>
      </c>
      <c r="F136" s="63" t="s">
        <v>67</v>
      </c>
      <c r="G136" s="9"/>
    </row>
    <row r="137" spans="1:8" x14ac:dyDescent="0.2">
      <c r="A137" s="16" t="str">
        <f>+A131</f>
        <v>Coletor</v>
      </c>
      <c r="B137" s="17" t="s">
        <v>10</v>
      </c>
      <c r="C137" s="102">
        <f>C130*(E44+E45)</f>
        <v>18</v>
      </c>
      <c r="D137" s="95">
        <f>10.09*0.81</f>
        <v>8.1729000000000003</v>
      </c>
      <c r="E137" s="50">
        <f>C137*D137</f>
        <v>147.1122</v>
      </c>
      <c r="F137" s="23"/>
      <c r="G137" s="9"/>
    </row>
    <row r="138" spans="1:8" ht="13.5" thickBot="1" x14ac:dyDescent="0.25">
      <c r="A138" s="328" t="s">
        <v>46</v>
      </c>
      <c r="B138" s="17" t="s">
        <v>10</v>
      </c>
      <c r="C138" s="102">
        <f>C130*(E46)</f>
        <v>9</v>
      </c>
      <c r="D138" s="95">
        <f>12.81*0.8</f>
        <v>10.248000000000001</v>
      </c>
      <c r="E138" s="50">
        <f>C138*D138</f>
        <v>92.232000000000014</v>
      </c>
      <c r="F138" s="23"/>
      <c r="G138" s="9"/>
    </row>
    <row r="139" spans="1:8" ht="13.5" thickBot="1" x14ac:dyDescent="0.25">
      <c r="F139" s="22">
        <f>SUM(E137:E138)</f>
        <v>239.3442</v>
      </c>
      <c r="G139" s="9"/>
    </row>
    <row r="140" spans="1:8" x14ac:dyDescent="0.2">
      <c r="G140" s="9"/>
    </row>
    <row r="141" spans="1:8" ht="13.5" thickBot="1" x14ac:dyDescent="0.25">
      <c r="A141" s="7" t="s">
        <v>411</v>
      </c>
      <c r="F141" s="23"/>
      <c r="G141" s="9"/>
    </row>
    <row r="142" spans="1:8" ht="13.5" thickBot="1" x14ac:dyDescent="0.25">
      <c r="A142" s="60" t="s">
        <v>64</v>
      </c>
      <c r="B142" s="61" t="s">
        <v>65</v>
      </c>
      <c r="C142" s="61" t="s">
        <v>42</v>
      </c>
      <c r="D142" s="62" t="s">
        <v>225</v>
      </c>
      <c r="E142" s="62" t="s">
        <v>66</v>
      </c>
      <c r="F142" s="63" t="s">
        <v>67</v>
      </c>
      <c r="G142" s="9"/>
    </row>
    <row r="143" spans="1:8" hidden="1" x14ac:dyDescent="0.2">
      <c r="A143" s="16" t="str">
        <f>+A137</f>
        <v>Coletor</v>
      </c>
      <c r="B143" s="17" t="s">
        <v>10</v>
      </c>
      <c r="C143" s="102">
        <f>E44+E45</f>
        <v>2</v>
      </c>
      <c r="D143" s="95"/>
      <c r="E143" s="50">
        <f>C143*D143</f>
        <v>0</v>
      </c>
      <c r="F143" s="23"/>
      <c r="G143" s="9"/>
    </row>
    <row r="144" spans="1:8" ht="13.5" thickBot="1" x14ac:dyDescent="0.25">
      <c r="A144" s="16" t="str">
        <f>A138</f>
        <v>Motorista</v>
      </c>
      <c r="B144" s="17" t="s">
        <v>10</v>
      </c>
      <c r="C144" s="102">
        <f>E46</f>
        <v>1</v>
      </c>
      <c r="D144" s="95">
        <f>97.24*0.8</f>
        <v>77.792000000000002</v>
      </c>
      <c r="E144" s="50">
        <f>C144*D144</f>
        <v>77.792000000000002</v>
      </c>
      <c r="F144" s="23"/>
      <c r="G144" s="9"/>
    </row>
    <row r="145" spans="1:7" ht="13.5" thickBot="1" x14ac:dyDescent="0.25">
      <c r="D145" s="122" t="s">
        <v>186</v>
      </c>
      <c r="E145" s="315">
        <f>E103</f>
        <v>0.20454545454545456</v>
      </c>
      <c r="F145" s="22">
        <f>SUM(E143:E144)*E145</f>
        <v>15.912000000000001</v>
      </c>
      <c r="G145" s="9"/>
    </row>
    <row r="146" spans="1:7" x14ac:dyDescent="0.2">
      <c r="D146" s="122"/>
      <c r="E146" s="370"/>
      <c r="G146" s="9"/>
    </row>
    <row r="147" spans="1:7" ht="13.5" thickBot="1" x14ac:dyDescent="0.25">
      <c r="A147" s="7" t="s">
        <v>412</v>
      </c>
      <c r="B147" s="7"/>
      <c r="C147" s="7"/>
      <c r="D147" s="336"/>
      <c r="E147" s="336"/>
      <c r="F147" s="23"/>
      <c r="G147" s="9"/>
    </row>
    <row r="148" spans="1:7" ht="13.5" thickBot="1" x14ac:dyDescent="0.25">
      <c r="A148" s="60" t="s">
        <v>64</v>
      </c>
      <c r="B148" s="61" t="s">
        <v>65</v>
      </c>
      <c r="C148" s="61" t="s">
        <v>42</v>
      </c>
      <c r="D148" s="62" t="s">
        <v>225</v>
      </c>
      <c r="E148" s="62" t="s">
        <v>66</v>
      </c>
      <c r="F148" s="63" t="s">
        <v>67</v>
      </c>
      <c r="G148" s="9"/>
    </row>
    <row r="149" spans="1:7" ht="13.5" thickBot="1" x14ac:dyDescent="0.25">
      <c r="A149" s="328" t="s">
        <v>373</v>
      </c>
      <c r="B149" s="367" t="s">
        <v>10</v>
      </c>
      <c r="C149" s="371">
        <f>C68</f>
        <v>2</v>
      </c>
      <c r="D149" s="372">
        <v>17.32</v>
      </c>
      <c r="E149" s="373">
        <f>C149*D149</f>
        <v>34.64</v>
      </c>
      <c r="F149" s="23"/>
      <c r="G149" s="9"/>
    </row>
    <row r="150" spans="1:7" ht="13.5" hidden="1" thickBot="1" x14ac:dyDescent="0.25">
      <c r="A150" s="328"/>
      <c r="B150" s="367" t="s">
        <v>10</v>
      </c>
      <c r="C150" s="371">
        <v>0</v>
      </c>
      <c r="D150" s="372">
        <v>0</v>
      </c>
      <c r="E150" s="373"/>
      <c r="F150" s="23"/>
      <c r="G150" s="9"/>
    </row>
    <row r="151" spans="1:7" ht="13.5" thickBot="1" x14ac:dyDescent="0.25">
      <c r="A151" s="374"/>
      <c r="B151" s="374"/>
      <c r="C151" s="7"/>
      <c r="D151" s="338" t="s">
        <v>372</v>
      </c>
      <c r="E151" s="382">
        <f>E69</f>
        <v>0.15909090909090909</v>
      </c>
      <c r="F151" s="375">
        <f>SUM(E149:E150)*E151</f>
        <v>5.5109090909090908</v>
      </c>
      <c r="G151" s="9"/>
    </row>
    <row r="152" spans="1:7" ht="13.5" thickBot="1" x14ac:dyDescent="0.25">
      <c r="D152" s="122"/>
      <c r="E152" s="370"/>
      <c r="G152" s="9"/>
    </row>
    <row r="153" spans="1:7" ht="13.5" thickBot="1" x14ac:dyDescent="0.25">
      <c r="A153" s="24" t="s">
        <v>93</v>
      </c>
      <c r="B153" s="25"/>
      <c r="C153" s="25"/>
      <c r="D153" s="26"/>
      <c r="E153" s="27"/>
      <c r="F153" s="22">
        <f>F145+F139+F133+F125+F103+F88+F69+F151</f>
        <v>2436.9615981259712</v>
      </c>
      <c r="G153" s="9"/>
    </row>
    <row r="155" spans="1:7" x14ac:dyDescent="0.2">
      <c r="A155" s="11" t="s">
        <v>47</v>
      </c>
      <c r="G155" s="9"/>
    </row>
    <row r="156" spans="1:7" ht="11.25" customHeight="1" x14ac:dyDescent="0.2">
      <c r="G156" s="9"/>
    </row>
    <row r="157" spans="1:7" ht="13.9" customHeight="1" x14ac:dyDescent="0.2">
      <c r="A157" s="9" t="s">
        <v>188</v>
      </c>
      <c r="G157" s="9"/>
    </row>
    <row r="158" spans="1:7" ht="11.25" customHeight="1" thickBot="1" x14ac:dyDescent="0.25">
      <c r="G158" s="9"/>
    </row>
    <row r="159" spans="1:7" ht="27.75" customHeight="1" thickBot="1" x14ac:dyDescent="0.25">
      <c r="A159" s="60" t="s">
        <v>64</v>
      </c>
      <c r="B159" s="61" t="s">
        <v>65</v>
      </c>
      <c r="C159" s="269" t="s">
        <v>247</v>
      </c>
      <c r="D159" s="62" t="s">
        <v>225</v>
      </c>
      <c r="E159" s="62" t="s">
        <v>66</v>
      </c>
      <c r="F159" s="63" t="s">
        <v>67</v>
      </c>
      <c r="G159" s="9"/>
    </row>
    <row r="160" spans="1:7" x14ac:dyDescent="0.2">
      <c r="A160" s="13" t="s">
        <v>68</v>
      </c>
      <c r="B160" s="14" t="s">
        <v>10</v>
      </c>
      <c r="C160" s="327">
        <v>12</v>
      </c>
      <c r="D160" s="313">
        <v>150</v>
      </c>
      <c r="E160" s="15">
        <f>IFERROR(D160/C160,0)</f>
        <v>12.5</v>
      </c>
      <c r="G160" s="9"/>
    </row>
    <row r="161" spans="1:7" ht="13.15" customHeight="1" x14ac:dyDescent="0.2">
      <c r="A161" s="16" t="s">
        <v>30</v>
      </c>
      <c r="B161" s="17" t="s">
        <v>10</v>
      </c>
      <c r="C161" s="327">
        <v>4</v>
      </c>
      <c r="D161" s="326">
        <v>35</v>
      </c>
      <c r="E161" s="15">
        <f t="shared" ref="E161:E171" si="2">IFERROR(D161/C161,0)</f>
        <v>8.75</v>
      </c>
      <c r="G161" s="9"/>
    </row>
    <row r="162" spans="1:7" ht="13.15" customHeight="1" x14ac:dyDescent="0.2">
      <c r="A162" s="328" t="s">
        <v>423</v>
      </c>
      <c r="B162" s="17" t="s">
        <v>10</v>
      </c>
      <c r="C162" s="327">
        <v>4</v>
      </c>
      <c r="D162" s="326">
        <v>27</v>
      </c>
      <c r="E162" s="15">
        <f t="shared" ref="E162" si="3">IFERROR(D162/C162,0)</f>
        <v>6.75</v>
      </c>
      <c r="G162" s="9"/>
    </row>
    <row r="163" spans="1:7" x14ac:dyDescent="0.2">
      <c r="A163" s="328" t="s">
        <v>424</v>
      </c>
      <c r="B163" s="17" t="s">
        <v>10</v>
      </c>
      <c r="C163" s="327">
        <v>3</v>
      </c>
      <c r="D163" s="326">
        <v>25</v>
      </c>
      <c r="E163" s="15">
        <f t="shared" si="2"/>
        <v>8.3333333333333339</v>
      </c>
      <c r="G163" s="9"/>
    </row>
    <row r="164" spans="1:7" x14ac:dyDescent="0.2">
      <c r="A164" s="328" t="s">
        <v>424</v>
      </c>
      <c r="B164" s="17" t="s">
        <v>10</v>
      </c>
      <c r="C164" s="327">
        <v>3</v>
      </c>
      <c r="D164" s="326">
        <v>28</v>
      </c>
      <c r="E164" s="15">
        <f t="shared" ref="E164" si="4">IFERROR(D164/C164,0)</f>
        <v>9.3333333333333339</v>
      </c>
      <c r="G164" s="9"/>
    </row>
    <row r="165" spans="1:7" ht="13.15" customHeight="1" x14ac:dyDescent="0.2">
      <c r="A165" s="16" t="s">
        <v>32</v>
      </c>
      <c r="B165" s="17" t="s">
        <v>10</v>
      </c>
      <c r="C165" s="327">
        <v>4</v>
      </c>
      <c r="D165" s="326">
        <v>18</v>
      </c>
      <c r="E165" s="15">
        <f t="shared" si="2"/>
        <v>4.5</v>
      </c>
      <c r="G165" s="9"/>
    </row>
    <row r="166" spans="1:7" ht="13.9" customHeight="1" x14ac:dyDescent="0.2">
      <c r="A166" s="16" t="s">
        <v>70</v>
      </c>
      <c r="B166" s="17" t="s">
        <v>50</v>
      </c>
      <c r="C166" s="327">
        <v>4</v>
      </c>
      <c r="D166" s="326">
        <v>60</v>
      </c>
      <c r="E166" s="15">
        <f t="shared" si="2"/>
        <v>15</v>
      </c>
      <c r="G166" s="9"/>
    </row>
    <row r="167" spans="1:7" ht="13.15" customHeight="1" x14ac:dyDescent="0.2">
      <c r="A167" s="16" t="s">
        <v>94</v>
      </c>
      <c r="B167" s="17" t="s">
        <v>50</v>
      </c>
      <c r="C167" s="327">
        <v>2</v>
      </c>
      <c r="D167" s="326">
        <v>10</v>
      </c>
      <c r="E167" s="15">
        <f t="shared" si="2"/>
        <v>5</v>
      </c>
    </row>
    <row r="168" spans="1:7" x14ac:dyDescent="0.2">
      <c r="A168" s="16" t="s">
        <v>69</v>
      </c>
      <c r="B168" s="17" t="s">
        <v>10</v>
      </c>
      <c r="C168" s="327">
        <v>6</v>
      </c>
      <c r="D168" s="326">
        <v>67</v>
      </c>
      <c r="E168" s="15">
        <f t="shared" si="2"/>
        <v>11.166666666666666</v>
      </c>
    </row>
    <row r="169" spans="1:7" s="1" customFormat="1" x14ac:dyDescent="0.2">
      <c r="A169" s="2" t="s">
        <v>11</v>
      </c>
      <c r="B169" s="3" t="s">
        <v>10</v>
      </c>
      <c r="C169" s="327">
        <v>4</v>
      </c>
      <c r="D169" s="326">
        <v>20</v>
      </c>
      <c r="E169" s="15">
        <f t="shared" si="2"/>
        <v>5</v>
      </c>
      <c r="F169" s="38"/>
      <c r="G169" s="38"/>
    </row>
    <row r="170" spans="1:7" x14ac:dyDescent="0.2">
      <c r="A170" s="16" t="s">
        <v>33</v>
      </c>
      <c r="B170" s="17" t="s">
        <v>50</v>
      </c>
      <c r="C170" s="521">
        <v>0.5</v>
      </c>
      <c r="D170" s="326">
        <v>19</v>
      </c>
      <c r="E170" s="15">
        <f t="shared" si="2"/>
        <v>38</v>
      </c>
    </row>
    <row r="171" spans="1:7" ht="13.15" customHeight="1" x14ac:dyDescent="0.2">
      <c r="A171" s="16" t="s">
        <v>63</v>
      </c>
      <c r="B171" s="17" t="s">
        <v>51</v>
      </c>
      <c r="C171" s="327">
        <v>2</v>
      </c>
      <c r="D171" s="326">
        <v>20</v>
      </c>
      <c r="E171" s="15">
        <f t="shared" si="2"/>
        <v>10</v>
      </c>
    </row>
    <row r="172" spans="1:7" ht="13.5" thickBot="1" x14ac:dyDescent="0.25">
      <c r="A172" s="16" t="s">
        <v>5</v>
      </c>
      <c r="B172" s="17" t="s">
        <v>6</v>
      </c>
      <c r="C172" s="522">
        <f>E44+E45</f>
        <v>2</v>
      </c>
      <c r="D172" s="18">
        <f>+SUM(E160:E171)</f>
        <v>134.33333333333334</v>
      </c>
      <c r="E172" s="18">
        <f t="shared" ref="E172" si="5">C172*D172</f>
        <v>268.66666666666669</v>
      </c>
    </row>
    <row r="173" spans="1:7" ht="13.5" thickBot="1" x14ac:dyDescent="0.25">
      <c r="D173" s="122" t="s">
        <v>186</v>
      </c>
      <c r="E173" s="315">
        <f>$B$54</f>
        <v>0.15909090909090909</v>
      </c>
      <c r="F173" s="123">
        <f>E172*E173</f>
        <v>42.742424242424242</v>
      </c>
    </row>
    <row r="174" spans="1:7" ht="11.25" customHeight="1" x14ac:dyDescent="0.2"/>
    <row r="175" spans="1:7" ht="13.9" customHeight="1" x14ac:dyDescent="0.2">
      <c r="A175" s="9" t="s">
        <v>189</v>
      </c>
    </row>
    <row r="176" spans="1:7" ht="11.25" customHeight="1" thickBot="1" x14ac:dyDescent="0.25"/>
    <row r="177" spans="1:9" ht="24.75" thickBot="1" x14ac:dyDescent="0.25">
      <c r="A177" s="60" t="s">
        <v>64</v>
      </c>
      <c r="B177" s="61" t="s">
        <v>65</v>
      </c>
      <c r="C177" s="269" t="s">
        <v>247</v>
      </c>
      <c r="D177" s="62" t="s">
        <v>225</v>
      </c>
      <c r="E177" s="62" t="s">
        <v>66</v>
      </c>
      <c r="F177" s="63" t="s">
        <v>67</v>
      </c>
    </row>
    <row r="178" spans="1:9" x14ac:dyDescent="0.2">
      <c r="A178" s="13" t="s">
        <v>68</v>
      </c>
      <c r="B178" s="14" t="s">
        <v>10</v>
      </c>
      <c r="C178" s="101">
        <f>C160</f>
        <v>12</v>
      </c>
      <c r="D178" s="15">
        <f>+D160</f>
        <v>150</v>
      </c>
      <c r="E178" s="15">
        <f>IFERROR(D178/C178,0)</f>
        <v>12.5</v>
      </c>
    </row>
    <row r="179" spans="1:9" x14ac:dyDescent="0.2">
      <c r="A179" s="16" t="s">
        <v>30</v>
      </c>
      <c r="B179" s="17" t="s">
        <v>10</v>
      </c>
      <c r="C179" s="101">
        <f>C161</f>
        <v>4</v>
      </c>
      <c r="D179" s="18">
        <f>+D161</f>
        <v>35</v>
      </c>
      <c r="E179" s="15">
        <f t="shared" ref="E179:E183" si="6">IFERROR(D179/C179,0)</f>
        <v>8.75</v>
      </c>
    </row>
    <row r="180" spans="1:9" x14ac:dyDescent="0.2">
      <c r="A180" s="16" t="s">
        <v>31</v>
      </c>
      <c r="B180" s="17" t="s">
        <v>10</v>
      </c>
      <c r="C180" s="101">
        <f>C163</f>
        <v>3</v>
      </c>
      <c r="D180" s="18">
        <f>+D163</f>
        <v>25</v>
      </c>
      <c r="E180" s="15">
        <f t="shared" si="6"/>
        <v>8.3333333333333339</v>
      </c>
    </row>
    <row r="181" spans="1:9" x14ac:dyDescent="0.2">
      <c r="A181" s="16" t="s">
        <v>70</v>
      </c>
      <c r="B181" s="17" t="s">
        <v>50</v>
      </c>
      <c r="C181" s="101">
        <f>C166</f>
        <v>4</v>
      </c>
      <c r="D181" s="18">
        <f>+D166</f>
        <v>60</v>
      </c>
      <c r="E181" s="15">
        <f t="shared" si="6"/>
        <v>15</v>
      </c>
    </row>
    <row r="182" spans="1:9" x14ac:dyDescent="0.2">
      <c r="A182" s="16" t="s">
        <v>69</v>
      </c>
      <c r="B182" s="17" t="s">
        <v>10</v>
      </c>
      <c r="C182" s="101">
        <f>C168</f>
        <v>6</v>
      </c>
      <c r="D182" s="18">
        <f>+D168</f>
        <v>67</v>
      </c>
      <c r="E182" s="15">
        <f t="shared" si="6"/>
        <v>11.166666666666666</v>
      </c>
      <c r="G182" s="9"/>
    </row>
    <row r="183" spans="1:9" x14ac:dyDescent="0.2">
      <c r="A183" s="16" t="s">
        <v>63</v>
      </c>
      <c r="B183" s="17" t="s">
        <v>51</v>
      </c>
      <c r="C183" s="101">
        <f>C171</f>
        <v>2</v>
      </c>
      <c r="D183" s="18">
        <f>+D171</f>
        <v>20</v>
      </c>
      <c r="E183" s="15">
        <f t="shared" si="6"/>
        <v>10</v>
      </c>
      <c r="G183" s="9"/>
    </row>
    <row r="184" spans="1:9" ht="13.5" thickBot="1" x14ac:dyDescent="0.25">
      <c r="A184" s="16" t="s">
        <v>5</v>
      </c>
      <c r="B184" s="17" t="s">
        <v>6</v>
      </c>
      <c r="C184" s="69">
        <f>E46</f>
        <v>1</v>
      </c>
      <c r="D184" s="18">
        <f>+SUM(E178:E183)</f>
        <v>65.75</v>
      </c>
      <c r="E184" s="18">
        <f t="shared" ref="E184" si="7">C184*D184</f>
        <v>65.75</v>
      </c>
      <c r="G184" s="9"/>
    </row>
    <row r="185" spans="1:9" ht="13.5" thickBot="1" x14ac:dyDescent="0.25">
      <c r="D185" s="122" t="s">
        <v>186</v>
      </c>
      <c r="E185" s="315">
        <f>E103</f>
        <v>0.20454545454545456</v>
      </c>
      <c r="F185" s="123">
        <f>E184*E185</f>
        <v>13.448863636363637</v>
      </c>
      <c r="G185" s="9"/>
    </row>
    <row r="186" spans="1:9" ht="11.25" customHeight="1" thickBot="1" x14ac:dyDescent="0.25">
      <c r="G186" s="9"/>
    </row>
    <row r="187" spans="1:9" ht="13.5" thickBot="1" x14ac:dyDescent="0.25">
      <c r="A187" s="24" t="s">
        <v>190</v>
      </c>
      <c r="B187" s="28"/>
      <c r="C187" s="28"/>
      <c r="D187" s="29"/>
      <c r="E187" s="30"/>
      <c r="F187" s="21">
        <f>+F173+F185</f>
        <v>56.191287878787875</v>
      </c>
      <c r="G187" s="9"/>
    </row>
    <row r="188" spans="1:9" ht="11.25" customHeight="1" x14ac:dyDescent="0.2">
      <c r="G188" s="9"/>
    </row>
    <row r="189" spans="1:9" x14ac:dyDescent="0.2">
      <c r="A189" s="11" t="s">
        <v>56</v>
      </c>
      <c r="G189" s="9"/>
    </row>
    <row r="190" spans="1:9" ht="11.25" customHeight="1" x14ac:dyDescent="0.2">
      <c r="B190" s="107"/>
      <c r="G190" s="9"/>
    </row>
    <row r="191" spans="1:9" x14ac:dyDescent="0.2">
      <c r="A191" s="7" t="s">
        <v>352</v>
      </c>
      <c r="G191" s="9"/>
      <c r="H191" s="85"/>
      <c r="I191" s="85"/>
    </row>
    <row r="192" spans="1:9" ht="11.25" customHeight="1" x14ac:dyDescent="0.2">
      <c r="G192" s="9"/>
    </row>
    <row r="193" spans="1:10" ht="13.5" thickBot="1" x14ac:dyDescent="0.25">
      <c r="A193" s="107" t="s">
        <v>48</v>
      </c>
      <c r="G193" s="9"/>
    </row>
    <row r="194" spans="1:10" ht="13.5" thickBot="1" x14ac:dyDescent="0.25">
      <c r="A194" s="60" t="s">
        <v>64</v>
      </c>
      <c r="B194" s="61" t="s">
        <v>65</v>
      </c>
      <c r="C194" s="61" t="s">
        <v>42</v>
      </c>
      <c r="D194" s="62" t="s">
        <v>225</v>
      </c>
      <c r="E194" s="62" t="s">
        <v>66</v>
      </c>
      <c r="F194" s="63" t="s">
        <v>67</v>
      </c>
      <c r="G194" s="9"/>
    </row>
    <row r="195" spans="1:10" x14ac:dyDescent="0.2">
      <c r="A195" s="13" t="s">
        <v>104</v>
      </c>
      <c r="B195" s="14" t="s">
        <v>10</v>
      </c>
      <c r="C195" s="275">
        <v>1</v>
      </c>
      <c r="D195" s="87">
        <v>252000</v>
      </c>
      <c r="E195" s="15">
        <f>C195*D195</f>
        <v>252000</v>
      </c>
      <c r="G195" s="9"/>
    </row>
    <row r="196" spans="1:10" x14ac:dyDescent="0.2">
      <c r="A196" s="16" t="s">
        <v>101</v>
      </c>
      <c r="B196" s="17" t="s">
        <v>102</v>
      </c>
      <c r="C196" s="86">
        <v>10</v>
      </c>
      <c r="D196" s="83"/>
      <c r="E196" s="18"/>
      <c r="G196" s="9"/>
    </row>
    <row r="197" spans="1:10" x14ac:dyDescent="0.2">
      <c r="A197" s="16" t="s">
        <v>203</v>
      </c>
      <c r="B197" s="17" t="s">
        <v>102</v>
      </c>
      <c r="C197" s="86">
        <v>0</v>
      </c>
      <c r="D197" s="18"/>
      <c r="E197" s="18"/>
      <c r="F197" s="20"/>
      <c r="I197" s="85"/>
      <c r="J197" s="85"/>
    </row>
    <row r="198" spans="1:10" x14ac:dyDescent="0.2">
      <c r="A198" s="16" t="s">
        <v>103</v>
      </c>
      <c r="B198" s="17" t="s">
        <v>2</v>
      </c>
      <c r="C198" s="140">
        <f>IFERROR(VLOOKUP(C196,'10. Depr'!A3:B17,2,FALSE),0)</f>
        <v>65.180000000000007</v>
      </c>
      <c r="D198" s="18">
        <f>E195</f>
        <v>252000</v>
      </c>
      <c r="E198" s="18">
        <f>C198*D198/100</f>
        <v>164253.6</v>
      </c>
    </row>
    <row r="199" spans="1:10" ht="13.5" thickBot="1" x14ac:dyDescent="0.25">
      <c r="A199" s="278" t="s">
        <v>52</v>
      </c>
      <c r="B199" s="279" t="s">
        <v>8</v>
      </c>
      <c r="C199" s="279">
        <f>C196*12</f>
        <v>120</v>
      </c>
      <c r="D199" s="280">
        <f>IF(C197&lt;=C196,E198,0)</f>
        <v>164253.6</v>
      </c>
      <c r="E199" s="280">
        <f>IFERROR(D199/C199,0)</f>
        <v>1368.78</v>
      </c>
    </row>
    <row r="200" spans="1:10" ht="13.5" thickTop="1" x14ac:dyDescent="0.2">
      <c r="A200" s="305" t="s">
        <v>353</v>
      </c>
      <c r="B200" s="14" t="s">
        <v>10</v>
      </c>
      <c r="C200" s="14">
        <f>C195</f>
        <v>1</v>
      </c>
      <c r="D200" s="87">
        <v>120000</v>
      </c>
      <c r="E200" s="15">
        <f>C200*D200</f>
        <v>120000</v>
      </c>
      <c r="G200" s="9"/>
    </row>
    <row r="201" spans="1:10" x14ac:dyDescent="0.2">
      <c r="A201" s="328" t="s">
        <v>101</v>
      </c>
      <c r="B201" s="17" t="s">
        <v>102</v>
      </c>
      <c r="C201" s="86">
        <v>10</v>
      </c>
      <c r="D201" s="18"/>
      <c r="E201" s="18"/>
    </row>
    <row r="202" spans="1:10" x14ac:dyDescent="0.2">
      <c r="A202" s="328" t="s">
        <v>354</v>
      </c>
      <c r="B202" s="17" t="s">
        <v>102</v>
      </c>
      <c r="C202" s="86">
        <v>0</v>
      </c>
      <c r="D202" s="18"/>
      <c r="E202" s="18"/>
      <c r="F202" s="20"/>
      <c r="I202" s="85"/>
      <c r="J202" s="85"/>
    </row>
    <row r="203" spans="1:10" x14ac:dyDescent="0.2">
      <c r="A203" s="328" t="s">
        <v>103</v>
      </c>
      <c r="B203" s="17" t="s">
        <v>2</v>
      </c>
      <c r="C203" s="141">
        <f>IFERROR(VLOOKUP(C201,'10. Depr'!A3:B17,2,FALSE),0)</f>
        <v>65.180000000000007</v>
      </c>
      <c r="D203" s="18">
        <f>E200</f>
        <v>120000</v>
      </c>
      <c r="E203" s="18">
        <f>C203*D203/100</f>
        <v>78216.000000000015</v>
      </c>
    </row>
    <row r="204" spans="1:10" x14ac:dyDescent="0.2">
      <c r="A204" s="103" t="s">
        <v>355</v>
      </c>
      <c r="B204" s="104" t="s">
        <v>8</v>
      </c>
      <c r="C204" s="104">
        <f>C201*12</f>
        <v>120</v>
      </c>
      <c r="D204" s="105">
        <f>IF(C202&lt;=C201,E203,0)</f>
        <v>78216.000000000015</v>
      </c>
      <c r="E204" s="105">
        <f>IFERROR(D204/C204,0)</f>
        <v>651.80000000000007</v>
      </c>
    </row>
    <row r="205" spans="1:10" x14ac:dyDescent="0.2">
      <c r="A205" s="103" t="s">
        <v>393</v>
      </c>
      <c r="B205" s="104" t="s">
        <v>8</v>
      </c>
      <c r="C205" s="104">
        <v>1</v>
      </c>
      <c r="D205" s="105">
        <f>IF(C203&lt;=C202,E204,0)</f>
        <v>0</v>
      </c>
      <c r="E205" s="105">
        <f>(E199+E204)*0.1</f>
        <v>202.05799999999999</v>
      </c>
    </row>
    <row r="206" spans="1:10" x14ac:dyDescent="0.2">
      <c r="A206" s="116" t="s">
        <v>250</v>
      </c>
      <c r="B206" s="117"/>
      <c r="C206" s="117"/>
      <c r="D206" s="118"/>
      <c r="E206" s="119">
        <f>E199+E204+E205</f>
        <v>2222.6379999999999</v>
      </c>
    </row>
    <row r="207" spans="1:10" ht="13.5" thickBot="1" x14ac:dyDescent="0.25">
      <c r="A207" s="103" t="s">
        <v>251</v>
      </c>
      <c r="B207" s="104" t="s">
        <v>10</v>
      </c>
      <c r="C207" s="86">
        <v>1</v>
      </c>
      <c r="D207" s="105">
        <f>E206</f>
        <v>2222.6379999999999</v>
      </c>
      <c r="E207" s="119">
        <f>C207*D207</f>
        <v>2222.6379999999999</v>
      </c>
    </row>
    <row r="208" spans="1:10" ht="13.5" thickBot="1" x14ac:dyDescent="0.25">
      <c r="A208" s="274"/>
      <c r="B208" s="274"/>
      <c r="C208" s="274"/>
      <c r="D208" s="122" t="s">
        <v>186</v>
      </c>
      <c r="E208" s="315">
        <f>E145</f>
        <v>0.20454545454545456</v>
      </c>
      <c r="F208" s="21">
        <f>E207*E208</f>
        <v>454.63049999999998</v>
      </c>
    </row>
    <row r="209" spans="1:10" ht="11.25" customHeight="1" x14ac:dyDescent="0.2"/>
    <row r="210" spans="1:10" ht="13.5" thickBot="1" x14ac:dyDescent="0.25">
      <c r="A210" s="107" t="s">
        <v>108</v>
      </c>
    </row>
    <row r="211" spans="1:10" ht="13.5" thickBot="1" x14ac:dyDescent="0.25">
      <c r="A211" s="109" t="s">
        <v>64</v>
      </c>
      <c r="B211" s="110" t="s">
        <v>65</v>
      </c>
      <c r="C211" s="110" t="s">
        <v>42</v>
      </c>
      <c r="D211" s="62" t="s">
        <v>225</v>
      </c>
      <c r="E211" s="111" t="s">
        <v>66</v>
      </c>
      <c r="F211" s="63" t="s">
        <v>67</v>
      </c>
      <c r="I211" s="85"/>
      <c r="J211" s="85"/>
    </row>
    <row r="212" spans="1:10" x14ac:dyDescent="0.2">
      <c r="A212" s="16" t="s">
        <v>107</v>
      </c>
      <c r="B212" s="17" t="s">
        <v>10</v>
      </c>
      <c r="C212" s="275">
        <v>1</v>
      </c>
      <c r="D212" s="18">
        <f>D195</f>
        <v>252000</v>
      </c>
      <c r="E212" s="18">
        <f>C212*D212</f>
        <v>252000</v>
      </c>
      <c r="F212" s="20"/>
      <c r="I212" s="85"/>
      <c r="J212" s="85"/>
    </row>
    <row r="213" spans="1:10" x14ac:dyDescent="0.2">
      <c r="A213" s="16" t="s">
        <v>206</v>
      </c>
      <c r="B213" s="17" t="s">
        <v>2</v>
      </c>
      <c r="C213" s="86">
        <v>13.25</v>
      </c>
      <c r="D213" s="18"/>
      <c r="E213" s="18"/>
      <c r="F213" s="20"/>
      <c r="I213" s="85"/>
      <c r="J213" s="85"/>
    </row>
    <row r="214" spans="1:10" x14ac:dyDescent="0.2">
      <c r="A214" s="16" t="s">
        <v>204</v>
      </c>
      <c r="B214" s="17" t="s">
        <v>35</v>
      </c>
      <c r="C214" s="148">
        <f>IFERROR(IF(C197&lt;=C196,E195-(C198/(100*C196)*C197)*E195,E195-E198),0)</f>
        <v>252000</v>
      </c>
      <c r="D214" s="18"/>
      <c r="E214" s="18"/>
      <c r="F214" s="20"/>
      <c r="I214" s="85"/>
      <c r="J214" s="85"/>
    </row>
    <row r="215" spans="1:10" x14ac:dyDescent="0.2">
      <c r="A215" s="16" t="s">
        <v>110</v>
      </c>
      <c r="B215" s="17" t="s">
        <v>35</v>
      </c>
      <c r="C215" s="83">
        <f>IFERROR(IF(C197&gt;=C196,C214,((((C214)-(E195-E198))*(((C196-C197)+1)/(2*(C196-C197))))+(E195-E198))),0)</f>
        <v>178085.88</v>
      </c>
      <c r="D215" s="18"/>
      <c r="E215" s="18"/>
      <c r="F215" s="20"/>
      <c r="I215" s="85"/>
      <c r="J215" s="85"/>
    </row>
    <row r="216" spans="1:10" ht="13.5" thickBot="1" x14ac:dyDescent="0.25">
      <c r="A216" s="278" t="s">
        <v>111</v>
      </c>
      <c r="B216" s="279" t="s">
        <v>35</v>
      </c>
      <c r="C216" s="279"/>
      <c r="D216" s="281">
        <f>C213*C215/12/100</f>
        <v>1966.3649250000003</v>
      </c>
      <c r="E216" s="280">
        <f>D216</f>
        <v>1966.3649250000003</v>
      </c>
      <c r="F216" s="20"/>
      <c r="I216" s="85"/>
      <c r="J216" s="85"/>
    </row>
    <row r="217" spans="1:10" ht="13.5" thickTop="1" x14ac:dyDescent="0.2">
      <c r="A217" s="305" t="s">
        <v>353</v>
      </c>
      <c r="B217" s="14" t="s">
        <v>10</v>
      </c>
      <c r="C217" s="14">
        <f>C200</f>
        <v>1</v>
      </c>
      <c r="D217" s="15">
        <f>D200</f>
        <v>120000</v>
      </c>
      <c r="E217" s="15">
        <f>C217*D217</f>
        <v>120000</v>
      </c>
      <c r="F217" s="20"/>
      <c r="I217" s="85"/>
      <c r="J217" s="85"/>
    </row>
    <row r="218" spans="1:10" x14ac:dyDescent="0.2">
      <c r="A218" s="328" t="s">
        <v>206</v>
      </c>
      <c r="B218" s="17" t="s">
        <v>2</v>
      </c>
      <c r="C218" s="276">
        <f>C213</f>
        <v>13.25</v>
      </c>
      <c r="D218" s="18"/>
      <c r="E218" s="18"/>
      <c r="F218" s="20"/>
      <c r="I218" s="85"/>
      <c r="J218" s="85"/>
    </row>
    <row r="219" spans="1:10" x14ac:dyDescent="0.2">
      <c r="A219" s="16" t="s">
        <v>205</v>
      </c>
      <c r="B219" s="17" t="s">
        <v>35</v>
      </c>
      <c r="C219" s="148">
        <f>IFERROR(IF(C202&lt;=C201,E200-(C203/(100*C201)*C202)*E200,E200-E203),0)</f>
        <v>120000</v>
      </c>
      <c r="D219" s="18"/>
      <c r="E219" s="18"/>
      <c r="F219" s="20"/>
      <c r="I219" s="85"/>
      <c r="J219" s="85"/>
    </row>
    <row r="220" spans="1:10" x14ac:dyDescent="0.2">
      <c r="A220" s="328" t="s">
        <v>388</v>
      </c>
      <c r="B220" s="17" t="s">
        <v>35</v>
      </c>
      <c r="C220" s="83">
        <f>IFERROR(IF(C202&gt;=C201,C219,((((C219)-(E200-E203))*(((C201-C202)+1)/(2*(C201-C202))))+(E200-E203))),0)</f>
        <v>84802.799999999988</v>
      </c>
      <c r="D220" s="18"/>
      <c r="E220" s="18"/>
      <c r="F220" s="20"/>
      <c r="I220" s="85"/>
      <c r="J220" s="85"/>
    </row>
    <row r="221" spans="1:10" x14ac:dyDescent="0.2">
      <c r="A221" s="103" t="s">
        <v>389</v>
      </c>
      <c r="B221" s="104" t="s">
        <v>35</v>
      </c>
      <c r="C221" s="104"/>
      <c r="D221" s="113">
        <f>C218*C220/12/100</f>
        <v>936.36424999999986</v>
      </c>
      <c r="E221" s="105">
        <f>D221</f>
        <v>936.36424999999986</v>
      </c>
      <c r="F221" s="20"/>
      <c r="I221" s="85"/>
      <c r="J221" s="85"/>
    </row>
    <row r="222" spans="1:10" x14ac:dyDescent="0.2">
      <c r="A222" s="103" t="s">
        <v>393</v>
      </c>
      <c r="B222" s="104" t="s">
        <v>8</v>
      </c>
      <c r="C222" s="104">
        <v>1</v>
      </c>
      <c r="D222" s="105"/>
      <c r="E222" s="105">
        <f>(E216+E221)*0.1</f>
        <v>290.27291750000006</v>
      </c>
      <c r="F222" s="20"/>
      <c r="I222" s="85"/>
      <c r="J222" s="85"/>
    </row>
    <row r="223" spans="1:10" x14ac:dyDescent="0.2">
      <c r="A223" s="116" t="s">
        <v>250</v>
      </c>
      <c r="B223" s="117"/>
      <c r="C223" s="117"/>
      <c r="D223" s="118"/>
      <c r="E223" s="119">
        <f>E216+E221+E222</f>
        <v>3193.0020925000003</v>
      </c>
      <c r="F223" s="20"/>
      <c r="G223" s="366"/>
      <c r="I223" s="85"/>
      <c r="J223" s="85"/>
    </row>
    <row r="224" spans="1:10" ht="13.5" thickBot="1" x14ac:dyDescent="0.25">
      <c r="A224" s="103" t="s">
        <v>251</v>
      </c>
      <c r="B224" s="104" t="s">
        <v>10</v>
      </c>
      <c r="C224" s="276">
        <f>C207</f>
        <v>1</v>
      </c>
      <c r="D224" s="105">
        <f>E223</f>
        <v>3193.0020925000003</v>
      </c>
      <c r="E224" s="119">
        <f>C224*D224</f>
        <v>3193.0020925000003</v>
      </c>
      <c r="F224" s="20"/>
      <c r="I224" s="85"/>
      <c r="J224" s="85"/>
    </row>
    <row r="225" spans="1:10" ht="13.5" thickBot="1" x14ac:dyDescent="0.25">
      <c r="C225" s="19"/>
      <c r="D225" s="122" t="s">
        <v>186</v>
      </c>
      <c r="E225" s="315">
        <f>E208</f>
        <v>0.20454545454545456</v>
      </c>
      <c r="F225" s="21">
        <f>E224*E225</f>
        <v>653.11406437500011</v>
      </c>
      <c r="I225" s="85"/>
      <c r="J225" s="85"/>
    </row>
    <row r="226" spans="1:10" ht="11.25" customHeight="1" x14ac:dyDescent="0.2">
      <c r="I226" s="85"/>
      <c r="J226" s="85"/>
    </row>
    <row r="227" spans="1:10" ht="13.5" thickBot="1" x14ac:dyDescent="0.25">
      <c r="A227" s="9" t="s">
        <v>53</v>
      </c>
      <c r="I227" s="85"/>
      <c r="J227" s="85"/>
    </row>
    <row r="228" spans="1:10" ht="13.5" thickBot="1" x14ac:dyDescent="0.25">
      <c r="A228" s="60" t="s">
        <v>64</v>
      </c>
      <c r="B228" s="61" t="s">
        <v>65</v>
      </c>
      <c r="C228" s="61" t="s">
        <v>42</v>
      </c>
      <c r="D228" s="62" t="s">
        <v>225</v>
      </c>
      <c r="E228" s="62" t="s">
        <v>66</v>
      </c>
      <c r="F228" s="63" t="s">
        <v>67</v>
      </c>
      <c r="I228" s="85"/>
      <c r="J228" s="85"/>
    </row>
    <row r="229" spans="1:10" x14ac:dyDescent="0.2">
      <c r="A229" s="13" t="s">
        <v>12</v>
      </c>
      <c r="B229" s="14" t="s">
        <v>10</v>
      </c>
      <c r="C229" s="15">
        <f>C207</f>
        <v>1</v>
      </c>
      <c r="D229" s="15">
        <f>0.01*($C$214)</f>
        <v>2520</v>
      </c>
      <c r="E229" s="15">
        <f>C229*D229</f>
        <v>2520</v>
      </c>
      <c r="I229" s="85"/>
      <c r="J229" s="85"/>
    </row>
    <row r="230" spans="1:10" x14ac:dyDescent="0.2">
      <c r="A230" s="16" t="s">
        <v>185</v>
      </c>
      <c r="B230" s="17" t="s">
        <v>10</v>
      </c>
      <c r="C230" s="15">
        <f>C207</f>
        <v>1</v>
      </c>
      <c r="D230" s="89">
        <v>85.22</v>
      </c>
      <c r="E230" s="18">
        <f>C230*D230</f>
        <v>85.22</v>
      </c>
      <c r="I230" s="85"/>
      <c r="J230" s="85"/>
    </row>
    <row r="231" spans="1:10" x14ac:dyDescent="0.2">
      <c r="A231" s="16" t="s">
        <v>13</v>
      </c>
      <c r="B231" s="17" t="s">
        <v>10</v>
      </c>
      <c r="C231" s="15">
        <f>C207</f>
        <v>1</v>
      </c>
      <c r="D231" s="89">
        <f>2510*1.1006</f>
        <v>2762.5059999999999</v>
      </c>
      <c r="E231" s="18">
        <f>C231*D231</f>
        <v>2762.5059999999999</v>
      </c>
      <c r="F231" s="31"/>
      <c r="I231" s="85"/>
      <c r="J231" s="85"/>
    </row>
    <row r="232" spans="1:10" ht="13.5" thickBot="1" x14ac:dyDescent="0.25">
      <c r="A232" s="103" t="s">
        <v>14</v>
      </c>
      <c r="B232" s="104" t="s">
        <v>8</v>
      </c>
      <c r="C232" s="104">
        <v>12</v>
      </c>
      <c r="D232" s="105">
        <f>SUM(E229:E231)</f>
        <v>5367.7259999999997</v>
      </c>
      <c r="E232" s="105">
        <f>D232/C232</f>
        <v>447.31049999999999</v>
      </c>
      <c r="I232" s="85"/>
      <c r="J232" s="85"/>
    </row>
    <row r="233" spans="1:10" ht="13.5" thickBot="1" x14ac:dyDescent="0.25">
      <c r="D233" s="122" t="s">
        <v>186</v>
      </c>
      <c r="E233" s="315">
        <f>E225</f>
        <v>0.20454545454545456</v>
      </c>
      <c r="F233" s="123">
        <f>E232*E233</f>
        <v>91.495329545454553</v>
      </c>
      <c r="I233" s="85"/>
      <c r="J233" s="85"/>
    </row>
    <row r="234" spans="1:10" ht="11.25" customHeight="1" x14ac:dyDescent="0.2">
      <c r="I234" s="85"/>
      <c r="J234" s="85"/>
    </row>
    <row r="235" spans="1:10" x14ac:dyDescent="0.2">
      <c r="A235" s="9" t="s">
        <v>54</v>
      </c>
      <c r="B235" s="32"/>
      <c r="I235" s="85"/>
      <c r="J235" s="85"/>
    </row>
    <row r="236" spans="1:10" x14ac:dyDescent="0.2">
      <c r="B236" s="32"/>
      <c r="I236" s="85"/>
      <c r="J236" s="85"/>
    </row>
    <row r="237" spans="1:10" x14ac:dyDescent="0.2">
      <c r="A237" s="103" t="s">
        <v>113</v>
      </c>
      <c r="B237" s="335">
        <f>'9. Roteiros '!M12</f>
        <v>759.24617142857153</v>
      </c>
      <c r="I237" s="85"/>
      <c r="J237" s="85"/>
    </row>
    <row r="238" spans="1:10" ht="13.5" thickBot="1" x14ac:dyDescent="0.25">
      <c r="B238" s="32"/>
      <c r="I238" s="85"/>
      <c r="J238" s="85"/>
    </row>
    <row r="239" spans="1:10" ht="13.5" thickBot="1" x14ac:dyDescent="0.25">
      <c r="A239" s="60" t="s">
        <v>64</v>
      </c>
      <c r="B239" s="61" t="s">
        <v>65</v>
      </c>
      <c r="C239" s="61" t="s">
        <v>249</v>
      </c>
      <c r="D239" s="62" t="s">
        <v>225</v>
      </c>
      <c r="E239" s="62" t="s">
        <v>66</v>
      </c>
      <c r="F239" s="63" t="s">
        <v>67</v>
      </c>
      <c r="I239" s="85"/>
      <c r="J239" s="85"/>
    </row>
    <row r="240" spans="1:10" x14ac:dyDescent="0.2">
      <c r="A240" s="13" t="s">
        <v>15</v>
      </c>
      <c r="B240" s="14" t="s">
        <v>16</v>
      </c>
      <c r="C240" s="97">
        <v>2.4</v>
      </c>
      <c r="D240" s="98">
        <v>7.1</v>
      </c>
      <c r="E240" s="15"/>
      <c r="I240" s="85"/>
      <c r="J240" s="85"/>
    </row>
    <row r="241" spans="1:10" x14ac:dyDescent="0.2">
      <c r="A241" s="16" t="s">
        <v>17</v>
      </c>
      <c r="B241" s="17" t="s">
        <v>18</v>
      </c>
      <c r="C241" s="94">
        <f>B237</f>
        <v>759.24617142857153</v>
      </c>
      <c r="D241" s="273">
        <f>IFERROR(+D240/C240,"-")</f>
        <v>2.9583333333333335</v>
      </c>
      <c r="E241" s="18">
        <f>IFERROR(C241*D241,"-")</f>
        <v>2246.1032571428577</v>
      </c>
      <c r="I241" s="85"/>
      <c r="J241" s="85"/>
    </row>
    <row r="242" spans="1:10" x14ac:dyDescent="0.2">
      <c r="A242" s="16" t="s">
        <v>226</v>
      </c>
      <c r="B242" s="17" t="s">
        <v>19</v>
      </c>
      <c r="C242" s="100">
        <v>1.33</v>
      </c>
      <c r="D242" s="89">
        <v>19</v>
      </c>
      <c r="E242" s="18"/>
      <c r="G242" s="112"/>
      <c r="H242" s="52"/>
      <c r="I242" s="85"/>
      <c r="J242" s="85"/>
    </row>
    <row r="243" spans="1:10" x14ac:dyDescent="0.2">
      <c r="A243" s="16" t="s">
        <v>20</v>
      </c>
      <c r="B243" s="17" t="s">
        <v>18</v>
      </c>
      <c r="C243" s="94">
        <f>C241</f>
        <v>759.24617142857153</v>
      </c>
      <c r="D243" s="270">
        <f>+C242*D242/1000</f>
        <v>2.5270000000000004E-2</v>
      </c>
      <c r="E243" s="18">
        <f>C243*D243</f>
        <v>19.186150752000007</v>
      </c>
      <c r="G243" s="112"/>
      <c r="H243" s="52"/>
      <c r="I243" s="85"/>
      <c r="J243" s="85"/>
    </row>
    <row r="244" spans="1:10" x14ac:dyDescent="0.2">
      <c r="A244" s="16" t="s">
        <v>227</v>
      </c>
      <c r="B244" s="17" t="s">
        <v>19</v>
      </c>
      <c r="C244" s="100">
        <v>0.18</v>
      </c>
      <c r="D244" s="89">
        <v>26</v>
      </c>
      <c r="E244" s="18"/>
      <c r="G244" s="112"/>
      <c r="H244" s="52"/>
      <c r="I244" s="85"/>
      <c r="J244" s="85"/>
    </row>
    <row r="245" spans="1:10" x14ac:dyDescent="0.2">
      <c r="A245" s="16" t="s">
        <v>21</v>
      </c>
      <c r="B245" s="17" t="s">
        <v>18</v>
      </c>
      <c r="C245" s="94">
        <f>C241</f>
        <v>759.24617142857153</v>
      </c>
      <c r="D245" s="270">
        <f>+C244*D244/1000</f>
        <v>4.6800000000000001E-3</v>
      </c>
      <c r="E245" s="18">
        <f>C245*D245</f>
        <v>3.5532720822857149</v>
      </c>
      <c r="G245" s="112"/>
      <c r="H245" s="52"/>
      <c r="I245" s="85"/>
      <c r="J245" s="85"/>
    </row>
    <row r="246" spans="1:10" x14ac:dyDescent="0.2">
      <c r="A246" s="16" t="s">
        <v>228</v>
      </c>
      <c r="B246" s="17" t="s">
        <v>19</v>
      </c>
      <c r="C246" s="100">
        <v>3</v>
      </c>
      <c r="D246" s="89">
        <v>22</v>
      </c>
      <c r="E246" s="18"/>
      <c r="G246" s="112"/>
      <c r="H246" s="52"/>
      <c r="I246" s="85"/>
      <c r="J246" s="85"/>
    </row>
    <row r="247" spans="1:10" x14ac:dyDescent="0.2">
      <c r="A247" s="16" t="s">
        <v>22</v>
      </c>
      <c r="B247" s="17" t="s">
        <v>18</v>
      </c>
      <c r="C247" s="94">
        <f>C241</f>
        <v>759.24617142857153</v>
      </c>
      <c r="D247" s="270">
        <f>+C246*D246/1000</f>
        <v>6.6000000000000003E-2</v>
      </c>
      <c r="E247" s="18">
        <f>C247*D247</f>
        <v>50.110247314285722</v>
      </c>
      <c r="G247" s="112"/>
      <c r="H247" s="52"/>
      <c r="I247" s="85"/>
      <c r="J247" s="85"/>
    </row>
    <row r="248" spans="1:10" x14ac:dyDescent="0.2">
      <c r="A248" s="328" t="s">
        <v>387</v>
      </c>
      <c r="B248" s="367" t="s">
        <v>19</v>
      </c>
      <c r="C248" s="377">
        <v>20</v>
      </c>
      <c r="D248" s="341">
        <v>3.8</v>
      </c>
      <c r="E248" s="337"/>
      <c r="G248" s="112"/>
      <c r="H248" s="52"/>
      <c r="I248" s="85"/>
      <c r="J248" s="85"/>
    </row>
    <row r="249" spans="1:10" x14ac:dyDescent="0.2">
      <c r="A249" s="328" t="s">
        <v>386</v>
      </c>
      <c r="B249" s="367" t="s">
        <v>18</v>
      </c>
      <c r="C249" s="340">
        <f>C243</f>
        <v>759.24617142857153</v>
      </c>
      <c r="D249" s="342">
        <f>+C248*D248/1000</f>
        <v>7.5999999999999998E-2</v>
      </c>
      <c r="E249" s="337">
        <f>C249*D249</f>
        <v>57.702709028571434</v>
      </c>
      <c r="G249" s="112"/>
      <c r="H249" s="52"/>
      <c r="I249" s="85"/>
      <c r="J249" s="85"/>
    </row>
    <row r="250" spans="1:10" x14ac:dyDescent="0.2">
      <c r="A250" s="16" t="s">
        <v>23</v>
      </c>
      <c r="B250" s="17" t="s">
        <v>24</v>
      </c>
      <c r="C250" s="100">
        <v>2</v>
      </c>
      <c r="D250" s="89">
        <v>22</v>
      </c>
      <c r="E250" s="18"/>
      <c r="G250" s="112"/>
      <c r="H250" s="52"/>
      <c r="I250" s="85"/>
      <c r="J250" s="85"/>
    </row>
    <row r="251" spans="1:10" x14ac:dyDescent="0.2">
      <c r="A251" s="16" t="s">
        <v>25</v>
      </c>
      <c r="B251" s="17" t="s">
        <v>18</v>
      </c>
      <c r="C251" s="94">
        <f>C241</f>
        <v>759.24617142857153</v>
      </c>
      <c r="D251" s="270">
        <f>+C250*D250/1000</f>
        <v>4.3999999999999997E-2</v>
      </c>
      <c r="E251" s="18">
        <f>C251*D251</f>
        <v>33.406831542857148</v>
      </c>
      <c r="G251" s="112"/>
      <c r="H251" s="52"/>
      <c r="I251" s="85"/>
      <c r="J251" s="85"/>
    </row>
    <row r="252" spans="1:10" ht="13.5" thickBot="1" x14ac:dyDescent="0.25">
      <c r="A252" s="103" t="s">
        <v>248</v>
      </c>
      <c r="B252" s="104" t="s">
        <v>114</v>
      </c>
      <c r="C252" s="271"/>
      <c r="D252" s="272">
        <f>IFERROR(D241+D243+D245+D247+D251,0)</f>
        <v>3.0982833333333333</v>
      </c>
      <c r="E252" s="18"/>
      <c r="G252" s="112"/>
      <c r="H252" s="52"/>
      <c r="I252" s="85"/>
      <c r="J252" s="85"/>
    </row>
    <row r="253" spans="1:10" ht="13.5" thickBot="1" x14ac:dyDescent="0.25">
      <c r="F253" s="21">
        <f>SUM(E240:E251)</f>
        <v>2410.0624678628578</v>
      </c>
      <c r="I253" s="85"/>
      <c r="J253" s="85"/>
    </row>
    <row r="254" spans="1:10" ht="11.25" customHeight="1" x14ac:dyDescent="0.2">
      <c r="I254" s="85"/>
      <c r="J254" s="85"/>
    </row>
    <row r="255" spans="1:10" ht="13.5" thickBot="1" x14ac:dyDescent="0.25">
      <c r="A255" s="9" t="s">
        <v>55</v>
      </c>
      <c r="I255" s="85"/>
      <c r="J255" s="85"/>
    </row>
    <row r="256" spans="1:10" ht="13.5" thickBot="1" x14ac:dyDescent="0.25">
      <c r="A256" s="60" t="s">
        <v>64</v>
      </c>
      <c r="B256" s="61" t="s">
        <v>65</v>
      </c>
      <c r="C256" s="61" t="s">
        <v>42</v>
      </c>
      <c r="D256" s="62" t="s">
        <v>225</v>
      </c>
      <c r="E256" s="62" t="s">
        <v>66</v>
      </c>
      <c r="F256" s="63" t="s">
        <v>67</v>
      </c>
      <c r="I256" s="85"/>
      <c r="J256" s="85"/>
    </row>
    <row r="257" spans="1:10" ht="13.5" thickBot="1" x14ac:dyDescent="0.25">
      <c r="A257" s="13" t="s">
        <v>112</v>
      </c>
      <c r="B257" s="14" t="s">
        <v>114</v>
      </c>
      <c r="C257" s="387">
        <f>C241</f>
        <v>759.24617142857153</v>
      </c>
      <c r="D257" s="87">
        <v>0.95</v>
      </c>
      <c r="E257" s="15">
        <f>C257*D257</f>
        <v>721.28386285714294</v>
      </c>
      <c r="I257" s="85"/>
      <c r="J257" s="85"/>
    </row>
    <row r="258" spans="1:10" ht="13.5" thickBot="1" x14ac:dyDescent="0.25">
      <c r="F258" s="21">
        <f>E257</f>
        <v>721.28386285714294</v>
      </c>
      <c r="I258" s="85"/>
      <c r="J258" s="85"/>
    </row>
    <row r="259" spans="1:10" ht="11.25" customHeight="1" x14ac:dyDescent="0.2">
      <c r="I259" s="85"/>
      <c r="J259" s="85"/>
    </row>
    <row r="260" spans="1:10" ht="13.5" thickBot="1" x14ac:dyDescent="0.25">
      <c r="A260" s="9" t="s">
        <v>62</v>
      </c>
      <c r="I260" s="85"/>
      <c r="J260" s="85"/>
    </row>
    <row r="261" spans="1:10" ht="13.5" thickBot="1" x14ac:dyDescent="0.25">
      <c r="A261" s="60" t="s">
        <v>64</v>
      </c>
      <c r="B261" s="61" t="s">
        <v>65</v>
      </c>
      <c r="C261" s="61" t="s">
        <v>42</v>
      </c>
      <c r="D261" s="62" t="s">
        <v>225</v>
      </c>
      <c r="E261" s="62" t="s">
        <v>66</v>
      </c>
      <c r="F261" s="63" t="s">
        <v>67</v>
      </c>
      <c r="I261" s="85"/>
      <c r="J261" s="85"/>
    </row>
    <row r="262" spans="1:10" x14ac:dyDescent="0.2">
      <c r="A262" s="305" t="s">
        <v>385</v>
      </c>
      <c r="B262" s="14" t="s">
        <v>10</v>
      </c>
      <c r="C262" s="96">
        <v>6</v>
      </c>
      <c r="D262" s="87">
        <v>2423</v>
      </c>
      <c r="E262" s="15">
        <f>C262*D262</f>
        <v>14538</v>
      </c>
      <c r="I262" s="85"/>
      <c r="J262" s="85"/>
    </row>
    <row r="263" spans="1:10" x14ac:dyDescent="0.2">
      <c r="A263" s="13" t="s">
        <v>115</v>
      </c>
      <c r="B263" s="14" t="s">
        <v>10</v>
      </c>
      <c r="C263" s="96">
        <v>2</v>
      </c>
      <c r="D263" s="106"/>
      <c r="E263" s="15"/>
      <c r="I263" s="85"/>
      <c r="J263" s="85"/>
    </row>
    <row r="264" spans="1:10" x14ac:dyDescent="0.2">
      <c r="A264" s="13" t="s">
        <v>72</v>
      </c>
      <c r="B264" s="14" t="s">
        <v>10</v>
      </c>
      <c r="C264" s="15">
        <f>C262*C263</f>
        <v>12</v>
      </c>
      <c r="D264" s="87">
        <v>600</v>
      </c>
      <c r="E264" s="15">
        <f>C264*D264</f>
        <v>7200</v>
      </c>
      <c r="I264" s="85"/>
      <c r="J264" s="85"/>
    </row>
    <row r="265" spans="1:10" x14ac:dyDescent="0.2">
      <c r="A265" s="16" t="s">
        <v>95</v>
      </c>
      <c r="B265" s="17" t="s">
        <v>26</v>
      </c>
      <c r="C265" s="99">
        <v>80000</v>
      </c>
      <c r="D265" s="18">
        <f>E262+E264</f>
        <v>21738</v>
      </c>
      <c r="E265" s="18">
        <f>IFERROR(D265/C265,"-")</f>
        <v>0.27172499999999999</v>
      </c>
      <c r="I265" s="85"/>
      <c r="J265" s="85"/>
    </row>
    <row r="266" spans="1:10" ht="13.5" thickBot="1" x14ac:dyDescent="0.25">
      <c r="A266" s="16" t="s">
        <v>57</v>
      </c>
      <c r="B266" s="17" t="s">
        <v>18</v>
      </c>
      <c r="C266" s="94">
        <f>B237</f>
        <v>759.24617142857153</v>
      </c>
      <c r="D266" s="18">
        <f>E265</f>
        <v>0.27172499999999999</v>
      </c>
      <c r="E266" s="18">
        <f>IFERROR(C266*D266,0)</f>
        <v>206.30616593142858</v>
      </c>
      <c r="I266" s="85"/>
      <c r="J266" s="85"/>
    </row>
    <row r="267" spans="1:10" ht="13.5" thickBot="1" x14ac:dyDescent="0.25">
      <c r="F267" s="21">
        <f>E266</f>
        <v>206.30616593142858</v>
      </c>
      <c r="I267" s="85"/>
      <c r="J267" s="85"/>
    </row>
    <row r="268" spans="1:10" ht="11.25" customHeight="1" x14ac:dyDescent="0.2">
      <c r="I268" s="85"/>
      <c r="J268" s="85"/>
    </row>
    <row r="269" spans="1:10" ht="11.25" customHeight="1" thickBot="1" x14ac:dyDescent="0.25">
      <c r="G269" s="9"/>
    </row>
    <row r="270" spans="1:10" ht="13.5" thickBot="1" x14ac:dyDescent="0.25">
      <c r="A270" s="24" t="s">
        <v>218</v>
      </c>
      <c r="B270" s="25"/>
      <c r="C270" s="25"/>
      <c r="D270" s="26"/>
      <c r="E270" s="27"/>
      <c r="F270" s="21">
        <f>+SUM(F195:F269)</f>
        <v>4536.8923905718839</v>
      </c>
      <c r="G270" s="9"/>
    </row>
    <row r="271" spans="1:10" ht="11.25" customHeight="1" x14ac:dyDescent="0.2">
      <c r="G271" s="9"/>
    </row>
    <row r="272" spans="1:10" x14ac:dyDescent="0.2">
      <c r="A272" s="34" t="s">
        <v>407</v>
      </c>
      <c r="B272" s="34"/>
      <c r="C272" s="34"/>
      <c r="D272" s="35"/>
      <c r="E272" s="35"/>
      <c r="F272" s="33"/>
      <c r="G272" s="9"/>
    </row>
    <row r="273" spans="1:7" ht="11.25" customHeight="1" thickBot="1" x14ac:dyDescent="0.25">
      <c r="G273" s="9"/>
    </row>
    <row r="274" spans="1:7" ht="13.5" thickBot="1" x14ac:dyDescent="0.25">
      <c r="A274" s="60" t="s">
        <v>64</v>
      </c>
      <c r="B274" s="61" t="s">
        <v>65</v>
      </c>
      <c r="C274" s="61" t="s">
        <v>42</v>
      </c>
      <c r="D274" s="62" t="s">
        <v>225</v>
      </c>
      <c r="E274" s="62" t="s">
        <v>66</v>
      </c>
      <c r="F274" s="63" t="s">
        <v>67</v>
      </c>
      <c r="G274" s="9"/>
    </row>
    <row r="275" spans="1:7" x14ac:dyDescent="0.2">
      <c r="A275" s="16" t="s">
        <v>73</v>
      </c>
      <c r="B275" s="17" t="s">
        <v>10</v>
      </c>
      <c r="C275" s="101">
        <v>0.16666666666666666</v>
      </c>
      <c r="D275" s="87">
        <v>45</v>
      </c>
      <c r="E275" s="18">
        <f t="shared" ref="E275:E277" si="8">C275*D275</f>
        <v>7.5</v>
      </c>
      <c r="F275" s="55"/>
      <c r="G275" s="9"/>
    </row>
    <row r="276" spans="1:7" x14ac:dyDescent="0.2">
      <c r="A276" s="16" t="s">
        <v>28</v>
      </c>
      <c r="B276" s="17" t="s">
        <v>10</v>
      </c>
      <c r="C276" s="101">
        <v>0.16666666666666666</v>
      </c>
      <c r="D276" s="87">
        <v>30</v>
      </c>
      <c r="E276" s="18">
        <f t="shared" si="8"/>
        <v>5</v>
      </c>
      <c r="F276" s="55"/>
      <c r="G276" s="9"/>
    </row>
    <row r="277" spans="1:7" ht="13.5" thickBot="1" x14ac:dyDescent="0.25">
      <c r="A277" s="16" t="s">
        <v>29</v>
      </c>
      <c r="B277" s="17" t="s">
        <v>10</v>
      </c>
      <c r="C277" s="101">
        <v>0.16666666666666666</v>
      </c>
      <c r="D277" s="87">
        <v>32</v>
      </c>
      <c r="E277" s="18">
        <f t="shared" si="8"/>
        <v>5.333333333333333</v>
      </c>
      <c r="F277" s="55"/>
      <c r="G277" s="9"/>
    </row>
    <row r="278" spans="1:7" ht="13.5" thickBot="1" x14ac:dyDescent="0.25">
      <c r="A278" s="34"/>
      <c r="B278" s="34"/>
      <c r="C278" s="34"/>
      <c r="D278" s="34"/>
      <c r="E278" s="35"/>
      <c r="F278" s="21">
        <f>SUM(E275:E277)</f>
        <v>17.833333333333332</v>
      </c>
      <c r="G278" s="9"/>
    </row>
    <row r="279" spans="1:7" ht="11.25" customHeight="1" thickBot="1" x14ac:dyDescent="0.25">
      <c r="G279" s="9"/>
    </row>
    <row r="280" spans="1:7" ht="13.5" thickBot="1" x14ac:dyDescent="0.25">
      <c r="A280" s="24" t="s">
        <v>219</v>
      </c>
      <c r="B280" s="25"/>
      <c r="C280" s="25"/>
      <c r="D280" s="26"/>
      <c r="E280" s="27"/>
      <c r="F280" s="21">
        <f>+F278</f>
        <v>17.833333333333332</v>
      </c>
      <c r="G280" s="9"/>
    </row>
    <row r="281" spans="1:7" ht="11.25" customHeight="1" x14ac:dyDescent="0.2">
      <c r="G281" s="9"/>
    </row>
    <row r="282" spans="1:7" ht="13.15" customHeight="1" x14ac:dyDescent="0.2">
      <c r="A282" s="34" t="s">
        <v>402</v>
      </c>
      <c r="B282" s="34"/>
      <c r="C282" s="34"/>
      <c r="D282" s="35"/>
      <c r="E282" s="35"/>
      <c r="F282" s="33"/>
      <c r="G282" s="9"/>
    </row>
    <row r="283" spans="1:7" ht="11.25" customHeight="1" thickBot="1" x14ac:dyDescent="0.25">
      <c r="G283" s="9"/>
    </row>
    <row r="284" spans="1:7" ht="13.9" customHeight="1" thickBot="1" x14ac:dyDescent="0.25">
      <c r="A284" s="60" t="s">
        <v>64</v>
      </c>
      <c r="B284" s="61" t="s">
        <v>65</v>
      </c>
      <c r="C284" s="61" t="s">
        <v>42</v>
      </c>
      <c r="D284" s="62" t="s">
        <v>225</v>
      </c>
      <c r="E284" s="62" t="s">
        <v>66</v>
      </c>
      <c r="F284" s="63" t="s">
        <v>67</v>
      </c>
      <c r="G284" s="9"/>
    </row>
    <row r="285" spans="1:7" ht="13.9" customHeight="1" x14ac:dyDescent="0.2">
      <c r="A285" s="328" t="s">
        <v>614</v>
      </c>
      <c r="B285" s="53" t="s">
        <v>10</v>
      </c>
      <c r="C285" s="69">
        <v>9</v>
      </c>
      <c r="D285" s="89">
        <v>10</v>
      </c>
      <c r="E285" s="18">
        <f>+D285*C285</f>
        <v>90</v>
      </c>
      <c r="F285" s="55"/>
      <c r="G285" s="9"/>
    </row>
    <row r="286" spans="1:7" ht="13.9" hidden="1" customHeight="1" x14ac:dyDescent="0.2">
      <c r="A286" s="328" t="s">
        <v>399</v>
      </c>
      <c r="B286" s="53" t="s">
        <v>10</v>
      </c>
      <c r="C286" s="154"/>
      <c r="D286" s="89">
        <v>150</v>
      </c>
      <c r="E286" s="18">
        <f t="shared" ref="E286:E290" si="9">+D286*C286</f>
        <v>0</v>
      </c>
      <c r="F286" s="55"/>
      <c r="G286" s="9"/>
    </row>
    <row r="287" spans="1:7" ht="13.9" hidden="1" customHeight="1" x14ac:dyDescent="0.2">
      <c r="A287" s="328" t="s">
        <v>400</v>
      </c>
      <c r="B287" s="17" t="s">
        <v>10</v>
      </c>
      <c r="C287" s="69"/>
      <c r="D287" s="89">
        <v>200</v>
      </c>
      <c r="E287" s="18">
        <f t="shared" si="9"/>
        <v>0</v>
      </c>
      <c r="F287" s="55"/>
      <c r="G287" s="9"/>
    </row>
    <row r="288" spans="1:7" ht="13.9" customHeight="1" x14ac:dyDescent="0.2">
      <c r="A288" s="328" t="s">
        <v>430</v>
      </c>
      <c r="B288" s="367" t="s">
        <v>10</v>
      </c>
      <c r="C288" s="376">
        <v>1</v>
      </c>
      <c r="D288" s="87">
        <v>150</v>
      </c>
      <c r="E288" s="18">
        <f t="shared" ref="E288:E289" si="10">C288*D288</f>
        <v>150</v>
      </c>
      <c r="F288" s="55"/>
      <c r="G288" s="9"/>
    </row>
    <row r="289" spans="1:7" ht="13.9" customHeight="1" thickBot="1" x14ac:dyDescent="0.25">
      <c r="A289" s="328" t="s">
        <v>368</v>
      </c>
      <c r="B289" s="367" t="s">
        <v>10</v>
      </c>
      <c r="C289" s="101">
        <v>8.3333333333333329E-2</v>
      </c>
      <c r="D289" s="87">
        <v>150</v>
      </c>
      <c r="E289" s="18">
        <f t="shared" si="10"/>
        <v>12.5</v>
      </c>
      <c r="F289" s="55"/>
      <c r="G289" s="9"/>
    </row>
    <row r="290" spans="1:7" ht="13.9" hidden="1" customHeight="1" thickBot="1" x14ac:dyDescent="0.25">
      <c r="A290" s="328" t="s">
        <v>401</v>
      </c>
      <c r="B290" s="53" t="s">
        <v>348</v>
      </c>
      <c r="C290" s="154"/>
      <c r="D290" s="89">
        <v>0</v>
      </c>
      <c r="E290" s="18">
        <f t="shared" si="9"/>
        <v>0</v>
      </c>
      <c r="F290" s="55"/>
      <c r="G290" s="9"/>
    </row>
    <row r="291" spans="1:7" ht="13.9" customHeight="1" thickBot="1" x14ac:dyDescent="0.25">
      <c r="A291" s="81"/>
      <c r="B291" s="81"/>
      <c r="C291" s="81"/>
      <c r="D291" s="122" t="s">
        <v>186</v>
      </c>
      <c r="E291" s="315">
        <v>1</v>
      </c>
      <c r="F291" s="82">
        <f>SUM(E285:E290)</f>
        <v>252.5</v>
      </c>
      <c r="G291" s="9"/>
    </row>
    <row r="292" spans="1:7" ht="11.25" customHeight="1" x14ac:dyDescent="0.2">
      <c r="G292" s="9"/>
    </row>
    <row r="293" spans="1:7" x14ac:dyDescent="0.2">
      <c r="A293" s="34" t="s">
        <v>403</v>
      </c>
      <c r="B293" s="34"/>
      <c r="C293" s="34"/>
      <c r="D293" s="35"/>
      <c r="E293" s="35"/>
      <c r="F293" s="33"/>
    </row>
    <row r="294" spans="1:7" ht="11.25" customHeight="1" thickBot="1" x14ac:dyDescent="0.25"/>
    <row r="295" spans="1:7" ht="13.5" thickBot="1" x14ac:dyDescent="0.25">
      <c r="A295" s="60" t="s">
        <v>64</v>
      </c>
      <c r="B295" s="61" t="s">
        <v>65</v>
      </c>
      <c r="C295" s="61" t="s">
        <v>42</v>
      </c>
      <c r="D295" s="62" t="s">
        <v>225</v>
      </c>
      <c r="E295" s="62" t="s">
        <v>66</v>
      </c>
      <c r="F295" s="63" t="s">
        <v>67</v>
      </c>
    </row>
    <row r="296" spans="1:7" x14ac:dyDescent="0.2">
      <c r="A296" s="328" t="s">
        <v>216</v>
      </c>
      <c r="B296" s="53" t="s">
        <v>59</v>
      </c>
      <c r="C296" s="69">
        <v>1</v>
      </c>
      <c r="D296" s="89">
        <v>600</v>
      </c>
      <c r="E296" s="18">
        <f>+D296*C296</f>
        <v>600</v>
      </c>
      <c r="F296" s="55"/>
    </row>
    <row r="297" spans="1:7" x14ac:dyDescent="0.2">
      <c r="A297" s="16" t="s">
        <v>61</v>
      </c>
      <c r="B297" s="53" t="s">
        <v>8</v>
      </c>
      <c r="C297" s="154">
        <v>60</v>
      </c>
      <c r="D297" s="80">
        <f>SUM(E296:E296)</f>
        <v>600</v>
      </c>
      <c r="E297" s="80">
        <f>+D297/C297</f>
        <v>10</v>
      </c>
      <c r="F297" s="55"/>
    </row>
    <row r="298" spans="1:7" x14ac:dyDescent="0.2">
      <c r="A298" s="16" t="s">
        <v>217</v>
      </c>
      <c r="B298" s="17" t="s">
        <v>10</v>
      </c>
      <c r="C298" s="69">
        <f>+C296</f>
        <v>1</v>
      </c>
      <c r="D298" s="89">
        <v>110</v>
      </c>
      <c r="E298" s="18">
        <f>C298*D298</f>
        <v>110</v>
      </c>
      <c r="F298" s="55"/>
    </row>
    <row r="299" spans="1:7" ht="13.5" thickBot="1" x14ac:dyDescent="0.25">
      <c r="A299" s="16" t="s">
        <v>39</v>
      </c>
      <c r="B299" s="53" t="s">
        <v>8</v>
      </c>
      <c r="C299" s="154">
        <v>1</v>
      </c>
      <c r="D299" s="80">
        <f>+E298</f>
        <v>110</v>
      </c>
      <c r="E299" s="80">
        <f>+D299/C299</f>
        <v>110</v>
      </c>
      <c r="F299" s="55"/>
    </row>
    <row r="300" spans="1:7" ht="13.5" thickBot="1" x14ac:dyDescent="0.25">
      <c r="A300" s="81"/>
      <c r="B300" s="81"/>
      <c r="C300" s="81"/>
      <c r="D300" s="122" t="s">
        <v>186</v>
      </c>
      <c r="E300" s="315">
        <f>E233</f>
        <v>0.20454545454545456</v>
      </c>
      <c r="F300" s="82">
        <f>(E297+E299)*E300</f>
        <v>24.545454545454547</v>
      </c>
    </row>
    <row r="301" spans="1:7" s="51" customFormat="1" ht="11.25" customHeight="1" thickBot="1" x14ac:dyDescent="0.25">
      <c r="A301" s="9"/>
      <c r="B301" s="9"/>
      <c r="C301" s="9"/>
      <c r="D301" s="10"/>
      <c r="E301" s="10"/>
      <c r="F301" s="10"/>
      <c r="G301" s="84"/>
    </row>
    <row r="302" spans="1:7" ht="13.5" thickBot="1" x14ac:dyDescent="0.25">
      <c r="A302" s="24" t="s">
        <v>215</v>
      </c>
      <c r="B302" s="25"/>
      <c r="C302" s="25"/>
      <c r="D302" s="26"/>
      <c r="E302" s="27"/>
      <c r="F302" s="21">
        <f>+F300</f>
        <v>24.545454545454547</v>
      </c>
    </row>
    <row r="303" spans="1:7" ht="11.25" customHeight="1" thickBot="1" x14ac:dyDescent="0.25"/>
    <row r="304" spans="1:7" ht="17.25" customHeight="1" thickBot="1" x14ac:dyDescent="0.25">
      <c r="A304" s="24" t="s">
        <v>220</v>
      </c>
      <c r="B304" s="28"/>
      <c r="C304" s="28"/>
      <c r="D304" s="29"/>
      <c r="E304" s="30"/>
      <c r="F304" s="22">
        <f>+F153+F187+F270+F280+F302+F291</f>
        <v>7324.9240644554311</v>
      </c>
    </row>
    <row r="305" spans="1:7" ht="11.25" customHeight="1" x14ac:dyDescent="0.2"/>
    <row r="306" spans="1:7" x14ac:dyDescent="0.2">
      <c r="A306" s="11" t="s">
        <v>404</v>
      </c>
    </row>
    <row r="307" spans="1:7" ht="11.25" customHeight="1" thickBot="1" x14ac:dyDescent="0.25"/>
    <row r="308" spans="1:7" ht="13.5" thickBot="1" x14ac:dyDescent="0.25">
      <c r="A308" s="60" t="s">
        <v>64</v>
      </c>
      <c r="B308" s="61" t="s">
        <v>65</v>
      </c>
      <c r="C308" s="61" t="s">
        <v>42</v>
      </c>
      <c r="D308" s="62" t="s">
        <v>225</v>
      </c>
      <c r="E308" s="62" t="s">
        <v>66</v>
      </c>
      <c r="F308" s="63" t="s">
        <v>67</v>
      </c>
    </row>
    <row r="309" spans="1:7" ht="13.5" thickBot="1" x14ac:dyDescent="0.25">
      <c r="A309" s="13" t="s">
        <v>38</v>
      </c>
      <c r="B309" s="14" t="s">
        <v>2</v>
      </c>
      <c r="C309" s="140">
        <f>'6.BDI'!C21*100</f>
        <v>25.05</v>
      </c>
      <c r="D309" s="15">
        <f>+F304</f>
        <v>7324.9240644554311</v>
      </c>
      <c r="E309" s="15">
        <f>C309*D309/100</f>
        <v>1834.8934781460855</v>
      </c>
    </row>
    <row r="310" spans="1:7" ht="13.5" thickBot="1" x14ac:dyDescent="0.25">
      <c r="F310" s="21">
        <f>+E309</f>
        <v>1834.8934781460855</v>
      </c>
    </row>
    <row r="311" spans="1:7" ht="11.25" customHeight="1" thickBot="1" x14ac:dyDescent="0.25"/>
    <row r="312" spans="1:7" ht="13.5" thickBot="1" x14ac:dyDescent="0.25">
      <c r="A312" s="24" t="s">
        <v>230</v>
      </c>
      <c r="B312" s="28"/>
      <c r="C312" s="28"/>
      <c r="D312" s="29"/>
      <c r="E312" s="30"/>
      <c r="F312" s="22">
        <f>F310</f>
        <v>1834.8934781460855</v>
      </c>
    </row>
    <row r="313" spans="1:7" x14ac:dyDescent="0.2">
      <c r="A313" s="34"/>
      <c r="B313" s="34"/>
      <c r="C313" s="34"/>
      <c r="D313" s="35"/>
      <c r="E313" s="35"/>
      <c r="F313" s="33"/>
    </row>
    <row r="314" spans="1:7" ht="11.25" customHeight="1" thickBot="1" x14ac:dyDescent="0.25"/>
    <row r="315" spans="1:7" ht="24.75" customHeight="1" thickBot="1" x14ac:dyDescent="0.25">
      <c r="A315" s="24" t="s">
        <v>221</v>
      </c>
      <c r="B315" s="28"/>
      <c r="C315" s="28"/>
      <c r="D315" s="29"/>
      <c r="E315" s="30"/>
      <c r="F315" s="22">
        <f>F304+F312</f>
        <v>9159.8175426015168</v>
      </c>
    </row>
    <row r="316" spans="1:7" ht="12.6" customHeight="1" x14ac:dyDescent="0.2">
      <c r="A316" s="56"/>
      <c r="B316" s="56"/>
      <c r="C316" s="56"/>
      <c r="D316" s="57"/>
      <c r="E316" s="57"/>
      <c r="F316" s="57"/>
    </row>
    <row r="317" spans="1:7" ht="14.25" hidden="1" x14ac:dyDescent="0.2">
      <c r="A317" s="8"/>
      <c r="B317" s="8"/>
      <c r="C317" s="8"/>
      <c r="D317" s="36"/>
      <c r="E317" s="36"/>
    </row>
    <row r="318" spans="1:7" ht="16.149999999999999" hidden="1" customHeight="1" x14ac:dyDescent="0.2">
      <c r="A318" s="251" t="s">
        <v>214</v>
      </c>
      <c r="B318" s="252"/>
      <c r="C318" s="252"/>
      <c r="D318" s="253"/>
      <c r="E318" s="254" t="s">
        <v>27</v>
      </c>
      <c r="G318" s="10" t="s">
        <v>195</v>
      </c>
    </row>
    <row r="319" spans="1:7" hidden="1" x14ac:dyDescent="0.2"/>
    <row r="320" spans="1:7" ht="25.5" hidden="1" customHeight="1" thickBot="1" x14ac:dyDescent="0.25">
      <c r="A320" s="24" t="s">
        <v>71</v>
      </c>
      <c r="B320" s="25"/>
      <c r="C320" s="25"/>
      <c r="D320" s="26"/>
      <c r="E320" s="255" t="s">
        <v>34</v>
      </c>
      <c r="F320" s="256" t="str">
        <f>IFERROR(F315/D318,"-")</f>
        <v>-</v>
      </c>
      <c r="G320" s="10" t="s">
        <v>195</v>
      </c>
    </row>
    <row r="321" spans="1:7" ht="12.6" hidden="1" customHeight="1" x14ac:dyDescent="0.2">
      <c r="A321" s="34"/>
      <c r="B321" s="34"/>
      <c r="C321" s="34"/>
      <c r="D321" s="35"/>
      <c r="E321" s="35"/>
      <c r="F321" s="35"/>
    </row>
    <row r="322" spans="1:7" s="4" customFormat="1" ht="9.75" hidden="1" customHeight="1" x14ac:dyDescent="0.2">
      <c r="A322" s="39"/>
      <c r="B322" s="10"/>
      <c r="C322" s="10"/>
      <c r="D322" s="10"/>
      <c r="E322" s="10"/>
      <c r="F322" s="10"/>
      <c r="G322" s="6"/>
    </row>
    <row r="323" spans="1:7" s="4" customFormat="1" ht="9.75" hidden="1" customHeight="1" x14ac:dyDescent="0.2">
      <c r="A323" s="39"/>
      <c r="B323" s="10"/>
      <c r="C323" s="10"/>
      <c r="D323" s="10"/>
      <c r="E323" s="10"/>
      <c r="F323" s="10"/>
      <c r="G323" s="6"/>
    </row>
    <row r="324" spans="1:7" s="4" customFormat="1" ht="9.75" hidden="1" customHeight="1" x14ac:dyDescent="0.2">
      <c r="A324" s="39"/>
      <c r="B324" s="10"/>
      <c r="C324" s="10"/>
      <c r="D324" s="10"/>
      <c r="E324" s="10"/>
      <c r="F324" s="10"/>
      <c r="G324" s="6"/>
    </row>
    <row r="325" spans="1:7" x14ac:dyDescent="0.2">
      <c r="F325" s="44"/>
    </row>
    <row r="326" spans="1:7" x14ac:dyDescent="0.2">
      <c r="F326" s="378"/>
    </row>
    <row r="354" spans="4:7" ht="9" customHeight="1" x14ac:dyDescent="0.2">
      <c r="D354" s="9"/>
      <c r="E354" s="9"/>
      <c r="F354" s="9"/>
      <c r="G354" s="9"/>
    </row>
  </sheetData>
  <mergeCells count="7">
    <mergeCell ref="A50:D50"/>
    <mergeCell ref="A26:C26"/>
    <mergeCell ref="A12:F12"/>
    <mergeCell ref="A13:F13"/>
    <mergeCell ref="A43:D43"/>
    <mergeCell ref="A15:F15"/>
    <mergeCell ref="A42:E42"/>
  </mergeCells>
  <phoneticPr fontId="33" type="noConversion"/>
  <hyperlinks>
    <hyperlink ref="A210" location="AbaRemun" display="3.1.2. Remuneração do Capital"/>
    <hyperlink ref="A193" location="AbaDeprec" display="3.1.1. Depreciação"/>
  </hyperlinks>
  <pageMargins left="0.9055118110236221" right="0.51181102362204722" top="0.74803149606299213" bottom="0.74803149606299213" header="0.31496062992125984" footer="0.31496062992125984"/>
  <pageSetup paperSize="9" scale="73" fitToHeight="4" orientation="portrait" verticalDpi="300" r:id="rId1"/>
  <headerFooter alignWithMargins="0">
    <oddFooter>&amp;R&amp;P de &amp;N</oddFooter>
  </headerFooter>
  <rowBreaks count="2" manualBreakCount="2">
    <brk id="126" max="5" man="1"/>
    <brk id="209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4"/>
  <sheetViews>
    <sheetView topLeftCell="A216" zoomScaleSheetLayoutView="100" workbookViewId="0">
      <selection activeCell="C214" sqref="C214"/>
    </sheetView>
  </sheetViews>
  <sheetFormatPr defaultColWidth="9.140625"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ht="15.75" x14ac:dyDescent="0.2">
      <c r="A1" s="300" t="s">
        <v>193</v>
      </c>
    </row>
    <row r="2" spans="1:7" ht="15.75" x14ac:dyDescent="0.2">
      <c r="A2" s="333" t="s">
        <v>278</v>
      </c>
    </row>
    <row r="3" spans="1:7" ht="15.75" x14ac:dyDescent="0.2">
      <c r="A3" s="333" t="s">
        <v>279</v>
      </c>
    </row>
    <row r="4" spans="1:7" ht="15.75" x14ac:dyDescent="0.2">
      <c r="A4" s="333" t="s">
        <v>281</v>
      </c>
    </row>
    <row r="5" spans="1:7" s="4" customFormat="1" ht="15.6" customHeight="1" x14ac:dyDescent="0.2">
      <c r="A5" s="300" t="s">
        <v>275</v>
      </c>
      <c r="C5" s="138"/>
      <c r="D5" s="138"/>
      <c r="E5" s="138"/>
      <c r="F5" s="138"/>
      <c r="G5" s="6"/>
    </row>
    <row r="6" spans="1:7" s="4" customFormat="1" ht="15.6" customHeight="1" x14ac:dyDescent="0.2">
      <c r="A6" s="301" t="s">
        <v>280</v>
      </c>
      <c r="B6" s="138"/>
      <c r="C6" s="138"/>
      <c r="D6" s="138"/>
      <c r="E6" s="138"/>
      <c r="F6" s="138"/>
      <c r="G6" s="6"/>
    </row>
    <row r="7" spans="1:7" s="4" customFormat="1" ht="15.6" hidden="1" customHeight="1" x14ac:dyDescent="0.2">
      <c r="A7" s="137"/>
      <c r="B7" s="138"/>
      <c r="C7" s="138"/>
      <c r="D7" s="138"/>
      <c r="E7" s="138"/>
      <c r="F7" s="138"/>
      <c r="G7" s="6"/>
    </row>
    <row r="8" spans="1:7" s="4" customFormat="1" ht="15.6" hidden="1" customHeight="1" x14ac:dyDescent="0.2">
      <c r="A8" s="302" t="s">
        <v>286</v>
      </c>
      <c r="B8" s="138"/>
      <c r="C8" s="138"/>
      <c r="D8" s="138"/>
      <c r="E8" s="138"/>
      <c r="F8" s="138"/>
      <c r="G8" s="6"/>
    </row>
    <row r="9" spans="1:7" s="4" customFormat="1" ht="15.6" customHeight="1" x14ac:dyDescent="0.2">
      <c r="A9" s="333" t="s">
        <v>283</v>
      </c>
      <c r="B9" s="138"/>
      <c r="C9" s="138"/>
      <c r="D9" s="138"/>
      <c r="E9" s="138"/>
      <c r="F9" s="138"/>
      <c r="G9" s="6"/>
    </row>
    <row r="10" spans="1:7" s="4" customFormat="1" ht="16.5" customHeight="1" x14ac:dyDescent="0.2">
      <c r="A10" s="7"/>
      <c r="B10" s="5"/>
      <c r="C10" s="5"/>
      <c r="D10" s="6"/>
      <c r="E10" s="6"/>
      <c r="F10" s="6"/>
      <c r="G10" s="6"/>
    </row>
    <row r="11" spans="1:7" s="4" customFormat="1" ht="16.5" customHeight="1" thickBot="1" x14ac:dyDescent="0.25">
      <c r="A11" s="334" t="s">
        <v>555</v>
      </c>
      <c r="B11" s="5"/>
      <c r="C11" s="5"/>
      <c r="D11" s="6"/>
      <c r="E11" s="6"/>
      <c r="F11" s="6"/>
      <c r="G11" s="6"/>
    </row>
    <row r="12" spans="1:7" s="8" customFormat="1" ht="18" x14ac:dyDescent="0.2">
      <c r="A12" s="585" t="s">
        <v>487</v>
      </c>
      <c r="B12" s="586"/>
      <c r="C12" s="586"/>
      <c r="D12" s="586"/>
      <c r="E12" s="586"/>
      <c r="F12" s="587"/>
      <c r="G12" s="36"/>
    </row>
    <row r="13" spans="1:7" s="8" customFormat="1" ht="21.75" customHeight="1" x14ac:dyDescent="0.2">
      <c r="A13" s="588" t="s">
        <v>45</v>
      </c>
      <c r="B13" s="589"/>
      <c r="C13" s="589"/>
      <c r="D13" s="589"/>
      <c r="E13" s="589"/>
      <c r="F13" s="590"/>
      <c r="G13" s="36"/>
    </row>
    <row r="14" spans="1:7" s="4" customFormat="1" ht="10.9" customHeight="1" thickBot="1" x14ac:dyDescent="0.25">
      <c r="A14" s="150"/>
      <c r="B14" s="151"/>
      <c r="C14" s="151"/>
      <c r="D14" s="152"/>
      <c r="E14" s="152"/>
      <c r="F14" s="153"/>
      <c r="G14" s="6"/>
    </row>
    <row r="15" spans="1:7" s="4" customFormat="1" ht="15.75" customHeight="1" thickBot="1" x14ac:dyDescent="0.25">
      <c r="A15" s="594" t="s">
        <v>192</v>
      </c>
      <c r="B15" s="595"/>
      <c r="C15" s="595"/>
      <c r="D15" s="595"/>
      <c r="E15" s="595"/>
      <c r="F15" s="596"/>
      <c r="G15" s="6"/>
    </row>
    <row r="16" spans="1:7" s="4" customFormat="1" ht="15.75" customHeight="1" x14ac:dyDescent="0.2">
      <c r="A16" s="64" t="s">
        <v>191</v>
      </c>
      <c r="B16" s="40"/>
      <c r="C16" s="40"/>
      <c r="D16" s="260"/>
      <c r="E16" s="115" t="s">
        <v>40</v>
      </c>
      <c r="F16" s="41" t="s">
        <v>2</v>
      </c>
      <c r="G16" s="6"/>
    </row>
    <row r="17" spans="1:7" s="11" customFormat="1" ht="15.75" customHeight="1" x14ac:dyDescent="0.2">
      <c r="A17" s="124" t="str">
        <f>A56</f>
        <v>1. Mão-de-obra</v>
      </c>
      <c r="B17" s="125"/>
      <c r="C17" s="126"/>
      <c r="D17" s="126"/>
      <c r="E17" s="257">
        <f>+F153</f>
        <v>1497.4457669358021</v>
      </c>
      <c r="F17" s="127">
        <f>IFERROR(E17/$E$39,0)</f>
        <v>0.18178362432361195</v>
      </c>
      <c r="G17" s="44"/>
    </row>
    <row r="18" spans="1:7" s="4" customFormat="1" ht="15.75" customHeight="1" x14ac:dyDescent="0.2">
      <c r="A18" s="49" t="str">
        <f>A58</f>
        <v>1.1. Coletor Turno Dia</v>
      </c>
      <c r="B18" s="45"/>
      <c r="C18" s="47"/>
      <c r="D18" s="47"/>
      <c r="E18" s="258">
        <f>F69</f>
        <v>667.99842888240005</v>
      </c>
      <c r="F18" s="58">
        <f>IFERROR(E18/$E$39,0)</f>
        <v>8.109220255315408E-2</v>
      </c>
      <c r="G18" s="6"/>
    </row>
    <row r="19" spans="1:7" s="4" customFormat="1" ht="15.75" hidden="1" customHeight="1" x14ac:dyDescent="0.2">
      <c r="A19" s="49" t="str">
        <f>A71</f>
        <v>1.2. Coletor Turno Noite</v>
      </c>
      <c r="B19" s="45"/>
      <c r="C19" s="47"/>
      <c r="D19" s="47"/>
      <c r="E19" s="258">
        <f>F88</f>
        <v>0</v>
      </c>
      <c r="F19" s="58">
        <f t="shared" ref="F19:F38" si="0">IFERROR(E19/$E$39,0)</f>
        <v>0</v>
      </c>
      <c r="G19" s="6"/>
    </row>
    <row r="20" spans="1:7" s="4" customFormat="1" ht="15.75" customHeight="1" x14ac:dyDescent="0.2">
      <c r="A20" s="49" t="str">
        <f>A90</f>
        <v>1.2. Motorista Turno do Dia</v>
      </c>
      <c r="B20" s="45"/>
      <c r="C20" s="47"/>
      <c r="D20" s="47"/>
      <c r="E20" s="258">
        <f>F103</f>
        <v>585.35864248050007</v>
      </c>
      <c r="F20" s="58">
        <f t="shared" si="0"/>
        <v>7.1060079709595658E-2</v>
      </c>
      <c r="G20" s="6"/>
    </row>
    <row r="21" spans="1:7" s="4" customFormat="1" ht="15.75" customHeight="1" x14ac:dyDescent="0.2">
      <c r="A21" s="49" t="str">
        <f>A106</f>
        <v>1.3. Encarregado/Supervisor</v>
      </c>
      <c r="B21" s="45"/>
      <c r="C21" s="47"/>
      <c r="D21" s="47"/>
      <c r="E21" s="258">
        <f>F125</f>
        <v>81.259449079395353</v>
      </c>
      <c r="F21" s="58">
        <f t="shared" si="0"/>
        <v>9.8645556923369782E-3</v>
      </c>
      <c r="G21" s="6"/>
    </row>
    <row r="22" spans="1:7" s="4" customFormat="1" ht="15.75" customHeight="1" x14ac:dyDescent="0.2">
      <c r="A22" s="49" t="str">
        <f>A127</f>
        <v>1.4. Vale Transporte</v>
      </c>
      <c r="B22" s="45"/>
      <c r="C22" s="47"/>
      <c r="D22" s="47"/>
      <c r="E22" s="258">
        <f>F133</f>
        <v>40.921942857142845</v>
      </c>
      <c r="F22" s="58">
        <f t="shared" si="0"/>
        <v>4.9677519220995532E-3</v>
      </c>
      <c r="G22" s="6"/>
    </row>
    <row r="23" spans="1:7" s="4" customFormat="1" ht="15.75" customHeight="1" x14ac:dyDescent="0.2">
      <c r="A23" s="49" t="str">
        <f>A135</f>
        <v>1.5. Vale-refeição/vale lanche (diário)</v>
      </c>
      <c r="B23" s="45"/>
      <c r="C23" s="47"/>
      <c r="D23" s="47"/>
      <c r="E23" s="258">
        <f>F139</f>
        <v>106.37520000000001</v>
      </c>
      <c r="F23" s="58">
        <f t="shared" si="0"/>
        <v>1.2913502325842902E-2</v>
      </c>
      <c r="G23" s="6"/>
    </row>
    <row r="24" spans="1:7" s="4" customFormat="1" ht="15.75" customHeight="1" x14ac:dyDescent="0.2">
      <c r="A24" s="49" t="str">
        <f>A141</f>
        <v>1.6. Auxílio Alimentação (mensal)</v>
      </c>
      <c r="B24" s="45"/>
      <c r="C24" s="47"/>
      <c r="D24" s="47"/>
      <c r="E24" s="258">
        <f>F145</f>
        <v>12.383012727272732</v>
      </c>
      <c r="F24" s="58">
        <f t="shared" si="0"/>
        <v>1.5032457156797698E-3</v>
      </c>
      <c r="G24" s="6"/>
    </row>
    <row r="25" spans="1:7" s="4" customFormat="1" ht="15.75" customHeight="1" x14ac:dyDescent="0.2">
      <c r="A25" s="49" t="str">
        <f>A147</f>
        <v xml:space="preserve">1.7. Plano de Benefício Social  </v>
      </c>
      <c r="B25" s="45"/>
      <c r="C25" s="47"/>
      <c r="D25" s="47"/>
      <c r="E25" s="258">
        <f>F151</f>
        <v>3.1490909090909094</v>
      </c>
      <c r="F25" s="58">
        <f t="shared" si="0"/>
        <v>3.822864049029867E-4</v>
      </c>
      <c r="G25" s="6"/>
    </row>
    <row r="26" spans="1:7" s="11" customFormat="1" ht="15.75" customHeight="1" x14ac:dyDescent="0.2">
      <c r="A26" s="583" t="str">
        <f>A155</f>
        <v>2. Uniformes e Equipamentos de Proteção Individual</v>
      </c>
      <c r="B26" s="584"/>
      <c r="C26" s="584"/>
      <c r="D26" s="126"/>
      <c r="E26" s="257">
        <f>+F187</f>
        <v>34.884469696969703</v>
      </c>
      <c r="F26" s="127">
        <f t="shared" si="0"/>
        <v>4.2348280479624426E-3</v>
      </c>
      <c r="G26" s="44"/>
    </row>
    <row r="27" spans="1:7" s="11" customFormat="1" ht="15.75" customHeight="1" x14ac:dyDescent="0.2">
      <c r="A27" s="433" t="str">
        <f>A189</f>
        <v>3. Veículos e Equipamentos</v>
      </c>
      <c r="B27" s="136"/>
      <c r="C27" s="126"/>
      <c r="D27" s="126"/>
      <c r="E27" s="257">
        <f>+F270</f>
        <v>4775.62448291091</v>
      </c>
      <c r="F27" s="127">
        <f t="shared" si="0"/>
        <v>0.57974074659716113</v>
      </c>
      <c r="G27" s="44"/>
    </row>
    <row r="28" spans="1:7" s="4" customFormat="1" ht="15.75" customHeight="1" x14ac:dyDescent="0.2">
      <c r="A28" s="434" t="str">
        <f>A191</f>
        <v>3.1. Veículo Coletor com compactador</v>
      </c>
      <c r="B28" s="46"/>
      <c r="C28" s="47"/>
      <c r="D28" s="47"/>
      <c r="E28" s="258">
        <f>SUM(E29:E34)</f>
        <v>4775.62448291091</v>
      </c>
      <c r="F28" s="143">
        <f t="shared" si="0"/>
        <v>0.57974074659716113</v>
      </c>
      <c r="G28" s="6"/>
    </row>
    <row r="29" spans="1:7" s="4" customFormat="1" ht="15.75" customHeight="1" x14ac:dyDescent="0.2">
      <c r="A29" s="434" t="str">
        <f>A193</f>
        <v>3.1.1. Depreciação</v>
      </c>
      <c r="B29" s="46"/>
      <c r="C29" s="47"/>
      <c r="D29" s="47"/>
      <c r="E29" s="258">
        <f>F208</f>
        <v>353.60149999999999</v>
      </c>
      <c r="F29" s="143">
        <f t="shared" si="0"/>
        <v>4.2925736380956633E-2</v>
      </c>
      <c r="G29" s="6"/>
    </row>
    <row r="30" spans="1:7" s="4" customFormat="1" ht="15.75" customHeight="1" x14ac:dyDescent="0.2">
      <c r="A30" s="434" t="str">
        <f>A210</f>
        <v>3.1.2. Remuneração do Capital</v>
      </c>
      <c r="B30" s="46"/>
      <c r="C30" s="47"/>
      <c r="D30" s="47"/>
      <c r="E30" s="258">
        <f>F225</f>
        <v>507.97760562500002</v>
      </c>
      <c r="F30" s="143">
        <f t="shared" si="0"/>
        <v>6.1666346965406835E-2</v>
      </c>
      <c r="G30" s="6"/>
    </row>
    <row r="31" spans="1:7" s="4" customFormat="1" ht="15.75" customHeight="1" x14ac:dyDescent="0.2">
      <c r="A31" s="434" t="str">
        <f>A227</f>
        <v>3.1.3. Impostos e Seguros</v>
      </c>
      <c r="B31" s="46"/>
      <c r="C31" s="47"/>
      <c r="D31" s="47"/>
      <c r="E31" s="258">
        <f>F233</f>
        <v>71.163034090909093</v>
      </c>
      <c r="F31" s="143">
        <f t="shared" si="0"/>
        <v>8.6388933346023527E-3</v>
      </c>
      <c r="G31" s="6"/>
    </row>
    <row r="32" spans="1:7" s="4" customFormat="1" ht="15.75" customHeight="1" x14ac:dyDescent="0.2">
      <c r="A32" s="434" t="str">
        <f>A235</f>
        <v>3.1.4. Consumos</v>
      </c>
      <c r="B32" s="46"/>
      <c r="C32" s="47"/>
      <c r="D32" s="47"/>
      <c r="E32" s="258">
        <f>F253</f>
        <v>2774.8804026300004</v>
      </c>
      <c r="F32" s="143">
        <f t="shared" si="0"/>
        <v>0.33685882173004983</v>
      </c>
      <c r="G32" s="6"/>
    </row>
    <row r="33" spans="1:7" s="4" customFormat="1" ht="15.75" customHeight="1" x14ac:dyDescent="0.2">
      <c r="A33" s="434" t="str">
        <f>A255</f>
        <v>3.1.5. Manutenção</v>
      </c>
      <c r="B33" s="46"/>
      <c r="C33" s="47"/>
      <c r="D33" s="47"/>
      <c r="E33" s="258">
        <f>F258</f>
        <v>830.46663000000001</v>
      </c>
      <c r="F33" s="143">
        <f t="shared" si="0"/>
        <v>0.10081515953004004</v>
      </c>
      <c r="G33" s="6"/>
    </row>
    <row r="34" spans="1:7" s="4" customFormat="1" ht="15.75" customHeight="1" x14ac:dyDescent="0.2">
      <c r="A34" s="434" t="str">
        <f>A260</f>
        <v>3.1.6. Pneus</v>
      </c>
      <c r="B34" s="46"/>
      <c r="C34" s="47"/>
      <c r="D34" s="47"/>
      <c r="E34" s="258">
        <f>F267</f>
        <v>237.535310565</v>
      </c>
      <c r="F34" s="143">
        <f t="shared" si="0"/>
        <v>2.88357886561054E-2</v>
      </c>
      <c r="G34" s="6"/>
    </row>
    <row r="35" spans="1:7" s="11" customFormat="1" ht="15.75" customHeight="1" x14ac:dyDescent="0.2">
      <c r="A35" s="433" t="str">
        <f>A272</f>
        <v xml:space="preserve">4. Ferramentas, Materiais de Consumo </v>
      </c>
      <c r="B35" s="136"/>
      <c r="C35" s="126"/>
      <c r="D35" s="126"/>
      <c r="E35" s="257">
        <f>+F280</f>
        <v>17.833333333333332</v>
      </c>
      <c r="F35" s="127">
        <f t="shared" si="0"/>
        <v>2.1648917367725908E-3</v>
      </c>
      <c r="G35" s="44"/>
    </row>
    <row r="36" spans="1:7" s="11" customFormat="1" ht="15.75" customHeight="1" x14ac:dyDescent="0.2">
      <c r="A36" s="433" t="str">
        <f>A282</f>
        <v xml:space="preserve">5. Administração Local </v>
      </c>
      <c r="B36" s="136"/>
      <c r="C36" s="126"/>
      <c r="D36" s="126"/>
      <c r="E36" s="257">
        <f>F291</f>
        <v>242.5</v>
      </c>
      <c r="F36" s="127">
        <f t="shared" si="0"/>
        <v>2.9438481093496449E-2</v>
      </c>
      <c r="G36" s="44"/>
    </row>
    <row r="37" spans="1:7" s="11" customFormat="1" ht="15.75" customHeight="1" x14ac:dyDescent="0.2">
      <c r="A37" s="433" t="str">
        <f>A293</f>
        <v>6. Monitoramento da Frota</v>
      </c>
      <c r="B37" s="136"/>
      <c r="C37" s="126"/>
      <c r="D37" s="126"/>
      <c r="E37" s="257">
        <f>+F302</f>
        <v>19.09090909090909</v>
      </c>
      <c r="F37" s="127">
        <f t="shared" si="0"/>
        <v>2.3175561498160278E-3</v>
      </c>
      <c r="G37" s="44"/>
    </row>
    <row r="38" spans="1:7" s="11" customFormat="1" ht="15.75" customHeight="1" thickBot="1" x14ac:dyDescent="0.25">
      <c r="A38" s="433" t="str">
        <f>A306</f>
        <v>7. Benefícios e Despesas Indiretas - BDI</v>
      </c>
      <c r="B38" s="136"/>
      <c r="C38" s="126"/>
      <c r="D38" s="126"/>
      <c r="E38" s="259">
        <f>+F312</f>
        <v>1650.1384299729648</v>
      </c>
      <c r="F38" s="127">
        <f t="shared" si="0"/>
        <v>0.20031987205117954</v>
      </c>
      <c r="G38" s="44"/>
    </row>
    <row r="39" spans="1:7" s="4" customFormat="1" ht="15.75" customHeight="1" thickBot="1" x14ac:dyDescent="0.25">
      <c r="A39" s="42" t="s">
        <v>229</v>
      </c>
      <c r="B39" s="43"/>
      <c r="C39" s="26"/>
      <c r="D39" s="26"/>
      <c r="E39" s="114">
        <f>E17+E26+E27+E35+E37+E38+E36</f>
        <v>8237.517391940888</v>
      </c>
      <c r="F39" s="142">
        <f>F17+F26+F27+F35+F37+F38+F36</f>
        <v>1</v>
      </c>
      <c r="G39" s="6"/>
    </row>
    <row r="41" spans="1:7" ht="13.5" thickBot="1" x14ac:dyDescent="0.25"/>
    <row r="42" spans="1:7" s="4" customFormat="1" ht="15" customHeight="1" thickBot="1" x14ac:dyDescent="0.25">
      <c r="A42" s="594" t="s">
        <v>96</v>
      </c>
      <c r="B42" s="595"/>
      <c r="C42" s="595"/>
      <c r="D42" s="595"/>
      <c r="E42" s="596"/>
      <c r="F42" s="10"/>
      <c r="G42" s="6"/>
    </row>
    <row r="43" spans="1:7" s="4" customFormat="1" ht="15" customHeight="1" thickBot="1" x14ac:dyDescent="0.25">
      <c r="A43" s="591" t="s">
        <v>41</v>
      </c>
      <c r="B43" s="592"/>
      <c r="C43" s="592"/>
      <c r="D43" s="593"/>
      <c r="E43" s="48" t="s">
        <v>42</v>
      </c>
      <c r="F43" s="10"/>
      <c r="G43" s="6"/>
    </row>
    <row r="44" spans="1:7" s="4" customFormat="1" ht="15" customHeight="1" x14ac:dyDescent="0.2">
      <c r="A44" s="73" t="str">
        <f>+A58</f>
        <v>1.1. Coletor Turno Dia</v>
      </c>
      <c r="B44" s="74"/>
      <c r="C44" s="74"/>
      <c r="D44" s="75"/>
      <c r="E44" s="76">
        <f>C68</f>
        <v>2</v>
      </c>
      <c r="F44" s="10"/>
      <c r="G44" s="6"/>
    </row>
    <row r="45" spans="1:7" s="4" customFormat="1" ht="15" hidden="1" customHeight="1" x14ac:dyDescent="0.2">
      <c r="A45" s="67" t="str">
        <f>+A71</f>
        <v>1.2. Coletor Turno Noite</v>
      </c>
      <c r="B45" s="66"/>
      <c r="C45" s="66"/>
      <c r="D45" s="77"/>
      <c r="E45" s="70">
        <f>C87</f>
        <v>0</v>
      </c>
      <c r="F45" s="10"/>
      <c r="G45" s="6"/>
    </row>
    <row r="46" spans="1:7" s="4" customFormat="1" ht="15" customHeight="1" x14ac:dyDescent="0.2">
      <c r="A46" s="67" t="str">
        <f>+A90</f>
        <v>1.2. Motorista Turno do Dia</v>
      </c>
      <c r="B46" s="66"/>
      <c r="C46" s="66"/>
      <c r="D46" s="77"/>
      <c r="E46" s="70">
        <f>C102</f>
        <v>1</v>
      </c>
      <c r="F46" s="10"/>
      <c r="G46" s="6"/>
    </row>
    <row r="47" spans="1:7" s="4" customFormat="1" ht="15" customHeight="1" x14ac:dyDescent="0.2">
      <c r="A47" s="67" t="str">
        <f>+A106</f>
        <v>1.3. Encarregado/Supervisor</v>
      </c>
      <c r="B47" s="66"/>
      <c r="C47" s="66"/>
      <c r="D47" s="77"/>
      <c r="E47" s="70">
        <f>C124</f>
        <v>1</v>
      </c>
      <c r="F47" s="10"/>
      <c r="G47" s="6"/>
    </row>
    <row r="48" spans="1:7" s="4" customFormat="1" ht="15" customHeight="1" thickBot="1" x14ac:dyDescent="0.25">
      <c r="A48" s="71" t="s">
        <v>60</v>
      </c>
      <c r="B48" s="72"/>
      <c r="C48" s="72"/>
      <c r="D48" s="78"/>
      <c r="E48" s="79">
        <f>SUM(E44:E47)</f>
        <v>4</v>
      </c>
      <c r="F48" s="10"/>
      <c r="G48" s="6"/>
    </row>
    <row r="49" spans="1:7" s="4" customFormat="1" ht="15" customHeight="1" thickBot="1" x14ac:dyDescent="0.25">
      <c r="A49" s="128"/>
      <c r="B49" s="129"/>
      <c r="C49" s="59"/>
      <c r="D49" s="59"/>
      <c r="E49" s="130"/>
      <c r="F49" s="10"/>
      <c r="G49" s="6"/>
    </row>
    <row r="50" spans="1:7" s="4" customFormat="1" ht="15" customHeight="1" x14ac:dyDescent="0.2">
      <c r="A50" s="581" t="s">
        <v>58</v>
      </c>
      <c r="B50" s="582"/>
      <c r="C50" s="582"/>
      <c r="D50" s="582"/>
      <c r="E50" s="48" t="s">
        <v>42</v>
      </c>
      <c r="F50" s="9"/>
      <c r="G50" s="6"/>
    </row>
    <row r="51" spans="1:7" s="4" customFormat="1" ht="15" customHeight="1" thickBot="1" x14ac:dyDescent="0.25">
      <c r="A51" s="131" t="str">
        <f>+A191</f>
        <v>3.1. Veículo Coletor com compactador</v>
      </c>
      <c r="B51" s="132"/>
      <c r="C51" s="132"/>
      <c r="D51" s="133"/>
      <c r="E51" s="134">
        <f>C207</f>
        <v>1</v>
      </c>
      <c r="F51" s="9"/>
      <c r="G51" s="6"/>
    </row>
    <row r="52" spans="1:7" s="4" customFormat="1" ht="15" customHeight="1" x14ac:dyDescent="0.2">
      <c r="A52" s="59"/>
      <c r="B52" s="59"/>
      <c r="C52" s="59"/>
      <c r="D52" s="54"/>
      <c r="E52" s="250"/>
      <c r="F52" s="9"/>
      <c r="G52" s="6"/>
    </row>
    <row r="53" spans="1:7" s="4" customFormat="1" ht="13.5" thickBot="1" x14ac:dyDescent="0.25">
      <c r="A53" s="59"/>
      <c r="B53" s="59"/>
      <c r="C53" s="59"/>
      <c r="D53" s="54"/>
      <c r="E53" s="68"/>
      <c r="F53" s="9"/>
      <c r="G53" s="6"/>
    </row>
    <row r="54" spans="1:7" s="11" customFormat="1" ht="15.75" customHeight="1" thickBot="1" x14ac:dyDescent="0.25">
      <c r="A54" s="261" t="s">
        <v>187</v>
      </c>
      <c r="B54" s="314">
        <f>'8. Horários'!G46</f>
        <v>9.0909090909090912E-2</v>
      </c>
      <c r="C54" s="35"/>
      <c r="D54" s="34"/>
      <c r="E54" s="155"/>
      <c r="G54" s="44"/>
    </row>
    <row r="55" spans="1:7" s="4" customFormat="1" ht="15.75" customHeight="1" x14ac:dyDescent="0.2">
      <c r="A55" s="59"/>
      <c r="B55" s="59"/>
      <c r="C55" s="59"/>
      <c r="D55" s="54"/>
      <c r="E55" s="68"/>
      <c r="F55" s="9"/>
      <c r="G55" s="6"/>
    </row>
    <row r="56" spans="1:7" ht="13.15" customHeight="1" x14ac:dyDescent="0.2">
      <c r="A56" s="11" t="s">
        <v>49</v>
      </c>
    </row>
    <row r="57" spans="1:7" ht="11.25" customHeight="1" x14ac:dyDescent="0.2"/>
    <row r="58" spans="1:7" ht="13.9" customHeight="1" thickBot="1" x14ac:dyDescent="0.25">
      <c r="A58" s="9" t="s">
        <v>99</v>
      </c>
    </row>
    <row r="59" spans="1:7" ht="13.9" customHeight="1" thickBot="1" x14ac:dyDescent="0.25">
      <c r="A59" s="60" t="s">
        <v>64</v>
      </c>
      <c r="B59" s="61" t="s">
        <v>65</v>
      </c>
      <c r="C59" s="61" t="s">
        <v>42</v>
      </c>
      <c r="D59" s="62" t="s">
        <v>225</v>
      </c>
      <c r="E59" s="62" t="s">
        <v>66</v>
      </c>
      <c r="F59" s="63" t="s">
        <v>67</v>
      </c>
    </row>
    <row r="60" spans="1:7" ht="13.15" customHeight="1" x14ac:dyDescent="0.2">
      <c r="A60" s="13" t="s">
        <v>207</v>
      </c>
      <c r="B60" s="14" t="s">
        <v>8</v>
      </c>
      <c r="C60" s="14">
        <v>1</v>
      </c>
      <c r="D60" s="313">
        <v>1549.57</v>
      </c>
      <c r="E60" s="15">
        <f>C60*D60</f>
        <v>1549.57</v>
      </c>
    </row>
    <row r="61" spans="1:7" hidden="1" x14ac:dyDescent="0.2">
      <c r="A61" s="16" t="s">
        <v>36</v>
      </c>
      <c r="B61" s="17" t="s">
        <v>0</v>
      </c>
      <c r="C61" s="88"/>
      <c r="D61" s="18">
        <f>D60/220*2</f>
        <v>14.087</v>
      </c>
      <c r="E61" s="18">
        <f>C61*D61</f>
        <v>0</v>
      </c>
    </row>
    <row r="62" spans="1:7" ht="13.15" hidden="1" customHeight="1" x14ac:dyDescent="0.2">
      <c r="A62" s="16" t="s">
        <v>37</v>
      </c>
      <c r="B62" s="17" t="s">
        <v>0</v>
      </c>
      <c r="C62" s="88"/>
      <c r="D62" s="18">
        <f>D60/220*1.5</f>
        <v>10.565249999999999</v>
      </c>
      <c r="E62" s="18">
        <f>C62*D62</f>
        <v>0</v>
      </c>
    </row>
    <row r="63" spans="1:7" ht="13.15" hidden="1" customHeight="1" x14ac:dyDescent="0.2">
      <c r="A63" s="16" t="s">
        <v>211</v>
      </c>
      <c r="B63" s="17" t="s">
        <v>35</v>
      </c>
      <c r="D63" s="18">
        <f>63/302*(SUM(E61:E62))</f>
        <v>0</v>
      </c>
      <c r="E63" s="18">
        <f>D63</f>
        <v>0</v>
      </c>
    </row>
    <row r="64" spans="1:7" x14ac:dyDescent="0.2">
      <c r="A64" s="16" t="s">
        <v>1</v>
      </c>
      <c r="B64" s="17" t="s">
        <v>2</v>
      </c>
      <c r="C64" s="17">
        <v>40</v>
      </c>
      <c r="D64" s="83">
        <f>SUM(E60:E63)</f>
        <v>1549.57</v>
      </c>
      <c r="E64" s="18">
        <f>C64*D64/100</f>
        <v>619.82799999999997</v>
      </c>
    </row>
    <row r="65" spans="1:8" x14ac:dyDescent="0.2">
      <c r="A65" s="116" t="s">
        <v>3</v>
      </c>
      <c r="B65" s="117"/>
      <c r="C65" s="117"/>
      <c r="D65" s="118"/>
      <c r="E65" s="119">
        <f>SUM(E60:E64)</f>
        <v>2169.3980000000001</v>
      </c>
    </row>
    <row r="66" spans="1:8" x14ac:dyDescent="0.2">
      <c r="A66" s="16" t="s">
        <v>4</v>
      </c>
      <c r="B66" s="17" t="s">
        <v>2</v>
      </c>
      <c r="C66" s="140">
        <f>'4.Enc Sociais'!$C$38*100</f>
        <v>69.355340000000012</v>
      </c>
      <c r="D66" s="18">
        <f>E65</f>
        <v>2169.3980000000001</v>
      </c>
      <c r="E66" s="18">
        <f>D66*C66/100</f>
        <v>1504.5933588532002</v>
      </c>
    </row>
    <row r="67" spans="1:8" x14ac:dyDescent="0.2">
      <c r="A67" s="116" t="s">
        <v>74</v>
      </c>
      <c r="B67" s="117"/>
      <c r="C67" s="117"/>
      <c r="D67" s="118"/>
      <c r="E67" s="119">
        <f>E65+E66</f>
        <v>3673.9913588532004</v>
      </c>
    </row>
    <row r="68" spans="1:8" ht="13.5" thickBot="1" x14ac:dyDescent="0.25">
      <c r="A68" s="16" t="s">
        <v>5</v>
      </c>
      <c r="B68" s="17" t="s">
        <v>6</v>
      </c>
      <c r="C68" s="86">
        <v>2</v>
      </c>
      <c r="D68" s="18">
        <f>E67</f>
        <v>3673.9913588532004</v>
      </c>
      <c r="E68" s="18">
        <f>C68*D68</f>
        <v>7347.9827177064008</v>
      </c>
      <c r="G68" s="6"/>
      <c r="H68" s="332"/>
    </row>
    <row r="69" spans="1:8" ht="13.9" customHeight="1" thickBot="1" x14ac:dyDescent="0.25">
      <c r="A69" s="7" t="s">
        <v>413</v>
      </c>
      <c r="D69" s="122" t="s">
        <v>186</v>
      </c>
      <c r="E69" s="315">
        <f>$B$54</f>
        <v>9.0909090909090912E-2</v>
      </c>
      <c r="F69" s="123">
        <f>E68*E69</f>
        <v>667.99842888240005</v>
      </c>
      <c r="G69" s="6"/>
      <c r="H69" s="332"/>
    </row>
    <row r="70" spans="1:8" ht="11.25" customHeight="1" x14ac:dyDescent="0.2">
      <c r="A70" s="7"/>
    </row>
    <row r="71" spans="1:8" hidden="1" x14ac:dyDescent="0.2">
      <c r="A71" s="9" t="s">
        <v>89</v>
      </c>
    </row>
    <row r="72" spans="1:8" ht="13.5" hidden="1" thickBot="1" x14ac:dyDescent="0.25">
      <c r="A72" s="60" t="s">
        <v>64</v>
      </c>
      <c r="B72" s="61" t="s">
        <v>65</v>
      </c>
      <c r="C72" s="61" t="s">
        <v>42</v>
      </c>
      <c r="D72" s="62" t="s">
        <v>225</v>
      </c>
      <c r="E72" s="62" t="s">
        <v>66</v>
      </c>
      <c r="F72" s="63" t="s">
        <v>67</v>
      </c>
    </row>
    <row r="73" spans="1:8" hidden="1" x14ac:dyDescent="0.2">
      <c r="A73" s="13" t="s">
        <v>207</v>
      </c>
      <c r="B73" s="14" t="s">
        <v>8</v>
      </c>
      <c r="C73" s="14">
        <v>1</v>
      </c>
      <c r="D73" s="15">
        <f>D60</f>
        <v>1549.57</v>
      </c>
      <c r="E73" s="15">
        <f>C73*D73</f>
        <v>1549.57</v>
      </c>
    </row>
    <row r="74" spans="1:8" hidden="1" x14ac:dyDescent="0.2">
      <c r="A74" s="16" t="s">
        <v>7</v>
      </c>
      <c r="B74" s="17" t="s">
        <v>97</v>
      </c>
      <c r="C74" s="88"/>
      <c r="D74" s="18"/>
      <c r="E74" s="18"/>
    </row>
    <row r="75" spans="1:8" hidden="1" x14ac:dyDescent="0.2">
      <c r="A75" s="16"/>
      <c r="B75" s="17" t="s">
        <v>100</v>
      </c>
      <c r="C75" s="120">
        <f>C74*8/7</f>
        <v>0</v>
      </c>
      <c r="D75" s="18">
        <f>D73/220*0.2</f>
        <v>1.4087000000000001</v>
      </c>
      <c r="E75" s="18">
        <f>C74*D75</f>
        <v>0</v>
      </c>
    </row>
    <row r="76" spans="1:8" hidden="1" x14ac:dyDescent="0.2">
      <c r="A76" s="16" t="s">
        <v>36</v>
      </c>
      <c r="B76" s="17" t="s">
        <v>0</v>
      </c>
      <c r="C76" s="88"/>
      <c r="D76" s="18">
        <f>D73/220*2</f>
        <v>14.087</v>
      </c>
      <c r="E76" s="18">
        <f>C76*D76</f>
        <v>0</v>
      </c>
    </row>
    <row r="77" spans="1:8" hidden="1" x14ac:dyDescent="0.2">
      <c r="A77" s="16" t="s">
        <v>98</v>
      </c>
      <c r="B77" s="17" t="s">
        <v>97</v>
      </c>
      <c r="C77" s="88"/>
      <c r="D77" s="18"/>
      <c r="E77" s="18"/>
    </row>
    <row r="78" spans="1:8" hidden="1" x14ac:dyDescent="0.2">
      <c r="A78" s="16"/>
      <c r="B78" s="17" t="s">
        <v>100</v>
      </c>
      <c r="C78" s="120">
        <f>C77*8/7</f>
        <v>0</v>
      </c>
      <c r="D78" s="18">
        <f>D73/220*2*1.2</f>
        <v>16.904399999999999</v>
      </c>
      <c r="E78" s="18">
        <f>C78*D78</f>
        <v>0</v>
      </c>
    </row>
    <row r="79" spans="1:8" hidden="1" x14ac:dyDescent="0.2">
      <c r="A79" s="16" t="s">
        <v>37</v>
      </c>
      <c r="B79" s="17" t="s">
        <v>0</v>
      </c>
      <c r="C79" s="88"/>
      <c r="D79" s="18">
        <f>D73/220*1.5</f>
        <v>10.565249999999999</v>
      </c>
      <c r="E79" s="18">
        <f>C79*D79</f>
        <v>0</v>
      </c>
    </row>
    <row r="80" spans="1:8" hidden="1" x14ac:dyDescent="0.2">
      <c r="A80" s="16" t="s">
        <v>209</v>
      </c>
      <c r="B80" s="17" t="s">
        <v>97</v>
      </c>
      <c r="C80" s="88"/>
      <c r="D80" s="18"/>
      <c r="E80" s="18"/>
    </row>
    <row r="81" spans="1:7" hidden="1" x14ac:dyDescent="0.2">
      <c r="A81" s="16"/>
      <c r="B81" s="17" t="s">
        <v>100</v>
      </c>
      <c r="C81" s="18">
        <f>C80*8/7</f>
        <v>0</v>
      </c>
      <c r="D81" s="18">
        <f>D73/220*1.5*1.2</f>
        <v>12.678299999999998</v>
      </c>
      <c r="E81" s="18">
        <f>C81*D81</f>
        <v>0</v>
      </c>
    </row>
    <row r="82" spans="1:7" ht="13.15" hidden="1" customHeight="1" x14ac:dyDescent="0.2">
      <c r="A82" s="16" t="s">
        <v>211</v>
      </c>
      <c r="B82" s="17" t="s">
        <v>35</v>
      </c>
      <c r="D82" s="18">
        <f>63/302*(SUM(E76:E81))</f>
        <v>0</v>
      </c>
      <c r="E82" s="18">
        <f>D82</f>
        <v>0</v>
      </c>
    </row>
    <row r="83" spans="1:7" hidden="1" x14ac:dyDescent="0.2">
      <c r="A83" s="16" t="s">
        <v>1</v>
      </c>
      <c r="B83" s="17" t="s">
        <v>2</v>
      </c>
      <c r="C83" s="17">
        <f>+C64</f>
        <v>40</v>
      </c>
      <c r="D83" s="83">
        <f>SUM(E73:E82)</f>
        <v>1549.57</v>
      </c>
      <c r="E83" s="18">
        <f>C83*D83/100</f>
        <v>619.82799999999997</v>
      </c>
    </row>
    <row r="84" spans="1:7" hidden="1" x14ac:dyDescent="0.2">
      <c r="A84" s="116" t="s">
        <v>3</v>
      </c>
      <c r="B84" s="117"/>
      <c r="C84" s="117"/>
      <c r="D84" s="118"/>
      <c r="E84" s="119">
        <f>SUM(E73:E83)</f>
        <v>2169.3980000000001</v>
      </c>
    </row>
    <row r="85" spans="1:7" hidden="1" x14ac:dyDescent="0.2">
      <c r="A85" s="16" t="s">
        <v>4</v>
      </c>
      <c r="B85" s="17" t="s">
        <v>2</v>
      </c>
      <c r="C85" s="140">
        <f>'4.Enc Sociais'!$C$38*100</f>
        <v>69.355340000000012</v>
      </c>
      <c r="D85" s="18">
        <f>E84</f>
        <v>2169.3980000000001</v>
      </c>
      <c r="E85" s="18">
        <f>D85*C85/100</f>
        <v>1504.5933588532002</v>
      </c>
    </row>
    <row r="86" spans="1:7" hidden="1" x14ac:dyDescent="0.2">
      <c r="A86" s="116" t="s">
        <v>74</v>
      </c>
      <c r="B86" s="117"/>
      <c r="C86" s="117"/>
      <c r="D86" s="118"/>
      <c r="E86" s="119">
        <f>E84+E85</f>
        <v>3673.9913588532004</v>
      </c>
    </row>
    <row r="87" spans="1:7" hidden="1" x14ac:dyDescent="0.2">
      <c r="A87" s="16" t="s">
        <v>5</v>
      </c>
      <c r="B87" s="17" t="s">
        <v>6</v>
      </c>
      <c r="C87" s="86"/>
      <c r="D87" s="18">
        <f>E86</f>
        <v>3673.9913588532004</v>
      </c>
      <c r="E87" s="18">
        <f>C87*D87</f>
        <v>0</v>
      </c>
    </row>
    <row r="88" spans="1:7" ht="13.5" hidden="1" thickBot="1" x14ac:dyDescent="0.25">
      <c r="D88" s="122" t="s">
        <v>186</v>
      </c>
      <c r="E88" s="50">
        <f>$B$54</f>
        <v>9.0909090909090912E-2</v>
      </c>
      <c r="F88" s="123">
        <f>E87*E88</f>
        <v>0</v>
      </c>
    </row>
    <row r="89" spans="1:7" ht="11.25" customHeight="1" x14ac:dyDescent="0.2"/>
    <row r="90" spans="1:7" ht="13.5" thickBot="1" x14ac:dyDescent="0.25">
      <c r="A90" s="388" t="s">
        <v>408</v>
      </c>
    </row>
    <row r="91" spans="1:7" s="12" customFormat="1" ht="13.15" customHeight="1" thickBot="1" x14ac:dyDescent="0.25">
      <c r="A91" s="60" t="s">
        <v>64</v>
      </c>
      <c r="B91" s="61" t="s">
        <v>65</v>
      </c>
      <c r="C91" s="61" t="s">
        <v>42</v>
      </c>
      <c r="D91" s="62" t="s">
        <v>225</v>
      </c>
      <c r="E91" s="62" t="s">
        <v>66</v>
      </c>
      <c r="F91" s="63" t="s">
        <v>67</v>
      </c>
      <c r="G91" s="10"/>
    </row>
    <row r="92" spans="1:7" x14ac:dyDescent="0.2">
      <c r="A92" s="305" t="s">
        <v>284</v>
      </c>
      <c r="B92" s="14" t="s">
        <v>8</v>
      </c>
      <c r="C92" s="14">
        <v>1</v>
      </c>
      <c r="D92" s="313">
        <v>1930.19</v>
      </c>
      <c r="E92" s="15">
        <f>C92*D92</f>
        <v>1930.19</v>
      </c>
    </row>
    <row r="93" spans="1:7" x14ac:dyDescent="0.2">
      <c r="A93" s="305" t="s">
        <v>285</v>
      </c>
      <c r="B93" s="14" t="s">
        <v>8</v>
      </c>
      <c r="C93" s="14">
        <v>1</v>
      </c>
      <c r="D93" s="87">
        <v>1212</v>
      </c>
      <c r="E93" s="15"/>
    </row>
    <row r="94" spans="1:7" hidden="1" x14ac:dyDescent="0.2">
      <c r="A94" s="16" t="s">
        <v>36</v>
      </c>
      <c r="B94" s="17" t="s">
        <v>0</v>
      </c>
      <c r="C94" s="88"/>
      <c r="D94" s="18">
        <f>D92/220*2</f>
        <v>17.547181818181819</v>
      </c>
      <c r="E94" s="18">
        <f>C94*D94</f>
        <v>0</v>
      </c>
    </row>
    <row r="95" spans="1:7" hidden="1" x14ac:dyDescent="0.2">
      <c r="A95" s="16" t="s">
        <v>37</v>
      </c>
      <c r="B95" s="17" t="s">
        <v>0</v>
      </c>
      <c r="C95" s="88"/>
      <c r="D95" s="18">
        <f>D92/220*1.5</f>
        <v>13.160386363636364</v>
      </c>
      <c r="E95" s="18">
        <f>C95*D95</f>
        <v>0</v>
      </c>
    </row>
    <row r="96" spans="1:7" ht="13.15" hidden="1" customHeight="1" x14ac:dyDescent="0.2">
      <c r="A96" s="16" t="s">
        <v>211</v>
      </c>
      <c r="B96" s="17" t="s">
        <v>35</v>
      </c>
      <c r="D96" s="18">
        <f>63/302*(SUM(E94:E95))</f>
        <v>0</v>
      </c>
      <c r="E96" s="18">
        <f>D96</f>
        <v>0</v>
      </c>
    </row>
    <row r="97" spans="1:8" x14ac:dyDescent="0.2">
      <c r="A97" s="16" t="s">
        <v>208</v>
      </c>
      <c r="B97" s="17"/>
      <c r="C97" s="90">
        <v>1</v>
      </c>
      <c r="D97" s="18"/>
      <c r="E97" s="18"/>
    </row>
    <row r="98" spans="1:8" x14ac:dyDescent="0.2">
      <c r="A98" s="16" t="s">
        <v>1</v>
      </c>
      <c r="B98" s="17" t="s">
        <v>2</v>
      </c>
      <c r="C98" s="86">
        <v>20</v>
      </c>
      <c r="D98" s="83">
        <f>IF(C97=2,SUM(E92:E96),IF(C97=1,(SUM(E92:E96))*D93/D92,0))</f>
        <v>1212</v>
      </c>
      <c r="E98" s="18">
        <f>C98*D98/100</f>
        <v>242.4</v>
      </c>
    </row>
    <row r="99" spans="1:8" s="11" customFormat="1" x14ac:dyDescent="0.2">
      <c r="A99" s="103" t="s">
        <v>3</v>
      </c>
      <c r="B99" s="117"/>
      <c r="C99" s="117"/>
      <c r="D99" s="118"/>
      <c r="E99" s="105">
        <f>SUM(E92:E98)</f>
        <v>2172.59</v>
      </c>
      <c r="F99" s="44"/>
      <c r="G99" s="44"/>
    </row>
    <row r="100" spans="1:8" x14ac:dyDescent="0.2">
      <c r="A100" s="16" t="s">
        <v>4</v>
      </c>
      <c r="B100" s="17" t="s">
        <v>2</v>
      </c>
      <c r="C100" s="140">
        <f>'4.Enc Sociais'!$C$38*100</f>
        <v>69.355340000000012</v>
      </c>
      <c r="D100" s="18">
        <f>E99</f>
        <v>2172.59</v>
      </c>
      <c r="E100" s="18">
        <f>D100*C100/100</f>
        <v>1506.8071813060003</v>
      </c>
    </row>
    <row r="101" spans="1:8" s="11" customFormat="1" x14ac:dyDescent="0.2">
      <c r="A101" s="103" t="s">
        <v>245</v>
      </c>
      <c r="B101" s="267"/>
      <c r="C101" s="267"/>
      <c r="D101" s="268"/>
      <c r="E101" s="105">
        <f>E99+E100</f>
        <v>3679.3971813060007</v>
      </c>
      <c r="F101" s="44"/>
      <c r="G101" s="44"/>
    </row>
    <row r="102" spans="1:8" ht="13.5" thickBot="1" x14ac:dyDescent="0.25">
      <c r="A102" s="16" t="s">
        <v>5</v>
      </c>
      <c r="B102" s="17" t="s">
        <v>6</v>
      </c>
      <c r="C102" s="86">
        <v>1</v>
      </c>
      <c r="D102" s="18">
        <f>E101</f>
        <v>3679.3971813060007</v>
      </c>
      <c r="E102" s="18">
        <f>C102*D102</f>
        <v>3679.3971813060007</v>
      </c>
    </row>
    <row r="103" spans="1:8" ht="13.5" thickBot="1" x14ac:dyDescent="0.25">
      <c r="A103" s="7" t="s">
        <v>479</v>
      </c>
      <c r="D103" s="122" t="s">
        <v>186</v>
      </c>
      <c r="E103" s="315">
        <f>'8. Horários'!G58</f>
        <v>0.15909090909090909</v>
      </c>
      <c r="F103" s="123">
        <f>E102*E103</f>
        <v>585.35864248050007</v>
      </c>
      <c r="H103" s="332"/>
    </row>
    <row r="104" spans="1:8" ht="11.25" customHeight="1" x14ac:dyDescent="0.2">
      <c r="A104" s="7"/>
    </row>
    <row r="105" spans="1:8" ht="11.25" customHeight="1" x14ac:dyDescent="0.2">
      <c r="A105" s="7"/>
    </row>
    <row r="106" spans="1:8" ht="13.5" thickBot="1" x14ac:dyDescent="0.25">
      <c r="A106" s="7" t="s">
        <v>409</v>
      </c>
    </row>
    <row r="107" spans="1:8" ht="13.5" thickBot="1" x14ac:dyDescent="0.25">
      <c r="A107" s="60" t="s">
        <v>64</v>
      </c>
      <c r="B107" s="61" t="s">
        <v>65</v>
      </c>
      <c r="C107" s="61" t="s">
        <v>42</v>
      </c>
      <c r="D107" s="62" t="s">
        <v>225</v>
      </c>
      <c r="E107" s="62" t="s">
        <v>66</v>
      </c>
      <c r="F107" s="63" t="s">
        <v>67</v>
      </c>
    </row>
    <row r="108" spans="1:8" x14ac:dyDescent="0.2">
      <c r="A108" s="305" t="s">
        <v>429</v>
      </c>
      <c r="B108" s="14" t="s">
        <v>8</v>
      </c>
      <c r="C108" s="14">
        <v>1</v>
      </c>
      <c r="D108" s="87">
        <v>2063.21</v>
      </c>
      <c r="E108" s="15">
        <f>C108*D108</f>
        <v>2063.21</v>
      </c>
    </row>
    <row r="109" spans="1:8" hidden="1" x14ac:dyDescent="0.2">
      <c r="A109" s="305" t="s">
        <v>285</v>
      </c>
      <c r="B109" s="14" t="s">
        <v>8</v>
      </c>
      <c r="C109" s="14">
        <v>1</v>
      </c>
      <c r="D109" s="18">
        <f>D93</f>
        <v>1212</v>
      </c>
      <c r="E109" s="18"/>
    </row>
    <row r="110" spans="1:8" hidden="1" x14ac:dyDescent="0.2">
      <c r="A110" s="16" t="s">
        <v>7</v>
      </c>
      <c r="B110" s="17" t="s">
        <v>97</v>
      </c>
      <c r="C110" s="88"/>
      <c r="D110" s="16"/>
      <c r="E110" s="16"/>
    </row>
    <row r="111" spans="1:8" hidden="1" x14ac:dyDescent="0.2">
      <c r="A111" s="16"/>
      <c r="B111" s="17" t="s">
        <v>100</v>
      </c>
      <c r="C111" s="18">
        <f>C110*8/7</f>
        <v>0</v>
      </c>
      <c r="D111" s="18">
        <f>D108/220*0.2</f>
        <v>1.8756454545454546</v>
      </c>
      <c r="E111" s="18">
        <f>C110*D111</f>
        <v>0</v>
      </c>
    </row>
    <row r="112" spans="1:8" hidden="1" x14ac:dyDescent="0.2">
      <c r="A112" s="16" t="s">
        <v>36</v>
      </c>
      <c r="B112" s="17" t="s">
        <v>0</v>
      </c>
      <c r="C112" s="88"/>
      <c r="D112" s="18">
        <f>D108/220*2</f>
        <v>18.756454545454545</v>
      </c>
      <c r="E112" s="18">
        <f>C112*D112</f>
        <v>0</v>
      </c>
      <c r="G112" s="10" t="s">
        <v>241</v>
      </c>
    </row>
    <row r="113" spans="1:7" hidden="1" x14ac:dyDescent="0.2">
      <c r="A113" s="16" t="s">
        <v>98</v>
      </c>
      <c r="B113" s="17" t="s">
        <v>97</v>
      </c>
      <c r="C113" s="88"/>
      <c r="D113" s="18"/>
      <c r="E113" s="18"/>
      <c r="G113" s="10" t="s">
        <v>242</v>
      </c>
    </row>
    <row r="114" spans="1:7" hidden="1" x14ac:dyDescent="0.2">
      <c r="A114" s="16"/>
      <c r="B114" s="17" t="s">
        <v>100</v>
      </c>
      <c r="C114" s="18">
        <f>C113*8/7</f>
        <v>0</v>
      </c>
      <c r="D114" s="18">
        <f>D108/220*2*1.2</f>
        <v>22.507745454545454</v>
      </c>
      <c r="E114" s="18">
        <f>C114*D114</f>
        <v>0</v>
      </c>
      <c r="G114" s="10" t="s">
        <v>242</v>
      </c>
    </row>
    <row r="115" spans="1:7" hidden="1" x14ac:dyDescent="0.2">
      <c r="A115" s="16" t="s">
        <v>37</v>
      </c>
      <c r="B115" s="17" t="s">
        <v>0</v>
      </c>
      <c r="C115" s="88"/>
      <c r="D115" s="18">
        <f>D108/220*1.5</f>
        <v>14.067340909090909</v>
      </c>
      <c r="E115" s="18">
        <f>C115*D115</f>
        <v>0</v>
      </c>
      <c r="G115" s="10" t="s">
        <v>243</v>
      </c>
    </row>
    <row r="116" spans="1:7" hidden="1" x14ac:dyDescent="0.2">
      <c r="A116" s="16" t="s">
        <v>209</v>
      </c>
      <c r="B116" s="17" t="s">
        <v>97</v>
      </c>
      <c r="C116" s="88"/>
      <c r="D116" s="18"/>
      <c r="E116" s="18"/>
      <c r="G116" s="10" t="s">
        <v>244</v>
      </c>
    </row>
    <row r="117" spans="1:7" hidden="1" x14ac:dyDescent="0.2">
      <c r="A117" s="16"/>
      <c r="B117" s="17" t="s">
        <v>100</v>
      </c>
      <c r="C117" s="18">
        <f>C116*8/7</f>
        <v>0</v>
      </c>
      <c r="D117" s="18">
        <f>D108/220*1.5*1.2</f>
        <v>16.880809090909089</v>
      </c>
      <c r="E117" s="18">
        <f>C117*D117</f>
        <v>0</v>
      </c>
      <c r="G117" s="10" t="s">
        <v>244</v>
      </c>
    </row>
    <row r="118" spans="1:7" ht="13.15" hidden="1" customHeight="1" x14ac:dyDescent="0.2">
      <c r="A118" s="16" t="s">
        <v>211</v>
      </c>
      <c r="B118" s="17" t="s">
        <v>35</v>
      </c>
      <c r="D118" s="18">
        <f>63/302*(SUM(E112:E117))</f>
        <v>0</v>
      </c>
      <c r="E118" s="18">
        <f>D118</f>
        <v>0</v>
      </c>
      <c r="G118" s="10" t="s">
        <v>210</v>
      </c>
    </row>
    <row r="119" spans="1:7" hidden="1" x14ac:dyDescent="0.2">
      <c r="A119" s="16" t="s">
        <v>208</v>
      </c>
      <c r="B119" s="17"/>
      <c r="C119" s="90"/>
      <c r="D119" s="18"/>
      <c r="E119" s="18"/>
    </row>
    <row r="120" spans="1:7" hidden="1" x14ac:dyDescent="0.2">
      <c r="A120" s="16" t="s">
        <v>1</v>
      </c>
      <c r="B120" s="17" t="s">
        <v>2</v>
      </c>
      <c r="C120" s="83">
        <f>+C98</f>
        <v>20</v>
      </c>
      <c r="D120" s="83">
        <f>IF(C119=2,SUM(E108:E118),IF(C119=1,SUM(E108:E118)*D109/D108,0))</f>
        <v>0</v>
      </c>
      <c r="E120" s="18">
        <f>C120*D120/100</f>
        <v>0</v>
      </c>
    </row>
    <row r="121" spans="1:7" s="11" customFormat="1" x14ac:dyDescent="0.2">
      <c r="A121" s="116" t="s">
        <v>3</v>
      </c>
      <c r="B121" s="117"/>
      <c r="C121" s="117"/>
      <c r="D121" s="118"/>
      <c r="E121" s="119">
        <f>SUM(E108:E120)</f>
        <v>2063.21</v>
      </c>
      <c r="F121" s="44"/>
      <c r="G121" s="44"/>
    </row>
    <row r="122" spans="1:7" x14ac:dyDescent="0.2">
      <c r="A122" s="16" t="s">
        <v>4</v>
      </c>
      <c r="B122" s="17" t="s">
        <v>2</v>
      </c>
      <c r="C122" s="140">
        <f>'4.Enc Sociais'!$C$38*100</f>
        <v>69.355340000000012</v>
      </c>
      <c r="D122" s="18">
        <f>E121</f>
        <v>2063.21</v>
      </c>
      <c r="E122" s="18">
        <f>D122*C122/100</f>
        <v>1430.9463104140002</v>
      </c>
    </row>
    <row r="123" spans="1:7" s="11" customFormat="1" x14ac:dyDescent="0.2">
      <c r="A123" s="116" t="s">
        <v>395</v>
      </c>
      <c r="B123" s="117"/>
      <c r="C123" s="117"/>
      <c r="D123" s="118"/>
      <c r="E123" s="119">
        <f>E121+E122</f>
        <v>3494.1563104140005</v>
      </c>
      <c r="F123" s="44"/>
      <c r="G123" s="44"/>
    </row>
    <row r="124" spans="1:7" ht="13.5" thickBot="1" x14ac:dyDescent="0.25">
      <c r="A124" s="16" t="s">
        <v>5</v>
      </c>
      <c r="B124" s="17" t="s">
        <v>6</v>
      </c>
      <c r="C124" s="86">
        <v>1</v>
      </c>
      <c r="D124" s="18">
        <f>E123</f>
        <v>3494.1563104140005</v>
      </c>
      <c r="E124" s="18">
        <f>C124*D124</f>
        <v>3494.1563104140005</v>
      </c>
    </row>
    <row r="125" spans="1:7" ht="13.5" thickBot="1" x14ac:dyDescent="0.25">
      <c r="A125" s="11" t="s">
        <v>488</v>
      </c>
      <c r="D125" s="122" t="s">
        <v>186</v>
      </c>
      <c r="E125" s="315">
        <f>1/43</f>
        <v>2.3255813953488372E-2</v>
      </c>
      <c r="F125" s="123">
        <f>E124*E125</f>
        <v>81.259449079395353</v>
      </c>
    </row>
    <row r="126" spans="1:7" ht="11.25" customHeight="1" x14ac:dyDescent="0.2">
      <c r="G126" s="9"/>
    </row>
    <row r="127" spans="1:7" ht="13.5" thickBot="1" x14ac:dyDescent="0.25">
      <c r="A127" s="7" t="s">
        <v>410</v>
      </c>
      <c r="B127" s="93"/>
      <c r="D127" s="9"/>
      <c r="E127" s="332"/>
      <c r="G127" s="9"/>
    </row>
    <row r="128" spans="1:7" ht="13.5" thickBot="1" x14ac:dyDescent="0.25">
      <c r="A128" s="60" t="s">
        <v>64</v>
      </c>
      <c r="B128" s="61" t="s">
        <v>65</v>
      </c>
      <c r="C128" s="61" t="s">
        <v>42</v>
      </c>
      <c r="D128" s="62" t="s">
        <v>225</v>
      </c>
      <c r="E128" s="62" t="s">
        <v>66</v>
      </c>
      <c r="F128" s="63" t="s">
        <v>67</v>
      </c>
      <c r="G128" s="9"/>
    </row>
    <row r="129" spans="1:8" x14ac:dyDescent="0.2">
      <c r="A129" s="16" t="s">
        <v>90</v>
      </c>
      <c r="B129" s="17" t="s">
        <v>35</v>
      </c>
      <c r="C129" s="94">
        <v>1</v>
      </c>
      <c r="D129" s="92">
        <v>4.0999999999999996</v>
      </c>
      <c r="E129" s="18"/>
      <c r="G129" s="9"/>
    </row>
    <row r="130" spans="1:8" x14ac:dyDescent="0.2">
      <c r="A130" s="16" t="s">
        <v>91</v>
      </c>
      <c r="B130" s="17" t="s">
        <v>92</v>
      </c>
      <c r="C130" s="91">
        <v>4</v>
      </c>
      <c r="D130" s="18"/>
      <c r="E130" s="18"/>
      <c r="G130" s="85"/>
      <c r="H130" s="85"/>
    </row>
    <row r="131" spans="1:8" x14ac:dyDescent="0.2">
      <c r="A131" s="16" t="s">
        <v>75</v>
      </c>
      <c r="B131" s="17" t="s">
        <v>9</v>
      </c>
      <c r="C131" s="37">
        <f>$C$130*2*(C68+C87)</f>
        <v>16</v>
      </c>
      <c r="D131" s="15">
        <f>D129-(E60/42*0.06)</f>
        <v>1.8863285714285709</v>
      </c>
      <c r="E131" s="18">
        <f>IFERROR(C131*D131,"-")</f>
        <v>30.181257142857135</v>
      </c>
      <c r="H131" s="85"/>
    </row>
    <row r="132" spans="1:8" ht="13.5" thickBot="1" x14ac:dyDescent="0.25">
      <c r="A132" s="13" t="s">
        <v>46</v>
      </c>
      <c r="B132" s="14" t="s">
        <v>9</v>
      </c>
      <c r="C132" s="37">
        <f>$C$130*2*(C102)</f>
        <v>8</v>
      </c>
      <c r="D132" s="15">
        <f>D129-(E92/42*0.06)</f>
        <v>1.3425857142857138</v>
      </c>
      <c r="E132" s="15">
        <f>IFERROR(C132*D132,"-")</f>
        <v>10.740685714285711</v>
      </c>
      <c r="G132" s="9"/>
      <c r="H132" s="85"/>
    </row>
    <row r="133" spans="1:8" ht="13.5" thickBot="1" x14ac:dyDescent="0.25">
      <c r="F133" s="22">
        <f>SUM(E131:E132)</f>
        <v>40.921942857142845</v>
      </c>
      <c r="G133" s="9"/>
    </row>
    <row r="134" spans="1:8" ht="11.25" customHeight="1" x14ac:dyDescent="0.2">
      <c r="G134" s="9"/>
    </row>
    <row r="135" spans="1:8" ht="13.5" thickBot="1" x14ac:dyDescent="0.25">
      <c r="A135" s="388" t="s">
        <v>612</v>
      </c>
      <c r="F135" s="23"/>
      <c r="G135" s="9"/>
    </row>
    <row r="136" spans="1:8" ht="13.5" thickBot="1" x14ac:dyDescent="0.25">
      <c r="A136" s="60" t="s">
        <v>64</v>
      </c>
      <c r="B136" s="61" t="s">
        <v>65</v>
      </c>
      <c r="C136" s="61" t="s">
        <v>42</v>
      </c>
      <c r="D136" s="62" t="s">
        <v>225</v>
      </c>
      <c r="E136" s="62" t="s">
        <v>66</v>
      </c>
      <c r="F136" s="63" t="s">
        <v>67</v>
      </c>
      <c r="G136" s="9"/>
    </row>
    <row r="137" spans="1:8" x14ac:dyDescent="0.2">
      <c r="A137" s="16" t="str">
        <f>+A131</f>
        <v>Coletor</v>
      </c>
      <c r="B137" s="17" t="s">
        <v>10</v>
      </c>
      <c r="C137" s="102">
        <f>C130*(E44+E45)</f>
        <v>8</v>
      </c>
      <c r="D137" s="95">
        <f>10.09*0.81</f>
        <v>8.1729000000000003</v>
      </c>
      <c r="E137" s="50">
        <f>C137*D137</f>
        <v>65.383200000000002</v>
      </c>
      <c r="F137" s="23"/>
      <c r="G137" s="9"/>
    </row>
    <row r="138" spans="1:8" ht="13.5" thickBot="1" x14ac:dyDescent="0.25">
      <c r="A138" s="328" t="s">
        <v>46</v>
      </c>
      <c r="B138" s="17" t="s">
        <v>10</v>
      </c>
      <c r="C138" s="102">
        <f>C130*(E46)</f>
        <v>4</v>
      </c>
      <c r="D138" s="95">
        <f>12.81*0.8</f>
        <v>10.248000000000001</v>
      </c>
      <c r="E138" s="50">
        <f>C138*D138</f>
        <v>40.992000000000004</v>
      </c>
      <c r="F138" s="23"/>
      <c r="G138" s="9"/>
    </row>
    <row r="139" spans="1:8" ht="13.5" thickBot="1" x14ac:dyDescent="0.25">
      <c r="F139" s="22">
        <f>SUM(E137:E138)</f>
        <v>106.37520000000001</v>
      </c>
      <c r="G139" s="9"/>
    </row>
    <row r="140" spans="1:8" x14ac:dyDescent="0.2">
      <c r="G140" s="9"/>
    </row>
    <row r="141" spans="1:8" ht="13.5" thickBot="1" x14ac:dyDescent="0.25">
      <c r="A141" s="7" t="s">
        <v>411</v>
      </c>
      <c r="F141" s="23"/>
      <c r="G141" s="9"/>
    </row>
    <row r="142" spans="1:8" ht="13.5" thickBot="1" x14ac:dyDescent="0.25">
      <c r="A142" s="60" t="s">
        <v>64</v>
      </c>
      <c r="B142" s="61" t="s">
        <v>65</v>
      </c>
      <c r="C142" s="61" t="s">
        <v>42</v>
      </c>
      <c r="D142" s="62" t="s">
        <v>225</v>
      </c>
      <c r="E142" s="62" t="s">
        <v>66</v>
      </c>
      <c r="F142" s="63" t="s">
        <v>67</v>
      </c>
      <c r="G142" s="9"/>
    </row>
    <row r="143" spans="1:8" hidden="1" x14ac:dyDescent="0.2">
      <c r="A143" s="16" t="str">
        <f>+A137</f>
        <v>Coletor</v>
      </c>
      <c r="B143" s="17" t="s">
        <v>10</v>
      </c>
      <c r="C143" s="102">
        <f>E44+E45</f>
        <v>2</v>
      </c>
      <c r="D143" s="95"/>
      <c r="E143" s="50">
        <f>C143*D143</f>
        <v>0</v>
      </c>
      <c r="F143" s="23"/>
      <c r="G143" s="9"/>
    </row>
    <row r="144" spans="1:8" ht="13.5" thickBot="1" x14ac:dyDescent="0.25">
      <c r="A144" s="16" t="str">
        <f>A138</f>
        <v>Motorista</v>
      </c>
      <c r="B144" s="17" t="s">
        <v>10</v>
      </c>
      <c r="C144" s="102">
        <f>E46</f>
        <v>1</v>
      </c>
      <c r="D144" s="95">
        <f>(90.93*1.07)*0.8</f>
        <v>77.836080000000024</v>
      </c>
      <c r="E144" s="50">
        <f>C144*D144</f>
        <v>77.836080000000024</v>
      </c>
      <c r="F144" s="23"/>
      <c r="G144" s="9"/>
    </row>
    <row r="145" spans="1:7" ht="13.5" thickBot="1" x14ac:dyDescent="0.25">
      <c r="D145" s="122" t="s">
        <v>186</v>
      </c>
      <c r="E145" s="315">
        <f>E103</f>
        <v>0.15909090909090909</v>
      </c>
      <c r="F145" s="22">
        <f>SUM(E143:E144)*E145</f>
        <v>12.383012727272732</v>
      </c>
      <c r="G145" s="9"/>
    </row>
    <row r="146" spans="1:7" x14ac:dyDescent="0.2">
      <c r="D146" s="122"/>
      <c r="E146" s="370"/>
      <c r="G146" s="9"/>
    </row>
    <row r="147" spans="1:7" ht="13.5" thickBot="1" x14ac:dyDescent="0.25">
      <c r="A147" s="7" t="s">
        <v>412</v>
      </c>
      <c r="B147" s="7"/>
      <c r="C147" s="7"/>
      <c r="D147" s="336"/>
      <c r="E147" s="336"/>
      <c r="F147" s="23"/>
      <c r="G147" s="9"/>
    </row>
    <row r="148" spans="1:7" ht="13.5" thickBot="1" x14ac:dyDescent="0.25">
      <c r="A148" s="60" t="s">
        <v>64</v>
      </c>
      <c r="B148" s="61" t="s">
        <v>65</v>
      </c>
      <c r="C148" s="61" t="s">
        <v>42</v>
      </c>
      <c r="D148" s="62" t="s">
        <v>225</v>
      </c>
      <c r="E148" s="62" t="s">
        <v>66</v>
      </c>
      <c r="F148" s="63" t="s">
        <v>67</v>
      </c>
      <c r="G148" s="9"/>
    </row>
    <row r="149" spans="1:7" ht="13.5" thickBot="1" x14ac:dyDescent="0.25">
      <c r="A149" s="328" t="s">
        <v>373</v>
      </c>
      <c r="B149" s="367" t="s">
        <v>10</v>
      </c>
      <c r="C149" s="371">
        <f>C68</f>
        <v>2</v>
      </c>
      <c r="D149" s="372">
        <v>17.32</v>
      </c>
      <c r="E149" s="373">
        <f>C149*D149</f>
        <v>34.64</v>
      </c>
      <c r="F149" s="23"/>
      <c r="G149" s="9"/>
    </row>
    <row r="150" spans="1:7" ht="13.5" hidden="1" thickBot="1" x14ac:dyDescent="0.25">
      <c r="A150" s="328"/>
      <c r="B150" s="367" t="s">
        <v>10</v>
      </c>
      <c r="C150" s="371">
        <v>0</v>
      </c>
      <c r="D150" s="372">
        <v>0</v>
      </c>
      <c r="E150" s="373"/>
      <c r="F150" s="23"/>
      <c r="G150" s="9"/>
    </row>
    <row r="151" spans="1:7" ht="13.5" thickBot="1" x14ac:dyDescent="0.25">
      <c r="A151" s="374"/>
      <c r="B151" s="374"/>
      <c r="C151" s="7"/>
      <c r="D151" s="338" t="s">
        <v>372</v>
      </c>
      <c r="E151" s="382">
        <f>E69</f>
        <v>9.0909090909090912E-2</v>
      </c>
      <c r="F151" s="375">
        <f>SUM(E149:E150)*E151</f>
        <v>3.1490909090909094</v>
      </c>
      <c r="G151" s="9"/>
    </row>
    <row r="152" spans="1:7" ht="13.5" thickBot="1" x14ac:dyDescent="0.25">
      <c r="D152" s="122"/>
      <c r="E152" s="370"/>
      <c r="G152" s="9"/>
    </row>
    <row r="153" spans="1:7" ht="13.5" thickBot="1" x14ac:dyDescent="0.25">
      <c r="A153" s="24" t="s">
        <v>93</v>
      </c>
      <c r="B153" s="25"/>
      <c r="C153" s="25"/>
      <c r="D153" s="26"/>
      <c r="E153" s="27"/>
      <c r="F153" s="22">
        <f>F145+F139+F133+F125+F103+F88+F69+F151</f>
        <v>1497.4457669358021</v>
      </c>
      <c r="G153" s="9"/>
    </row>
    <row r="155" spans="1:7" x14ac:dyDescent="0.2">
      <c r="A155" s="11" t="s">
        <v>47</v>
      </c>
      <c r="G155" s="9"/>
    </row>
    <row r="156" spans="1:7" ht="11.25" customHeight="1" x14ac:dyDescent="0.2">
      <c r="G156" s="9"/>
    </row>
    <row r="157" spans="1:7" ht="13.9" customHeight="1" x14ac:dyDescent="0.2">
      <c r="A157" s="9" t="s">
        <v>188</v>
      </c>
      <c r="G157" s="9"/>
    </row>
    <row r="158" spans="1:7" ht="11.25" customHeight="1" thickBot="1" x14ac:dyDescent="0.25">
      <c r="G158" s="9"/>
    </row>
    <row r="159" spans="1:7" ht="27.75" customHeight="1" thickBot="1" x14ac:dyDescent="0.25">
      <c r="A159" s="60" t="s">
        <v>64</v>
      </c>
      <c r="B159" s="61" t="s">
        <v>65</v>
      </c>
      <c r="C159" s="269" t="s">
        <v>247</v>
      </c>
      <c r="D159" s="62" t="s">
        <v>225</v>
      </c>
      <c r="E159" s="62" t="s">
        <v>66</v>
      </c>
      <c r="F159" s="63" t="s">
        <v>67</v>
      </c>
      <c r="G159" s="9"/>
    </row>
    <row r="160" spans="1:7" x14ac:dyDescent="0.2">
      <c r="A160" s="13" t="s">
        <v>68</v>
      </c>
      <c r="B160" s="14" t="s">
        <v>10</v>
      </c>
      <c r="C160" s="327">
        <v>12</v>
      </c>
      <c r="D160" s="313">
        <v>150</v>
      </c>
      <c r="E160" s="15">
        <f>IFERROR(D160/C160,0)</f>
        <v>12.5</v>
      </c>
      <c r="G160" s="9"/>
    </row>
    <row r="161" spans="1:7" ht="13.15" customHeight="1" x14ac:dyDescent="0.2">
      <c r="A161" s="16" t="s">
        <v>30</v>
      </c>
      <c r="B161" s="17" t="s">
        <v>10</v>
      </c>
      <c r="C161" s="327">
        <v>4</v>
      </c>
      <c r="D161" s="326">
        <v>35</v>
      </c>
      <c r="E161" s="15">
        <f t="shared" ref="E161:E171" si="1">IFERROR(D161/C161,0)</f>
        <v>8.75</v>
      </c>
      <c r="G161" s="9"/>
    </row>
    <row r="162" spans="1:7" ht="13.15" customHeight="1" x14ac:dyDescent="0.2">
      <c r="A162" s="328" t="s">
        <v>423</v>
      </c>
      <c r="B162" s="17" t="s">
        <v>10</v>
      </c>
      <c r="C162" s="327">
        <v>4</v>
      </c>
      <c r="D162" s="326">
        <v>27</v>
      </c>
      <c r="E162" s="15">
        <f t="shared" si="1"/>
        <v>6.75</v>
      </c>
      <c r="G162" s="9"/>
    </row>
    <row r="163" spans="1:7" x14ac:dyDescent="0.2">
      <c r="A163" s="328" t="s">
        <v>424</v>
      </c>
      <c r="B163" s="17" t="s">
        <v>10</v>
      </c>
      <c r="C163" s="327">
        <v>3</v>
      </c>
      <c r="D163" s="326">
        <v>25</v>
      </c>
      <c r="E163" s="15">
        <f t="shared" si="1"/>
        <v>8.3333333333333339</v>
      </c>
      <c r="G163" s="9"/>
    </row>
    <row r="164" spans="1:7" x14ac:dyDescent="0.2">
      <c r="A164" s="328" t="s">
        <v>424</v>
      </c>
      <c r="B164" s="17" t="s">
        <v>10</v>
      </c>
      <c r="C164" s="327">
        <v>3</v>
      </c>
      <c r="D164" s="326">
        <v>28</v>
      </c>
      <c r="E164" s="15">
        <f t="shared" si="1"/>
        <v>9.3333333333333339</v>
      </c>
      <c r="G164" s="9"/>
    </row>
    <row r="165" spans="1:7" ht="13.15" customHeight="1" x14ac:dyDescent="0.2">
      <c r="A165" s="16" t="s">
        <v>32</v>
      </c>
      <c r="B165" s="17" t="s">
        <v>10</v>
      </c>
      <c r="C165" s="327">
        <v>4</v>
      </c>
      <c r="D165" s="326">
        <v>18</v>
      </c>
      <c r="E165" s="15">
        <f t="shared" si="1"/>
        <v>4.5</v>
      </c>
      <c r="G165" s="9"/>
    </row>
    <row r="166" spans="1:7" ht="13.9" customHeight="1" x14ac:dyDescent="0.2">
      <c r="A166" s="16" t="s">
        <v>70</v>
      </c>
      <c r="B166" s="17" t="s">
        <v>50</v>
      </c>
      <c r="C166" s="327">
        <v>4</v>
      </c>
      <c r="D166" s="326">
        <v>60</v>
      </c>
      <c r="E166" s="15">
        <f t="shared" si="1"/>
        <v>15</v>
      </c>
      <c r="G166" s="9"/>
    </row>
    <row r="167" spans="1:7" ht="13.15" customHeight="1" x14ac:dyDescent="0.2">
      <c r="A167" s="16" t="s">
        <v>94</v>
      </c>
      <c r="B167" s="17" t="s">
        <v>50</v>
      </c>
      <c r="C167" s="327">
        <v>2</v>
      </c>
      <c r="D167" s="326">
        <v>10</v>
      </c>
      <c r="E167" s="15">
        <f t="shared" si="1"/>
        <v>5</v>
      </c>
    </row>
    <row r="168" spans="1:7" x14ac:dyDescent="0.2">
      <c r="A168" s="16" t="s">
        <v>69</v>
      </c>
      <c r="B168" s="17" t="s">
        <v>10</v>
      </c>
      <c r="C168" s="327">
        <v>6</v>
      </c>
      <c r="D168" s="326">
        <v>67</v>
      </c>
      <c r="E168" s="15">
        <f t="shared" si="1"/>
        <v>11.166666666666666</v>
      </c>
    </row>
    <row r="169" spans="1:7" s="1" customFormat="1" x14ac:dyDescent="0.2">
      <c r="A169" s="2" t="s">
        <v>11</v>
      </c>
      <c r="B169" s="3" t="s">
        <v>10</v>
      </c>
      <c r="C169" s="327">
        <v>4</v>
      </c>
      <c r="D169" s="326">
        <v>20</v>
      </c>
      <c r="E169" s="15">
        <f t="shared" si="1"/>
        <v>5</v>
      </c>
      <c r="F169" s="38"/>
      <c r="G169" s="38"/>
    </row>
    <row r="170" spans="1:7" x14ac:dyDescent="0.2">
      <c r="A170" s="16" t="s">
        <v>33</v>
      </c>
      <c r="B170" s="17" t="s">
        <v>50</v>
      </c>
      <c r="C170" s="327">
        <v>0.5</v>
      </c>
      <c r="D170" s="326">
        <v>19</v>
      </c>
      <c r="E170" s="15">
        <f t="shared" si="1"/>
        <v>38</v>
      </c>
    </row>
    <row r="171" spans="1:7" ht="13.15" customHeight="1" x14ac:dyDescent="0.2">
      <c r="A171" s="16" t="s">
        <v>63</v>
      </c>
      <c r="B171" s="17" t="s">
        <v>51</v>
      </c>
      <c r="C171" s="327">
        <v>2</v>
      </c>
      <c r="D171" s="326">
        <v>20</v>
      </c>
      <c r="E171" s="15">
        <f t="shared" si="1"/>
        <v>10</v>
      </c>
    </row>
    <row r="172" spans="1:7" ht="13.5" thickBot="1" x14ac:dyDescent="0.25">
      <c r="A172" s="16" t="s">
        <v>5</v>
      </c>
      <c r="B172" s="17" t="s">
        <v>6</v>
      </c>
      <c r="C172" s="69">
        <f>E44+E45</f>
        <v>2</v>
      </c>
      <c r="D172" s="18">
        <f>+SUM(E160:E171)</f>
        <v>134.33333333333334</v>
      </c>
      <c r="E172" s="18">
        <f t="shared" ref="E172" si="2">C172*D172</f>
        <v>268.66666666666669</v>
      </c>
    </row>
    <row r="173" spans="1:7" ht="13.5" thickBot="1" x14ac:dyDescent="0.25">
      <c r="D173" s="122" t="s">
        <v>186</v>
      </c>
      <c r="E173" s="315">
        <f>$B$54</f>
        <v>9.0909090909090912E-2</v>
      </c>
      <c r="F173" s="123">
        <f>E172*E173</f>
        <v>24.424242424242426</v>
      </c>
    </row>
    <row r="174" spans="1:7" ht="11.25" customHeight="1" x14ac:dyDescent="0.2"/>
    <row r="175" spans="1:7" ht="13.9" customHeight="1" x14ac:dyDescent="0.2">
      <c r="A175" s="9" t="s">
        <v>189</v>
      </c>
    </row>
    <row r="176" spans="1:7" ht="11.25" customHeight="1" thickBot="1" x14ac:dyDescent="0.25"/>
    <row r="177" spans="1:7" ht="24.75" thickBot="1" x14ac:dyDescent="0.25">
      <c r="A177" s="60" t="s">
        <v>64</v>
      </c>
      <c r="B177" s="61" t="s">
        <v>65</v>
      </c>
      <c r="C177" s="269" t="s">
        <v>247</v>
      </c>
      <c r="D177" s="62" t="s">
        <v>225</v>
      </c>
      <c r="E177" s="62" t="s">
        <v>66</v>
      </c>
      <c r="F177" s="63" t="s">
        <v>67</v>
      </c>
    </row>
    <row r="178" spans="1:7" x14ac:dyDescent="0.2">
      <c r="A178" s="13" t="s">
        <v>68</v>
      </c>
      <c r="B178" s="14" t="s">
        <v>10</v>
      </c>
      <c r="C178" s="330">
        <f>C160</f>
        <v>12</v>
      </c>
      <c r="D178" s="15">
        <f>+D160</f>
        <v>150</v>
      </c>
      <c r="E178" s="15">
        <f>IFERROR(D178/C178,0)</f>
        <v>12.5</v>
      </c>
    </row>
    <row r="179" spans="1:7" x14ac:dyDescent="0.2">
      <c r="A179" s="16" t="s">
        <v>30</v>
      </c>
      <c r="B179" s="17" t="s">
        <v>10</v>
      </c>
      <c r="C179" s="330">
        <f>C161</f>
        <v>4</v>
      </c>
      <c r="D179" s="18">
        <f>+D161</f>
        <v>35</v>
      </c>
      <c r="E179" s="15">
        <f t="shared" ref="E179:E183" si="3">IFERROR(D179/C179,0)</f>
        <v>8.75</v>
      </c>
    </row>
    <row r="180" spans="1:7" x14ac:dyDescent="0.2">
      <c r="A180" s="16" t="s">
        <v>31</v>
      </c>
      <c r="B180" s="17" t="s">
        <v>10</v>
      </c>
      <c r="C180" s="330">
        <f>C163</f>
        <v>3</v>
      </c>
      <c r="D180" s="18">
        <f>+D163</f>
        <v>25</v>
      </c>
      <c r="E180" s="15">
        <f t="shared" si="3"/>
        <v>8.3333333333333339</v>
      </c>
    </row>
    <row r="181" spans="1:7" x14ac:dyDescent="0.2">
      <c r="A181" s="16" t="s">
        <v>70</v>
      </c>
      <c r="B181" s="17" t="s">
        <v>50</v>
      </c>
      <c r="C181" s="330">
        <f>C166</f>
        <v>4</v>
      </c>
      <c r="D181" s="18">
        <f>+D166</f>
        <v>60</v>
      </c>
      <c r="E181" s="15">
        <f t="shared" si="3"/>
        <v>15</v>
      </c>
    </row>
    <row r="182" spans="1:7" x14ac:dyDescent="0.2">
      <c r="A182" s="16" t="s">
        <v>69</v>
      </c>
      <c r="B182" s="17" t="s">
        <v>10</v>
      </c>
      <c r="C182" s="330">
        <f>C168</f>
        <v>6</v>
      </c>
      <c r="D182" s="18">
        <f>+D168</f>
        <v>67</v>
      </c>
      <c r="E182" s="15">
        <f t="shared" si="3"/>
        <v>11.166666666666666</v>
      </c>
      <c r="G182" s="9"/>
    </row>
    <row r="183" spans="1:7" x14ac:dyDescent="0.2">
      <c r="A183" s="16" t="s">
        <v>63</v>
      </c>
      <c r="B183" s="17" t="s">
        <v>51</v>
      </c>
      <c r="C183" s="330">
        <f>C171</f>
        <v>2</v>
      </c>
      <c r="D183" s="18">
        <f>+D171</f>
        <v>20</v>
      </c>
      <c r="E183" s="15">
        <f t="shared" si="3"/>
        <v>10</v>
      </c>
      <c r="G183" s="9"/>
    </row>
    <row r="184" spans="1:7" ht="13.5" thickBot="1" x14ac:dyDescent="0.25">
      <c r="A184" s="16" t="s">
        <v>5</v>
      </c>
      <c r="B184" s="17" t="s">
        <v>6</v>
      </c>
      <c r="C184" s="69">
        <f>E46</f>
        <v>1</v>
      </c>
      <c r="D184" s="18">
        <f>+SUM(E178:E183)</f>
        <v>65.75</v>
      </c>
      <c r="E184" s="18">
        <f t="shared" ref="E184" si="4">C184*D184</f>
        <v>65.75</v>
      </c>
      <c r="G184" s="9"/>
    </row>
    <row r="185" spans="1:7" ht="13.5" thickBot="1" x14ac:dyDescent="0.25">
      <c r="D185" s="122" t="s">
        <v>186</v>
      </c>
      <c r="E185" s="315">
        <f>E103</f>
        <v>0.15909090909090909</v>
      </c>
      <c r="F185" s="123">
        <f>E184*E185</f>
        <v>10.460227272727273</v>
      </c>
      <c r="G185" s="9"/>
    </row>
    <row r="186" spans="1:7" ht="11.25" customHeight="1" thickBot="1" x14ac:dyDescent="0.25">
      <c r="G186" s="9"/>
    </row>
    <row r="187" spans="1:7" ht="13.5" thickBot="1" x14ac:dyDescent="0.25">
      <c r="A187" s="24" t="s">
        <v>190</v>
      </c>
      <c r="B187" s="28"/>
      <c r="C187" s="28"/>
      <c r="D187" s="29"/>
      <c r="E187" s="30"/>
      <c r="F187" s="21">
        <f>+F173+F185</f>
        <v>34.884469696969703</v>
      </c>
      <c r="G187" s="9"/>
    </row>
    <row r="188" spans="1:7" ht="11.25" customHeight="1" x14ac:dyDescent="0.2">
      <c r="G188" s="9"/>
    </row>
    <row r="189" spans="1:7" x14ac:dyDescent="0.2">
      <c r="A189" s="11" t="s">
        <v>56</v>
      </c>
      <c r="G189" s="9"/>
    </row>
    <row r="190" spans="1:7" ht="11.25" customHeight="1" x14ac:dyDescent="0.2">
      <c r="B190" s="107"/>
      <c r="G190" s="9"/>
    </row>
    <row r="191" spans="1:7" x14ac:dyDescent="0.2">
      <c r="A191" s="7" t="s">
        <v>352</v>
      </c>
      <c r="G191" s="9"/>
    </row>
    <row r="192" spans="1:7" ht="11.25" customHeight="1" x14ac:dyDescent="0.2">
      <c r="G192" s="9"/>
    </row>
    <row r="193" spans="1:10" ht="13.5" thickBot="1" x14ac:dyDescent="0.25">
      <c r="A193" s="107" t="s">
        <v>48</v>
      </c>
      <c r="G193" s="9"/>
    </row>
    <row r="194" spans="1:10" ht="13.5" thickBot="1" x14ac:dyDescent="0.25">
      <c r="A194" s="60" t="s">
        <v>64</v>
      </c>
      <c r="B194" s="61" t="s">
        <v>65</v>
      </c>
      <c r="C194" s="61" t="s">
        <v>42</v>
      </c>
      <c r="D194" s="62" t="s">
        <v>225</v>
      </c>
      <c r="E194" s="62" t="s">
        <v>66</v>
      </c>
      <c r="F194" s="63" t="s">
        <v>67</v>
      </c>
      <c r="G194" s="9"/>
    </row>
    <row r="195" spans="1:10" x14ac:dyDescent="0.2">
      <c r="A195" s="13" t="s">
        <v>104</v>
      </c>
      <c r="B195" s="14" t="s">
        <v>10</v>
      </c>
      <c r="C195" s="275">
        <v>1</v>
      </c>
      <c r="D195" s="87">
        <v>252000</v>
      </c>
      <c r="E195" s="15">
        <f>C195*D195</f>
        <v>252000</v>
      </c>
      <c r="G195" s="9"/>
    </row>
    <row r="196" spans="1:10" x14ac:dyDescent="0.2">
      <c r="A196" s="16" t="s">
        <v>101</v>
      </c>
      <c r="B196" s="17" t="s">
        <v>102</v>
      </c>
      <c r="C196" s="86">
        <v>10</v>
      </c>
      <c r="D196" s="83"/>
      <c r="E196" s="18"/>
      <c r="G196" s="9"/>
    </row>
    <row r="197" spans="1:10" x14ac:dyDescent="0.2">
      <c r="A197" s="16" t="s">
        <v>203</v>
      </c>
      <c r="B197" s="17" t="s">
        <v>102</v>
      </c>
      <c r="C197" s="86">
        <v>0</v>
      </c>
      <c r="D197" s="18"/>
      <c r="E197" s="18"/>
      <c r="F197" s="20"/>
      <c r="I197" s="85"/>
      <c r="J197" s="85"/>
    </row>
    <row r="198" spans="1:10" x14ac:dyDescent="0.2">
      <c r="A198" s="16" t="s">
        <v>103</v>
      </c>
      <c r="B198" s="17" t="s">
        <v>2</v>
      </c>
      <c r="C198" s="140">
        <f>IFERROR(VLOOKUP(C196,'10. Depr'!A3:B17,2,FALSE),0)</f>
        <v>65.180000000000007</v>
      </c>
      <c r="D198" s="18">
        <f>E195</f>
        <v>252000</v>
      </c>
      <c r="E198" s="18">
        <f>C198*D198/100</f>
        <v>164253.6</v>
      </c>
    </row>
    <row r="199" spans="1:10" ht="13.5" thickBot="1" x14ac:dyDescent="0.25">
      <c r="A199" s="278" t="s">
        <v>52</v>
      </c>
      <c r="B199" s="279" t="s">
        <v>8</v>
      </c>
      <c r="C199" s="279">
        <f>C196*12</f>
        <v>120</v>
      </c>
      <c r="D199" s="280">
        <f>IF(C197&lt;=C196,E198,0)</f>
        <v>164253.6</v>
      </c>
      <c r="E199" s="280">
        <f>IFERROR(D199/C199,0)</f>
        <v>1368.78</v>
      </c>
    </row>
    <row r="200" spans="1:10" ht="13.5" thickTop="1" x14ac:dyDescent="0.2">
      <c r="A200" s="305" t="s">
        <v>353</v>
      </c>
      <c r="B200" s="14" t="s">
        <v>10</v>
      </c>
      <c r="C200" s="14">
        <f>C195</f>
        <v>1</v>
      </c>
      <c r="D200" s="87">
        <v>120000</v>
      </c>
      <c r="E200" s="15">
        <f>C200*D200</f>
        <v>120000</v>
      </c>
      <c r="G200" s="9"/>
    </row>
    <row r="201" spans="1:10" x14ac:dyDescent="0.2">
      <c r="A201" s="328" t="s">
        <v>101</v>
      </c>
      <c r="B201" s="17" t="s">
        <v>102</v>
      </c>
      <c r="C201" s="86">
        <v>10</v>
      </c>
      <c r="D201" s="18"/>
      <c r="E201" s="18"/>
    </row>
    <row r="202" spans="1:10" x14ac:dyDescent="0.2">
      <c r="A202" s="328" t="s">
        <v>354</v>
      </c>
      <c r="B202" s="17" t="s">
        <v>102</v>
      </c>
      <c r="C202" s="86">
        <v>0</v>
      </c>
      <c r="D202" s="18"/>
      <c r="E202" s="18"/>
      <c r="F202" s="20"/>
      <c r="I202" s="85"/>
      <c r="J202" s="85"/>
    </row>
    <row r="203" spans="1:10" x14ac:dyDescent="0.2">
      <c r="A203" s="328" t="s">
        <v>103</v>
      </c>
      <c r="B203" s="17" t="s">
        <v>2</v>
      </c>
      <c r="C203" s="141">
        <f>IFERROR(VLOOKUP(C201,'10. Depr'!A3:B17,2,FALSE),0)</f>
        <v>65.180000000000007</v>
      </c>
      <c r="D203" s="18">
        <f>E200</f>
        <v>120000</v>
      </c>
      <c r="E203" s="18">
        <f>C203*D203/100</f>
        <v>78216.000000000015</v>
      </c>
    </row>
    <row r="204" spans="1:10" x14ac:dyDescent="0.2">
      <c r="A204" s="103" t="s">
        <v>355</v>
      </c>
      <c r="B204" s="104" t="s">
        <v>8</v>
      </c>
      <c r="C204" s="104">
        <f>C201*12</f>
        <v>120</v>
      </c>
      <c r="D204" s="105">
        <f>IF(C202&lt;=C201,E203,0)</f>
        <v>78216.000000000015</v>
      </c>
      <c r="E204" s="105">
        <f>IFERROR(D204/C204,0)</f>
        <v>651.80000000000007</v>
      </c>
    </row>
    <row r="205" spans="1:10" x14ac:dyDescent="0.2">
      <c r="A205" s="103" t="s">
        <v>393</v>
      </c>
      <c r="B205" s="104" t="s">
        <v>8</v>
      </c>
      <c r="C205" s="104">
        <v>1</v>
      </c>
      <c r="D205" s="105">
        <f>IF(C203&lt;=C202,E204,0)</f>
        <v>0</v>
      </c>
      <c r="E205" s="105">
        <f>(E199+E204)*0.1</f>
        <v>202.05799999999999</v>
      </c>
    </row>
    <row r="206" spans="1:10" x14ac:dyDescent="0.2">
      <c r="A206" s="116" t="s">
        <v>250</v>
      </c>
      <c r="B206" s="117"/>
      <c r="C206" s="117"/>
      <c r="D206" s="118"/>
      <c r="E206" s="119">
        <f>E199+E204+E205</f>
        <v>2222.6379999999999</v>
      </c>
    </row>
    <row r="207" spans="1:10" ht="13.5" thickBot="1" x14ac:dyDescent="0.25">
      <c r="A207" s="103" t="s">
        <v>251</v>
      </c>
      <c r="B207" s="104" t="s">
        <v>10</v>
      </c>
      <c r="C207" s="86">
        <v>1</v>
      </c>
      <c r="D207" s="105">
        <f>E206</f>
        <v>2222.6379999999999</v>
      </c>
      <c r="E207" s="119">
        <f>C207*D207</f>
        <v>2222.6379999999999</v>
      </c>
    </row>
    <row r="208" spans="1:10" ht="13.5" thickBot="1" x14ac:dyDescent="0.25">
      <c r="A208" s="274"/>
      <c r="B208" s="274"/>
      <c r="C208" s="274"/>
      <c r="D208" s="122" t="s">
        <v>186</v>
      </c>
      <c r="E208" s="315">
        <f>E145</f>
        <v>0.15909090909090909</v>
      </c>
      <c r="F208" s="21">
        <f>E207*E208</f>
        <v>353.60149999999999</v>
      </c>
    </row>
    <row r="209" spans="1:10" ht="11.25" customHeight="1" x14ac:dyDescent="0.2"/>
    <row r="210" spans="1:10" ht="13.5" thickBot="1" x14ac:dyDescent="0.25">
      <c r="A210" s="107" t="s">
        <v>108</v>
      </c>
    </row>
    <row r="211" spans="1:10" ht="13.5" thickBot="1" x14ac:dyDescent="0.25">
      <c r="A211" s="109" t="s">
        <v>64</v>
      </c>
      <c r="B211" s="110" t="s">
        <v>65</v>
      </c>
      <c r="C211" s="110" t="s">
        <v>42</v>
      </c>
      <c r="D211" s="62" t="s">
        <v>225</v>
      </c>
      <c r="E211" s="111" t="s">
        <v>66</v>
      </c>
      <c r="F211" s="63" t="s">
        <v>67</v>
      </c>
      <c r="I211" s="85"/>
      <c r="J211" s="85"/>
    </row>
    <row r="212" spans="1:10" x14ac:dyDescent="0.2">
      <c r="A212" s="16" t="s">
        <v>107</v>
      </c>
      <c r="B212" s="17" t="s">
        <v>10</v>
      </c>
      <c r="C212" s="275">
        <v>1</v>
      </c>
      <c r="D212" s="18">
        <f>D195</f>
        <v>252000</v>
      </c>
      <c r="E212" s="18">
        <f>C212*D212</f>
        <v>252000</v>
      </c>
      <c r="F212" s="20"/>
      <c r="I212" s="85"/>
      <c r="J212" s="85"/>
    </row>
    <row r="213" spans="1:10" x14ac:dyDescent="0.2">
      <c r="A213" s="16" t="s">
        <v>206</v>
      </c>
      <c r="B213" s="17" t="s">
        <v>2</v>
      </c>
      <c r="C213" s="86">
        <v>13.25</v>
      </c>
      <c r="D213" s="18"/>
      <c r="E213" s="18"/>
      <c r="F213" s="20"/>
      <c r="I213" s="85"/>
      <c r="J213" s="85"/>
    </row>
    <row r="214" spans="1:10" x14ac:dyDescent="0.2">
      <c r="A214" s="16" t="s">
        <v>204</v>
      </c>
      <c r="B214" s="17" t="s">
        <v>35</v>
      </c>
      <c r="C214" s="148">
        <f>IFERROR(IF(C197&lt;=C196,E195-(C198/(100*C196)*C197)*E195,E195-E198),0)</f>
        <v>252000</v>
      </c>
      <c r="D214" s="18"/>
      <c r="E214" s="18"/>
      <c r="F214" s="20"/>
      <c r="I214" s="85"/>
      <c r="J214" s="85"/>
    </row>
    <row r="215" spans="1:10" x14ac:dyDescent="0.2">
      <c r="A215" s="16" t="s">
        <v>110</v>
      </c>
      <c r="B215" s="17" t="s">
        <v>35</v>
      </c>
      <c r="C215" s="83">
        <f>IFERROR(IF(C197&gt;=C196,C214,((((C214)-(E195-E198))*(((C196-C197)+1)/(2*(C196-C197))))+(E195-E198))),0)</f>
        <v>178085.88</v>
      </c>
      <c r="D215" s="18"/>
      <c r="E215" s="18"/>
      <c r="F215" s="20"/>
      <c r="I215" s="85"/>
      <c r="J215" s="85"/>
    </row>
    <row r="216" spans="1:10" ht="13.5" thickBot="1" x14ac:dyDescent="0.25">
      <c r="A216" s="278" t="s">
        <v>111</v>
      </c>
      <c r="B216" s="279" t="s">
        <v>35</v>
      </c>
      <c r="C216" s="279"/>
      <c r="D216" s="281">
        <f>C213*C215/12/100</f>
        <v>1966.3649250000003</v>
      </c>
      <c r="E216" s="280">
        <f>D216</f>
        <v>1966.3649250000003</v>
      </c>
      <c r="F216" s="20"/>
      <c r="I216" s="85"/>
      <c r="J216" s="85"/>
    </row>
    <row r="217" spans="1:10" ht="13.5" thickTop="1" x14ac:dyDescent="0.2">
      <c r="A217" s="305" t="s">
        <v>353</v>
      </c>
      <c r="B217" s="14" t="s">
        <v>10</v>
      </c>
      <c r="C217" s="14">
        <f>C200</f>
        <v>1</v>
      </c>
      <c r="D217" s="15">
        <f>D200</f>
        <v>120000</v>
      </c>
      <c r="E217" s="15">
        <f>C217*D217</f>
        <v>120000</v>
      </c>
      <c r="F217" s="20"/>
      <c r="I217" s="85"/>
      <c r="J217" s="85"/>
    </row>
    <row r="218" spans="1:10" x14ac:dyDescent="0.2">
      <c r="A218" s="328" t="s">
        <v>206</v>
      </c>
      <c r="B218" s="17" t="s">
        <v>2</v>
      </c>
      <c r="C218" s="276">
        <f>C213</f>
        <v>13.25</v>
      </c>
      <c r="D218" s="18"/>
      <c r="E218" s="18"/>
      <c r="F218" s="20"/>
      <c r="I218" s="85"/>
      <c r="J218" s="85"/>
    </row>
    <row r="219" spans="1:10" x14ac:dyDescent="0.2">
      <c r="A219" s="16" t="s">
        <v>205</v>
      </c>
      <c r="B219" s="17" t="s">
        <v>35</v>
      </c>
      <c r="C219" s="148">
        <f>IFERROR(IF(C202&lt;=C201,E200-(C203/(100*C201)*C202)*E200,E200-E203),0)</f>
        <v>120000</v>
      </c>
      <c r="D219" s="18"/>
      <c r="E219" s="18"/>
      <c r="F219" s="20"/>
      <c r="I219" s="85"/>
      <c r="J219" s="85"/>
    </row>
    <row r="220" spans="1:10" x14ac:dyDescent="0.2">
      <c r="A220" s="328" t="s">
        <v>388</v>
      </c>
      <c r="B220" s="17" t="s">
        <v>35</v>
      </c>
      <c r="C220" s="83">
        <f>IFERROR(IF(C202&gt;=C201,C219,((((C219)-(E200-E203))*(((C201-C202)+1)/(2*(C201-C202))))+(E200-E203))),0)</f>
        <v>84802.799999999988</v>
      </c>
      <c r="D220" s="18"/>
      <c r="E220" s="18"/>
      <c r="F220" s="20"/>
      <c r="I220" s="85"/>
      <c r="J220" s="85"/>
    </row>
    <row r="221" spans="1:10" x14ac:dyDescent="0.2">
      <c r="A221" s="103" t="s">
        <v>389</v>
      </c>
      <c r="B221" s="104" t="s">
        <v>35</v>
      </c>
      <c r="C221" s="104"/>
      <c r="D221" s="113">
        <f>C218*C220/12/100</f>
        <v>936.36424999999986</v>
      </c>
      <c r="E221" s="105">
        <f>D221</f>
        <v>936.36424999999986</v>
      </c>
      <c r="F221" s="20"/>
      <c r="I221" s="85"/>
      <c r="J221" s="85"/>
    </row>
    <row r="222" spans="1:10" x14ac:dyDescent="0.2">
      <c r="A222" s="103" t="s">
        <v>393</v>
      </c>
      <c r="B222" s="104" t="s">
        <v>8</v>
      </c>
      <c r="C222" s="104">
        <v>1</v>
      </c>
      <c r="D222" s="105"/>
      <c r="E222" s="105">
        <f>(E216+E221)*0.1</f>
        <v>290.27291750000006</v>
      </c>
      <c r="F222" s="20"/>
      <c r="I222" s="85"/>
      <c r="J222" s="85"/>
    </row>
    <row r="223" spans="1:10" x14ac:dyDescent="0.2">
      <c r="A223" s="116" t="s">
        <v>250</v>
      </c>
      <c r="B223" s="117"/>
      <c r="C223" s="117"/>
      <c r="D223" s="118"/>
      <c r="E223" s="119">
        <f>E216+E221+E222</f>
        <v>3193.0020925000003</v>
      </c>
      <c r="F223" s="20"/>
      <c r="G223" s="366"/>
      <c r="I223" s="85"/>
      <c r="J223" s="85"/>
    </row>
    <row r="224" spans="1:10" ht="13.5" thickBot="1" x14ac:dyDescent="0.25">
      <c r="A224" s="103" t="s">
        <v>251</v>
      </c>
      <c r="B224" s="104" t="s">
        <v>10</v>
      </c>
      <c r="C224" s="276">
        <f>C207</f>
        <v>1</v>
      </c>
      <c r="D224" s="105">
        <f>E223</f>
        <v>3193.0020925000003</v>
      </c>
      <c r="E224" s="119">
        <f>C224*D224</f>
        <v>3193.0020925000003</v>
      </c>
      <c r="F224" s="20"/>
      <c r="I224" s="85"/>
      <c r="J224" s="85"/>
    </row>
    <row r="225" spans="1:10" ht="13.5" thickBot="1" x14ac:dyDescent="0.25">
      <c r="C225" s="19"/>
      <c r="D225" s="122" t="s">
        <v>186</v>
      </c>
      <c r="E225" s="315">
        <f>E208</f>
        <v>0.15909090909090909</v>
      </c>
      <c r="F225" s="21">
        <f>E224*E225</f>
        <v>507.97760562500002</v>
      </c>
      <c r="I225" s="85"/>
      <c r="J225" s="85"/>
    </row>
    <row r="226" spans="1:10" ht="11.25" customHeight="1" x14ac:dyDescent="0.2">
      <c r="I226" s="85"/>
      <c r="J226" s="85"/>
    </row>
    <row r="227" spans="1:10" ht="13.5" thickBot="1" x14ac:dyDescent="0.25">
      <c r="A227" s="9" t="s">
        <v>53</v>
      </c>
      <c r="I227" s="85"/>
      <c r="J227" s="85"/>
    </row>
    <row r="228" spans="1:10" ht="13.5" thickBot="1" x14ac:dyDescent="0.25">
      <c r="A228" s="60" t="s">
        <v>64</v>
      </c>
      <c r="B228" s="61" t="s">
        <v>65</v>
      </c>
      <c r="C228" s="61" t="s">
        <v>42</v>
      </c>
      <c r="D228" s="62" t="s">
        <v>225</v>
      </c>
      <c r="E228" s="62" t="s">
        <v>66</v>
      </c>
      <c r="F228" s="63" t="s">
        <v>67</v>
      </c>
      <c r="I228" s="85"/>
      <c r="J228" s="85"/>
    </row>
    <row r="229" spans="1:10" x14ac:dyDescent="0.2">
      <c r="A229" s="13" t="s">
        <v>12</v>
      </c>
      <c r="B229" s="14" t="s">
        <v>10</v>
      </c>
      <c r="C229" s="15">
        <f>C207</f>
        <v>1</v>
      </c>
      <c r="D229" s="15">
        <f>0.01*($C$214)</f>
        <v>2520</v>
      </c>
      <c r="E229" s="15">
        <f>C229*D229</f>
        <v>2520</v>
      </c>
      <c r="I229" s="85"/>
      <c r="J229" s="85"/>
    </row>
    <row r="230" spans="1:10" x14ac:dyDescent="0.2">
      <c r="A230" s="16" t="s">
        <v>185</v>
      </c>
      <c r="B230" s="17" t="s">
        <v>10</v>
      </c>
      <c r="C230" s="15">
        <f>C207</f>
        <v>1</v>
      </c>
      <c r="D230" s="89">
        <v>85.22</v>
      </c>
      <c r="E230" s="18">
        <f>C230*D230</f>
        <v>85.22</v>
      </c>
      <c r="I230" s="85"/>
      <c r="J230" s="85"/>
    </row>
    <row r="231" spans="1:10" x14ac:dyDescent="0.2">
      <c r="A231" s="16" t="s">
        <v>13</v>
      </c>
      <c r="B231" s="17" t="s">
        <v>10</v>
      </c>
      <c r="C231" s="15">
        <f>C207</f>
        <v>1</v>
      </c>
      <c r="D231" s="89">
        <f>2510*1.1006</f>
        <v>2762.5059999999999</v>
      </c>
      <c r="E231" s="18">
        <f>C231*D231</f>
        <v>2762.5059999999999</v>
      </c>
      <c r="F231" s="31"/>
      <c r="I231" s="85"/>
      <c r="J231" s="85"/>
    </row>
    <row r="232" spans="1:10" ht="13.5" thickBot="1" x14ac:dyDescent="0.25">
      <c r="A232" s="103" t="s">
        <v>14</v>
      </c>
      <c r="B232" s="104" t="s">
        <v>8</v>
      </c>
      <c r="C232" s="104">
        <v>12</v>
      </c>
      <c r="D232" s="105">
        <f>SUM(E229:E231)</f>
        <v>5367.7259999999997</v>
      </c>
      <c r="E232" s="105">
        <f>D232/C232</f>
        <v>447.31049999999999</v>
      </c>
      <c r="I232" s="85"/>
      <c r="J232" s="85"/>
    </row>
    <row r="233" spans="1:10" ht="13.5" thickBot="1" x14ac:dyDescent="0.25">
      <c r="D233" s="122" t="s">
        <v>186</v>
      </c>
      <c r="E233" s="315">
        <f>E225</f>
        <v>0.15909090909090909</v>
      </c>
      <c r="F233" s="123">
        <f>E232*E233</f>
        <v>71.163034090909093</v>
      </c>
      <c r="I233" s="85"/>
      <c r="J233" s="85"/>
    </row>
    <row r="234" spans="1:10" ht="11.25" customHeight="1" x14ac:dyDescent="0.2">
      <c r="I234" s="85"/>
      <c r="J234" s="85"/>
    </row>
    <row r="235" spans="1:10" x14ac:dyDescent="0.2">
      <c r="A235" s="9" t="s">
        <v>54</v>
      </c>
      <c r="B235" s="32"/>
      <c r="I235" s="85"/>
      <c r="J235" s="85"/>
    </row>
    <row r="236" spans="1:10" x14ac:dyDescent="0.2">
      <c r="B236" s="32"/>
      <c r="I236" s="85"/>
      <c r="J236" s="85"/>
    </row>
    <row r="237" spans="1:10" x14ac:dyDescent="0.2">
      <c r="A237" s="103" t="s">
        <v>113</v>
      </c>
      <c r="B237" s="335">
        <f>'9. Roteiros '!M22+'9. Roteiros '!M33</f>
        <v>874.17540000000008</v>
      </c>
      <c r="I237" s="85"/>
      <c r="J237" s="85"/>
    </row>
    <row r="238" spans="1:10" ht="13.5" thickBot="1" x14ac:dyDescent="0.25">
      <c r="B238" s="32"/>
      <c r="I238" s="85"/>
      <c r="J238" s="85"/>
    </row>
    <row r="239" spans="1:10" ht="13.5" thickBot="1" x14ac:dyDescent="0.25">
      <c r="A239" s="60" t="s">
        <v>64</v>
      </c>
      <c r="B239" s="61" t="s">
        <v>65</v>
      </c>
      <c r="C239" s="61" t="s">
        <v>249</v>
      </c>
      <c r="D239" s="62" t="s">
        <v>225</v>
      </c>
      <c r="E239" s="62" t="s">
        <v>66</v>
      </c>
      <c r="F239" s="63" t="s">
        <v>67</v>
      </c>
      <c r="I239" s="85"/>
      <c r="J239" s="85"/>
    </row>
    <row r="240" spans="1:10" x14ac:dyDescent="0.2">
      <c r="A240" s="13" t="s">
        <v>15</v>
      </c>
      <c r="B240" s="14" t="s">
        <v>16</v>
      </c>
      <c r="C240" s="97">
        <v>2.4</v>
      </c>
      <c r="D240" s="98">
        <f>'1. Coleta Orgânica'!D240</f>
        <v>7.1</v>
      </c>
      <c r="E240" s="15"/>
      <c r="I240" s="85"/>
      <c r="J240" s="85"/>
    </row>
    <row r="241" spans="1:10" x14ac:dyDescent="0.2">
      <c r="A241" s="16" t="s">
        <v>17</v>
      </c>
      <c r="B241" s="17" t="s">
        <v>18</v>
      </c>
      <c r="C241" s="94">
        <f>B237</f>
        <v>874.17540000000008</v>
      </c>
      <c r="D241" s="273">
        <f>IFERROR(+D240/C240,"-")</f>
        <v>2.9583333333333335</v>
      </c>
      <c r="E241" s="18">
        <f>IFERROR(C241*D241,"-")</f>
        <v>2586.1022250000005</v>
      </c>
      <c r="I241" s="85"/>
      <c r="J241" s="85"/>
    </row>
    <row r="242" spans="1:10" x14ac:dyDescent="0.2">
      <c r="A242" s="16" t="s">
        <v>226</v>
      </c>
      <c r="B242" s="17" t="s">
        <v>19</v>
      </c>
      <c r="C242" s="100">
        <v>1.33</v>
      </c>
      <c r="D242" s="89">
        <v>19</v>
      </c>
      <c r="E242" s="18"/>
      <c r="G242" s="112"/>
      <c r="H242" s="52"/>
      <c r="I242" s="85"/>
      <c r="J242" s="85"/>
    </row>
    <row r="243" spans="1:10" x14ac:dyDescent="0.2">
      <c r="A243" s="16" t="s">
        <v>20</v>
      </c>
      <c r="B243" s="17" t="s">
        <v>18</v>
      </c>
      <c r="C243" s="94">
        <f>C241</f>
        <v>874.17540000000008</v>
      </c>
      <c r="D243" s="270">
        <f>+C242*D242/1000</f>
        <v>2.5270000000000004E-2</v>
      </c>
      <c r="E243" s="18">
        <f>C243*D243</f>
        <v>22.090412358000005</v>
      </c>
      <c r="G243" s="112"/>
      <c r="H243" s="52"/>
      <c r="I243" s="85"/>
      <c r="J243" s="85"/>
    </row>
    <row r="244" spans="1:10" x14ac:dyDescent="0.2">
      <c r="A244" s="16" t="s">
        <v>227</v>
      </c>
      <c r="B244" s="17" t="s">
        <v>19</v>
      </c>
      <c r="C244" s="100">
        <v>0.18</v>
      </c>
      <c r="D244" s="89">
        <v>26</v>
      </c>
      <c r="E244" s="18"/>
      <c r="G244" s="112"/>
      <c r="H244" s="52"/>
      <c r="I244" s="85"/>
      <c r="J244" s="85"/>
    </row>
    <row r="245" spans="1:10" x14ac:dyDescent="0.2">
      <c r="A245" s="16" t="s">
        <v>21</v>
      </c>
      <c r="B245" s="17" t="s">
        <v>18</v>
      </c>
      <c r="C245" s="94">
        <f>C241</f>
        <v>874.17540000000008</v>
      </c>
      <c r="D245" s="270">
        <f>+C244*D244/1000</f>
        <v>4.6800000000000001E-3</v>
      </c>
      <c r="E245" s="18">
        <f>C245*D245</f>
        <v>4.0911408720000004</v>
      </c>
      <c r="G245" s="112"/>
      <c r="H245" s="52"/>
      <c r="I245" s="85"/>
      <c r="J245" s="85"/>
    </row>
    <row r="246" spans="1:10" x14ac:dyDescent="0.2">
      <c r="A246" s="16" t="s">
        <v>228</v>
      </c>
      <c r="B246" s="17" t="s">
        <v>19</v>
      </c>
      <c r="C246" s="100">
        <v>3</v>
      </c>
      <c r="D246" s="89">
        <v>22</v>
      </c>
      <c r="E246" s="18"/>
      <c r="G246" s="112"/>
      <c r="H246" s="52"/>
      <c r="I246" s="85"/>
      <c r="J246" s="85"/>
    </row>
    <row r="247" spans="1:10" x14ac:dyDescent="0.2">
      <c r="A247" s="16" t="s">
        <v>22</v>
      </c>
      <c r="B247" s="17" t="s">
        <v>18</v>
      </c>
      <c r="C247" s="94">
        <f>C241</f>
        <v>874.17540000000008</v>
      </c>
      <c r="D247" s="270">
        <f>+C246*D246/1000</f>
        <v>6.6000000000000003E-2</v>
      </c>
      <c r="E247" s="18">
        <f>C247*D247</f>
        <v>57.695576400000007</v>
      </c>
      <c r="G247" s="112"/>
      <c r="H247" s="52"/>
      <c r="I247" s="85"/>
      <c r="J247" s="85"/>
    </row>
    <row r="248" spans="1:10" x14ac:dyDescent="0.2">
      <c r="A248" s="328" t="s">
        <v>387</v>
      </c>
      <c r="B248" s="367" t="s">
        <v>19</v>
      </c>
      <c r="C248" s="377">
        <v>20</v>
      </c>
      <c r="D248" s="341">
        <v>3.8</v>
      </c>
      <c r="E248" s="337"/>
      <c r="G248" s="112"/>
      <c r="H248" s="52"/>
      <c r="I248" s="85"/>
      <c r="J248" s="85"/>
    </row>
    <row r="249" spans="1:10" x14ac:dyDescent="0.2">
      <c r="A249" s="328" t="s">
        <v>386</v>
      </c>
      <c r="B249" s="367" t="s">
        <v>18</v>
      </c>
      <c r="C249" s="340">
        <f>C243</f>
        <v>874.17540000000008</v>
      </c>
      <c r="D249" s="342">
        <f>+C248*D248/1000</f>
        <v>7.5999999999999998E-2</v>
      </c>
      <c r="E249" s="337">
        <f>C249*D249</f>
        <v>66.437330400000008</v>
      </c>
      <c r="G249" s="112"/>
      <c r="H249" s="52"/>
      <c r="I249" s="85"/>
      <c r="J249" s="85"/>
    </row>
    <row r="250" spans="1:10" x14ac:dyDescent="0.2">
      <c r="A250" s="16" t="s">
        <v>23</v>
      </c>
      <c r="B250" s="17" t="s">
        <v>24</v>
      </c>
      <c r="C250" s="100">
        <v>2</v>
      </c>
      <c r="D250" s="89">
        <v>22</v>
      </c>
      <c r="E250" s="18"/>
      <c r="G250" s="112"/>
      <c r="H250" s="52"/>
      <c r="I250" s="85"/>
      <c r="J250" s="85"/>
    </row>
    <row r="251" spans="1:10" x14ac:dyDescent="0.2">
      <c r="A251" s="16" t="s">
        <v>25</v>
      </c>
      <c r="B251" s="17" t="s">
        <v>18</v>
      </c>
      <c r="C251" s="94">
        <f>C241</f>
        <v>874.17540000000008</v>
      </c>
      <c r="D251" s="270">
        <f>+C250*D250/1000</f>
        <v>4.3999999999999997E-2</v>
      </c>
      <c r="E251" s="18">
        <f>C251*D251</f>
        <v>38.463717600000003</v>
      </c>
      <c r="G251" s="112"/>
      <c r="H251" s="52"/>
      <c r="I251" s="85"/>
      <c r="J251" s="85"/>
    </row>
    <row r="252" spans="1:10" ht="13.5" thickBot="1" x14ac:dyDescent="0.25">
      <c r="A252" s="103" t="s">
        <v>248</v>
      </c>
      <c r="B252" s="104" t="s">
        <v>114</v>
      </c>
      <c r="C252" s="271"/>
      <c r="D252" s="272">
        <f>IFERROR(D241+D243+D245+D247+D251,0)</f>
        <v>3.0982833333333333</v>
      </c>
      <c r="E252" s="18"/>
      <c r="G252" s="112"/>
      <c r="H252" s="52"/>
      <c r="I252" s="85"/>
      <c r="J252" s="85"/>
    </row>
    <row r="253" spans="1:10" ht="13.5" thickBot="1" x14ac:dyDescent="0.25">
      <c r="F253" s="21">
        <f>SUM(E240:E251)</f>
        <v>2774.8804026300004</v>
      </c>
      <c r="I253" s="85"/>
      <c r="J253" s="85"/>
    </row>
    <row r="254" spans="1:10" ht="11.25" customHeight="1" x14ac:dyDescent="0.2">
      <c r="I254" s="85"/>
      <c r="J254" s="85"/>
    </row>
    <row r="255" spans="1:10" ht="13.5" thickBot="1" x14ac:dyDescent="0.25">
      <c r="A255" s="9" t="s">
        <v>55</v>
      </c>
      <c r="I255" s="85"/>
      <c r="J255" s="85"/>
    </row>
    <row r="256" spans="1:10" ht="13.5" thickBot="1" x14ac:dyDescent="0.25">
      <c r="A256" s="60" t="s">
        <v>64</v>
      </c>
      <c r="B256" s="61" t="s">
        <v>65</v>
      </c>
      <c r="C256" s="61" t="s">
        <v>42</v>
      </c>
      <c r="D256" s="62" t="s">
        <v>225</v>
      </c>
      <c r="E256" s="62" t="s">
        <v>66</v>
      </c>
      <c r="F256" s="63" t="s">
        <v>67</v>
      </c>
      <c r="I256" s="85"/>
      <c r="J256" s="85"/>
    </row>
    <row r="257" spans="1:10" ht="13.5" thickBot="1" x14ac:dyDescent="0.25">
      <c r="A257" s="13" t="s">
        <v>112</v>
      </c>
      <c r="B257" s="14" t="s">
        <v>114</v>
      </c>
      <c r="C257" s="387">
        <f>C241</f>
        <v>874.17540000000008</v>
      </c>
      <c r="D257" s="87">
        <v>0.95</v>
      </c>
      <c r="E257" s="15">
        <f>C257*D257</f>
        <v>830.46663000000001</v>
      </c>
      <c r="I257" s="85"/>
      <c r="J257" s="85"/>
    </row>
    <row r="258" spans="1:10" ht="13.5" thickBot="1" x14ac:dyDescent="0.25">
      <c r="F258" s="21">
        <f>E257</f>
        <v>830.46663000000001</v>
      </c>
      <c r="I258" s="85"/>
      <c r="J258" s="85"/>
    </row>
    <row r="259" spans="1:10" ht="11.25" customHeight="1" x14ac:dyDescent="0.2">
      <c r="I259" s="85"/>
      <c r="J259" s="85"/>
    </row>
    <row r="260" spans="1:10" ht="13.5" thickBot="1" x14ac:dyDescent="0.25">
      <c r="A260" s="9" t="s">
        <v>62</v>
      </c>
      <c r="I260" s="85"/>
      <c r="J260" s="85"/>
    </row>
    <row r="261" spans="1:10" ht="13.5" thickBot="1" x14ac:dyDescent="0.25">
      <c r="A261" s="60" t="s">
        <v>64</v>
      </c>
      <c r="B261" s="61" t="s">
        <v>65</v>
      </c>
      <c r="C261" s="61" t="s">
        <v>42</v>
      </c>
      <c r="D261" s="62" t="s">
        <v>225</v>
      </c>
      <c r="E261" s="62" t="s">
        <v>66</v>
      </c>
      <c r="F261" s="63" t="s">
        <v>67</v>
      </c>
      <c r="I261" s="85"/>
      <c r="J261" s="85"/>
    </row>
    <row r="262" spans="1:10" x14ac:dyDescent="0.2">
      <c r="A262" s="305" t="s">
        <v>385</v>
      </c>
      <c r="B262" s="14" t="s">
        <v>10</v>
      </c>
      <c r="C262" s="96">
        <v>6</v>
      </c>
      <c r="D262" s="87">
        <v>2423</v>
      </c>
      <c r="E262" s="15">
        <f>C262*D262</f>
        <v>14538</v>
      </c>
      <c r="I262" s="85"/>
      <c r="J262" s="85"/>
    </row>
    <row r="263" spans="1:10" x14ac:dyDescent="0.2">
      <c r="A263" s="13" t="s">
        <v>115</v>
      </c>
      <c r="B263" s="14" t="s">
        <v>10</v>
      </c>
      <c r="C263" s="96">
        <v>2</v>
      </c>
      <c r="D263" s="106"/>
      <c r="E263" s="15"/>
      <c r="I263" s="85"/>
      <c r="J263" s="85"/>
    </row>
    <row r="264" spans="1:10" x14ac:dyDescent="0.2">
      <c r="A264" s="13" t="s">
        <v>72</v>
      </c>
      <c r="B264" s="14" t="s">
        <v>10</v>
      </c>
      <c r="C264" s="15">
        <f>C262*C263</f>
        <v>12</v>
      </c>
      <c r="D264" s="87">
        <v>600</v>
      </c>
      <c r="E264" s="15">
        <f>C264*D264</f>
        <v>7200</v>
      </c>
      <c r="I264" s="85"/>
      <c r="J264" s="85"/>
    </row>
    <row r="265" spans="1:10" x14ac:dyDescent="0.2">
      <c r="A265" s="16" t="s">
        <v>95</v>
      </c>
      <c r="B265" s="17" t="s">
        <v>26</v>
      </c>
      <c r="C265" s="99">
        <v>80000</v>
      </c>
      <c r="D265" s="18">
        <f>E262+E264</f>
        <v>21738</v>
      </c>
      <c r="E265" s="18">
        <f>IFERROR(D265/C265,"-")</f>
        <v>0.27172499999999999</v>
      </c>
      <c r="I265" s="85"/>
      <c r="J265" s="85"/>
    </row>
    <row r="266" spans="1:10" ht="13.5" thickBot="1" x14ac:dyDescent="0.25">
      <c r="A266" s="16" t="s">
        <v>57</v>
      </c>
      <c r="B266" s="17" t="s">
        <v>18</v>
      </c>
      <c r="C266" s="94">
        <f>B237</f>
        <v>874.17540000000008</v>
      </c>
      <c r="D266" s="18">
        <f>E265</f>
        <v>0.27172499999999999</v>
      </c>
      <c r="E266" s="18">
        <f>IFERROR(C266*D266,0)</f>
        <v>237.535310565</v>
      </c>
      <c r="I266" s="85"/>
      <c r="J266" s="85"/>
    </row>
    <row r="267" spans="1:10" ht="13.5" thickBot="1" x14ac:dyDescent="0.25">
      <c r="F267" s="21">
        <f>E266</f>
        <v>237.535310565</v>
      </c>
      <c r="I267" s="85"/>
      <c r="J267" s="85"/>
    </row>
    <row r="268" spans="1:10" ht="11.25" customHeight="1" x14ac:dyDescent="0.2">
      <c r="I268" s="85"/>
      <c r="J268" s="85"/>
    </row>
    <row r="269" spans="1:10" ht="11.25" customHeight="1" thickBot="1" x14ac:dyDescent="0.25">
      <c r="G269" s="9"/>
    </row>
    <row r="270" spans="1:10" ht="13.5" thickBot="1" x14ac:dyDescent="0.25">
      <c r="A270" s="24" t="s">
        <v>218</v>
      </c>
      <c r="B270" s="25"/>
      <c r="C270" s="25"/>
      <c r="D270" s="26"/>
      <c r="E270" s="27"/>
      <c r="F270" s="21">
        <f>+SUM(F195:F269)</f>
        <v>4775.62448291091</v>
      </c>
      <c r="G270" s="9"/>
    </row>
    <row r="271" spans="1:10" ht="11.25" customHeight="1" x14ac:dyDescent="0.2">
      <c r="G271" s="9"/>
    </row>
    <row r="272" spans="1:10" x14ac:dyDescent="0.2">
      <c r="A272" s="34" t="s">
        <v>407</v>
      </c>
      <c r="B272" s="34"/>
      <c r="C272" s="34"/>
      <c r="D272" s="35"/>
      <c r="E272" s="35"/>
      <c r="F272" s="33"/>
      <c r="G272" s="9"/>
    </row>
    <row r="273" spans="1:7" ht="11.25" customHeight="1" thickBot="1" x14ac:dyDescent="0.25">
      <c r="G273" s="9"/>
    </row>
    <row r="274" spans="1:7" ht="13.5" thickBot="1" x14ac:dyDescent="0.25">
      <c r="A274" s="60" t="s">
        <v>64</v>
      </c>
      <c r="B274" s="61" t="s">
        <v>65</v>
      </c>
      <c r="C274" s="61" t="s">
        <v>42</v>
      </c>
      <c r="D274" s="62" t="s">
        <v>225</v>
      </c>
      <c r="E274" s="62" t="s">
        <v>66</v>
      </c>
      <c r="F274" s="63" t="s">
        <v>67</v>
      </c>
      <c r="G274" s="9"/>
    </row>
    <row r="275" spans="1:7" x14ac:dyDescent="0.2">
      <c r="A275" s="16" t="s">
        <v>73</v>
      </c>
      <c r="B275" s="17" t="s">
        <v>10</v>
      </c>
      <c r="C275" s="101">
        <v>0.16666666666666666</v>
      </c>
      <c r="D275" s="87">
        <v>45</v>
      </c>
      <c r="E275" s="18">
        <f t="shared" ref="E275:E277" si="5">C275*D275</f>
        <v>7.5</v>
      </c>
      <c r="F275" s="55"/>
      <c r="G275" s="9"/>
    </row>
    <row r="276" spans="1:7" x14ac:dyDescent="0.2">
      <c r="A276" s="16" t="s">
        <v>28</v>
      </c>
      <c r="B276" s="17" t="s">
        <v>10</v>
      </c>
      <c r="C276" s="101">
        <v>0.16666666666666666</v>
      </c>
      <c r="D276" s="87">
        <v>30</v>
      </c>
      <c r="E276" s="18">
        <f t="shared" si="5"/>
        <v>5</v>
      </c>
      <c r="F276" s="55"/>
      <c r="G276" s="9"/>
    </row>
    <row r="277" spans="1:7" ht="13.5" thickBot="1" x14ac:dyDescent="0.25">
      <c r="A277" s="16" t="s">
        <v>29</v>
      </c>
      <c r="B277" s="17" t="s">
        <v>10</v>
      </c>
      <c r="C277" s="101">
        <v>0.16666666666666666</v>
      </c>
      <c r="D277" s="87">
        <v>32</v>
      </c>
      <c r="E277" s="18">
        <f t="shared" si="5"/>
        <v>5.333333333333333</v>
      </c>
      <c r="F277" s="55"/>
      <c r="G277" s="9"/>
    </row>
    <row r="278" spans="1:7" ht="13.5" thickBot="1" x14ac:dyDescent="0.25">
      <c r="A278" s="34"/>
      <c r="B278" s="34"/>
      <c r="C278" s="34"/>
      <c r="D278" s="34"/>
      <c r="E278" s="35"/>
      <c r="F278" s="21">
        <f>SUM(E275:E277)</f>
        <v>17.833333333333332</v>
      </c>
      <c r="G278" s="9"/>
    </row>
    <row r="279" spans="1:7" ht="11.25" customHeight="1" thickBot="1" x14ac:dyDescent="0.25">
      <c r="G279" s="9"/>
    </row>
    <row r="280" spans="1:7" ht="13.5" thickBot="1" x14ac:dyDescent="0.25">
      <c r="A280" s="24" t="s">
        <v>219</v>
      </c>
      <c r="B280" s="25"/>
      <c r="C280" s="25"/>
      <c r="D280" s="26"/>
      <c r="E280" s="27"/>
      <c r="F280" s="21">
        <f>+F278</f>
        <v>17.833333333333332</v>
      </c>
      <c r="G280" s="9"/>
    </row>
    <row r="281" spans="1:7" ht="11.25" customHeight="1" x14ac:dyDescent="0.2">
      <c r="G281" s="9"/>
    </row>
    <row r="282" spans="1:7" ht="13.15" customHeight="1" x14ac:dyDescent="0.2">
      <c r="A282" s="34" t="s">
        <v>402</v>
      </c>
      <c r="B282" s="34"/>
      <c r="C282" s="34"/>
      <c r="D282" s="35"/>
      <c r="E282" s="35"/>
      <c r="F282" s="33"/>
      <c r="G282" s="9"/>
    </row>
    <row r="283" spans="1:7" ht="11.25" customHeight="1" thickBot="1" x14ac:dyDescent="0.25">
      <c r="G283" s="9"/>
    </row>
    <row r="284" spans="1:7" ht="13.9" customHeight="1" thickBot="1" x14ac:dyDescent="0.25">
      <c r="A284" s="60" t="s">
        <v>64</v>
      </c>
      <c r="B284" s="61" t="s">
        <v>65</v>
      </c>
      <c r="C284" s="61" t="s">
        <v>42</v>
      </c>
      <c r="D284" s="62" t="s">
        <v>225</v>
      </c>
      <c r="E284" s="62" t="s">
        <v>66</v>
      </c>
      <c r="F284" s="63" t="s">
        <v>67</v>
      </c>
      <c r="G284" s="9"/>
    </row>
    <row r="285" spans="1:7" ht="13.9" customHeight="1" x14ac:dyDescent="0.2">
      <c r="A285" s="328" t="s">
        <v>613</v>
      </c>
      <c r="B285" s="53" t="s">
        <v>10</v>
      </c>
      <c r="C285" s="69">
        <v>8</v>
      </c>
      <c r="D285" s="89">
        <v>10</v>
      </c>
      <c r="E285" s="18">
        <f>+D285*C285</f>
        <v>80</v>
      </c>
      <c r="F285" s="55"/>
      <c r="G285" s="9"/>
    </row>
    <row r="286" spans="1:7" ht="13.9" hidden="1" customHeight="1" x14ac:dyDescent="0.2">
      <c r="A286" s="328" t="s">
        <v>399</v>
      </c>
      <c r="B286" s="53" t="s">
        <v>10</v>
      </c>
      <c r="C286" s="154"/>
      <c r="D286" s="89">
        <v>150</v>
      </c>
      <c r="E286" s="18">
        <f t="shared" ref="E286:E290" si="6">+D286*C286</f>
        <v>0</v>
      </c>
      <c r="F286" s="55"/>
      <c r="G286" s="9"/>
    </row>
    <row r="287" spans="1:7" ht="13.9" hidden="1" customHeight="1" x14ac:dyDescent="0.2">
      <c r="A287" s="328" t="s">
        <v>400</v>
      </c>
      <c r="B287" s="17" t="s">
        <v>10</v>
      </c>
      <c r="C287" s="69"/>
      <c r="D287" s="89">
        <v>200</v>
      </c>
      <c r="E287" s="18">
        <f t="shared" si="6"/>
        <v>0</v>
      </c>
      <c r="F287" s="55"/>
      <c r="G287" s="9"/>
    </row>
    <row r="288" spans="1:7" ht="13.9" customHeight="1" x14ac:dyDescent="0.2">
      <c r="A288" s="328" t="s">
        <v>430</v>
      </c>
      <c r="B288" s="367" t="s">
        <v>10</v>
      </c>
      <c r="C288" s="376">
        <v>1</v>
      </c>
      <c r="D288" s="87">
        <v>150</v>
      </c>
      <c r="E288" s="18">
        <f t="shared" ref="E288:E289" si="7">C288*D288</f>
        <v>150</v>
      </c>
      <c r="F288" s="55"/>
      <c r="G288" s="9"/>
    </row>
    <row r="289" spans="1:7" ht="13.9" customHeight="1" thickBot="1" x14ac:dyDescent="0.25">
      <c r="A289" s="328" t="s">
        <v>368</v>
      </c>
      <c r="B289" s="367" t="s">
        <v>10</v>
      </c>
      <c r="C289" s="101">
        <v>8.3333333333333329E-2</v>
      </c>
      <c r="D289" s="87">
        <v>150</v>
      </c>
      <c r="E289" s="18">
        <f t="shared" si="7"/>
        <v>12.5</v>
      </c>
      <c r="F289" s="55"/>
      <c r="G289" s="9"/>
    </row>
    <row r="290" spans="1:7" ht="13.9" hidden="1" customHeight="1" thickBot="1" x14ac:dyDescent="0.25">
      <c r="A290" s="328" t="s">
        <v>401</v>
      </c>
      <c r="B290" s="53" t="s">
        <v>348</v>
      </c>
      <c r="C290" s="154"/>
      <c r="D290" s="89">
        <v>0</v>
      </c>
      <c r="E290" s="18">
        <f t="shared" si="6"/>
        <v>0</v>
      </c>
      <c r="F290" s="55"/>
      <c r="G290" s="9"/>
    </row>
    <row r="291" spans="1:7" ht="13.9" customHeight="1" thickBot="1" x14ac:dyDescent="0.25">
      <c r="A291" s="81"/>
      <c r="B291" s="81"/>
      <c r="C291" s="81"/>
      <c r="D291" s="122" t="s">
        <v>186</v>
      </c>
      <c r="E291" s="315">
        <v>1</v>
      </c>
      <c r="F291" s="82">
        <f>SUM(E285:E290)</f>
        <v>242.5</v>
      </c>
      <c r="G291" s="9"/>
    </row>
    <row r="292" spans="1:7" ht="11.25" customHeight="1" x14ac:dyDescent="0.2">
      <c r="G292" s="9"/>
    </row>
    <row r="293" spans="1:7" x14ac:dyDescent="0.2">
      <c r="A293" s="34" t="s">
        <v>403</v>
      </c>
      <c r="B293" s="34"/>
      <c r="C293" s="34"/>
      <c r="D293" s="35"/>
      <c r="E293" s="35"/>
      <c r="F293" s="33"/>
    </row>
    <row r="294" spans="1:7" ht="11.25" customHeight="1" thickBot="1" x14ac:dyDescent="0.25"/>
    <row r="295" spans="1:7" ht="13.5" thickBot="1" x14ac:dyDescent="0.25">
      <c r="A295" s="60" t="s">
        <v>64</v>
      </c>
      <c r="B295" s="61" t="s">
        <v>65</v>
      </c>
      <c r="C295" s="61" t="s">
        <v>42</v>
      </c>
      <c r="D295" s="62" t="s">
        <v>225</v>
      </c>
      <c r="E295" s="62" t="s">
        <v>66</v>
      </c>
      <c r="F295" s="63" t="s">
        <v>67</v>
      </c>
    </row>
    <row r="296" spans="1:7" x14ac:dyDescent="0.2">
      <c r="A296" s="328" t="s">
        <v>216</v>
      </c>
      <c r="B296" s="53" t="s">
        <v>59</v>
      </c>
      <c r="C296" s="69">
        <v>1</v>
      </c>
      <c r="D296" s="89">
        <v>600</v>
      </c>
      <c r="E296" s="18">
        <f>+D296*C296</f>
        <v>600</v>
      </c>
      <c r="F296" s="55"/>
    </row>
    <row r="297" spans="1:7" x14ac:dyDescent="0.2">
      <c r="A297" s="16" t="s">
        <v>61</v>
      </c>
      <c r="B297" s="53" t="s">
        <v>8</v>
      </c>
      <c r="C297" s="154">
        <v>60</v>
      </c>
      <c r="D297" s="80">
        <f>SUM(E296:E296)</f>
        <v>600</v>
      </c>
      <c r="E297" s="80">
        <f>+D297/C297</f>
        <v>10</v>
      </c>
      <c r="F297" s="55"/>
    </row>
    <row r="298" spans="1:7" x14ac:dyDescent="0.2">
      <c r="A298" s="16" t="s">
        <v>217</v>
      </c>
      <c r="B298" s="17" t="s">
        <v>10</v>
      </c>
      <c r="C298" s="69">
        <f>+C296</f>
        <v>1</v>
      </c>
      <c r="D298" s="89">
        <v>110</v>
      </c>
      <c r="E298" s="18">
        <f>C298*D298</f>
        <v>110</v>
      </c>
      <c r="F298" s="55"/>
    </row>
    <row r="299" spans="1:7" ht="13.5" thickBot="1" x14ac:dyDescent="0.25">
      <c r="A299" s="16" t="s">
        <v>39</v>
      </c>
      <c r="B299" s="53" t="s">
        <v>8</v>
      </c>
      <c r="C299" s="154">
        <v>1</v>
      </c>
      <c r="D299" s="80">
        <f>+E298</f>
        <v>110</v>
      </c>
      <c r="E299" s="80">
        <f>+D299/C299</f>
        <v>110</v>
      </c>
      <c r="F299" s="55"/>
    </row>
    <row r="300" spans="1:7" ht="13.5" thickBot="1" x14ac:dyDescent="0.25">
      <c r="A300" s="81"/>
      <c r="B300" s="81"/>
      <c r="C300" s="81"/>
      <c r="D300" s="122" t="s">
        <v>186</v>
      </c>
      <c r="E300" s="315">
        <f>E233</f>
        <v>0.15909090909090909</v>
      </c>
      <c r="F300" s="82">
        <f>(E297+E299)*E300</f>
        <v>19.09090909090909</v>
      </c>
    </row>
    <row r="301" spans="1:7" s="51" customFormat="1" ht="11.25" customHeight="1" thickBot="1" x14ac:dyDescent="0.25">
      <c r="A301" s="9"/>
      <c r="B301" s="9"/>
      <c r="C301" s="9"/>
      <c r="D301" s="10"/>
      <c r="E301" s="10"/>
      <c r="F301" s="10"/>
      <c r="G301" s="84"/>
    </row>
    <row r="302" spans="1:7" ht="13.5" thickBot="1" x14ac:dyDescent="0.25">
      <c r="A302" s="24" t="s">
        <v>215</v>
      </c>
      <c r="B302" s="25"/>
      <c r="C302" s="25"/>
      <c r="D302" s="26"/>
      <c r="E302" s="27"/>
      <c r="F302" s="21">
        <f>+F300</f>
        <v>19.09090909090909</v>
      </c>
    </row>
    <row r="303" spans="1:7" ht="11.25" customHeight="1" thickBot="1" x14ac:dyDescent="0.25"/>
    <row r="304" spans="1:7" ht="17.25" customHeight="1" thickBot="1" x14ac:dyDescent="0.25">
      <c r="A304" s="24" t="s">
        <v>220</v>
      </c>
      <c r="B304" s="28"/>
      <c r="C304" s="28"/>
      <c r="D304" s="29"/>
      <c r="E304" s="30"/>
      <c r="F304" s="22">
        <f>+F153+F187+F270+F280+F302+F291</f>
        <v>6587.3789619679237</v>
      </c>
    </row>
    <row r="305" spans="1:7" ht="11.25" customHeight="1" x14ac:dyDescent="0.2"/>
    <row r="306" spans="1:7" x14ac:dyDescent="0.2">
      <c r="A306" s="11" t="s">
        <v>404</v>
      </c>
    </row>
    <row r="307" spans="1:7" ht="11.25" customHeight="1" thickBot="1" x14ac:dyDescent="0.25"/>
    <row r="308" spans="1:7" ht="13.5" thickBot="1" x14ac:dyDescent="0.25">
      <c r="A308" s="60" t="s">
        <v>64</v>
      </c>
      <c r="B308" s="61" t="s">
        <v>65</v>
      </c>
      <c r="C308" s="61" t="s">
        <v>42</v>
      </c>
      <c r="D308" s="62" t="s">
        <v>225</v>
      </c>
      <c r="E308" s="62" t="s">
        <v>66</v>
      </c>
      <c r="F308" s="63" t="s">
        <v>67</v>
      </c>
    </row>
    <row r="309" spans="1:7" ht="13.5" thickBot="1" x14ac:dyDescent="0.25">
      <c r="A309" s="13" t="s">
        <v>38</v>
      </c>
      <c r="B309" s="14" t="s">
        <v>2</v>
      </c>
      <c r="C309" s="140">
        <f>'6.BDI'!C21*100</f>
        <v>25.05</v>
      </c>
      <c r="D309" s="15">
        <f>+F304</f>
        <v>6587.3789619679237</v>
      </c>
      <c r="E309" s="15">
        <f>C309*D309/100</f>
        <v>1650.1384299729648</v>
      </c>
    </row>
    <row r="310" spans="1:7" ht="13.5" thickBot="1" x14ac:dyDescent="0.25">
      <c r="F310" s="21">
        <f>+E309</f>
        <v>1650.1384299729648</v>
      </c>
    </row>
    <row r="311" spans="1:7" ht="11.25" customHeight="1" thickBot="1" x14ac:dyDescent="0.25"/>
    <row r="312" spans="1:7" ht="13.5" thickBot="1" x14ac:dyDescent="0.25">
      <c r="A312" s="24" t="s">
        <v>230</v>
      </c>
      <c r="B312" s="28"/>
      <c r="C312" s="28"/>
      <c r="D312" s="29"/>
      <c r="E312" s="30"/>
      <c r="F312" s="22">
        <f>F310</f>
        <v>1650.1384299729648</v>
      </c>
    </row>
    <row r="313" spans="1:7" x14ac:dyDescent="0.2">
      <c r="A313" s="34"/>
      <c r="B313" s="34"/>
      <c r="C313" s="34"/>
      <c r="D313" s="35"/>
      <c r="E313" s="35"/>
      <c r="F313" s="33"/>
    </row>
    <row r="314" spans="1:7" ht="11.25" customHeight="1" thickBot="1" x14ac:dyDescent="0.25"/>
    <row r="315" spans="1:7" ht="24.75" customHeight="1" thickBot="1" x14ac:dyDescent="0.25">
      <c r="A315" s="24" t="s">
        <v>221</v>
      </c>
      <c r="B315" s="28"/>
      <c r="C315" s="28"/>
      <c r="D315" s="29"/>
      <c r="E315" s="30"/>
      <c r="F315" s="22">
        <f>F304+F312</f>
        <v>8237.517391940888</v>
      </c>
    </row>
    <row r="316" spans="1:7" ht="12.6" customHeight="1" x14ac:dyDescent="0.2">
      <c r="A316" s="56"/>
      <c r="B316" s="56"/>
      <c r="C316" s="56"/>
      <c r="D316" s="57"/>
      <c r="E316" s="57"/>
      <c r="F316" s="57"/>
    </row>
    <row r="317" spans="1:7" ht="14.25" hidden="1" x14ac:dyDescent="0.2">
      <c r="A317" s="8"/>
      <c r="B317" s="8"/>
      <c r="C317" s="8"/>
      <c r="D317" s="36"/>
      <c r="E317" s="36"/>
    </row>
    <row r="318" spans="1:7" ht="16.149999999999999" hidden="1" customHeight="1" x14ac:dyDescent="0.2">
      <c r="A318" s="251" t="s">
        <v>214</v>
      </c>
      <c r="B318" s="252"/>
      <c r="C318" s="252"/>
      <c r="D318" s="253"/>
      <c r="E318" s="254" t="s">
        <v>27</v>
      </c>
      <c r="G318" s="10" t="s">
        <v>195</v>
      </c>
    </row>
    <row r="319" spans="1:7" hidden="1" x14ac:dyDescent="0.2"/>
    <row r="320" spans="1:7" ht="25.5" hidden="1" customHeight="1" thickBot="1" x14ac:dyDescent="0.25">
      <c r="A320" s="24" t="s">
        <v>71</v>
      </c>
      <c r="B320" s="25"/>
      <c r="C320" s="25"/>
      <c r="D320" s="26"/>
      <c r="E320" s="255" t="s">
        <v>34</v>
      </c>
      <c r="F320" s="256" t="str">
        <f>IFERROR(F315/D318,"-")</f>
        <v>-</v>
      </c>
      <c r="G320" s="10" t="s">
        <v>195</v>
      </c>
    </row>
    <row r="321" spans="1:7" ht="12.6" hidden="1" customHeight="1" x14ac:dyDescent="0.2">
      <c r="A321" s="34"/>
      <c r="B321" s="34"/>
      <c r="C321" s="34"/>
      <c r="D321" s="35"/>
      <c r="E321" s="35"/>
      <c r="F321" s="35"/>
    </row>
    <row r="322" spans="1:7" s="4" customFormat="1" ht="9.75" hidden="1" customHeight="1" x14ac:dyDescent="0.2">
      <c r="A322" s="39"/>
      <c r="B322" s="10"/>
      <c r="C322" s="10"/>
      <c r="D322" s="10"/>
      <c r="E322" s="10"/>
      <c r="F322" s="10"/>
      <c r="G322" s="6"/>
    </row>
    <row r="323" spans="1:7" s="4" customFormat="1" ht="9.75" hidden="1" customHeight="1" x14ac:dyDescent="0.2">
      <c r="A323" s="39"/>
      <c r="B323" s="10"/>
      <c r="C323" s="10"/>
      <c r="D323" s="10"/>
      <c r="E323" s="10"/>
      <c r="F323" s="10"/>
      <c r="G323" s="6"/>
    </row>
    <row r="324" spans="1:7" s="4" customFormat="1" ht="9.75" hidden="1" customHeight="1" x14ac:dyDescent="0.2">
      <c r="A324" s="39"/>
      <c r="B324" s="10"/>
      <c r="C324" s="10"/>
      <c r="D324" s="10"/>
      <c r="E324" s="10"/>
      <c r="F324" s="10"/>
      <c r="G324" s="6"/>
    </row>
    <row r="325" spans="1:7" x14ac:dyDescent="0.2">
      <c r="F325" s="44"/>
    </row>
    <row r="326" spans="1:7" x14ac:dyDescent="0.2">
      <c r="F326" s="378"/>
    </row>
    <row r="354" spans="4:7" ht="9" customHeight="1" x14ac:dyDescent="0.2">
      <c r="D354" s="9"/>
      <c r="E354" s="9"/>
      <c r="F354" s="9"/>
      <c r="G354" s="9"/>
    </row>
  </sheetData>
  <mergeCells count="7">
    <mergeCell ref="A50:D50"/>
    <mergeCell ref="A12:F12"/>
    <mergeCell ref="A13:F13"/>
    <mergeCell ref="A15:F15"/>
    <mergeCell ref="A26:C26"/>
    <mergeCell ref="A42:E42"/>
    <mergeCell ref="A43:D43"/>
  </mergeCells>
  <hyperlinks>
    <hyperlink ref="A210" location="AbaRemun" display="3.1.2. Remuneração do Capital"/>
    <hyperlink ref="A193" location="AbaDeprec" display="3.1.1. Depreciação"/>
  </hyperlinks>
  <pageMargins left="0.9055118110236221" right="0.51181102362204722" top="0.74803149606299213" bottom="0.74803149606299213" header="0.31496062992125984" footer="0.31496062992125984"/>
  <pageSetup paperSize="9" scale="73" fitToHeight="4" orientation="portrait" verticalDpi="300" r:id="rId1"/>
  <headerFooter alignWithMargins="0">
    <oddFooter>&amp;R&amp;P de &amp;N</oddFooter>
  </headerFooter>
  <rowBreaks count="2" manualBreakCount="2">
    <brk id="126" max="5" man="1"/>
    <brk id="209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0"/>
  <sheetViews>
    <sheetView view="pageBreakPreview" topLeftCell="A60" zoomScaleSheetLayoutView="100" workbookViewId="0"/>
  </sheetViews>
  <sheetFormatPr defaultColWidth="9.140625" defaultRowHeight="12.75" x14ac:dyDescent="0.2"/>
  <cols>
    <col min="1" max="1" width="47.28515625" style="7" customWidth="1"/>
    <col min="2" max="2" width="16" style="7" bestFit="1" customWidth="1"/>
    <col min="3" max="3" width="11.85546875" style="7" customWidth="1"/>
    <col min="4" max="4" width="14.7109375" style="336" customWidth="1"/>
    <col min="5" max="5" width="15.42578125" style="336" customWidth="1"/>
    <col min="6" max="6" width="13.28515625" style="336" customWidth="1"/>
    <col min="7" max="7" width="28.140625" style="336" customWidth="1"/>
    <col min="8" max="8" width="9.140625" style="7"/>
    <col min="9" max="9" width="14.5703125" style="7" customWidth="1"/>
    <col min="10" max="10" width="13.42578125" style="7" customWidth="1"/>
    <col min="11" max="16384" width="9.140625" style="7"/>
  </cols>
  <sheetData>
    <row r="1" spans="1:7" hidden="1" x14ac:dyDescent="0.2">
      <c r="A1" s="11" t="s">
        <v>193</v>
      </c>
    </row>
    <row r="2" spans="1:7" hidden="1" x14ac:dyDescent="0.2">
      <c r="A2" s="282" t="s">
        <v>416</v>
      </c>
    </row>
    <row r="3" spans="1:7" s="4" customFormat="1" ht="15.6" hidden="1" customHeight="1" x14ac:dyDescent="0.2">
      <c r="A3" s="7" t="s">
        <v>194</v>
      </c>
      <c r="C3" s="138"/>
      <c r="D3" s="138"/>
      <c r="E3" s="138"/>
      <c r="F3" s="138"/>
      <c r="G3" s="6"/>
    </row>
    <row r="4" spans="1:7" s="4" customFormat="1" ht="15.6" hidden="1" customHeight="1" x14ac:dyDescent="0.2">
      <c r="A4" s="282" t="s">
        <v>417</v>
      </c>
      <c r="B4" s="138"/>
      <c r="C4" s="138"/>
      <c r="D4" s="138"/>
      <c r="E4" s="138"/>
      <c r="F4" s="138"/>
      <c r="G4" s="6"/>
    </row>
    <row r="5" spans="1:7" s="4" customFormat="1" ht="15.6" hidden="1" customHeight="1" x14ac:dyDescent="0.2">
      <c r="A5" s="435"/>
      <c r="B5" s="436"/>
      <c r="C5" s="436"/>
      <c r="D5" s="436"/>
      <c r="E5" s="436"/>
      <c r="F5" s="138"/>
      <c r="G5" s="6"/>
    </row>
    <row r="6" spans="1:7" s="4" customFormat="1" ht="15.6" hidden="1" customHeight="1" x14ac:dyDescent="0.2">
      <c r="A6" s="435"/>
      <c r="B6" s="436"/>
      <c r="C6" s="436"/>
      <c r="D6" s="436"/>
      <c r="E6" s="436"/>
      <c r="F6" s="138"/>
      <c r="G6" s="6"/>
    </row>
    <row r="7" spans="1:7" s="4" customFormat="1" ht="22.5" customHeight="1" thickBot="1" x14ac:dyDescent="0.25">
      <c r="A7" s="334" t="s">
        <v>554</v>
      </c>
      <c r="B7" s="437"/>
      <c r="C7" s="437"/>
      <c r="D7" s="438"/>
      <c r="E7" s="438"/>
      <c r="F7" s="6"/>
      <c r="G7" s="6"/>
    </row>
    <row r="8" spans="1:7" s="8" customFormat="1" ht="18" x14ac:dyDescent="0.2">
      <c r="A8" s="585" t="s">
        <v>476</v>
      </c>
      <c r="B8" s="586"/>
      <c r="C8" s="586"/>
      <c r="D8" s="586"/>
      <c r="E8" s="586"/>
      <c r="F8" s="587"/>
      <c r="G8" s="36"/>
    </row>
    <row r="9" spans="1:7" s="8" customFormat="1" ht="18.600000000000001" customHeight="1" x14ac:dyDescent="0.2">
      <c r="A9" s="588" t="s">
        <v>45</v>
      </c>
      <c r="B9" s="589"/>
      <c r="C9" s="589"/>
      <c r="D9" s="589"/>
      <c r="E9" s="589"/>
      <c r="F9" s="590"/>
      <c r="G9" s="36"/>
    </row>
    <row r="10" spans="1:7" s="4" customFormat="1" ht="7.15" customHeight="1" thickBot="1" x14ac:dyDescent="0.25">
      <c r="A10" s="150"/>
      <c r="B10" s="151"/>
      <c r="C10" s="151"/>
      <c r="D10" s="152"/>
      <c r="E10" s="152"/>
      <c r="F10" s="153"/>
      <c r="G10" s="6"/>
    </row>
    <row r="11" spans="1:7" s="4" customFormat="1" ht="15.75" customHeight="1" thickBot="1" x14ac:dyDescent="0.25">
      <c r="A11" s="594" t="s">
        <v>192</v>
      </c>
      <c r="B11" s="595"/>
      <c r="C11" s="595"/>
      <c r="D11" s="595"/>
      <c r="E11" s="595"/>
      <c r="F11" s="596"/>
      <c r="G11" s="6"/>
    </row>
    <row r="12" spans="1:7" s="4" customFormat="1" ht="15.75" customHeight="1" x14ac:dyDescent="0.2">
      <c r="A12" s="64" t="s">
        <v>191</v>
      </c>
      <c r="B12" s="40"/>
      <c r="C12" s="40"/>
      <c r="D12" s="260"/>
      <c r="E12" s="115" t="s">
        <v>40</v>
      </c>
      <c r="F12" s="41" t="s">
        <v>2</v>
      </c>
      <c r="G12" s="6"/>
    </row>
    <row r="13" spans="1:7" s="4" customFormat="1" ht="15.75" customHeight="1" x14ac:dyDescent="0.2">
      <c r="A13" s="430" t="str">
        <f>A27</f>
        <v xml:space="preserve">1. Contentores </v>
      </c>
      <c r="B13" s="46"/>
      <c r="C13" s="47"/>
      <c r="D13" s="47"/>
      <c r="E13" s="257">
        <f>SUM(E14:E16)</f>
        <v>4778.3496250000007</v>
      </c>
      <c r="F13" s="127">
        <f>IFERROR(E13/$E$18,0)</f>
        <v>0.79968012794882048</v>
      </c>
      <c r="G13" s="6"/>
    </row>
    <row r="14" spans="1:7" s="4" customFormat="1" ht="15.75" customHeight="1" x14ac:dyDescent="0.2">
      <c r="A14" s="431" t="str">
        <f>A29</f>
        <v>1.1.1. Depreciação</v>
      </c>
      <c r="B14" s="46"/>
      <c r="C14" s="47"/>
      <c r="D14" s="47"/>
      <c r="E14" s="258">
        <f>F43</f>
        <v>1635.67</v>
      </c>
      <c r="F14" s="395">
        <f>IFERROR(E14/$E$18,0)</f>
        <v>0.27373735652130038</v>
      </c>
      <c r="G14" s="6"/>
    </row>
    <row r="15" spans="1:7" s="4" customFormat="1" ht="15.75" customHeight="1" x14ac:dyDescent="0.2">
      <c r="A15" s="431" t="str">
        <f>A45</f>
        <v>1.1.2. Remuneração do Capital</v>
      </c>
      <c r="B15" s="46"/>
      <c r="C15" s="47"/>
      <c r="D15" s="47"/>
      <c r="E15" s="258">
        <f>F59</f>
        <v>1042.7396249999999</v>
      </c>
      <c r="F15" s="395">
        <f>IFERROR(E15/$E$18,0)</f>
        <v>0.17450756478232898</v>
      </c>
      <c r="G15" s="6"/>
    </row>
    <row r="16" spans="1:7" s="4" customFormat="1" ht="15.75" customHeight="1" x14ac:dyDescent="0.2">
      <c r="A16" s="431" t="str">
        <f>A87</f>
        <v xml:space="preserve">1.1.3 Lavagem e manutenção dos contentores </v>
      </c>
      <c r="B16" s="46"/>
      <c r="C16" s="47"/>
      <c r="D16" s="47"/>
      <c r="E16" s="258">
        <f>F93</f>
        <v>2099.94</v>
      </c>
      <c r="F16" s="395">
        <f>IFERROR(E16/$E$18,0)</f>
        <v>0.35143520664519096</v>
      </c>
      <c r="G16" s="6"/>
    </row>
    <row r="17" spans="1:7" s="11" customFormat="1" ht="15.75" customHeight="1" thickBot="1" x14ac:dyDescent="0.25">
      <c r="A17" s="430" t="str">
        <f>A97</f>
        <v>2. Benefícios e Despesas Indiretas - BDI</v>
      </c>
      <c r="B17" s="136"/>
      <c r="C17" s="126"/>
      <c r="D17" s="126"/>
      <c r="E17" s="259">
        <f>+F103</f>
        <v>1196.9765810625001</v>
      </c>
      <c r="F17" s="127">
        <f>IFERROR(E17/$E$18,0)</f>
        <v>0.20031987205117952</v>
      </c>
      <c r="G17" s="44"/>
    </row>
    <row r="18" spans="1:7" s="4" customFormat="1" ht="15.75" customHeight="1" thickBot="1" x14ac:dyDescent="0.25">
      <c r="A18" s="42" t="s">
        <v>229</v>
      </c>
      <c r="B18" s="43"/>
      <c r="C18" s="26"/>
      <c r="D18" s="26"/>
      <c r="E18" s="114">
        <f>E17+E13</f>
        <v>5975.3262060625011</v>
      </c>
      <c r="F18" s="142">
        <f>F13+F17</f>
        <v>1</v>
      </c>
      <c r="G18" s="6"/>
    </row>
    <row r="19" spans="1:7" ht="9" customHeight="1" x14ac:dyDescent="0.2"/>
    <row r="20" spans="1:7" s="4" customFormat="1" ht="5.45" customHeight="1" thickBot="1" x14ac:dyDescent="0.25">
      <c r="A20" s="128"/>
      <c r="B20" s="129"/>
      <c r="C20" s="399"/>
      <c r="D20" s="399"/>
      <c r="E20" s="400"/>
      <c r="F20" s="336"/>
      <c r="G20" s="6"/>
    </row>
    <row r="21" spans="1:7" s="4" customFormat="1" ht="15" customHeight="1" x14ac:dyDescent="0.2">
      <c r="A21" s="598" t="s">
        <v>433</v>
      </c>
      <c r="B21" s="599"/>
      <c r="C21" s="599"/>
      <c r="D21" s="600"/>
      <c r="E21" s="48" t="s">
        <v>42</v>
      </c>
      <c r="F21" s="7"/>
      <c r="G21" s="6"/>
    </row>
    <row r="22" spans="1:7" s="4" customFormat="1" ht="15" customHeight="1" x14ac:dyDescent="0.2">
      <c r="A22" s="396" t="str">
        <f>+A27</f>
        <v xml:space="preserve">1. Contentores </v>
      </c>
      <c r="B22" s="397"/>
      <c r="C22" s="397"/>
      <c r="D22" s="77"/>
      <c r="E22" s="398">
        <v>60</v>
      </c>
      <c r="F22" s="7"/>
      <c r="G22" s="6"/>
    </row>
    <row r="23" spans="1:7" s="4" customFormat="1" ht="15" customHeight="1" thickBot="1" x14ac:dyDescent="0.25">
      <c r="A23" s="71" t="s">
        <v>434</v>
      </c>
      <c r="B23" s="72"/>
      <c r="C23" s="72"/>
      <c r="D23" s="78"/>
      <c r="E23" s="79">
        <f>SUM(E22)</f>
        <v>60</v>
      </c>
      <c r="F23" s="7"/>
      <c r="G23" s="6"/>
    </row>
    <row r="24" spans="1:7" s="4" customFormat="1" ht="8.4499999999999993" customHeight="1" thickBot="1" x14ac:dyDescent="0.25">
      <c r="A24" s="399"/>
      <c r="B24" s="399"/>
      <c r="C24" s="399"/>
      <c r="D24" s="137"/>
      <c r="E24" s="401"/>
      <c r="F24" s="7"/>
      <c r="G24" s="6"/>
    </row>
    <row r="25" spans="1:7" s="11" customFormat="1" ht="15.75" customHeight="1" thickBot="1" x14ac:dyDescent="0.25">
      <c r="A25" s="261" t="s">
        <v>187</v>
      </c>
      <c r="B25" s="439">
        <v>1</v>
      </c>
      <c r="C25" s="35"/>
      <c r="D25" s="34"/>
      <c r="E25" s="155"/>
      <c r="G25" s="44"/>
    </row>
    <row r="26" spans="1:7" x14ac:dyDescent="0.2">
      <c r="A26" s="34"/>
      <c r="B26" s="34"/>
      <c r="C26" s="34"/>
      <c r="D26" s="35"/>
      <c r="E26" s="35"/>
      <c r="F26" s="33"/>
      <c r="G26" s="7"/>
    </row>
    <row r="27" spans="1:7" x14ac:dyDescent="0.2">
      <c r="A27" s="11" t="s">
        <v>435</v>
      </c>
      <c r="G27" s="7"/>
    </row>
    <row r="28" spans="1:7" x14ac:dyDescent="0.2">
      <c r="G28" s="7"/>
    </row>
    <row r="29" spans="1:7" ht="13.5" thickBot="1" x14ac:dyDescent="0.25">
      <c r="A29" s="107" t="s">
        <v>436</v>
      </c>
      <c r="G29" s="7"/>
    </row>
    <row r="30" spans="1:7" ht="13.5" thickBot="1" x14ac:dyDescent="0.25">
      <c r="A30" s="60" t="s">
        <v>64</v>
      </c>
      <c r="B30" s="61" t="s">
        <v>65</v>
      </c>
      <c r="C30" s="61" t="s">
        <v>42</v>
      </c>
      <c r="D30" s="62" t="s">
        <v>225</v>
      </c>
      <c r="E30" s="62" t="s">
        <v>66</v>
      </c>
      <c r="F30" s="63" t="s">
        <v>67</v>
      </c>
      <c r="G30" s="7"/>
    </row>
    <row r="31" spans="1:7" x14ac:dyDescent="0.2">
      <c r="A31" s="305" t="s">
        <v>437</v>
      </c>
      <c r="B31" s="440" t="s">
        <v>10</v>
      </c>
      <c r="C31" s="441">
        <v>1</v>
      </c>
      <c r="D31" s="313">
        <v>1635.67</v>
      </c>
      <c r="E31" s="402">
        <f>C31*D31</f>
        <v>1635.67</v>
      </c>
      <c r="G31" s="7"/>
    </row>
    <row r="32" spans="1:7" x14ac:dyDescent="0.2">
      <c r="A32" s="328" t="s">
        <v>438</v>
      </c>
      <c r="B32" s="367" t="s">
        <v>102</v>
      </c>
      <c r="C32" s="442">
        <v>5</v>
      </c>
      <c r="D32" s="403"/>
      <c r="E32" s="337"/>
      <c r="G32" s="7"/>
    </row>
    <row r="33" spans="1:7" x14ac:dyDescent="0.2">
      <c r="A33" s="328" t="s">
        <v>439</v>
      </c>
      <c r="B33" s="367" t="s">
        <v>102</v>
      </c>
      <c r="C33" s="507">
        <v>0</v>
      </c>
      <c r="D33" s="403"/>
      <c r="E33" s="337"/>
      <c r="F33" s="407"/>
      <c r="G33" s="7"/>
    </row>
    <row r="34" spans="1:7" x14ac:dyDescent="0.2">
      <c r="A34" s="328" t="s">
        <v>440</v>
      </c>
      <c r="B34" s="367" t="s">
        <v>2</v>
      </c>
      <c r="C34" s="403">
        <v>100</v>
      </c>
      <c r="D34" s="403">
        <f>E31</f>
        <v>1635.67</v>
      </c>
      <c r="E34" s="337">
        <f>C34*D34/100</f>
        <v>1635.67</v>
      </c>
      <c r="G34" s="7"/>
    </row>
    <row r="35" spans="1:7" ht="13.5" thickBot="1" x14ac:dyDescent="0.25">
      <c r="A35" s="278" t="s">
        <v>441</v>
      </c>
      <c r="B35" s="279" t="s">
        <v>8</v>
      </c>
      <c r="C35" s="443">
        <f>C32*12</f>
        <v>60</v>
      </c>
      <c r="D35" s="281">
        <f>IF(C33&lt;=C32,E34,0)</f>
        <v>1635.67</v>
      </c>
      <c r="E35" s="280">
        <f>IFERROR(D35/C35,0)</f>
        <v>27.261166666666668</v>
      </c>
      <c r="G35" s="7"/>
    </row>
    <row r="36" spans="1:7" ht="13.5" hidden="1" thickTop="1" x14ac:dyDescent="0.2">
      <c r="A36" s="305" t="s">
        <v>353</v>
      </c>
      <c r="B36" s="440" t="s">
        <v>10</v>
      </c>
      <c r="C36" s="441"/>
      <c r="D36" s="410">
        <v>40000</v>
      </c>
      <c r="E36" s="402">
        <f>C36*D36</f>
        <v>0</v>
      </c>
      <c r="G36" s="7"/>
    </row>
    <row r="37" spans="1:7" ht="13.5" hidden="1" thickTop="1" x14ac:dyDescent="0.2">
      <c r="A37" s="328" t="s">
        <v>442</v>
      </c>
      <c r="B37" s="367" t="s">
        <v>102</v>
      </c>
      <c r="C37" s="442">
        <v>5</v>
      </c>
      <c r="D37" s="403"/>
      <c r="E37" s="337"/>
      <c r="G37" s="7"/>
    </row>
    <row r="38" spans="1:7" ht="13.5" hidden="1" thickTop="1" x14ac:dyDescent="0.2">
      <c r="A38" s="328" t="s">
        <v>443</v>
      </c>
      <c r="B38" s="367" t="s">
        <v>102</v>
      </c>
      <c r="C38" s="442">
        <v>3</v>
      </c>
      <c r="D38" s="403"/>
      <c r="E38" s="337"/>
      <c r="F38" s="407"/>
      <c r="G38" s="7"/>
    </row>
    <row r="39" spans="1:7" ht="13.5" hidden="1" thickTop="1" x14ac:dyDescent="0.2">
      <c r="A39" s="328" t="s">
        <v>444</v>
      </c>
      <c r="B39" s="367" t="s">
        <v>2</v>
      </c>
      <c r="C39" s="444">
        <f>IFERROR(VLOOKUP(C37,'[1]5. Depreciação'!A80:B94,2,FALSE),0)</f>
        <v>0</v>
      </c>
      <c r="D39" s="403">
        <f>E36</f>
        <v>0</v>
      </c>
      <c r="E39" s="337">
        <f>C39*D39/100</f>
        <v>0</v>
      </c>
      <c r="G39" s="7"/>
    </row>
    <row r="40" spans="1:7" ht="13.5" hidden="1" thickTop="1" x14ac:dyDescent="0.2">
      <c r="A40" s="103" t="s">
        <v>445</v>
      </c>
      <c r="B40" s="104" t="s">
        <v>8</v>
      </c>
      <c r="C40" s="445">
        <f>C37*12</f>
        <v>60</v>
      </c>
      <c r="D40" s="113">
        <f>IF(C38&lt;=C37,E39,0)</f>
        <v>0</v>
      </c>
      <c r="E40" s="105">
        <f>IFERROR(D40/C40,0)</f>
        <v>0</v>
      </c>
      <c r="G40" s="7"/>
    </row>
    <row r="41" spans="1:7" ht="13.5" hidden="1" thickTop="1" x14ac:dyDescent="0.2">
      <c r="A41" s="116" t="s">
        <v>250</v>
      </c>
      <c r="B41" s="117"/>
      <c r="C41" s="446"/>
      <c r="D41" s="447"/>
      <c r="E41" s="119">
        <f>E35+E40</f>
        <v>27.261166666666668</v>
      </c>
      <c r="G41" s="7"/>
    </row>
    <row r="42" spans="1:7" ht="14.25" thickTop="1" thickBot="1" x14ac:dyDescent="0.25">
      <c r="A42" s="103" t="s">
        <v>446</v>
      </c>
      <c r="B42" s="104" t="s">
        <v>10</v>
      </c>
      <c r="C42" s="481">
        <f>E23</f>
        <v>60</v>
      </c>
      <c r="D42" s="113">
        <f>E41</f>
        <v>27.261166666666668</v>
      </c>
      <c r="E42" s="119">
        <f>C42*D42</f>
        <v>1635.67</v>
      </c>
      <c r="G42" s="7"/>
    </row>
    <row r="43" spans="1:7" ht="13.5" thickBot="1" x14ac:dyDescent="0.25">
      <c r="A43" s="274"/>
      <c r="B43" s="274"/>
      <c r="C43" s="274"/>
      <c r="D43" s="338" t="s">
        <v>186</v>
      </c>
      <c r="E43" s="339">
        <f>$B$25</f>
        <v>1</v>
      </c>
      <c r="F43" s="21">
        <f>E42*E43</f>
        <v>1635.67</v>
      </c>
      <c r="G43" s="7"/>
    </row>
    <row r="44" spans="1:7" x14ac:dyDescent="0.2">
      <c r="G44" s="7"/>
    </row>
    <row r="45" spans="1:7" ht="13.5" thickBot="1" x14ac:dyDescent="0.25">
      <c r="A45" s="107" t="s">
        <v>447</v>
      </c>
      <c r="G45" s="7"/>
    </row>
    <row r="46" spans="1:7" ht="13.5" thickBot="1" x14ac:dyDescent="0.25">
      <c r="A46" s="109" t="s">
        <v>64</v>
      </c>
      <c r="B46" s="110" t="s">
        <v>65</v>
      </c>
      <c r="C46" s="110" t="s">
        <v>42</v>
      </c>
      <c r="D46" s="62" t="s">
        <v>225</v>
      </c>
      <c r="E46" s="111" t="s">
        <v>66</v>
      </c>
      <c r="F46" s="63" t="s">
        <v>67</v>
      </c>
      <c r="G46" s="7"/>
    </row>
    <row r="47" spans="1:7" x14ac:dyDescent="0.2">
      <c r="A47" s="328" t="s">
        <v>448</v>
      </c>
      <c r="B47" s="367" t="s">
        <v>10</v>
      </c>
      <c r="C47" s="441">
        <v>1</v>
      </c>
      <c r="D47" s="337">
        <f>D31</f>
        <v>1635.67</v>
      </c>
      <c r="E47" s="337">
        <f>C47*D47</f>
        <v>1635.67</v>
      </c>
      <c r="F47" s="407"/>
      <c r="G47" s="7"/>
    </row>
    <row r="48" spans="1:7" x14ac:dyDescent="0.2">
      <c r="A48" s="328" t="s">
        <v>206</v>
      </c>
      <c r="B48" s="367" t="s">
        <v>2</v>
      </c>
      <c r="C48" s="507">
        <v>12.75</v>
      </c>
      <c r="D48" s="337"/>
      <c r="E48" s="337"/>
      <c r="F48" s="407"/>
      <c r="G48" s="7"/>
    </row>
    <row r="49" spans="1:7" x14ac:dyDescent="0.2">
      <c r="A49" s="328" t="s">
        <v>449</v>
      </c>
      <c r="B49" s="367" t="s">
        <v>35</v>
      </c>
      <c r="C49" s="448">
        <f>IFERROR(IF(C33&lt;=C32,E31-(C34/(100*C32)*C33)*E31,E31-E34),0)</f>
        <v>1635.67</v>
      </c>
      <c r="D49" s="337"/>
      <c r="E49" s="337"/>
      <c r="F49" s="407"/>
      <c r="G49" s="7"/>
    </row>
    <row r="50" spans="1:7" x14ac:dyDescent="0.2">
      <c r="A50" s="328" t="s">
        <v>450</v>
      </c>
      <c r="B50" s="367" t="s">
        <v>35</v>
      </c>
      <c r="C50" s="403">
        <f>D47</f>
        <v>1635.67</v>
      </c>
      <c r="D50" s="337"/>
      <c r="E50" s="337"/>
      <c r="F50" s="407"/>
      <c r="G50" s="7"/>
    </row>
    <row r="51" spans="1:7" ht="13.5" thickBot="1" x14ac:dyDescent="0.25">
      <c r="A51" s="278" t="s">
        <v>451</v>
      </c>
      <c r="B51" s="279" t="s">
        <v>35</v>
      </c>
      <c r="C51" s="279"/>
      <c r="D51" s="281">
        <f>C48*C50/12/100</f>
        <v>17.378993749999999</v>
      </c>
      <c r="E51" s="280">
        <f>D51</f>
        <v>17.378993749999999</v>
      </c>
      <c r="F51" s="407"/>
      <c r="G51" s="7"/>
    </row>
    <row r="52" spans="1:7" ht="13.5" hidden="1" thickTop="1" x14ac:dyDescent="0.2">
      <c r="A52" s="305" t="s">
        <v>452</v>
      </c>
      <c r="B52" s="440" t="s">
        <v>10</v>
      </c>
      <c r="C52" s="440"/>
      <c r="D52" s="402"/>
      <c r="E52" s="402">
        <f>C52*D52</f>
        <v>0</v>
      </c>
      <c r="F52" s="407"/>
      <c r="G52" s="7"/>
    </row>
    <row r="53" spans="1:7" ht="13.5" hidden="1" thickTop="1" x14ac:dyDescent="0.2">
      <c r="A53" s="328" t="s">
        <v>206</v>
      </c>
      <c r="B53" s="367" t="s">
        <v>2</v>
      </c>
      <c r="C53" s="442"/>
      <c r="D53" s="337"/>
      <c r="E53" s="337"/>
      <c r="F53" s="407"/>
      <c r="G53" s="7"/>
    </row>
    <row r="54" spans="1:7" ht="13.5" hidden="1" thickTop="1" x14ac:dyDescent="0.2">
      <c r="A54" s="328" t="s">
        <v>205</v>
      </c>
      <c r="B54" s="367" t="s">
        <v>35</v>
      </c>
      <c r="C54" s="448">
        <f>IFERROR(IF(C38&lt;=C37,E36-(C39/(100*C37)*C38)*E36,E36-E39),0)</f>
        <v>0</v>
      </c>
      <c r="D54" s="337"/>
      <c r="E54" s="337"/>
      <c r="F54" s="407"/>
      <c r="G54" s="7"/>
    </row>
    <row r="55" spans="1:7" ht="13.5" hidden="1" thickTop="1" x14ac:dyDescent="0.2">
      <c r="A55" s="328" t="s">
        <v>453</v>
      </c>
      <c r="B55" s="367" t="s">
        <v>35</v>
      </c>
      <c r="C55" s="403">
        <f>IFERROR(IF(C38&gt;=C37,C54,((((C54)-(E36-E39))*(((C37-C38)+1)/(2*(C37-C38))))+(E36-E39))),0)</f>
        <v>0</v>
      </c>
      <c r="D55" s="337"/>
      <c r="E55" s="337"/>
      <c r="F55" s="407"/>
      <c r="G55" s="7"/>
    </row>
    <row r="56" spans="1:7" ht="13.5" hidden="1" thickTop="1" x14ac:dyDescent="0.2">
      <c r="A56" s="103" t="s">
        <v>454</v>
      </c>
      <c r="B56" s="104" t="s">
        <v>35</v>
      </c>
      <c r="C56" s="104"/>
      <c r="D56" s="113">
        <f>C53*C55/12/100</f>
        <v>0</v>
      </c>
      <c r="E56" s="105">
        <f>D56</f>
        <v>0</v>
      </c>
      <c r="F56" s="407"/>
      <c r="G56" s="7"/>
    </row>
    <row r="57" spans="1:7" ht="13.5" hidden="1" thickTop="1" x14ac:dyDescent="0.2">
      <c r="A57" s="116" t="s">
        <v>250</v>
      </c>
      <c r="B57" s="117"/>
      <c r="C57" s="117"/>
      <c r="D57" s="118"/>
      <c r="E57" s="119">
        <f>E51+E56</f>
        <v>17.378993749999999</v>
      </c>
      <c r="F57" s="407"/>
      <c r="G57" s="7"/>
    </row>
    <row r="58" spans="1:7" ht="14.25" thickTop="1" thickBot="1" x14ac:dyDescent="0.25">
      <c r="A58" s="103" t="s">
        <v>446</v>
      </c>
      <c r="B58" s="104" t="s">
        <v>10</v>
      </c>
      <c r="C58" s="442">
        <f>C42</f>
        <v>60</v>
      </c>
      <c r="D58" s="105">
        <f>E57</f>
        <v>17.378993749999999</v>
      </c>
      <c r="E58" s="119">
        <f>C58*D58</f>
        <v>1042.7396249999999</v>
      </c>
      <c r="F58" s="407"/>
      <c r="G58" s="7"/>
    </row>
    <row r="59" spans="1:7" ht="13.5" thickBot="1" x14ac:dyDescent="0.25">
      <c r="C59" s="449"/>
      <c r="D59" s="338" t="s">
        <v>186</v>
      </c>
      <c r="E59" s="339">
        <f>$B$25</f>
        <v>1</v>
      </c>
      <c r="F59" s="21">
        <f>E58*E59</f>
        <v>1042.7396249999999</v>
      </c>
      <c r="G59" s="7"/>
    </row>
    <row r="60" spans="1:7" x14ac:dyDescent="0.2">
      <c r="G60" s="7"/>
    </row>
    <row r="61" spans="1:7" hidden="1" x14ac:dyDescent="0.2">
      <c r="A61" s="7" t="s">
        <v>53</v>
      </c>
      <c r="G61" s="7"/>
    </row>
    <row r="62" spans="1:7" ht="13.5" hidden="1" thickBot="1" x14ac:dyDescent="0.25">
      <c r="A62" s="60" t="s">
        <v>64</v>
      </c>
      <c r="B62" s="61" t="s">
        <v>65</v>
      </c>
      <c r="C62" s="61" t="s">
        <v>42</v>
      </c>
      <c r="D62" s="62" t="s">
        <v>225</v>
      </c>
      <c r="E62" s="62" t="s">
        <v>66</v>
      </c>
      <c r="F62" s="63" t="s">
        <v>67</v>
      </c>
      <c r="G62" s="7"/>
    </row>
    <row r="63" spans="1:7" hidden="1" x14ac:dyDescent="0.2">
      <c r="A63" s="305" t="s">
        <v>12</v>
      </c>
      <c r="B63" s="440" t="s">
        <v>10</v>
      </c>
      <c r="C63" s="402"/>
      <c r="D63" s="402" t="e">
        <f>0.01*(#REF!)</f>
        <v>#REF!</v>
      </c>
      <c r="E63" s="402" t="e">
        <f>C63*D63</f>
        <v>#REF!</v>
      </c>
      <c r="G63" s="7"/>
    </row>
    <row r="64" spans="1:7" hidden="1" x14ac:dyDescent="0.2">
      <c r="A64" s="328" t="s">
        <v>185</v>
      </c>
      <c r="B64" s="367" t="s">
        <v>10</v>
      </c>
      <c r="C64" s="402"/>
      <c r="D64" s="341">
        <v>150</v>
      </c>
      <c r="E64" s="337">
        <f>C64*D64</f>
        <v>0</v>
      </c>
      <c r="G64" s="7"/>
    </row>
    <row r="65" spans="1:7" hidden="1" x14ac:dyDescent="0.2">
      <c r="A65" s="328" t="s">
        <v>13</v>
      </c>
      <c r="B65" s="367" t="s">
        <v>10</v>
      </c>
      <c r="C65" s="402"/>
      <c r="D65" s="341">
        <v>2200</v>
      </c>
      <c r="E65" s="337">
        <f>C65*D65</f>
        <v>0</v>
      </c>
      <c r="F65" s="31"/>
      <c r="G65" s="7"/>
    </row>
    <row r="66" spans="1:7" hidden="1" x14ac:dyDescent="0.2">
      <c r="A66" s="103" t="s">
        <v>14</v>
      </c>
      <c r="B66" s="104" t="s">
        <v>8</v>
      </c>
      <c r="C66" s="104">
        <v>12</v>
      </c>
      <c r="D66" s="105" t="e">
        <f>SUM(E63:E65)</f>
        <v>#REF!</v>
      </c>
      <c r="E66" s="105" t="e">
        <f>D66/C66</f>
        <v>#REF!</v>
      </c>
      <c r="G66" s="7"/>
    </row>
    <row r="67" spans="1:7" ht="13.5" hidden="1" thickBot="1" x14ac:dyDescent="0.25">
      <c r="D67" s="338" t="s">
        <v>186</v>
      </c>
      <c r="E67" s="339">
        <f>$B$25</f>
        <v>1</v>
      </c>
      <c r="F67" s="123" t="e">
        <f>E66*E67</f>
        <v>#REF!</v>
      </c>
      <c r="G67" s="7"/>
    </row>
    <row r="68" spans="1:7" hidden="1" x14ac:dyDescent="0.2">
      <c r="G68" s="7"/>
    </row>
    <row r="69" spans="1:7" hidden="1" x14ac:dyDescent="0.2">
      <c r="A69" s="7" t="s">
        <v>54</v>
      </c>
      <c r="B69" s="450"/>
      <c r="G69" s="7"/>
    </row>
    <row r="70" spans="1:7" hidden="1" x14ac:dyDescent="0.2">
      <c r="B70" s="450"/>
      <c r="G70" s="7"/>
    </row>
    <row r="71" spans="1:7" hidden="1" x14ac:dyDescent="0.2">
      <c r="A71" s="103" t="s">
        <v>113</v>
      </c>
      <c r="B71" s="451"/>
      <c r="G71" s="7"/>
    </row>
    <row r="72" spans="1:7" hidden="1" x14ac:dyDescent="0.2">
      <c r="B72" s="450"/>
      <c r="G72" s="7"/>
    </row>
    <row r="73" spans="1:7" ht="13.5" hidden="1" thickBot="1" x14ac:dyDescent="0.25">
      <c r="A73" s="60" t="s">
        <v>64</v>
      </c>
      <c r="B73" s="61" t="s">
        <v>65</v>
      </c>
      <c r="C73" s="61" t="s">
        <v>249</v>
      </c>
      <c r="D73" s="62" t="s">
        <v>225</v>
      </c>
      <c r="E73" s="62" t="s">
        <v>66</v>
      </c>
      <c r="F73" s="63" t="s">
        <v>67</v>
      </c>
      <c r="G73" s="7"/>
    </row>
    <row r="74" spans="1:7" hidden="1" x14ac:dyDescent="0.2">
      <c r="A74" s="305" t="s">
        <v>15</v>
      </c>
      <c r="B74" s="440" t="s">
        <v>16</v>
      </c>
      <c r="C74" s="452">
        <v>2.2000000000000002</v>
      </c>
      <c r="D74" s="408">
        <v>3.71</v>
      </c>
      <c r="E74" s="402"/>
      <c r="G74" s="7"/>
    </row>
    <row r="75" spans="1:7" hidden="1" x14ac:dyDescent="0.2">
      <c r="A75" s="328" t="s">
        <v>17</v>
      </c>
      <c r="B75" s="367" t="s">
        <v>18</v>
      </c>
      <c r="C75" s="340">
        <f>B71</f>
        <v>0</v>
      </c>
      <c r="D75" s="409">
        <f>IFERROR(+D74/C74,"-")</f>
        <v>1.6863636363636363</v>
      </c>
      <c r="E75" s="337">
        <f>IFERROR(C75*D75,"-")</f>
        <v>0</v>
      </c>
      <c r="G75" s="7"/>
    </row>
    <row r="76" spans="1:7" hidden="1" x14ac:dyDescent="0.2">
      <c r="A76" s="328" t="s">
        <v>226</v>
      </c>
      <c r="B76" s="367" t="s">
        <v>19</v>
      </c>
      <c r="C76" s="377">
        <v>6</v>
      </c>
      <c r="D76" s="341">
        <v>13</v>
      </c>
      <c r="E76" s="337"/>
      <c r="G76" s="7"/>
    </row>
    <row r="77" spans="1:7" hidden="1" x14ac:dyDescent="0.2">
      <c r="A77" s="328" t="s">
        <v>20</v>
      </c>
      <c r="B77" s="367" t="s">
        <v>18</v>
      </c>
      <c r="C77" s="340">
        <f>C75</f>
        <v>0</v>
      </c>
      <c r="D77" s="342">
        <f>+C76*D76/1000</f>
        <v>7.8E-2</v>
      </c>
      <c r="E77" s="337">
        <f>C77*D77</f>
        <v>0</v>
      </c>
      <c r="G77" s="7"/>
    </row>
    <row r="78" spans="1:7" hidden="1" x14ac:dyDescent="0.2">
      <c r="A78" s="328" t="s">
        <v>227</v>
      </c>
      <c r="B78" s="367" t="s">
        <v>19</v>
      </c>
      <c r="C78" s="377">
        <v>0.85</v>
      </c>
      <c r="D78" s="341">
        <v>15.8</v>
      </c>
      <c r="E78" s="337"/>
      <c r="G78" s="7"/>
    </row>
    <row r="79" spans="1:7" hidden="1" x14ac:dyDescent="0.2">
      <c r="A79" s="328" t="s">
        <v>21</v>
      </c>
      <c r="B79" s="367" t="s">
        <v>18</v>
      </c>
      <c r="C79" s="340">
        <f>C75</f>
        <v>0</v>
      </c>
      <c r="D79" s="342">
        <f>+C78*D78/1000</f>
        <v>1.3429999999999999E-2</v>
      </c>
      <c r="E79" s="337">
        <f>C79*D79</f>
        <v>0</v>
      </c>
      <c r="G79" s="7"/>
    </row>
    <row r="80" spans="1:7" hidden="1" x14ac:dyDescent="0.2">
      <c r="A80" s="328" t="s">
        <v>228</v>
      </c>
      <c r="B80" s="367" t="s">
        <v>19</v>
      </c>
      <c r="C80" s="377">
        <v>16</v>
      </c>
      <c r="D80" s="341">
        <v>8.25</v>
      </c>
      <c r="E80" s="337"/>
      <c r="G80" s="7"/>
    </row>
    <row r="81" spans="1:10" hidden="1" x14ac:dyDescent="0.2">
      <c r="A81" s="328" t="s">
        <v>22</v>
      </c>
      <c r="B81" s="367" t="s">
        <v>18</v>
      </c>
      <c r="C81" s="340">
        <f>C75</f>
        <v>0</v>
      </c>
      <c r="D81" s="342">
        <f>+C80*D80/1000</f>
        <v>0.13200000000000001</v>
      </c>
      <c r="E81" s="337">
        <f>C81*D81</f>
        <v>0</v>
      </c>
      <c r="G81" s="7"/>
    </row>
    <row r="82" spans="1:10" hidden="1" x14ac:dyDescent="0.2">
      <c r="A82" s="328" t="s">
        <v>23</v>
      </c>
      <c r="B82" s="367" t="s">
        <v>24</v>
      </c>
      <c r="C82" s="377">
        <v>2</v>
      </c>
      <c r="D82" s="341">
        <v>5.4</v>
      </c>
      <c r="E82" s="337"/>
      <c r="G82" s="7"/>
    </row>
    <row r="83" spans="1:10" hidden="1" x14ac:dyDescent="0.2">
      <c r="A83" s="328" t="s">
        <v>25</v>
      </c>
      <c r="B83" s="367" t="s">
        <v>18</v>
      </c>
      <c r="C83" s="340">
        <f>C75</f>
        <v>0</v>
      </c>
      <c r="D83" s="342">
        <f>+C82*D82/1000</f>
        <v>1.0800000000000001E-2</v>
      </c>
      <c r="E83" s="337">
        <f>C83*D83</f>
        <v>0</v>
      </c>
      <c r="G83" s="7"/>
    </row>
    <row r="84" spans="1:10" hidden="1" x14ac:dyDescent="0.2">
      <c r="A84" s="103" t="s">
        <v>248</v>
      </c>
      <c r="B84" s="104" t="s">
        <v>114</v>
      </c>
      <c r="C84" s="271"/>
      <c r="D84" s="272">
        <f>IFERROR(D75+D77+D79+D81+D83,0)</f>
        <v>1.9205936363636364</v>
      </c>
      <c r="E84" s="337"/>
      <c r="G84" s="7"/>
    </row>
    <row r="85" spans="1:10" ht="13.5" hidden="1" thickBot="1" x14ac:dyDescent="0.25">
      <c r="F85" s="21">
        <f>SUM(E74:E83)</f>
        <v>0</v>
      </c>
      <c r="G85" s="7"/>
    </row>
    <row r="86" spans="1:10" hidden="1" x14ac:dyDescent="0.2">
      <c r="G86" s="7"/>
    </row>
    <row r="87" spans="1:10" ht="13.5" thickBot="1" x14ac:dyDescent="0.25">
      <c r="A87" s="7" t="s">
        <v>455</v>
      </c>
      <c r="G87" s="7"/>
    </row>
    <row r="88" spans="1:10" ht="13.5" thickBot="1" x14ac:dyDescent="0.25">
      <c r="A88" s="60" t="s">
        <v>64</v>
      </c>
      <c r="B88" s="61" t="s">
        <v>65</v>
      </c>
      <c r="C88" s="61" t="s">
        <v>42</v>
      </c>
      <c r="D88" s="62" t="s">
        <v>225</v>
      </c>
      <c r="E88" s="62" t="s">
        <v>66</v>
      </c>
      <c r="F88" s="63" t="s">
        <v>67</v>
      </c>
      <c r="G88" s="7"/>
    </row>
    <row r="89" spans="1:10" x14ac:dyDescent="0.2">
      <c r="A89" s="305" t="s">
        <v>456</v>
      </c>
      <c r="B89" s="440" t="s">
        <v>65</v>
      </c>
      <c r="C89" s="481">
        <f>E22</f>
        <v>60</v>
      </c>
      <c r="D89" s="313">
        <v>30</v>
      </c>
      <c r="E89" s="402">
        <f>C89*D89</f>
        <v>1800</v>
      </c>
      <c r="G89" s="7"/>
    </row>
    <row r="90" spans="1:10" x14ac:dyDescent="0.2">
      <c r="A90" s="305" t="s">
        <v>457</v>
      </c>
      <c r="B90" s="440" t="s">
        <v>2</v>
      </c>
      <c r="C90" s="442">
        <v>33.33</v>
      </c>
      <c r="D90" s="410">
        <f>E89</f>
        <v>1800</v>
      </c>
      <c r="E90" s="402">
        <f>D90*C90/100</f>
        <v>599.94000000000005</v>
      </c>
      <c r="G90" s="7"/>
    </row>
    <row r="91" spans="1:10" x14ac:dyDescent="0.2">
      <c r="A91" s="305" t="s">
        <v>458</v>
      </c>
      <c r="B91" s="440" t="s">
        <v>65</v>
      </c>
      <c r="C91" s="481">
        <f>E22</f>
        <v>60</v>
      </c>
      <c r="D91" s="313">
        <v>25</v>
      </c>
      <c r="E91" s="402">
        <f>D91*C91</f>
        <v>1500</v>
      </c>
      <c r="G91" s="7"/>
    </row>
    <row r="92" spans="1:10" ht="13.5" thickBot="1" x14ac:dyDescent="0.25">
      <c r="A92" s="305" t="s">
        <v>475</v>
      </c>
      <c r="B92" s="440" t="s">
        <v>8</v>
      </c>
      <c r="C92" s="442">
        <v>1</v>
      </c>
      <c r="D92" s="410">
        <f>E91</f>
        <v>1500</v>
      </c>
      <c r="E92" s="402">
        <f>C92*D92</f>
        <v>1500</v>
      </c>
      <c r="G92" s="7"/>
    </row>
    <row r="93" spans="1:10" ht="13.5" thickBot="1" x14ac:dyDescent="0.25">
      <c r="F93" s="21">
        <f>SUM(E90+E92)</f>
        <v>2099.94</v>
      </c>
      <c r="G93" s="7"/>
    </row>
    <row r="94" spans="1:10" s="336" customFormat="1" ht="11.25" customHeight="1" thickBot="1" x14ac:dyDescent="0.25">
      <c r="A94" s="7"/>
      <c r="B94" s="7"/>
      <c r="C94" s="7"/>
      <c r="H94" s="7"/>
      <c r="I94" s="7"/>
      <c r="J94" s="7"/>
    </row>
    <row r="95" spans="1:10" s="336" customFormat="1" ht="17.25" customHeight="1" thickBot="1" x14ac:dyDescent="0.25">
      <c r="A95" s="24" t="s">
        <v>220</v>
      </c>
      <c r="B95" s="453"/>
      <c r="C95" s="453"/>
      <c r="D95" s="405"/>
      <c r="E95" s="406"/>
      <c r="F95" s="22">
        <f>F43+F59+F93</f>
        <v>4778.3496250000007</v>
      </c>
      <c r="H95" s="7"/>
      <c r="I95" s="7"/>
      <c r="J95" s="7"/>
    </row>
    <row r="96" spans="1:10" s="336" customFormat="1" ht="11.25" customHeight="1" x14ac:dyDescent="0.2">
      <c r="A96" s="7"/>
      <c r="B96" s="7"/>
      <c r="C96" s="7"/>
      <c r="H96" s="7"/>
      <c r="I96" s="7"/>
      <c r="J96" s="7"/>
    </row>
    <row r="97" spans="1:10" s="336" customFormat="1" x14ac:dyDescent="0.2">
      <c r="A97" s="11" t="s">
        <v>431</v>
      </c>
      <c r="B97" s="7"/>
      <c r="C97" s="7"/>
      <c r="H97" s="7"/>
      <c r="I97" s="7"/>
      <c r="J97" s="7"/>
    </row>
    <row r="98" spans="1:10" s="336" customFormat="1" ht="11.25" customHeight="1" thickBot="1" x14ac:dyDescent="0.25">
      <c r="A98" s="7"/>
      <c r="B98" s="7"/>
      <c r="C98" s="7"/>
      <c r="H98" s="7"/>
      <c r="I98" s="7"/>
      <c r="J98" s="7"/>
    </row>
    <row r="99" spans="1:10" s="336" customFormat="1" ht="13.5" thickBot="1" x14ac:dyDescent="0.25">
      <c r="A99" s="60" t="s">
        <v>64</v>
      </c>
      <c r="B99" s="61" t="s">
        <v>65</v>
      </c>
      <c r="C99" s="61" t="s">
        <v>42</v>
      </c>
      <c r="D99" s="62" t="s">
        <v>225</v>
      </c>
      <c r="E99" s="62" t="s">
        <v>66</v>
      </c>
      <c r="F99" s="63" t="s">
        <v>67</v>
      </c>
      <c r="H99" s="7"/>
      <c r="I99" s="7"/>
      <c r="J99" s="7"/>
    </row>
    <row r="100" spans="1:10" s="336" customFormat="1" ht="13.5" thickBot="1" x14ac:dyDescent="0.25">
      <c r="A100" s="305" t="s">
        <v>38</v>
      </c>
      <c r="B100" s="440" t="s">
        <v>2</v>
      </c>
      <c r="C100" s="404">
        <f>'6.BDI'!C21*100</f>
        <v>25.05</v>
      </c>
      <c r="D100" s="402">
        <f>+F95</f>
        <v>4778.3496250000007</v>
      </c>
      <c r="E100" s="402">
        <f>C100*D100/100</f>
        <v>1196.9765810625001</v>
      </c>
      <c r="H100" s="7"/>
      <c r="I100" s="7"/>
      <c r="J100" s="7"/>
    </row>
    <row r="101" spans="1:10" s="336" customFormat="1" ht="13.5" thickBot="1" x14ac:dyDescent="0.25">
      <c r="A101" s="7"/>
      <c r="B101" s="7"/>
      <c r="C101" s="7"/>
      <c r="F101" s="21">
        <f>+E100</f>
        <v>1196.9765810625001</v>
      </c>
      <c r="H101" s="7"/>
      <c r="I101" s="7"/>
      <c r="J101" s="7"/>
    </row>
    <row r="102" spans="1:10" s="336" customFormat="1" ht="11.25" customHeight="1" thickBot="1" x14ac:dyDescent="0.25">
      <c r="A102" s="7"/>
      <c r="B102" s="7"/>
      <c r="C102" s="7"/>
      <c r="H102" s="7"/>
      <c r="I102" s="7"/>
      <c r="J102" s="7"/>
    </row>
    <row r="103" spans="1:10" s="336" customFormat="1" ht="13.5" thickBot="1" x14ac:dyDescent="0.25">
      <c r="A103" s="24" t="s">
        <v>230</v>
      </c>
      <c r="B103" s="453"/>
      <c r="C103" s="453"/>
      <c r="D103" s="405"/>
      <c r="E103" s="406"/>
      <c r="F103" s="22">
        <f>F101</f>
        <v>1196.9765810625001</v>
      </c>
      <c r="H103" s="7"/>
      <c r="I103" s="7"/>
      <c r="J103" s="7"/>
    </row>
    <row r="104" spans="1:10" s="336" customFormat="1" ht="13.5" thickBot="1" x14ac:dyDescent="0.25">
      <c r="A104" s="34"/>
      <c r="B104" s="34"/>
      <c r="C104" s="34"/>
      <c r="D104" s="35"/>
      <c r="E104" s="35"/>
      <c r="F104" s="33"/>
      <c r="H104" s="7"/>
      <c r="I104" s="7"/>
      <c r="J104" s="7"/>
    </row>
    <row r="105" spans="1:10" s="336" customFormat="1" ht="11.25" hidden="1" customHeight="1" thickBot="1" x14ac:dyDescent="0.25">
      <c r="A105" s="7"/>
      <c r="B105" s="7"/>
      <c r="C105" s="7"/>
      <c r="H105" s="7"/>
      <c r="I105" s="7"/>
      <c r="J105" s="7"/>
    </row>
    <row r="106" spans="1:10" s="336" customFormat="1" ht="24.75" customHeight="1" thickBot="1" x14ac:dyDescent="0.25">
      <c r="A106" s="24" t="s">
        <v>221</v>
      </c>
      <c r="B106" s="453"/>
      <c r="C106" s="453"/>
      <c r="D106" s="405"/>
      <c r="E106" s="406"/>
      <c r="F106" s="22">
        <f>F95+F103</f>
        <v>5975.3262060625011</v>
      </c>
      <c r="H106" s="7"/>
      <c r="I106" s="7"/>
      <c r="J106" s="7"/>
    </row>
    <row r="107" spans="1:10" s="336" customFormat="1" ht="12.6" customHeight="1" thickBot="1" x14ac:dyDescent="0.25">
      <c r="A107" s="477"/>
      <c r="B107" s="478"/>
      <c r="C107" s="478"/>
      <c r="D107" s="479"/>
      <c r="E107" s="479"/>
      <c r="F107" s="480"/>
      <c r="H107" s="7"/>
      <c r="I107" s="7"/>
      <c r="J107" s="7"/>
    </row>
    <row r="108" spans="1:10" s="336" customFormat="1" ht="14.25" hidden="1" x14ac:dyDescent="0.2">
      <c r="A108" s="454"/>
      <c r="B108" s="454"/>
      <c r="C108" s="454"/>
      <c r="D108" s="455"/>
      <c r="E108" s="455"/>
      <c r="F108" s="456"/>
      <c r="H108" s="7"/>
      <c r="I108" s="7"/>
      <c r="J108" s="7"/>
    </row>
    <row r="109" spans="1:10" ht="16.149999999999999" hidden="1" customHeight="1" x14ac:dyDescent="0.2">
      <c r="A109" s="457" t="s">
        <v>459</v>
      </c>
      <c r="B109" s="458"/>
      <c r="C109" s="458"/>
      <c r="D109" s="459">
        <v>60</v>
      </c>
      <c r="E109" s="460" t="s">
        <v>460</v>
      </c>
      <c r="F109" s="456"/>
      <c r="G109" s="336" t="s">
        <v>195</v>
      </c>
    </row>
    <row r="110" spans="1:10" hidden="1" x14ac:dyDescent="0.2">
      <c r="A110" s="461"/>
      <c r="B110" s="461"/>
      <c r="C110" s="461"/>
      <c r="D110" s="456"/>
      <c r="E110" s="456"/>
      <c r="F110" s="456"/>
    </row>
    <row r="111" spans="1:10" ht="25.5" hidden="1" customHeight="1" thickBot="1" x14ac:dyDescent="0.25">
      <c r="A111" s="462" t="s">
        <v>461</v>
      </c>
      <c r="B111" s="463"/>
      <c r="C111" s="463"/>
      <c r="D111" s="464"/>
      <c r="E111" s="465" t="s">
        <v>462</v>
      </c>
      <c r="F111" s="466">
        <f>IFERROR(F106/D109,"-")</f>
        <v>99.588770101041689</v>
      </c>
      <c r="G111" s="336" t="s">
        <v>195</v>
      </c>
    </row>
    <row r="112" spans="1:10" ht="12.6" hidden="1" customHeight="1" x14ac:dyDescent="0.2">
      <c r="A112" s="467"/>
      <c r="B112" s="467"/>
      <c r="C112" s="467"/>
      <c r="D112" s="468"/>
      <c r="E112" s="468"/>
      <c r="F112" s="468"/>
    </row>
    <row r="113" spans="1:6" hidden="1" x14ac:dyDescent="0.2">
      <c r="A113" s="469"/>
      <c r="B113" s="461"/>
      <c r="C113" s="461"/>
      <c r="D113" s="456"/>
      <c r="E113" s="456"/>
      <c r="F113" s="456"/>
    </row>
    <row r="114" spans="1:6" ht="15.75" thickBot="1" x14ac:dyDescent="0.25">
      <c r="A114" s="473" t="s">
        <v>465</v>
      </c>
      <c r="B114" s="474"/>
      <c r="C114" s="474"/>
      <c r="D114" s="475"/>
      <c r="E114" s="475"/>
      <c r="F114" s="476">
        <f>F106/E22</f>
        <v>99.588770101041689</v>
      </c>
    </row>
    <row r="115" spans="1:6" ht="15" x14ac:dyDescent="0.2">
      <c r="A115" s="601"/>
      <c r="B115" s="601"/>
      <c r="C115" s="601"/>
      <c r="D115" s="601"/>
      <c r="E115" s="601"/>
      <c r="F115" s="601"/>
    </row>
    <row r="116" spans="1:6" ht="15" x14ac:dyDescent="0.2">
      <c r="A116" s="470"/>
      <c r="B116" s="602"/>
      <c r="C116" s="602"/>
      <c r="D116" s="602"/>
      <c r="E116" s="471"/>
      <c r="F116" s="471"/>
    </row>
    <row r="117" spans="1:6" ht="15" x14ac:dyDescent="0.2">
      <c r="A117" s="470"/>
      <c r="B117" s="597"/>
      <c r="C117" s="597"/>
      <c r="D117" s="597"/>
      <c r="E117" s="456"/>
      <c r="F117" s="456"/>
    </row>
    <row r="118" spans="1:6" x14ac:dyDescent="0.2">
      <c r="A118" s="472"/>
      <c r="B118" s="461"/>
      <c r="C118" s="461"/>
      <c r="D118" s="456"/>
      <c r="E118" s="456"/>
      <c r="F118" s="456"/>
    </row>
    <row r="140" s="7" customFormat="1" ht="9" customHeight="1" x14ac:dyDescent="0.2"/>
  </sheetData>
  <mergeCells count="7">
    <mergeCell ref="B117:D117"/>
    <mergeCell ref="A8:F8"/>
    <mergeCell ref="A9:F9"/>
    <mergeCell ref="A11:F11"/>
    <mergeCell ref="A21:D21"/>
    <mergeCell ref="A115:F115"/>
    <mergeCell ref="B116:D116"/>
  </mergeCells>
  <hyperlinks>
    <hyperlink ref="A45" location="AbaRemun" display="3.1.2. Remuneração do Capital"/>
    <hyperlink ref="A29" location="AbaDeprec" display="3.1.1. Depreciação"/>
  </hyperlinks>
  <pageMargins left="0.9055118110236221" right="0.51181102362204722" top="0.43" bottom="0.63" header="0.31496062992125984" footer="0.31496062992125984"/>
  <pageSetup paperSize="9" scale="75" fitToHeight="0" orientation="portrait" verticalDpi="300" r:id="rId1"/>
  <headerFooter alignWithMargins="0">
    <oddFooter>&amp;R&amp;P de &amp;N</oddFooter>
  </headerFooter>
  <rowBreaks count="1" manualBreakCount="1">
    <brk id="114" max="5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opLeftCell="A23" workbookViewId="0"/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20.85546875" style="1" customWidth="1"/>
    <col min="4" max="4" width="37.28515625" style="157" customWidth="1"/>
    <col min="5" max="10" width="9.140625" style="1"/>
    <col min="11" max="11" width="11" style="1" bestFit="1" customWidth="1"/>
    <col min="12" max="16384" width="9.140625" style="1"/>
  </cols>
  <sheetData>
    <row r="1" spans="1:12" x14ac:dyDescent="0.2">
      <c r="A1" s="11" t="s">
        <v>193</v>
      </c>
    </row>
    <row r="2" spans="1:12" x14ac:dyDescent="0.2">
      <c r="A2" s="139" t="s">
        <v>237</v>
      </c>
    </row>
    <row r="3" spans="1:12" s="4" customFormat="1" ht="15.6" customHeight="1" x14ac:dyDescent="0.2">
      <c r="B3" s="138"/>
      <c r="C3" s="138"/>
      <c r="D3" s="138"/>
      <c r="E3" s="138"/>
      <c r="F3" s="138"/>
      <c r="G3" s="6"/>
    </row>
    <row r="4" spans="1:12" s="4" customFormat="1" ht="15.6" hidden="1" customHeight="1" x14ac:dyDescent="0.2">
      <c r="A4" s="302" t="s">
        <v>286</v>
      </c>
      <c r="B4" s="138"/>
      <c r="C4" s="138"/>
      <c r="D4" s="138"/>
      <c r="E4" s="138"/>
      <c r="F4" s="138"/>
      <c r="G4" s="6"/>
    </row>
    <row r="5" spans="1:12" s="4" customFormat="1" ht="16.5" customHeight="1" x14ac:dyDescent="0.2">
      <c r="A5" s="333" t="s">
        <v>306</v>
      </c>
      <c r="B5" s="5"/>
      <c r="C5" s="5"/>
      <c r="D5" s="6"/>
      <c r="E5" s="6"/>
      <c r="F5" s="6"/>
      <c r="G5" s="6"/>
    </row>
    <row r="6" spans="1:12" s="4" customFormat="1" ht="16.5" customHeight="1" x14ac:dyDescent="0.2">
      <c r="A6" s="333" t="s">
        <v>307</v>
      </c>
      <c r="B6" s="5"/>
      <c r="C6" s="5"/>
      <c r="D6" s="6"/>
      <c r="E6" s="6"/>
      <c r="F6" s="6"/>
      <c r="G6" s="6"/>
    </row>
    <row r="7" spans="1:12" ht="13.5" thickBot="1" x14ac:dyDescent="0.25"/>
    <row r="8" spans="1:12" ht="18" x14ac:dyDescent="0.2">
      <c r="A8" s="603" t="s">
        <v>380</v>
      </c>
      <c r="B8" s="604"/>
      <c r="C8" s="605"/>
      <c r="D8" s="149"/>
      <c r="E8" s="149"/>
      <c r="F8" s="149"/>
    </row>
    <row r="9" spans="1:12" ht="14.25" x14ac:dyDescent="0.2">
      <c r="A9" s="168" t="s">
        <v>132</v>
      </c>
      <c r="B9" s="169" t="s">
        <v>133</v>
      </c>
      <c r="C9" s="170" t="s">
        <v>134</v>
      </c>
      <c r="D9" s="171"/>
    </row>
    <row r="10" spans="1:12" ht="14.25" x14ac:dyDescent="0.2">
      <c r="A10" s="168" t="s">
        <v>135</v>
      </c>
      <c r="B10" s="169" t="s">
        <v>43</v>
      </c>
      <c r="C10" s="172">
        <v>0.2</v>
      </c>
      <c r="D10" s="171"/>
      <c r="F10" s="157"/>
      <c r="G10" s="157"/>
      <c r="H10" s="157"/>
      <c r="I10" s="157"/>
      <c r="J10" s="157"/>
      <c r="K10" s="157"/>
      <c r="L10" s="157"/>
    </row>
    <row r="11" spans="1:12" ht="14.25" x14ac:dyDescent="0.2">
      <c r="A11" s="168" t="s">
        <v>136</v>
      </c>
      <c r="B11" s="169" t="s">
        <v>137</v>
      </c>
      <c r="C11" s="172">
        <v>1.4999999999999999E-2</v>
      </c>
      <c r="D11" s="171"/>
      <c r="F11" s="157"/>
      <c r="G11" s="157"/>
      <c r="H11" s="157"/>
      <c r="I11" s="157"/>
      <c r="J11" s="157"/>
      <c r="K11" s="157"/>
      <c r="L11" s="157"/>
    </row>
    <row r="12" spans="1:12" ht="14.25" x14ac:dyDescent="0.2">
      <c r="A12" s="168" t="s">
        <v>138</v>
      </c>
      <c r="B12" s="169" t="s">
        <v>139</v>
      </c>
      <c r="C12" s="172">
        <v>0.01</v>
      </c>
      <c r="D12" s="171"/>
      <c r="F12" s="157"/>
      <c r="G12" s="157"/>
      <c r="H12" s="157"/>
      <c r="I12" s="157"/>
      <c r="J12" s="157"/>
      <c r="K12" s="157"/>
      <c r="L12" s="157"/>
    </row>
    <row r="13" spans="1:12" ht="14.25" x14ac:dyDescent="0.2">
      <c r="A13" s="168" t="s">
        <v>140</v>
      </c>
      <c r="B13" s="169" t="s">
        <v>141</v>
      </c>
      <c r="C13" s="172">
        <v>2E-3</v>
      </c>
      <c r="D13" s="171"/>
      <c r="F13" s="157"/>
      <c r="G13" s="157"/>
      <c r="H13" s="157"/>
      <c r="I13" s="157"/>
      <c r="J13" s="157"/>
      <c r="K13" s="157"/>
      <c r="L13" s="157"/>
    </row>
    <row r="14" spans="1:12" ht="14.25" x14ac:dyDescent="0.2">
      <c r="A14" s="168" t="s">
        <v>142</v>
      </c>
      <c r="B14" s="169" t="s">
        <v>143</v>
      </c>
      <c r="C14" s="172">
        <v>6.0000000000000001E-3</v>
      </c>
      <c r="D14" s="171"/>
      <c r="F14" s="157"/>
      <c r="G14" s="157"/>
      <c r="H14" s="157"/>
      <c r="I14" s="157"/>
      <c r="J14" s="157"/>
      <c r="K14" s="157"/>
      <c r="L14" s="157"/>
    </row>
    <row r="15" spans="1:12" ht="14.25" x14ac:dyDescent="0.2">
      <c r="A15" s="168" t="s">
        <v>144</v>
      </c>
      <c r="B15" s="169" t="s">
        <v>145</v>
      </c>
      <c r="C15" s="172">
        <v>2.5000000000000001E-2</v>
      </c>
      <c r="D15" s="171"/>
      <c r="F15" s="157"/>
      <c r="G15" s="157"/>
      <c r="H15" s="157"/>
      <c r="I15" s="157"/>
      <c r="J15" s="157"/>
      <c r="K15" s="157"/>
      <c r="L15" s="157"/>
    </row>
    <row r="16" spans="1:12" ht="14.25" x14ac:dyDescent="0.2">
      <c r="A16" s="168" t="s">
        <v>146</v>
      </c>
      <c r="B16" s="169" t="s">
        <v>147</v>
      </c>
      <c r="C16" s="172">
        <v>0.03</v>
      </c>
      <c r="D16" s="171"/>
      <c r="F16" s="157"/>
      <c r="G16" s="157"/>
      <c r="H16" s="157"/>
      <c r="I16" s="157"/>
      <c r="J16" s="157"/>
      <c r="K16" s="157"/>
      <c r="L16" s="157"/>
    </row>
    <row r="17" spans="1:12" ht="14.25" x14ac:dyDescent="0.2">
      <c r="A17" s="168" t="s">
        <v>148</v>
      </c>
      <c r="B17" s="169" t="s">
        <v>44</v>
      </c>
      <c r="C17" s="172">
        <v>0.08</v>
      </c>
      <c r="D17" s="173"/>
      <c r="F17" s="157"/>
      <c r="G17" s="157"/>
      <c r="H17" s="157"/>
      <c r="I17" s="157"/>
      <c r="J17" s="157"/>
      <c r="K17" s="157"/>
      <c r="L17" s="157"/>
    </row>
    <row r="18" spans="1:12" ht="15" x14ac:dyDescent="0.2">
      <c r="A18" s="168" t="s">
        <v>149</v>
      </c>
      <c r="B18" s="174" t="s">
        <v>150</v>
      </c>
      <c r="C18" s="175">
        <f>SUM(C10:C17)</f>
        <v>0.36800000000000005</v>
      </c>
      <c r="D18" s="173"/>
      <c r="F18" s="157"/>
      <c r="G18" s="157"/>
      <c r="H18" s="157"/>
      <c r="I18" s="157"/>
      <c r="J18" s="157"/>
      <c r="K18" s="157"/>
      <c r="L18" s="157"/>
    </row>
    <row r="19" spans="1:12" ht="15" x14ac:dyDescent="0.2">
      <c r="A19" s="176"/>
      <c r="B19" s="177"/>
      <c r="C19" s="178"/>
      <c r="D19" s="173"/>
      <c r="F19" s="157"/>
      <c r="G19" s="157"/>
      <c r="H19" s="157"/>
      <c r="I19" s="157"/>
      <c r="J19" s="157"/>
      <c r="K19" s="157"/>
      <c r="L19" s="157"/>
    </row>
    <row r="20" spans="1:12" ht="14.25" x14ac:dyDescent="0.2">
      <c r="A20" s="168" t="s">
        <v>151</v>
      </c>
      <c r="B20" s="179" t="s">
        <v>152</v>
      </c>
      <c r="C20" s="172">
        <f>ROUND(IF('5.CAGED'!C32&gt;24,(1-12/'5.CAGED'!C32)*0.1111,0.1111-C29),4)</f>
        <v>6.5699999999999995E-2</v>
      </c>
      <c r="D20" s="173"/>
      <c r="F20" s="157"/>
      <c r="G20" s="157"/>
      <c r="H20" s="157"/>
      <c r="I20" s="157"/>
      <c r="J20" s="157"/>
      <c r="K20" s="157"/>
      <c r="L20" s="157"/>
    </row>
    <row r="21" spans="1:12" ht="14.25" x14ac:dyDescent="0.2">
      <c r="A21" s="168" t="s">
        <v>153</v>
      </c>
      <c r="B21" s="179" t="s">
        <v>154</v>
      </c>
      <c r="C21" s="172">
        <f>ROUND('5.CAGED'!C36/'5.CAGED'!C33,4)</f>
        <v>8.3299999999999999E-2</v>
      </c>
      <c r="D21" s="173"/>
      <c r="F21" s="157"/>
      <c r="G21" s="157"/>
      <c r="H21" s="157"/>
      <c r="I21" s="157"/>
      <c r="J21" s="157"/>
      <c r="K21" s="157"/>
      <c r="L21" s="157"/>
    </row>
    <row r="22" spans="1:12" ht="14.25" x14ac:dyDescent="0.2">
      <c r="A22" s="168" t="s">
        <v>213</v>
      </c>
      <c r="B22" s="179" t="s">
        <v>156</v>
      </c>
      <c r="C22" s="172">
        <v>5.9999999999999995E-4</v>
      </c>
      <c r="D22" s="173"/>
      <c r="F22" s="157"/>
      <c r="G22" s="157"/>
      <c r="H22" s="157"/>
      <c r="I22" s="157"/>
      <c r="J22" s="157"/>
      <c r="K22" s="157"/>
      <c r="L22" s="157"/>
    </row>
    <row r="23" spans="1:12" ht="14.25" x14ac:dyDescent="0.2">
      <c r="A23" s="168" t="s">
        <v>155</v>
      </c>
      <c r="B23" s="179" t="s">
        <v>158</v>
      </c>
      <c r="C23" s="172">
        <v>8.2000000000000007E-3</v>
      </c>
      <c r="D23" s="173"/>
      <c r="F23" s="157"/>
      <c r="G23" s="157"/>
      <c r="H23" s="157"/>
      <c r="I23" s="157"/>
      <c r="J23" s="157"/>
      <c r="K23" s="157"/>
      <c r="L23" s="157"/>
    </row>
    <row r="24" spans="1:12" ht="14.25" x14ac:dyDescent="0.2">
      <c r="A24" s="168" t="s">
        <v>157</v>
      </c>
      <c r="B24" s="179" t="s">
        <v>160</v>
      </c>
      <c r="C24" s="172">
        <v>3.0999999999999999E-3</v>
      </c>
      <c r="D24" s="173"/>
      <c r="F24" s="157"/>
      <c r="G24" s="157"/>
      <c r="H24" s="157"/>
      <c r="I24" s="157"/>
      <c r="J24" s="157"/>
      <c r="K24" s="157"/>
      <c r="L24" s="157"/>
    </row>
    <row r="25" spans="1:12" ht="14.25" x14ac:dyDescent="0.2">
      <c r="A25" s="168" t="s">
        <v>159</v>
      </c>
      <c r="B25" s="179" t="s">
        <v>161</v>
      </c>
      <c r="C25" s="172">
        <v>1.2E-2</v>
      </c>
      <c r="D25" s="173"/>
      <c r="F25" s="157"/>
      <c r="G25" s="157"/>
      <c r="H25" s="157"/>
      <c r="I25" s="157"/>
      <c r="J25" s="157"/>
      <c r="K25" s="157"/>
      <c r="L25" s="157"/>
    </row>
    <row r="26" spans="1:12" ht="15" x14ac:dyDescent="0.2">
      <c r="A26" s="168" t="s">
        <v>162</v>
      </c>
      <c r="B26" s="174" t="s">
        <v>163</v>
      </c>
      <c r="C26" s="175">
        <f>SUM(C20:C25)</f>
        <v>0.1729</v>
      </c>
      <c r="D26" s="180"/>
      <c r="F26" s="157"/>
      <c r="G26" s="157"/>
      <c r="H26" s="157"/>
      <c r="I26" s="157"/>
      <c r="J26" s="157"/>
      <c r="K26" s="157"/>
      <c r="L26" s="157"/>
    </row>
    <row r="27" spans="1:12" ht="15" x14ac:dyDescent="0.2">
      <c r="A27" s="176"/>
      <c r="B27" s="177"/>
      <c r="C27" s="178"/>
      <c r="D27" s="180"/>
      <c r="F27" s="157"/>
      <c r="G27" s="157"/>
      <c r="H27" s="157"/>
      <c r="I27" s="157"/>
      <c r="J27" s="157"/>
      <c r="K27" s="157"/>
      <c r="L27" s="157"/>
    </row>
    <row r="28" spans="1:12" ht="14.25" x14ac:dyDescent="0.2">
      <c r="A28" s="168" t="s">
        <v>164</v>
      </c>
      <c r="B28" s="169" t="s">
        <v>165</v>
      </c>
      <c r="C28" s="172">
        <v>2.1000000000000001E-2</v>
      </c>
      <c r="D28" s="173"/>
      <c r="E28" s="181"/>
      <c r="F28" s="157"/>
      <c r="G28" s="157"/>
      <c r="H28" s="157"/>
      <c r="I28" s="157"/>
      <c r="J28" s="157"/>
      <c r="K28" s="157"/>
      <c r="L28" s="157"/>
    </row>
    <row r="29" spans="1:12" ht="14.25" x14ac:dyDescent="0.2">
      <c r="A29" s="168" t="s">
        <v>212</v>
      </c>
      <c r="B29" s="169" t="s">
        <v>167</v>
      </c>
      <c r="C29" s="172">
        <f>ROUND(IF('5.CAGED'!C32&gt;12,12/'5.CAGED'!C32*0.1111,0.1111),4)</f>
        <v>4.5400000000000003E-2</v>
      </c>
      <c r="D29" s="173"/>
      <c r="F29" s="157"/>
      <c r="G29" s="157"/>
      <c r="H29" s="182"/>
      <c r="I29" s="157"/>
      <c r="J29" s="157"/>
      <c r="K29" s="157"/>
      <c r="L29" s="157"/>
    </row>
    <row r="30" spans="1:12" ht="14.25" x14ac:dyDescent="0.2">
      <c r="A30" s="168" t="s">
        <v>166</v>
      </c>
      <c r="B30" s="169" t="s">
        <v>169</v>
      </c>
      <c r="C30" s="172">
        <f>C28*C29</f>
        <v>9.5340000000000008E-4</v>
      </c>
      <c r="D30" s="173"/>
      <c r="E30" s="181"/>
      <c r="F30" s="157"/>
      <c r="G30" s="157"/>
      <c r="H30" s="157"/>
      <c r="I30" s="157"/>
      <c r="J30" s="157"/>
      <c r="K30" s="157"/>
      <c r="L30" s="157"/>
    </row>
    <row r="31" spans="1:12" ht="14.25" x14ac:dyDescent="0.2">
      <c r="A31" s="168" t="s">
        <v>168</v>
      </c>
      <c r="B31" s="169" t="s">
        <v>171</v>
      </c>
      <c r="C31" s="172">
        <v>1.7999999999999999E-2</v>
      </c>
      <c r="D31" s="173"/>
      <c r="F31" s="157"/>
      <c r="G31" s="183"/>
      <c r="H31" s="157"/>
      <c r="I31" s="157"/>
      <c r="J31" s="157"/>
      <c r="K31" s="157"/>
      <c r="L31" s="157"/>
    </row>
    <row r="32" spans="1:12" ht="14.25" x14ac:dyDescent="0.2">
      <c r="A32" s="168" t="s">
        <v>170</v>
      </c>
      <c r="B32" s="169" t="s">
        <v>172</v>
      </c>
      <c r="C32" s="172">
        <f>ROUND(('5.CAGED'!C35/'5.CAGED'!C33)*'5.CAGED'!C30/12,4)</f>
        <v>2E-3</v>
      </c>
      <c r="D32" s="173"/>
      <c r="F32" s="157"/>
      <c r="G32" s="157"/>
      <c r="H32" s="157"/>
      <c r="I32" s="157"/>
      <c r="J32" s="157"/>
      <c r="K32" s="157"/>
      <c r="L32" s="157"/>
    </row>
    <row r="33" spans="1:12" ht="15" x14ac:dyDescent="0.2">
      <c r="A33" s="168" t="s">
        <v>173</v>
      </c>
      <c r="B33" s="174" t="s">
        <v>174</v>
      </c>
      <c r="C33" s="175">
        <f>SUM(C28:C32)</f>
        <v>8.7353400000000012E-2</v>
      </c>
      <c r="D33" s="180"/>
      <c r="F33" s="157"/>
      <c r="G33" s="157"/>
      <c r="H33" s="157"/>
      <c r="I33" s="157"/>
      <c r="J33" s="157"/>
      <c r="K33" s="157"/>
      <c r="L33" s="157"/>
    </row>
    <row r="34" spans="1:12" ht="15" x14ac:dyDescent="0.2">
      <c r="A34" s="176"/>
      <c r="B34" s="177"/>
      <c r="C34" s="178"/>
      <c r="D34" s="180"/>
      <c r="F34" s="157"/>
      <c r="G34" s="157"/>
      <c r="H34" s="157"/>
      <c r="I34" s="157"/>
      <c r="J34" s="157"/>
      <c r="K34" s="157"/>
      <c r="L34" s="157"/>
    </row>
    <row r="35" spans="1:12" ht="14.25" x14ac:dyDescent="0.2">
      <c r="A35" s="168" t="s">
        <v>175</v>
      </c>
      <c r="B35" s="169" t="s">
        <v>176</v>
      </c>
      <c r="C35" s="172">
        <f>ROUND(C18*C26,4)</f>
        <v>6.3600000000000004E-2</v>
      </c>
      <c r="D35" s="173"/>
      <c r="F35" s="157"/>
      <c r="G35" s="157"/>
      <c r="H35" s="157"/>
      <c r="I35" s="157"/>
      <c r="J35" s="157"/>
      <c r="K35" s="157"/>
      <c r="L35" s="157"/>
    </row>
    <row r="36" spans="1:12" ht="28.5" x14ac:dyDescent="0.2">
      <c r="A36" s="168" t="s">
        <v>177</v>
      </c>
      <c r="B36" s="184" t="s">
        <v>282</v>
      </c>
      <c r="C36" s="172">
        <f>ROUND((C28*C17),4)</f>
        <v>1.6999999999999999E-3</v>
      </c>
      <c r="D36" s="173"/>
      <c r="F36" s="157"/>
      <c r="G36" s="157"/>
      <c r="H36" s="157"/>
      <c r="I36" s="157"/>
      <c r="J36" s="157"/>
      <c r="K36" s="157"/>
      <c r="L36" s="157"/>
    </row>
    <row r="37" spans="1:12" ht="15" x14ac:dyDescent="0.2">
      <c r="A37" s="168" t="s">
        <v>178</v>
      </c>
      <c r="B37" s="174" t="s">
        <v>179</v>
      </c>
      <c r="C37" s="175">
        <f>SUM(C35:C36)</f>
        <v>6.5299999999999997E-2</v>
      </c>
      <c r="D37" s="185"/>
      <c r="F37" s="157"/>
      <c r="G37" s="157"/>
      <c r="H37" s="157"/>
      <c r="I37" s="157"/>
      <c r="J37" s="157"/>
      <c r="K37" s="157"/>
      <c r="L37" s="157"/>
    </row>
    <row r="38" spans="1:12" ht="15.75" thickBot="1" x14ac:dyDescent="0.25">
      <c r="A38" s="186"/>
      <c r="B38" s="187" t="s">
        <v>180</v>
      </c>
      <c r="C38" s="188">
        <f>C37+C33+C26+C18</f>
        <v>0.6935534000000001</v>
      </c>
      <c r="D38" s="185"/>
      <c r="F38" s="157"/>
      <c r="G38" s="157"/>
      <c r="H38" s="157"/>
      <c r="I38" s="157"/>
      <c r="J38" s="157"/>
      <c r="K38" s="157"/>
      <c r="L38" s="157"/>
    </row>
    <row r="39" spans="1:12" ht="15" x14ac:dyDescent="0.2">
      <c r="A39" s="173"/>
      <c r="B39" s="189"/>
      <c r="C39" s="190"/>
      <c r="D39" s="191"/>
      <c r="F39" s="157"/>
      <c r="G39" s="157"/>
      <c r="H39" s="157"/>
      <c r="I39" s="157"/>
      <c r="J39" s="157"/>
      <c r="K39" s="157"/>
      <c r="L39" s="157"/>
    </row>
    <row r="40" spans="1:12" ht="14.25" x14ac:dyDescent="0.2">
      <c r="A40" s="173"/>
      <c r="B40" s="173"/>
      <c r="C40" s="192"/>
      <c r="D40" s="193"/>
      <c r="F40" s="157"/>
      <c r="G40" s="157"/>
      <c r="H40" s="157"/>
      <c r="I40" s="157"/>
      <c r="J40" s="157"/>
      <c r="K40" s="157"/>
      <c r="L40" s="157"/>
    </row>
    <row r="41" spans="1:12" ht="14.25" x14ac:dyDescent="0.2">
      <c r="A41" s="171"/>
      <c r="B41" s="171"/>
      <c r="C41" s="194"/>
      <c r="D41" s="171"/>
      <c r="F41" s="157"/>
      <c r="G41" s="157"/>
      <c r="H41" s="157"/>
      <c r="I41" s="157"/>
      <c r="J41" s="157"/>
      <c r="K41" s="157"/>
      <c r="L41" s="157"/>
    </row>
    <row r="42" spans="1:12" ht="14.25" x14ac:dyDescent="0.2">
      <c r="A42" s="171"/>
      <c r="B42" s="171"/>
      <c r="C42" s="194"/>
      <c r="D42" s="171"/>
      <c r="F42" s="157"/>
      <c r="G42" s="157"/>
      <c r="H42" s="157"/>
      <c r="I42" s="157"/>
      <c r="J42" s="157"/>
      <c r="K42" s="157"/>
      <c r="L42" s="157"/>
    </row>
    <row r="43" spans="1:12" ht="14.25" x14ac:dyDescent="0.2">
      <c r="A43" s="171"/>
      <c r="B43" s="171"/>
      <c r="C43" s="194"/>
      <c r="D43" s="171"/>
      <c r="F43" s="157"/>
      <c r="G43" s="157"/>
      <c r="H43" s="157"/>
      <c r="I43" s="157"/>
      <c r="J43" s="157"/>
      <c r="K43" s="157"/>
      <c r="L43" s="157"/>
    </row>
    <row r="44" spans="1:12" ht="15" x14ac:dyDescent="0.2">
      <c r="A44" s="171"/>
      <c r="B44" s="195"/>
      <c r="C44" s="196"/>
      <c r="D44" s="171"/>
      <c r="F44" s="157"/>
      <c r="G44" s="157"/>
      <c r="H44" s="157"/>
      <c r="I44" s="157"/>
      <c r="J44" s="157"/>
      <c r="K44" s="157"/>
      <c r="L44" s="157"/>
    </row>
    <row r="45" spans="1:12" ht="15" x14ac:dyDescent="0.2">
      <c r="A45" s="185"/>
      <c r="B45" s="195"/>
      <c r="C45" s="196"/>
      <c r="D45" s="185"/>
      <c r="E45" s="157"/>
      <c r="F45" s="157"/>
      <c r="G45" s="157"/>
      <c r="H45" s="157"/>
      <c r="I45" s="157"/>
      <c r="J45" s="157"/>
      <c r="K45" s="157"/>
      <c r="L45" s="157"/>
    </row>
    <row r="46" spans="1:12" ht="16.5" x14ac:dyDescent="0.2">
      <c r="A46" s="197"/>
      <c r="B46" s="157"/>
      <c r="C46" s="157"/>
      <c r="E46" s="157"/>
      <c r="F46" s="157"/>
      <c r="G46" s="157"/>
      <c r="H46" s="157"/>
      <c r="I46" s="157"/>
      <c r="J46" s="157"/>
      <c r="K46" s="157"/>
      <c r="L46" s="157"/>
    </row>
    <row r="47" spans="1:12" x14ac:dyDescent="0.2">
      <c r="A47" s="198"/>
      <c r="B47" s="199"/>
      <c r="C47" s="199"/>
      <c r="E47" s="157"/>
      <c r="F47" s="157"/>
      <c r="G47" s="157"/>
      <c r="H47" s="157"/>
      <c r="I47" s="157"/>
      <c r="J47" s="157"/>
      <c r="K47" s="157"/>
      <c r="L47" s="157"/>
    </row>
    <row r="48" spans="1:12" ht="14.25" x14ac:dyDescent="0.2">
      <c r="A48" s="171"/>
      <c r="B48" s="200"/>
      <c r="C48" s="199"/>
      <c r="E48" s="157"/>
      <c r="F48" s="157"/>
      <c r="G48" s="157"/>
      <c r="H48" s="157"/>
      <c r="I48" s="157"/>
      <c r="J48" s="157"/>
      <c r="K48" s="157"/>
      <c r="L48" s="157"/>
    </row>
    <row r="49" spans="1:12" ht="14.25" x14ac:dyDescent="0.2">
      <c r="A49" s="171"/>
      <c r="B49" s="200"/>
      <c r="C49" s="171"/>
      <c r="E49" s="157"/>
      <c r="F49" s="157"/>
      <c r="G49" s="157"/>
      <c r="H49" s="157"/>
      <c r="I49" s="157"/>
      <c r="J49" s="157"/>
      <c r="K49" s="157"/>
      <c r="L49" s="157"/>
    </row>
    <row r="50" spans="1:12" ht="14.25" x14ac:dyDescent="0.2">
      <c r="A50" s="171"/>
      <c r="B50" s="194"/>
      <c r="C50" s="199"/>
      <c r="E50" s="157"/>
      <c r="F50" s="157"/>
      <c r="G50" s="157"/>
      <c r="H50" s="157"/>
      <c r="I50" s="157"/>
      <c r="J50" s="157"/>
      <c r="K50" s="157"/>
      <c r="L50" s="157"/>
    </row>
    <row r="51" spans="1:12" ht="14.25" x14ac:dyDescent="0.2">
      <c r="A51" s="171"/>
      <c r="B51" s="200"/>
      <c r="C51" s="171"/>
      <c r="E51" s="157"/>
      <c r="F51" s="157"/>
      <c r="G51" s="157"/>
      <c r="H51" s="157"/>
      <c r="I51" s="157"/>
      <c r="J51" s="157"/>
      <c r="K51" s="157"/>
      <c r="L51" s="157"/>
    </row>
    <row r="52" spans="1:12" ht="14.25" x14ac:dyDescent="0.2">
      <c r="A52" s="171"/>
      <c r="B52" s="194"/>
      <c r="C52" s="199"/>
      <c r="E52" s="157"/>
      <c r="F52" s="157"/>
      <c r="G52" s="157"/>
      <c r="H52" s="157"/>
      <c r="I52" s="157"/>
      <c r="J52" s="157"/>
      <c r="K52" s="157"/>
      <c r="L52" s="157"/>
    </row>
    <row r="53" spans="1:12" ht="14.25" x14ac:dyDescent="0.2">
      <c r="A53" s="171"/>
      <c r="B53" s="200"/>
      <c r="C53" s="171"/>
      <c r="E53" s="157"/>
      <c r="F53" s="157"/>
      <c r="G53" s="157"/>
      <c r="H53" s="157"/>
      <c r="I53" s="157"/>
      <c r="J53" s="157"/>
      <c r="K53" s="157"/>
      <c r="L53" s="157"/>
    </row>
    <row r="54" spans="1:12" ht="14.25" x14ac:dyDescent="0.2">
      <c r="A54" s="171"/>
      <c r="B54" s="194"/>
      <c r="C54" s="199"/>
      <c r="E54" s="157"/>
      <c r="F54" s="157"/>
      <c r="G54" s="157"/>
      <c r="H54" s="157"/>
      <c r="I54" s="157"/>
      <c r="J54" s="157"/>
      <c r="K54" s="157"/>
      <c r="L54" s="157"/>
    </row>
    <row r="55" spans="1:12" ht="14.25" x14ac:dyDescent="0.2">
      <c r="A55" s="171"/>
      <c r="B55" s="200"/>
      <c r="C55" s="171"/>
      <c r="E55" s="157"/>
      <c r="F55" s="157"/>
      <c r="G55" s="157"/>
      <c r="H55" s="157"/>
      <c r="I55" s="157"/>
      <c r="J55" s="157"/>
      <c r="K55" s="157"/>
      <c r="L55" s="157"/>
    </row>
    <row r="56" spans="1:12" ht="14.25" x14ac:dyDescent="0.2">
      <c r="A56" s="171"/>
      <c r="B56" s="194"/>
      <c r="C56" s="199"/>
      <c r="E56" s="157"/>
      <c r="F56" s="157"/>
      <c r="G56" s="157"/>
      <c r="H56" s="157"/>
      <c r="I56" s="157"/>
      <c r="J56" s="157"/>
      <c r="K56" s="157"/>
      <c r="L56" s="157"/>
    </row>
    <row r="57" spans="1:12" ht="16.5" x14ac:dyDescent="0.2">
      <c r="A57" s="197"/>
      <c r="B57" s="157"/>
      <c r="C57" s="157"/>
      <c r="E57" s="157"/>
      <c r="F57" s="157"/>
      <c r="G57" s="157"/>
      <c r="H57" s="157"/>
      <c r="I57" s="157"/>
      <c r="J57" s="157"/>
      <c r="K57" s="157"/>
      <c r="L57" s="157"/>
    </row>
    <row r="58" spans="1:12" x14ac:dyDescent="0.2">
      <c r="A58" s="157"/>
      <c r="B58" s="157"/>
      <c r="C58" s="157"/>
      <c r="E58" s="157"/>
      <c r="F58" s="157"/>
      <c r="G58" s="157"/>
      <c r="H58" s="157"/>
      <c r="I58" s="157"/>
      <c r="J58" s="157"/>
      <c r="K58" s="157"/>
      <c r="L58" s="157"/>
    </row>
    <row r="59" spans="1:12" x14ac:dyDescent="0.2">
      <c r="A59" s="157"/>
      <c r="B59" s="157"/>
      <c r="C59" s="157"/>
      <c r="E59" s="157"/>
      <c r="F59" s="157"/>
      <c r="G59" s="157"/>
      <c r="H59" s="157"/>
      <c r="I59" s="157"/>
      <c r="J59" s="157"/>
      <c r="K59" s="157"/>
      <c r="L59" s="157"/>
    </row>
    <row r="60" spans="1:12" x14ac:dyDescent="0.2">
      <c r="A60" s="201"/>
      <c r="B60" s="157"/>
      <c r="C60" s="157"/>
      <c r="E60" s="157"/>
      <c r="F60" s="157"/>
      <c r="G60" s="157"/>
      <c r="H60" s="157"/>
      <c r="I60" s="157"/>
      <c r="J60" s="157"/>
      <c r="K60" s="157"/>
      <c r="L60" s="157"/>
    </row>
    <row r="61" spans="1:12" x14ac:dyDescent="0.2">
      <c r="A61" s="157"/>
      <c r="B61" s="157"/>
      <c r="C61" s="157"/>
      <c r="E61" s="157"/>
    </row>
    <row r="62" spans="1:12" x14ac:dyDescent="0.2">
      <c r="A62" s="157"/>
      <c r="B62" s="157"/>
      <c r="C62" s="157"/>
      <c r="E62" s="157"/>
    </row>
    <row r="63" spans="1:12" x14ac:dyDescent="0.2">
      <c r="A63" s="157"/>
      <c r="B63" s="157"/>
      <c r="C63" s="157"/>
      <c r="E63" s="157"/>
    </row>
    <row r="64" spans="1:12" x14ac:dyDescent="0.2">
      <c r="A64" s="157"/>
      <c r="B64" s="157"/>
      <c r="C64" s="157"/>
      <c r="E64" s="157"/>
    </row>
    <row r="65" spans="1:5" x14ac:dyDescent="0.2">
      <c r="A65" s="157"/>
      <c r="B65" s="157"/>
      <c r="C65" s="157"/>
      <c r="E65" s="157"/>
    </row>
    <row r="66" spans="1:5" x14ac:dyDescent="0.2">
      <c r="A66" s="157"/>
      <c r="B66" s="157"/>
      <c r="C66" s="157"/>
      <c r="E66" s="157"/>
    </row>
    <row r="67" spans="1:5" x14ac:dyDescent="0.2">
      <c r="A67" s="157"/>
      <c r="B67" s="157"/>
      <c r="C67" s="157"/>
      <c r="E67" s="157"/>
    </row>
    <row r="68" spans="1:5" x14ac:dyDescent="0.2">
      <c r="A68" s="157"/>
      <c r="B68" s="157"/>
      <c r="C68" s="157"/>
      <c r="E68" s="157"/>
    </row>
    <row r="69" spans="1:5" x14ac:dyDescent="0.2">
      <c r="A69" s="157"/>
      <c r="B69" s="157"/>
      <c r="C69" s="157"/>
      <c r="E69" s="157"/>
    </row>
  </sheetData>
  <mergeCells count="1">
    <mergeCell ref="A8:C8"/>
  </mergeCells>
  <pageMargins left="0.90551181102362199" right="0.51181102362204722" top="0.74803149606299213" bottom="0.74803149606299213" header="0.31496062992125984" footer="0.31496062992125984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/>
  </sheetViews>
  <sheetFormatPr defaultColWidth="9.140625"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08" t="s">
        <v>231</v>
      </c>
    </row>
    <row r="3" spans="1:3" x14ac:dyDescent="0.2">
      <c r="A3" s="1" t="s">
        <v>201</v>
      </c>
    </row>
    <row r="4" spans="1:3" x14ac:dyDescent="0.2">
      <c r="A4" s="277" t="s">
        <v>197</v>
      </c>
    </row>
    <row r="5" spans="1:3" ht="25.5" customHeight="1" x14ac:dyDescent="0.2">
      <c r="A5" s="609" t="s">
        <v>246</v>
      </c>
      <c r="B5" s="608"/>
      <c r="C5" s="608"/>
    </row>
    <row r="6" spans="1:3" x14ac:dyDescent="0.2">
      <c r="A6" s="1" t="s">
        <v>198</v>
      </c>
    </row>
    <row r="7" spans="1:3" ht="26.25" customHeight="1" x14ac:dyDescent="0.2">
      <c r="A7" s="608" t="s">
        <v>199</v>
      </c>
      <c r="B7" s="608"/>
      <c r="C7" s="608"/>
    </row>
    <row r="8" spans="1:3" x14ac:dyDescent="0.2">
      <c r="A8" s="1" t="s">
        <v>200</v>
      </c>
    </row>
    <row r="9" spans="1:3" x14ac:dyDescent="0.2">
      <c r="A9" s="304" t="s">
        <v>232</v>
      </c>
    </row>
    <row r="10" spans="1:3" ht="13.5" thickBot="1" x14ac:dyDescent="0.25"/>
    <row r="11" spans="1:3" ht="18" x14ac:dyDescent="0.25">
      <c r="B11" s="606" t="s">
        <v>381</v>
      </c>
      <c r="C11" s="607"/>
    </row>
    <row r="12" spans="1:3" ht="15" x14ac:dyDescent="0.25">
      <c r="A12" s="157"/>
      <c r="B12" s="156" t="s">
        <v>196</v>
      </c>
      <c r="C12" s="202"/>
    </row>
    <row r="13" spans="1:3" ht="15" x14ac:dyDescent="0.25">
      <c r="A13" s="157"/>
      <c r="B13" s="158" t="s">
        <v>116</v>
      </c>
      <c r="C13" s="159">
        <v>1932</v>
      </c>
    </row>
    <row r="14" spans="1:3" ht="15" x14ac:dyDescent="0.25">
      <c r="A14" s="157"/>
      <c r="B14" s="160" t="s">
        <v>117</v>
      </c>
      <c r="C14" s="159">
        <v>2197</v>
      </c>
    </row>
    <row r="15" spans="1:3" ht="14.25" x14ac:dyDescent="0.2">
      <c r="A15" s="157"/>
      <c r="B15" s="203" t="s">
        <v>118</v>
      </c>
      <c r="C15" s="204">
        <v>25</v>
      </c>
    </row>
    <row r="16" spans="1:3" ht="14.25" x14ac:dyDescent="0.2">
      <c r="A16" s="157"/>
      <c r="B16" s="203" t="s">
        <v>119</v>
      </c>
      <c r="C16" s="204">
        <v>1463</v>
      </c>
    </row>
    <row r="17" spans="1:5" ht="14.25" x14ac:dyDescent="0.2">
      <c r="A17" s="157"/>
      <c r="B17" s="203" t="s">
        <v>120</v>
      </c>
      <c r="C17" s="204">
        <v>321</v>
      </c>
    </row>
    <row r="18" spans="1:5" ht="14.25" x14ac:dyDescent="0.2">
      <c r="A18" s="157"/>
      <c r="B18" s="203" t="s">
        <v>121</v>
      </c>
      <c r="C18" s="204">
        <v>12</v>
      </c>
    </row>
    <row r="19" spans="1:5" ht="14.25" x14ac:dyDescent="0.2">
      <c r="A19" s="157"/>
      <c r="B19" s="203" t="s">
        <v>122</v>
      </c>
      <c r="C19" s="204">
        <v>339</v>
      </c>
    </row>
    <row r="20" spans="1:5" ht="14.25" x14ac:dyDescent="0.2">
      <c r="A20" s="157"/>
      <c r="B20" s="203" t="s">
        <v>123</v>
      </c>
      <c r="C20" s="204">
        <v>0</v>
      </c>
    </row>
    <row r="21" spans="1:5" ht="14.25" x14ac:dyDescent="0.2">
      <c r="A21" s="157"/>
      <c r="B21" s="203" t="s">
        <v>124</v>
      </c>
      <c r="C21" s="204">
        <v>22</v>
      </c>
    </row>
    <row r="22" spans="1:5" ht="14.25" x14ac:dyDescent="0.2">
      <c r="A22" s="157"/>
      <c r="B22" s="205" t="s">
        <v>125</v>
      </c>
      <c r="C22" s="206">
        <v>0</v>
      </c>
    </row>
    <row r="23" spans="1:5" ht="14.25" x14ac:dyDescent="0.2">
      <c r="A23" s="157"/>
      <c r="B23" s="310" t="s">
        <v>289</v>
      </c>
      <c r="C23" s="206">
        <v>0</v>
      </c>
    </row>
    <row r="24" spans="1:5" ht="15" x14ac:dyDescent="0.25">
      <c r="A24" s="157" t="s">
        <v>126</v>
      </c>
      <c r="B24" s="156" t="s">
        <v>127</v>
      </c>
      <c r="C24" s="202"/>
    </row>
    <row r="25" spans="1:5" ht="14.25" x14ac:dyDescent="0.2">
      <c r="A25" s="157"/>
      <c r="B25" s="207" t="s">
        <v>290</v>
      </c>
      <c r="C25" s="208">
        <v>5183</v>
      </c>
    </row>
    <row r="26" spans="1:5" ht="14.25" x14ac:dyDescent="0.2">
      <c r="A26" s="157"/>
      <c r="B26" s="203" t="s">
        <v>291</v>
      </c>
      <c r="C26" s="204">
        <v>4918</v>
      </c>
    </row>
    <row r="27" spans="1:5" ht="14.25" x14ac:dyDescent="0.2">
      <c r="B27" s="203" t="s">
        <v>292</v>
      </c>
      <c r="C27" s="303">
        <f>C13-C14</f>
        <v>-265</v>
      </c>
    </row>
    <row r="28" spans="1:5" ht="14.25" x14ac:dyDescent="0.2">
      <c r="B28" s="209"/>
      <c r="C28" s="210"/>
    </row>
    <row r="29" spans="1:5" s="108" customFormat="1" ht="15" x14ac:dyDescent="0.25">
      <c r="B29" s="158" t="s">
        <v>129</v>
      </c>
      <c r="C29" s="211">
        <f>MEDIAN(C25,C26)</f>
        <v>5050.5</v>
      </c>
    </row>
    <row r="30" spans="1:5" ht="15" x14ac:dyDescent="0.25">
      <c r="B30" s="160" t="s">
        <v>287</v>
      </c>
      <c r="C30" s="308">
        <f>C16/C29</f>
        <v>0.28967428967428965</v>
      </c>
    </row>
    <row r="31" spans="1:5" ht="15" x14ac:dyDescent="0.25">
      <c r="B31" s="160" t="s">
        <v>288</v>
      </c>
      <c r="C31" s="308">
        <f>MEDIAN(C13,C14)/C29</f>
        <v>0.40877140877140877</v>
      </c>
      <c r="E31" s="277"/>
    </row>
    <row r="32" spans="1:5" s="108" customFormat="1" ht="15" x14ac:dyDescent="0.25">
      <c r="B32" s="160" t="s">
        <v>238</v>
      </c>
      <c r="C32" s="306">
        <f>12/C31</f>
        <v>29.356260595785905</v>
      </c>
    </row>
    <row r="33" spans="2:3" ht="15" x14ac:dyDescent="0.25">
      <c r="B33" s="160" t="s">
        <v>128</v>
      </c>
      <c r="C33" s="162">
        <v>360</v>
      </c>
    </row>
    <row r="34" spans="2:3" ht="15" x14ac:dyDescent="0.25">
      <c r="B34" s="160" t="s">
        <v>233</v>
      </c>
      <c r="C34" s="162">
        <v>10</v>
      </c>
    </row>
    <row r="35" spans="2:3" ht="15" x14ac:dyDescent="0.25">
      <c r="B35" s="158" t="s">
        <v>234</v>
      </c>
      <c r="C35" s="161">
        <v>30</v>
      </c>
    </row>
    <row r="36" spans="2:3" ht="15" x14ac:dyDescent="0.25">
      <c r="B36" s="158" t="s">
        <v>235</v>
      </c>
      <c r="C36" s="161">
        <v>30</v>
      </c>
    </row>
    <row r="37" spans="2:3" s="108" customFormat="1" ht="15" x14ac:dyDescent="0.25">
      <c r="B37" s="158" t="s">
        <v>131</v>
      </c>
      <c r="C37" s="161">
        <f>30+(3*TRUNC(1/C31))</f>
        <v>36</v>
      </c>
    </row>
    <row r="38" spans="2:3" s="108" customFormat="1" ht="15" x14ac:dyDescent="0.25">
      <c r="B38" s="160" t="s">
        <v>44</v>
      </c>
      <c r="C38" s="307">
        <v>0.08</v>
      </c>
    </row>
    <row r="39" spans="2:3" s="108" customFormat="1" ht="15.75" thickBot="1" x14ac:dyDescent="0.3">
      <c r="B39" s="163" t="s">
        <v>130</v>
      </c>
      <c r="C39" s="309">
        <v>0.4</v>
      </c>
    </row>
  </sheetData>
  <mergeCells count="3">
    <mergeCell ref="B11:C11"/>
    <mergeCell ref="A7:C7"/>
    <mergeCell ref="A5:C5"/>
  </mergeCells>
  <pageMargins left="0.90551181102362199" right="0.51181102362204722" top="0.74803149606299213" bottom="0.74803149606299213" header="0.31496062992125984" footer="0.31496062992125984"/>
  <pageSetup paperSize="9" scale="98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A16" sqref="A16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21" bestFit="1" customWidth="1"/>
    <col min="6" max="6" width="9.7109375" bestFit="1" customWidth="1"/>
  </cols>
  <sheetData>
    <row r="1" spans="1:8" s="146" customFormat="1" ht="14.25" x14ac:dyDescent="0.2">
      <c r="A1" s="11" t="s">
        <v>193</v>
      </c>
      <c r="B1" s="144"/>
      <c r="C1" s="144"/>
      <c r="E1" s="147"/>
    </row>
    <row r="2" spans="1:8" s="146" customFormat="1" ht="14.25" x14ac:dyDescent="0.2">
      <c r="A2" s="139" t="s">
        <v>239</v>
      </c>
      <c r="B2" s="144"/>
      <c r="C2" s="144"/>
      <c r="E2" s="147"/>
    </row>
    <row r="3" spans="1:8" s="146" customFormat="1" ht="14.25" x14ac:dyDescent="0.2">
      <c r="A3" s="9" t="s">
        <v>194</v>
      </c>
      <c r="B3" s="144"/>
      <c r="C3" s="144"/>
      <c r="E3" s="147"/>
    </row>
    <row r="4" spans="1:8" s="146" customFormat="1" ht="14.25" x14ac:dyDescent="0.2">
      <c r="A4" s="9"/>
      <c r="B4" s="144"/>
      <c r="C4" s="144"/>
      <c r="E4" s="147"/>
    </row>
    <row r="5" spans="1:8" s="4" customFormat="1" ht="15.6" hidden="1" customHeight="1" x14ac:dyDescent="0.2">
      <c r="A5" s="302" t="s">
        <v>286</v>
      </c>
      <c r="B5" s="138"/>
      <c r="C5" s="138"/>
      <c r="D5" s="138"/>
      <c r="E5" s="138"/>
      <c r="F5" s="138"/>
      <c r="G5" s="6"/>
    </row>
    <row r="6" spans="1:8" s="4" customFormat="1" ht="16.5" customHeight="1" x14ac:dyDescent="0.2">
      <c r="A6" s="333" t="s">
        <v>304</v>
      </c>
      <c r="B6" s="5"/>
      <c r="C6" s="5"/>
      <c r="D6" s="6"/>
      <c r="E6" s="6"/>
      <c r="F6" s="6"/>
      <c r="G6" s="6"/>
    </row>
    <row r="7" spans="1:8" s="4" customFormat="1" ht="16.5" customHeight="1" x14ac:dyDescent="0.2">
      <c r="A7" s="333" t="s">
        <v>305</v>
      </c>
      <c r="B7" s="5"/>
      <c r="C7" s="5"/>
      <c r="D7" s="6"/>
      <c r="E7" s="6"/>
      <c r="F7" s="6"/>
      <c r="G7" s="6"/>
    </row>
    <row r="8" spans="1:8" s="146" customFormat="1" ht="15" thickBot="1" x14ac:dyDescent="0.25">
      <c r="B8" s="144"/>
      <c r="C8" s="144"/>
      <c r="E8" s="147"/>
    </row>
    <row r="9" spans="1:8" ht="15.75" x14ac:dyDescent="0.2">
      <c r="A9" s="615" t="s">
        <v>382</v>
      </c>
      <c r="B9" s="616"/>
      <c r="C9" s="616"/>
      <c r="D9" s="616"/>
      <c r="E9" s="616"/>
      <c r="F9" s="617"/>
    </row>
    <row r="10" spans="1:8" ht="16.5" thickBot="1" x14ac:dyDescent="0.25">
      <c r="A10" s="262"/>
      <c r="B10" s="263"/>
      <c r="C10" s="263"/>
      <c r="D10" s="263"/>
      <c r="E10" s="263"/>
      <c r="F10" s="264"/>
    </row>
    <row r="11" spans="1:8" ht="15" x14ac:dyDescent="0.25">
      <c r="A11" s="212"/>
      <c r="B11" s="145"/>
      <c r="C11" s="145"/>
      <c r="D11" s="612" t="s">
        <v>236</v>
      </c>
      <c r="E11" s="613"/>
      <c r="F11" s="614"/>
      <c r="G11" s="146"/>
      <c r="H11" s="146"/>
    </row>
    <row r="12" spans="1:8" ht="15" thickBot="1" x14ac:dyDescent="0.25">
      <c r="A12" s="209"/>
      <c r="B12" s="213"/>
      <c r="C12" s="213"/>
      <c r="D12" s="214" t="s">
        <v>181</v>
      </c>
      <c r="E12" s="215" t="s">
        <v>182</v>
      </c>
      <c r="F12" s="216" t="s">
        <v>183</v>
      </c>
      <c r="G12" s="146"/>
      <c r="H12" s="146"/>
    </row>
    <row r="13" spans="1:8" ht="14.25" x14ac:dyDescent="0.2">
      <c r="A13" s="217" t="s">
        <v>76</v>
      </c>
      <c r="B13" s="218" t="s">
        <v>77</v>
      </c>
      <c r="C13" s="219">
        <v>0.05</v>
      </c>
      <c r="D13" s="240">
        <v>2.9700000000000001E-2</v>
      </c>
      <c r="E13" s="241">
        <v>5.0799999999999998E-2</v>
      </c>
      <c r="F13" s="242">
        <v>6.2700000000000006E-2</v>
      </c>
      <c r="G13" s="146"/>
      <c r="H13" s="146"/>
    </row>
    <row r="14" spans="1:8" ht="14.25" x14ac:dyDescent="0.2">
      <c r="A14" s="221" t="s">
        <v>78</v>
      </c>
      <c r="B14" s="222" t="s">
        <v>79</v>
      </c>
      <c r="C14" s="223">
        <v>8.6E-3</v>
      </c>
      <c r="D14" s="240">
        <f>0.3%+0.56%</f>
        <v>8.6E-3</v>
      </c>
      <c r="E14" s="241">
        <f>0.48%+0.85%</f>
        <v>1.3299999999999999E-2</v>
      </c>
      <c r="F14" s="242">
        <f>0.82%+0.89%</f>
        <v>1.7099999999999997E-2</v>
      </c>
      <c r="G14" s="146"/>
      <c r="H14" s="146"/>
    </row>
    <row r="15" spans="1:8" ht="14.25" x14ac:dyDescent="0.2">
      <c r="A15" s="221" t="s">
        <v>80</v>
      </c>
      <c r="B15" s="222" t="s">
        <v>81</v>
      </c>
      <c r="C15" s="223">
        <v>0.1</v>
      </c>
      <c r="D15" s="240">
        <v>7.7799999999999994E-2</v>
      </c>
      <c r="E15" s="241">
        <v>0.1085</v>
      </c>
      <c r="F15" s="242">
        <v>0.13550000000000001</v>
      </c>
      <c r="G15" s="146"/>
      <c r="H15" s="146"/>
    </row>
    <row r="16" spans="1:8" ht="14.25" x14ac:dyDescent="0.2">
      <c r="A16" s="221" t="s">
        <v>82</v>
      </c>
      <c r="B16" s="222" t="s">
        <v>83</v>
      </c>
      <c r="C16" s="224">
        <f>(1+E16)^(E17/252)-1</f>
        <v>2.4718511572452417E-3</v>
      </c>
      <c r="D16" s="240" t="s">
        <v>274</v>
      </c>
      <c r="E16" s="225">
        <v>0.13250000000000001</v>
      </c>
      <c r="F16" s="220"/>
      <c r="G16" s="146"/>
      <c r="H16" s="146"/>
    </row>
    <row r="17" spans="1:8" ht="14.25" x14ac:dyDescent="0.2">
      <c r="A17" s="221" t="s">
        <v>84</v>
      </c>
      <c r="B17" s="610" t="s">
        <v>85</v>
      </c>
      <c r="C17" s="223">
        <v>0.03</v>
      </c>
      <c r="D17" s="299" t="s">
        <v>184</v>
      </c>
      <c r="E17" s="226">
        <v>5</v>
      </c>
      <c r="F17" s="227"/>
      <c r="G17" s="146"/>
      <c r="H17" s="146"/>
    </row>
    <row r="18" spans="1:8" ht="15" thickBot="1" x14ac:dyDescent="0.25">
      <c r="A18" s="228" t="s">
        <v>351</v>
      </c>
      <c r="B18" s="611"/>
      <c r="C18" s="229">
        <v>3.6499999999999998E-2</v>
      </c>
      <c r="D18" s="203"/>
      <c r="E18" s="230"/>
      <c r="F18" s="227"/>
      <c r="G18" s="146"/>
      <c r="H18" s="146"/>
    </row>
    <row r="19" spans="1:8" ht="14.25" x14ac:dyDescent="0.2">
      <c r="A19" s="231" t="s">
        <v>86</v>
      </c>
      <c r="B19" s="232"/>
      <c r="C19" s="233"/>
      <c r="D19" s="203"/>
      <c r="E19" s="230"/>
      <c r="F19" s="227"/>
      <c r="G19" s="146"/>
      <c r="H19" s="146"/>
    </row>
    <row r="20" spans="1:8" ht="15" thickBot="1" x14ac:dyDescent="0.25">
      <c r="A20" s="234" t="s">
        <v>87</v>
      </c>
      <c r="B20" s="235"/>
      <c r="C20" s="236"/>
      <c r="D20" s="203"/>
      <c r="E20" s="230"/>
      <c r="F20" s="227"/>
      <c r="G20" s="146"/>
      <c r="H20" s="146"/>
    </row>
    <row r="21" spans="1:8" ht="15.75" thickBot="1" x14ac:dyDescent="0.25">
      <c r="A21" s="237" t="s">
        <v>88</v>
      </c>
      <c r="B21" s="238"/>
      <c r="C21" s="239">
        <f>ROUND((((1+C13+C14)*(1+C15)*(1+C16))/(1-(C17+C18))-1),4)</f>
        <v>0.2505</v>
      </c>
      <c r="D21" s="243">
        <v>0.21429999999999999</v>
      </c>
      <c r="E21" s="244">
        <v>0.2717</v>
      </c>
      <c r="F21" s="245">
        <v>0.3362</v>
      </c>
      <c r="G21" s="146"/>
      <c r="H21" s="146"/>
    </row>
    <row r="22" spans="1:8" ht="14.25" x14ac:dyDescent="0.2">
      <c r="A22" s="146"/>
      <c r="B22" s="146"/>
      <c r="C22" s="146"/>
      <c r="D22" s="146"/>
      <c r="E22" s="147"/>
      <c r="F22" s="146"/>
      <c r="G22" s="146"/>
      <c r="H22" s="146"/>
    </row>
    <row r="23" spans="1:8" ht="14.25" x14ac:dyDescent="0.2">
      <c r="A23" s="146"/>
      <c r="B23" s="146"/>
      <c r="C23" s="146"/>
      <c r="D23" s="146"/>
      <c r="E23" s="147"/>
      <c r="F23" s="146"/>
      <c r="G23" s="146"/>
      <c r="H23" s="146"/>
    </row>
    <row r="24" spans="1:8" ht="14.25" x14ac:dyDescent="0.2">
      <c r="A24" s="146"/>
      <c r="B24" s="146"/>
      <c r="C24" s="146"/>
      <c r="D24" s="146"/>
      <c r="E24" s="147"/>
      <c r="F24" s="146"/>
      <c r="G24" s="146"/>
      <c r="H24" s="146"/>
    </row>
    <row r="25" spans="1:8" ht="14.25" x14ac:dyDescent="0.2">
      <c r="A25" s="146"/>
      <c r="B25" s="146"/>
      <c r="C25" s="146"/>
      <c r="D25" s="146"/>
      <c r="E25" s="147"/>
      <c r="F25" s="146"/>
      <c r="G25" s="146"/>
      <c r="H25" s="146"/>
    </row>
  </sheetData>
  <mergeCells count="3">
    <mergeCell ref="B17:B18"/>
    <mergeCell ref="D11:F11"/>
    <mergeCell ref="A9:F9"/>
  </mergeCells>
  <pageMargins left="0.90551181102362199" right="0.51181102362204722" top="0.74803149606299213" bottom="0.74803149606299213" header="0.31496062992125984" footer="0.31496062992125984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defaultColWidth="8.85546875" defaultRowHeight="15" x14ac:dyDescent="0.25"/>
  <cols>
    <col min="1" max="1" width="9.140625" style="412" customWidth="1"/>
    <col min="2" max="2" width="13.7109375" style="412" customWidth="1"/>
    <col min="3" max="3" width="7.28515625" style="412" bestFit="1" customWidth="1"/>
    <col min="4" max="4" width="9.140625" style="412" bestFit="1" customWidth="1"/>
    <col min="5" max="5" width="8.85546875" style="412"/>
    <col min="6" max="7" width="11.28515625" style="412" bestFit="1" customWidth="1"/>
    <col min="8" max="16384" width="8.85546875" style="412"/>
  </cols>
  <sheetData>
    <row r="1" spans="1:4" ht="18" x14ac:dyDescent="0.25">
      <c r="A1" s="334" t="s">
        <v>554</v>
      </c>
    </row>
    <row r="2" spans="1:4" ht="15.75" x14ac:dyDescent="0.25">
      <c r="A2" s="411" t="s">
        <v>484</v>
      </c>
    </row>
    <row r="3" spans="1:4" ht="15.75" x14ac:dyDescent="0.25">
      <c r="A3" s="411" t="s">
        <v>556</v>
      </c>
    </row>
    <row r="4" spans="1:4" x14ac:dyDescent="0.25">
      <c r="A4" s="413"/>
    </row>
    <row r="5" spans="1:4" x14ac:dyDescent="0.25">
      <c r="A5" s="562"/>
      <c r="B5" s="562"/>
      <c r="C5" s="562"/>
      <c r="D5" s="562"/>
    </row>
    <row r="6" spans="1:4" x14ac:dyDescent="0.25">
      <c r="A6" s="559" t="s">
        <v>418</v>
      </c>
      <c r="B6" s="560"/>
      <c r="C6" s="560"/>
      <c r="D6" s="561"/>
    </row>
    <row r="7" spans="1:4" ht="30" customHeight="1" x14ac:dyDescent="0.25">
      <c r="A7" s="547" t="s">
        <v>308</v>
      </c>
      <c r="B7" s="558" t="s">
        <v>583</v>
      </c>
      <c r="C7" s="547" t="s">
        <v>581</v>
      </c>
      <c r="D7" s="547" t="s">
        <v>582</v>
      </c>
    </row>
    <row r="8" spans="1:4" x14ac:dyDescent="0.25">
      <c r="A8" s="548">
        <v>1</v>
      </c>
      <c r="B8" s="549">
        <v>3171</v>
      </c>
      <c r="C8" s="414">
        <v>0.4</v>
      </c>
      <c r="D8" s="550">
        <f>B8*C8*30/1000</f>
        <v>38.052</v>
      </c>
    </row>
    <row r="9" spans="1:4" x14ac:dyDescent="0.25">
      <c r="A9" s="548"/>
      <c r="B9" s="551"/>
      <c r="C9" s="551"/>
      <c r="D9" s="549"/>
    </row>
    <row r="10" spans="1:4" x14ac:dyDescent="0.25">
      <c r="A10" s="618" t="s">
        <v>419</v>
      </c>
      <c r="B10" s="619"/>
      <c r="C10" s="552"/>
      <c r="D10" s="553">
        <f>D8*12</f>
        <v>456.62400000000002</v>
      </c>
    </row>
    <row r="12" spans="1:4" x14ac:dyDescent="0.25">
      <c r="A12" s="413" t="s">
        <v>592</v>
      </c>
    </row>
    <row r="13" spans="1:4" x14ac:dyDescent="0.25">
      <c r="A13" s="413" t="s">
        <v>593</v>
      </c>
    </row>
  </sheetData>
  <mergeCells count="1">
    <mergeCell ref="A10:B10"/>
  </mergeCells>
  <pageMargins left="0.511811024" right="0.511811024" top="0.78740157499999996" bottom="0.78740157499999996" header="0.31496062000000002" footer="0.31496062000000002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9"/>
  <sheetViews>
    <sheetView topLeftCell="A40" workbookViewId="0"/>
  </sheetViews>
  <sheetFormatPr defaultColWidth="8.85546875" defaultRowHeight="15" x14ac:dyDescent="0.25"/>
  <cols>
    <col min="1" max="1" width="8.140625" style="317" customWidth="1"/>
    <col min="2" max="2" width="12.28515625" style="317" customWidth="1"/>
    <col min="3" max="3" width="8.5703125" style="317" customWidth="1"/>
    <col min="4" max="4" width="7.140625" style="317" customWidth="1"/>
    <col min="5" max="5" width="9.28515625" style="317" customWidth="1"/>
    <col min="6" max="6" width="7.85546875" style="317" customWidth="1"/>
    <col min="7" max="7" width="7" style="317" bestFit="1" customWidth="1"/>
    <col min="8" max="8" width="6.5703125" style="317" customWidth="1"/>
    <col min="9" max="9" width="7" style="317" bestFit="1" customWidth="1"/>
    <col min="10" max="10" width="8.85546875" style="317" customWidth="1"/>
    <col min="11" max="15" width="0" style="317" hidden="1" customWidth="1"/>
    <col min="16" max="16384" width="8.85546875" style="317"/>
  </cols>
  <sheetData>
    <row r="1" spans="1:15" ht="18" x14ac:dyDescent="0.25">
      <c r="A1" s="334" t="s">
        <v>554</v>
      </c>
    </row>
    <row r="2" spans="1:15" x14ac:dyDescent="0.25">
      <c r="A2" s="316" t="s">
        <v>415</v>
      </c>
    </row>
    <row r="3" spans="1:15" ht="15.75" thickBot="1" x14ac:dyDescent="0.3">
      <c r="A3" s="316" t="s">
        <v>512</v>
      </c>
      <c r="G3" s="534"/>
    </row>
    <row r="4" spans="1:15" ht="30.75" thickBot="1" x14ac:dyDescent="0.3">
      <c r="A4" s="419" t="s">
        <v>376</v>
      </c>
      <c r="B4" s="420" t="s">
        <v>397</v>
      </c>
      <c r="C4" s="420" t="s">
        <v>311</v>
      </c>
      <c r="D4" s="426" t="s">
        <v>309</v>
      </c>
      <c r="E4" s="420" t="s">
        <v>310</v>
      </c>
      <c r="F4" s="420" t="s">
        <v>312</v>
      </c>
      <c r="G4" s="535" t="s">
        <v>313</v>
      </c>
      <c r="H4" s="427" t="s">
        <v>394</v>
      </c>
      <c r="I4" s="427" t="s">
        <v>426</v>
      </c>
      <c r="J4" s="418"/>
      <c r="K4" s="418"/>
    </row>
    <row r="5" spans="1:15" x14ac:dyDescent="0.25">
      <c r="A5" s="620" t="s">
        <v>609</v>
      </c>
      <c r="B5" s="622" t="s">
        <v>585</v>
      </c>
      <c r="C5" s="622" t="s">
        <v>584</v>
      </c>
      <c r="D5" s="421">
        <v>2</v>
      </c>
      <c r="E5" s="515" t="s">
        <v>414</v>
      </c>
      <c r="F5" s="513">
        <v>0.29166666666666669</v>
      </c>
      <c r="G5" s="536">
        <v>0.45833333333333331</v>
      </c>
      <c r="H5" s="513">
        <v>0.16666666666666666</v>
      </c>
      <c r="I5" s="422">
        <f>D5*4*1</f>
        <v>8</v>
      </c>
      <c r="J5" s="418"/>
      <c r="K5" s="425" t="e">
        <f>I5+#REF!+#REF!+#REF!+#REF!</f>
        <v>#REF!</v>
      </c>
      <c r="O5" s="390" t="e">
        <f>I6+#REF!+#REF!+#REF!+#REF!</f>
        <v>#REF!</v>
      </c>
    </row>
    <row r="6" spans="1:15" ht="15.75" thickBot="1" x14ac:dyDescent="0.3">
      <c r="A6" s="621"/>
      <c r="B6" s="623"/>
      <c r="C6" s="623"/>
      <c r="D6" s="423">
        <v>1</v>
      </c>
      <c r="E6" s="516" t="s">
        <v>46</v>
      </c>
      <c r="F6" s="514">
        <v>0.29166666666666669</v>
      </c>
      <c r="G6" s="537">
        <v>0.5</v>
      </c>
      <c r="H6" s="514">
        <v>0.20833333333333334</v>
      </c>
      <c r="I6" s="424">
        <f>D6*5*1</f>
        <v>5</v>
      </c>
      <c r="J6" s="418"/>
      <c r="K6" s="418">
        <v>6</v>
      </c>
      <c r="O6" s="317">
        <v>2</v>
      </c>
    </row>
    <row r="7" spans="1:15" x14ac:dyDescent="0.25">
      <c r="A7" s="620" t="s">
        <v>378</v>
      </c>
      <c r="B7" s="627" t="s">
        <v>611</v>
      </c>
      <c r="C7" s="628" t="s">
        <v>481</v>
      </c>
      <c r="D7" s="421">
        <v>2</v>
      </c>
      <c r="E7" s="515" t="s">
        <v>414</v>
      </c>
      <c r="F7" s="513">
        <v>0.29166666666666669</v>
      </c>
      <c r="G7" s="536">
        <v>0.45833333333333331</v>
      </c>
      <c r="H7" s="513">
        <v>0.16666666666666666</v>
      </c>
      <c r="I7" s="422">
        <f>D7*4*1</f>
        <v>8</v>
      </c>
      <c r="J7" s="418"/>
      <c r="K7" s="425" t="e">
        <f>I7+#REF!+#REF!+#REF!+#REF!</f>
        <v>#REF!</v>
      </c>
      <c r="L7" s="321">
        <v>15</v>
      </c>
      <c r="M7" s="321">
        <v>12</v>
      </c>
      <c r="N7" s="321">
        <v>6</v>
      </c>
      <c r="O7" s="390" t="e">
        <f>#REF!+#REF!+#REF!+#REF!+#REF!</f>
        <v>#REF!</v>
      </c>
    </row>
    <row r="8" spans="1:15" ht="46.9" customHeight="1" thickBot="1" x14ac:dyDescent="0.3">
      <c r="A8" s="621"/>
      <c r="B8" s="623"/>
      <c r="C8" s="629"/>
      <c r="D8" s="555">
        <v>1</v>
      </c>
      <c r="E8" s="554" t="s">
        <v>46</v>
      </c>
      <c r="F8" s="514">
        <v>0.29166666666666669</v>
      </c>
      <c r="G8" s="537">
        <v>0.625</v>
      </c>
      <c r="H8" s="514">
        <v>0.29166666666666669</v>
      </c>
      <c r="I8" s="539">
        <f>D8*7</f>
        <v>7</v>
      </c>
      <c r="J8" s="418"/>
      <c r="K8" s="425"/>
      <c r="L8" s="321"/>
      <c r="M8" s="321"/>
      <c r="N8" s="321"/>
      <c r="O8" s="390"/>
    </row>
    <row r="9" spans="1:15" x14ac:dyDescent="0.25">
      <c r="A9" s="620" t="s">
        <v>425</v>
      </c>
      <c r="B9" s="624" t="s">
        <v>587</v>
      </c>
      <c r="C9" s="625" t="s">
        <v>586</v>
      </c>
      <c r="D9" s="421">
        <v>2</v>
      </c>
      <c r="E9" s="515" t="s">
        <v>414</v>
      </c>
      <c r="F9" s="513">
        <v>0.29166666666666669</v>
      </c>
      <c r="G9" s="536">
        <v>0.41666666666666669</v>
      </c>
      <c r="H9" s="513">
        <v>0.125</v>
      </c>
      <c r="I9" s="422">
        <f>D9*3*1</f>
        <v>6</v>
      </c>
      <c r="L9" s="321"/>
      <c r="M9" s="321"/>
      <c r="N9" s="321"/>
    </row>
    <row r="10" spans="1:15" ht="15.75" thickBot="1" x14ac:dyDescent="0.3">
      <c r="A10" s="621"/>
      <c r="B10" s="623"/>
      <c r="C10" s="626"/>
      <c r="D10" s="423">
        <v>1</v>
      </c>
      <c r="E10" s="516" t="s">
        <v>46</v>
      </c>
      <c r="F10" s="514">
        <v>0.29166666666666669</v>
      </c>
      <c r="G10" s="537">
        <v>0.45833333333333331</v>
      </c>
      <c r="H10" s="514">
        <v>0.16666666666666666</v>
      </c>
      <c r="I10" s="424">
        <f>D10*4*1</f>
        <v>4</v>
      </c>
    </row>
    <row r="11" spans="1:15" x14ac:dyDescent="0.25">
      <c r="A11" s="392"/>
      <c r="B11" s="392"/>
      <c r="C11" s="392"/>
      <c r="D11" s="392"/>
      <c r="E11" s="392"/>
      <c r="F11" s="392"/>
      <c r="G11" s="538"/>
      <c r="H11" s="392"/>
      <c r="L11" s="391" t="e">
        <f>#REF!/4</f>
        <v>#REF!</v>
      </c>
      <c r="M11" s="394" t="e">
        <f>#REF!/3</f>
        <v>#REF!</v>
      </c>
      <c r="N11" s="394" t="e">
        <f>#REF!/3</f>
        <v>#REF!</v>
      </c>
    </row>
    <row r="12" spans="1:15" x14ac:dyDescent="0.25">
      <c r="A12" s="316" t="s">
        <v>427</v>
      </c>
      <c r="G12" s="534"/>
    </row>
    <row r="13" spans="1:15" x14ac:dyDescent="0.25">
      <c r="A13" s="319" t="s">
        <v>314</v>
      </c>
      <c r="B13" s="320"/>
      <c r="C13" s="320"/>
      <c r="D13" s="320"/>
      <c r="E13" s="320"/>
      <c r="F13" s="320"/>
      <c r="G13" s="321">
        <v>3.5</v>
      </c>
    </row>
    <row r="14" spans="1:15" x14ac:dyDescent="0.25">
      <c r="A14" s="322" t="s">
        <v>315</v>
      </c>
      <c r="B14" s="320"/>
      <c r="C14" s="320"/>
      <c r="D14" s="320"/>
      <c r="E14" s="320"/>
      <c r="F14" s="320"/>
      <c r="G14" s="321">
        <v>2</v>
      </c>
    </row>
    <row r="15" spans="1:15" x14ac:dyDescent="0.25">
      <c r="A15" s="319" t="s">
        <v>316</v>
      </c>
      <c r="B15" s="320"/>
      <c r="C15" s="320"/>
      <c r="D15" s="320"/>
      <c r="E15" s="320"/>
      <c r="F15" s="320"/>
      <c r="G15" s="321">
        <f>G13*G14</f>
        <v>7</v>
      </c>
    </row>
    <row r="16" spans="1:15" x14ac:dyDescent="0.25">
      <c r="A16" s="319" t="s">
        <v>317</v>
      </c>
      <c r="B16" s="320"/>
      <c r="C16" s="320"/>
      <c r="D16" s="320"/>
      <c r="E16" s="320"/>
      <c r="F16" s="320"/>
      <c r="G16" s="321">
        <v>6</v>
      </c>
    </row>
    <row r="17" spans="1:7" x14ac:dyDescent="0.25">
      <c r="A17" s="319" t="s">
        <v>318</v>
      </c>
      <c r="B17" s="320"/>
      <c r="C17" s="320"/>
      <c r="D17" s="320"/>
      <c r="E17" s="320"/>
      <c r="F17" s="320"/>
      <c r="G17" s="321">
        <v>7</v>
      </c>
    </row>
    <row r="18" spans="1:7" x14ac:dyDescent="0.25">
      <c r="A18" s="319" t="s">
        <v>319</v>
      </c>
      <c r="B18" s="320"/>
      <c r="C18" s="320"/>
      <c r="D18" s="320"/>
      <c r="E18" s="320"/>
      <c r="F18" s="320"/>
      <c r="G18" s="329">
        <f>G15/G16</f>
        <v>1.1666666666666667</v>
      </c>
    </row>
    <row r="19" spans="1:7" x14ac:dyDescent="0.25">
      <c r="A19" s="319" t="s">
        <v>320</v>
      </c>
      <c r="B19" s="320"/>
      <c r="C19" s="320"/>
      <c r="D19" s="320"/>
      <c r="E19" s="320"/>
      <c r="F19" s="320"/>
      <c r="G19" s="321">
        <v>30</v>
      </c>
    </row>
    <row r="20" spans="1:7" x14ac:dyDescent="0.25">
      <c r="A20" s="323" t="s">
        <v>321</v>
      </c>
      <c r="B20" s="324"/>
      <c r="C20" s="324"/>
      <c r="D20" s="324"/>
      <c r="E20" s="324"/>
      <c r="F20" s="324"/>
      <c r="G20" s="318">
        <f>G18*G19</f>
        <v>35</v>
      </c>
    </row>
    <row r="21" spans="1:7" x14ac:dyDescent="0.25">
      <c r="A21" s="323" t="s">
        <v>323</v>
      </c>
      <c r="B21" s="324"/>
      <c r="C21" s="324"/>
      <c r="D21" s="324"/>
      <c r="E21" s="324"/>
      <c r="F21" s="324"/>
      <c r="G21" s="318">
        <v>220</v>
      </c>
    </row>
    <row r="22" spans="1:7" x14ac:dyDescent="0.25">
      <c r="A22" s="323" t="s">
        <v>324</v>
      </c>
      <c r="B22" s="324"/>
      <c r="C22" s="324"/>
      <c r="D22" s="324"/>
      <c r="E22" s="324"/>
      <c r="F22" s="324"/>
      <c r="G22" s="325">
        <f>G20/G21</f>
        <v>0.15909090909090909</v>
      </c>
    </row>
    <row r="24" spans="1:7" x14ac:dyDescent="0.25">
      <c r="A24" s="316" t="s">
        <v>350</v>
      </c>
    </row>
    <row r="25" spans="1:7" x14ac:dyDescent="0.25">
      <c r="A25" s="319" t="s">
        <v>322</v>
      </c>
      <c r="B25" s="320"/>
      <c r="C25" s="320"/>
      <c r="D25" s="320"/>
      <c r="E25" s="320"/>
      <c r="F25" s="320"/>
      <c r="G25" s="321">
        <v>4.5</v>
      </c>
    </row>
    <row r="26" spans="1:7" x14ac:dyDescent="0.25">
      <c r="A26" s="322" t="s">
        <v>315</v>
      </c>
      <c r="B26" s="320"/>
      <c r="C26" s="320"/>
      <c r="D26" s="320"/>
      <c r="E26" s="320"/>
      <c r="F26" s="320"/>
      <c r="G26" s="321">
        <v>2</v>
      </c>
    </row>
    <row r="27" spans="1:7" x14ac:dyDescent="0.25">
      <c r="A27" s="319" t="s">
        <v>316</v>
      </c>
      <c r="B27" s="320"/>
      <c r="C27" s="320"/>
      <c r="D27" s="320"/>
      <c r="E27" s="320"/>
      <c r="F27" s="320"/>
      <c r="G27" s="389">
        <f>G25*G26</f>
        <v>9</v>
      </c>
    </row>
    <row r="28" spans="1:7" x14ac:dyDescent="0.25">
      <c r="A28" s="319" t="s">
        <v>317</v>
      </c>
      <c r="B28" s="320"/>
      <c r="C28" s="320"/>
      <c r="D28" s="320"/>
      <c r="E28" s="320"/>
      <c r="F28" s="320"/>
      <c r="G28" s="321">
        <v>6</v>
      </c>
    </row>
    <row r="29" spans="1:7" x14ac:dyDescent="0.25">
      <c r="A29" s="319" t="s">
        <v>318</v>
      </c>
      <c r="B29" s="320"/>
      <c r="C29" s="320"/>
      <c r="D29" s="320"/>
      <c r="E29" s="320"/>
      <c r="F29" s="320"/>
      <c r="G29" s="321">
        <v>7</v>
      </c>
    </row>
    <row r="30" spans="1:7" x14ac:dyDescent="0.25">
      <c r="A30" s="319" t="s">
        <v>319</v>
      </c>
      <c r="B30" s="320"/>
      <c r="C30" s="320"/>
      <c r="D30" s="320"/>
      <c r="E30" s="320"/>
      <c r="F30" s="320"/>
      <c r="G30" s="329">
        <f>G27/G28</f>
        <v>1.5</v>
      </c>
    </row>
    <row r="31" spans="1:7" x14ac:dyDescent="0.25">
      <c r="A31" s="319" t="s">
        <v>320</v>
      </c>
      <c r="B31" s="320"/>
      <c r="C31" s="320"/>
      <c r="D31" s="320"/>
      <c r="E31" s="320"/>
      <c r="F31" s="320"/>
      <c r="G31" s="321">
        <v>30</v>
      </c>
    </row>
    <row r="32" spans="1:7" x14ac:dyDescent="0.25">
      <c r="A32" s="323" t="s">
        <v>321</v>
      </c>
      <c r="B32" s="324"/>
      <c r="C32" s="324"/>
      <c r="D32" s="324"/>
      <c r="E32" s="324"/>
      <c r="F32" s="324"/>
      <c r="G32" s="331">
        <f>G30*G31</f>
        <v>45</v>
      </c>
    </row>
    <row r="33" spans="1:9" x14ac:dyDescent="0.25">
      <c r="A33" s="323" t="s">
        <v>323</v>
      </c>
      <c r="B33" s="324"/>
      <c r="C33" s="324"/>
      <c r="D33" s="324"/>
      <c r="E33" s="324"/>
      <c r="F33" s="324"/>
      <c r="G33" s="318">
        <v>220</v>
      </c>
    </row>
    <row r="34" spans="1:9" x14ac:dyDescent="0.25">
      <c r="A34" s="323" t="s">
        <v>324</v>
      </c>
      <c r="B34" s="324"/>
      <c r="C34" s="324"/>
      <c r="D34" s="324"/>
      <c r="E34" s="324"/>
      <c r="F34" s="324"/>
      <c r="G34" s="325">
        <f>G32/G33</f>
        <v>0.20454545454545456</v>
      </c>
    </row>
    <row r="36" spans="1:9" x14ac:dyDescent="0.25">
      <c r="A36" s="316" t="s">
        <v>588</v>
      </c>
    </row>
    <row r="37" spans="1:9" x14ac:dyDescent="0.25">
      <c r="A37" s="319" t="s">
        <v>314</v>
      </c>
      <c r="B37" s="320"/>
      <c r="C37" s="320"/>
      <c r="D37" s="320"/>
      <c r="E37" s="320"/>
      <c r="F37" s="320"/>
      <c r="G37" s="321">
        <v>4</v>
      </c>
    </row>
    <row r="38" spans="1:9" x14ac:dyDescent="0.25">
      <c r="A38" s="322" t="s">
        <v>315</v>
      </c>
      <c r="B38" s="320"/>
      <c r="C38" s="320"/>
      <c r="D38" s="320"/>
      <c r="E38" s="320"/>
      <c r="F38" s="320"/>
      <c r="G38" s="321">
        <v>1</v>
      </c>
    </row>
    <row r="39" spans="1:9" x14ac:dyDescent="0.25">
      <c r="A39" s="319" t="s">
        <v>316</v>
      </c>
      <c r="B39" s="320"/>
      <c r="C39" s="320"/>
      <c r="D39" s="320"/>
      <c r="E39" s="320"/>
      <c r="F39" s="320"/>
      <c r="G39" s="321">
        <f>G37*G38</f>
        <v>4</v>
      </c>
      <c r="I39" s="365"/>
    </row>
    <row r="40" spans="1:9" x14ac:dyDescent="0.25">
      <c r="A40" s="319" t="s">
        <v>317</v>
      </c>
      <c r="B40" s="320"/>
      <c r="C40" s="320"/>
      <c r="D40" s="320"/>
      <c r="E40" s="320"/>
      <c r="F40" s="320"/>
      <c r="G40" s="321">
        <v>6</v>
      </c>
    </row>
    <row r="41" spans="1:9" x14ac:dyDescent="0.25">
      <c r="A41" s="319" t="s">
        <v>318</v>
      </c>
      <c r="B41" s="320"/>
      <c r="C41" s="320"/>
      <c r="D41" s="320"/>
      <c r="E41" s="320"/>
      <c r="F41" s="320"/>
      <c r="G41" s="321">
        <v>7</v>
      </c>
    </row>
    <row r="42" spans="1:9" x14ac:dyDescent="0.25">
      <c r="A42" s="319" t="s">
        <v>319</v>
      </c>
      <c r="B42" s="320"/>
      <c r="C42" s="320"/>
      <c r="D42" s="320"/>
      <c r="E42" s="320"/>
      <c r="F42" s="320"/>
      <c r="G42" s="329">
        <f>G39/G40</f>
        <v>0.66666666666666663</v>
      </c>
    </row>
    <row r="43" spans="1:9" x14ac:dyDescent="0.25">
      <c r="A43" s="319" t="s">
        <v>320</v>
      </c>
      <c r="B43" s="320"/>
      <c r="C43" s="320"/>
      <c r="D43" s="320"/>
      <c r="E43" s="320"/>
      <c r="F43" s="320"/>
      <c r="G43" s="321">
        <v>30</v>
      </c>
    </row>
    <row r="44" spans="1:9" x14ac:dyDescent="0.25">
      <c r="A44" s="323" t="s">
        <v>321</v>
      </c>
      <c r="B44" s="324"/>
      <c r="C44" s="324"/>
      <c r="D44" s="324"/>
      <c r="E44" s="324"/>
      <c r="F44" s="324"/>
      <c r="G44" s="428">
        <f>G42*G43</f>
        <v>20</v>
      </c>
    </row>
    <row r="45" spans="1:9" x14ac:dyDescent="0.25">
      <c r="A45" s="323" t="s">
        <v>323</v>
      </c>
      <c r="B45" s="324"/>
      <c r="C45" s="324"/>
      <c r="D45" s="324"/>
      <c r="E45" s="324"/>
      <c r="F45" s="324"/>
      <c r="G45" s="318">
        <v>220</v>
      </c>
    </row>
    <row r="46" spans="1:9" x14ac:dyDescent="0.25">
      <c r="A46" s="323" t="s">
        <v>324</v>
      </c>
      <c r="B46" s="324"/>
      <c r="C46" s="324"/>
      <c r="D46" s="324"/>
      <c r="E46" s="324"/>
      <c r="F46" s="324"/>
      <c r="G46" s="325">
        <f>G44/G45</f>
        <v>9.0909090909090912E-2</v>
      </c>
    </row>
    <row r="47" spans="1:9" ht="13.9" customHeight="1" x14ac:dyDescent="0.25">
      <c r="A47" s="392"/>
      <c r="B47" s="392"/>
      <c r="C47" s="392"/>
      <c r="D47" s="392"/>
      <c r="E47" s="392"/>
      <c r="F47" s="392"/>
      <c r="G47" s="393"/>
    </row>
    <row r="48" spans="1:9" x14ac:dyDescent="0.25">
      <c r="A48" s="316" t="s">
        <v>589</v>
      </c>
    </row>
    <row r="49" spans="1:7" x14ac:dyDescent="0.25">
      <c r="A49" s="429" t="s">
        <v>428</v>
      </c>
      <c r="B49" s="320"/>
      <c r="C49" s="320"/>
      <c r="D49" s="320"/>
      <c r="E49" s="320"/>
      <c r="F49" s="320"/>
      <c r="G49" s="321">
        <v>7</v>
      </c>
    </row>
    <row r="50" spans="1:7" x14ac:dyDescent="0.25">
      <c r="A50" s="322" t="s">
        <v>315</v>
      </c>
      <c r="B50" s="320"/>
      <c r="C50" s="320"/>
      <c r="D50" s="320"/>
      <c r="E50" s="320"/>
      <c r="F50" s="320"/>
      <c r="G50" s="321">
        <v>1</v>
      </c>
    </row>
    <row r="51" spans="1:7" x14ac:dyDescent="0.25">
      <c r="A51" s="319" t="s">
        <v>316</v>
      </c>
      <c r="B51" s="320"/>
      <c r="C51" s="320"/>
      <c r="D51" s="320"/>
      <c r="E51" s="320"/>
      <c r="F51" s="320"/>
      <c r="G51" s="321">
        <f>G49*G50</f>
        <v>7</v>
      </c>
    </row>
    <row r="52" spans="1:7" x14ac:dyDescent="0.25">
      <c r="A52" s="319" t="s">
        <v>317</v>
      </c>
      <c r="B52" s="320"/>
      <c r="C52" s="320"/>
      <c r="D52" s="320"/>
      <c r="E52" s="320"/>
      <c r="F52" s="320"/>
      <c r="G52" s="321">
        <v>6</v>
      </c>
    </row>
    <row r="53" spans="1:7" x14ac:dyDescent="0.25">
      <c r="A53" s="319" t="s">
        <v>318</v>
      </c>
      <c r="B53" s="320"/>
      <c r="C53" s="320"/>
      <c r="D53" s="320"/>
      <c r="E53" s="320"/>
      <c r="F53" s="320"/>
      <c r="G53" s="321">
        <v>7</v>
      </c>
    </row>
    <row r="54" spans="1:7" x14ac:dyDescent="0.25">
      <c r="A54" s="319" t="s">
        <v>319</v>
      </c>
      <c r="B54" s="320"/>
      <c r="C54" s="320"/>
      <c r="D54" s="320"/>
      <c r="E54" s="320"/>
      <c r="F54" s="320"/>
      <c r="G54" s="329">
        <f>G51/G52</f>
        <v>1.1666666666666667</v>
      </c>
    </row>
    <row r="55" spans="1:7" x14ac:dyDescent="0.25">
      <c r="A55" s="319" t="s">
        <v>320</v>
      </c>
      <c r="B55" s="320"/>
      <c r="C55" s="320"/>
      <c r="D55" s="320"/>
      <c r="E55" s="320"/>
      <c r="F55" s="320"/>
      <c r="G55" s="321">
        <v>30</v>
      </c>
    </row>
    <row r="56" spans="1:7" x14ac:dyDescent="0.25">
      <c r="A56" s="323" t="s">
        <v>321</v>
      </c>
      <c r="B56" s="324"/>
      <c r="C56" s="324"/>
      <c r="D56" s="324"/>
      <c r="E56" s="324"/>
      <c r="F56" s="324"/>
      <c r="G56" s="318">
        <f>G54*G55</f>
        <v>35</v>
      </c>
    </row>
    <row r="57" spans="1:7" x14ac:dyDescent="0.25">
      <c r="A57" s="323" t="s">
        <v>323</v>
      </c>
      <c r="B57" s="324"/>
      <c r="C57" s="324"/>
      <c r="D57" s="324"/>
      <c r="E57" s="324"/>
      <c r="F57" s="324"/>
      <c r="G57" s="318">
        <v>220</v>
      </c>
    </row>
    <row r="58" spans="1:7" x14ac:dyDescent="0.25">
      <c r="A58" s="323" t="s">
        <v>324</v>
      </c>
      <c r="B58" s="324"/>
      <c r="C58" s="324"/>
      <c r="D58" s="324"/>
      <c r="E58" s="324"/>
      <c r="F58" s="324"/>
      <c r="G58" s="325">
        <f>G56/G57</f>
        <v>0.15909090909090909</v>
      </c>
    </row>
    <row r="59" spans="1:7" x14ac:dyDescent="0.25">
      <c r="A59" s="392"/>
      <c r="B59" s="392"/>
      <c r="C59" s="392"/>
      <c r="D59" s="392"/>
      <c r="E59" s="392"/>
      <c r="F59" s="392"/>
      <c r="G59" s="393"/>
    </row>
  </sheetData>
  <mergeCells count="9">
    <mergeCell ref="A5:A6"/>
    <mergeCell ref="B5:B6"/>
    <mergeCell ref="C5:C6"/>
    <mergeCell ref="A9:A10"/>
    <mergeCell ref="B9:B10"/>
    <mergeCell ref="C9:C10"/>
    <mergeCell ref="A7:A8"/>
    <mergeCell ref="B7:B8"/>
    <mergeCell ref="C7:C8"/>
  </mergeCells>
  <pageMargins left="0.51181102362204722" right="0.51181102362204722" top="0.78740157480314965" bottom="0.78740157480314965" header="0.31496062992125984" footer="0.31496062992125984"/>
  <pageSetup paperSize="9" fitToHeight="2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4"/>
  <sheetViews>
    <sheetView workbookViewId="0"/>
  </sheetViews>
  <sheetFormatPr defaultColWidth="8.85546875" defaultRowHeight="15" x14ac:dyDescent="0.25"/>
  <cols>
    <col min="1" max="1" width="4.85546875" style="564" customWidth="1"/>
    <col min="2" max="2" width="19.140625" style="564" customWidth="1"/>
    <col min="3" max="3" width="12" style="564" customWidth="1"/>
    <col min="4" max="4" width="16.28515625" style="564" customWidth="1"/>
    <col min="5" max="5" width="13.140625" style="564" customWidth="1"/>
    <col min="6" max="6" width="8" style="564" customWidth="1"/>
    <col min="7" max="7" width="10" style="564" customWidth="1"/>
    <col min="8" max="8" width="17.7109375" style="564" customWidth="1"/>
    <col min="9" max="9" width="10.140625" style="564" customWidth="1"/>
    <col min="10" max="10" width="9.140625" style="564" customWidth="1"/>
    <col min="11" max="11" width="6.140625" style="564" customWidth="1"/>
    <col min="12" max="12" width="5.85546875" style="564" customWidth="1"/>
    <col min="13" max="13" width="15.28515625" style="564" customWidth="1"/>
    <col min="14" max="14" width="8.85546875" style="564" customWidth="1"/>
    <col min="15" max="16384" width="8.85546875" style="564"/>
  </cols>
  <sheetData>
    <row r="1" spans="1:15" ht="15.75" thickBot="1" x14ac:dyDescent="0.3"/>
    <row r="2" spans="1:15" ht="15.75" customHeight="1" thickBot="1" x14ac:dyDescent="0.3">
      <c r="B2" s="630" t="s">
        <v>374</v>
      </c>
      <c r="C2" s="631"/>
      <c r="D2" s="631"/>
      <c r="E2" s="631"/>
      <c r="F2" s="632"/>
      <c r="H2" s="633" t="s">
        <v>391</v>
      </c>
      <c r="I2" s="634"/>
      <c r="J2" s="634"/>
      <c r="K2" s="634"/>
      <c r="L2" s="634"/>
      <c r="M2" s="634"/>
      <c r="N2" s="635"/>
    </row>
    <row r="3" spans="1:15" ht="15.75" thickBot="1" x14ac:dyDescent="0.3">
      <c r="A3" s="565"/>
      <c r="B3" s="636"/>
      <c r="C3" s="637"/>
      <c r="D3" s="637"/>
      <c r="E3" s="637"/>
      <c r="F3" s="638"/>
      <c r="G3" s="566"/>
      <c r="H3" s="639"/>
      <c r="I3" s="640"/>
      <c r="J3" s="640"/>
      <c r="K3" s="640"/>
      <c r="L3" s="640"/>
      <c r="M3" s="640"/>
      <c r="N3" s="641"/>
    </row>
    <row r="4" spans="1:15" ht="15.75" customHeight="1" thickBot="1" x14ac:dyDescent="0.3">
      <c r="B4" s="642" t="s">
        <v>425</v>
      </c>
      <c r="C4" s="643"/>
      <c r="D4" s="643"/>
      <c r="E4" s="643"/>
      <c r="F4" s="644"/>
      <c r="G4" s="566"/>
      <c r="H4" s="645" t="s">
        <v>375</v>
      </c>
      <c r="I4" s="646"/>
      <c r="J4" s="646"/>
      <c r="K4" s="646"/>
      <c r="L4" s="646"/>
      <c r="M4" s="646"/>
      <c r="N4" s="647"/>
    </row>
    <row r="5" spans="1:15" ht="15" customHeight="1" thickBot="1" x14ac:dyDescent="0.3">
      <c r="B5" s="665" t="s">
        <v>466</v>
      </c>
      <c r="C5" s="666"/>
      <c r="D5" s="666"/>
      <c r="E5" s="666"/>
      <c r="F5" s="667"/>
      <c r="G5" s="566"/>
      <c r="H5" s="668" t="s">
        <v>594</v>
      </c>
      <c r="I5" s="670" t="s">
        <v>473</v>
      </c>
      <c r="J5" s="672" t="s">
        <v>343</v>
      </c>
      <c r="K5" s="674" t="s">
        <v>344</v>
      </c>
      <c r="L5" s="674"/>
      <c r="M5" s="674" t="s">
        <v>377</v>
      </c>
      <c r="N5" s="648" t="s">
        <v>326</v>
      </c>
    </row>
    <row r="6" spans="1:15" x14ac:dyDescent="0.25">
      <c r="A6" s="567"/>
      <c r="B6" s="509" t="s">
        <v>345</v>
      </c>
      <c r="C6" s="510" t="s">
        <v>327</v>
      </c>
      <c r="D6" s="510" t="s">
        <v>328</v>
      </c>
      <c r="E6" s="510" t="s">
        <v>325</v>
      </c>
      <c r="F6" s="511" t="s">
        <v>253</v>
      </c>
      <c r="G6" s="566"/>
      <c r="H6" s="669"/>
      <c r="I6" s="671"/>
      <c r="J6" s="673"/>
      <c r="K6" s="675"/>
      <c r="L6" s="675"/>
      <c r="M6" s="676"/>
      <c r="N6" s="649"/>
      <c r="O6" s="567"/>
    </row>
    <row r="7" spans="1:15" ht="30.6" customHeight="1" x14ac:dyDescent="0.25">
      <c r="A7" s="567"/>
      <c r="B7" s="482" t="s">
        <v>330</v>
      </c>
      <c r="C7" s="525"/>
      <c r="D7" s="483" t="s">
        <v>331</v>
      </c>
      <c r="E7" s="484">
        <v>4284.1400000000003</v>
      </c>
      <c r="F7" s="485" t="s">
        <v>329</v>
      </c>
      <c r="G7" s="519"/>
      <c r="H7" s="579" t="s">
        <v>595</v>
      </c>
      <c r="I7" s="520" t="s">
        <v>396</v>
      </c>
      <c r="J7" s="523" t="s">
        <v>596</v>
      </c>
      <c r="K7" s="494">
        <v>1</v>
      </c>
      <c r="L7" s="495" t="s">
        <v>346</v>
      </c>
      <c r="M7" s="496">
        <f>E54</f>
        <v>130.85426000000001</v>
      </c>
      <c r="N7" s="497" t="s">
        <v>18</v>
      </c>
      <c r="O7" s="567"/>
    </row>
    <row r="8" spans="1:15" x14ac:dyDescent="0.25">
      <c r="B8" s="482" t="s">
        <v>332</v>
      </c>
      <c r="C8" s="525"/>
      <c r="D8" s="483" t="s">
        <v>333</v>
      </c>
      <c r="E8" s="484">
        <v>7200.16</v>
      </c>
      <c r="F8" s="485" t="s">
        <v>329</v>
      </c>
      <c r="G8" s="565"/>
      <c r="H8" s="650"/>
      <c r="I8" s="651"/>
      <c r="J8" s="651"/>
      <c r="K8" s="651"/>
      <c r="L8" s="651"/>
      <c r="M8" s="651"/>
      <c r="N8" s="652"/>
    </row>
    <row r="9" spans="1:15" x14ac:dyDescent="0.25">
      <c r="B9" s="482" t="s">
        <v>334</v>
      </c>
      <c r="C9" s="525"/>
      <c r="D9" s="483" t="s">
        <v>335</v>
      </c>
      <c r="E9" s="484">
        <v>3674.52</v>
      </c>
      <c r="F9" s="485" t="s">
        <v>329</v>
      </c>
      <c r="G9" s="565"/>
      <c r="H9" s="543" t="s">
        <v>553</v>
      </c>
      <c r="I9" s="520" t="s">
        <v>396</v>
      </c>
      <c r="J9" s="523" t="s">
        <v>597</v>
      </c>
      <c r="K9" s="494">
        <v>1</v>
      </c>
      <c r="L9" s="495" t="s">
        <v>346</v>
      </c>
      <c r="M9" s="496">
        <f>E63</f>
        <v>46.303179999999998</v>
      </c>
      <c r="N9" s="497" t="s">
        <v>18</v>
      </c>
    </row>
    <row r="10" spans="1:15" x14ac:dyDescent="0.25">
      <c r="B10" s="482" t="s">
        <v>336</v>
      </c>
      <c r="C10" s="525"/>
      <c r="D10" s="483" t="s">
        <v>337</v>
      </c>
      <c r="E10" s="484">
        <v>3046.1</v>
      </c>
      <c r="F10" s="485" t="s">
        <v>329</v>
      </c>
      <c r="G10" s="565"/>
      <c r="H10" s="653"/>
      <c r="I10" s="654"/>
      <c r="J10" s="654"/>
      <c r="K10" s="655"/>
      <c r="L10" s="655"/>
      <c r="M10" s="654"/>
      <c r="N10" s="656"/>
    </row>
    <row r="11" spans="1:15" ht="15.75" thickBot="1" x14ac:dyDescent="0.3">
      <c r="B11" s="482" t="s">
        <v>338</v>
      </c>
      <c r="C11" s="525"/>
      <c r="D11" s="483" t="s">
        <v>339</v>
      </c>
      <c r="E11" s="484">
        <v>5698.26</v>
      </c>
      <c r="F11" s="485" t="s">
        <v>329</v>
      </c>
      <c r="G11" s="565"/>
      <c r="H11" s="657" t="s">
        <v>347</v>
      </c>
      <c r="I11" s="658"/>
      <c r="J11" s="658"/>
      <c r="K11" s="658"/>
      <c r="L11" s="659"/>
      <c r="M11" s="498">
        <f>(K7*M7)+(K9*M9)</f>
        <v>177.15744000000001</v>
      </c>
      <c r="N11" s="499" t="s">
        <v>348</v>
      </c>
    </row>
    <row r="12" spans="1:15" ht="15.75" thickBot="1" x14ac:dyDescent="0.3">
      <c r="B12" s="660" t="s">
        <v>342</v>
      </c>
      <c r="C12" s="661"/>
      <c r="D12" s="661"/>
      <c r="E12" s="487">
        <f>SUM(E7:E11)/1000</f>
        <v>23.903179999999999</v>
      </c>
      <c r="F12" s="488" t="s">
        <v>18</v>
      </c>
      <c r="G12" s="565"/>
      <c r="H12" s="662" t="s">
        <v>349</v>
      </c>
      <c r="I12" s="663"/>
      <c r="J12" s="663"/>
      <c r="K12" s="663"/>
      <c r="L12" s="664"/>
      <c r="M12" s="501">
        <f>((M11/7)*30)</f>
        <v>759.24617142857153</v>
      </c>
      <c r="N12" s="500" t="s">
        <v>348</v>
      </c>
      <c r="O12" s="568"/>
    </row>
    <row r="13" spans="1:15" x14ac:dyDescent="0.25">
      <c r="B13" s="517"/>
      <c r="C13" s="517"/>
      <c r="D13" s="518"/>
      <c r="E13" s="519"/>
      <c r="F13" s="359"/>
      <c r="G13" s="565"/>
      <c r="H13" s="677"/>
      <c r="I13" s="678"/>
      <c r="J13" s="678"/>
      <c r="K13" s="678"/>
      <c r="L13" s="678"/>
      <c r="M13" s="678"/>
      <c r="N13" s="679"/>
    </row>
    <row r="14" spans="1:15" ht="15.75" thickBot="1" x14ac:dyDescent="0.3">
      <c r="G14" s="565"/>
      <c r="H14" s="680"/>
      <c r="I14" s="681"/>
      <c r="J14" s="681"/>
      <c r="K14" s="681"/>
      <c r="L14" s="681"/>
      <c r="M14" s="681"/>
      <c r="N14" s="682"/>
    </row>
    <row r="15" spans="1:15" ht="15" customHeight="1" thickBot="1" x14ac:dyDescent="0.3">
      <c r="B15" s="642" t="s">
        <v>472</v>
      </c>
      <c r="C15" s="643"/>
      <c r="D15" s="643"/>
      <c r="E15" s="643"/>
      <c r="F15" s="644"/>
      <c r="G15" s="565"/>
      <c r="H15" s="683" t="s">
        <v>482</v>
      </c>
      <c r="I15" s="684"/>
      <c r="J15" s="685"/>
      <c r="K15" s="685"/>
      <c r="L15" s="685"/>
      <c r="M15" s="685"/>
      <c r="N15" s="686"/>
    </row>
    <row r="16" spans="1:15" ht="15.75" customHeight="1" thickBot="1" x14ac:dyDescent="0.3">
      <c r="B16" s="665" t="s">
        <v>518</v>
      </c>
      <c r="C16" s="666"/>
      <c r="D16" s="666"/>
      <c r="E16" s="666"/>
      <c r="F16" s="667"/>
      <c r="G16" s="565"/>
      <c r="H16" s="687" t="s">
        <v>376</v>
      </c>
      <c r="I16" s="670" t="s">
        <v>473</v>
      </c>
      <c r="J16" s="672" t="s">
        <v>343</v>
      </c>
      <c r="K16" s="674" t="s">
        <v>344</v>
      </c>
      <c r="L16" s="674"/>
      <c r="M16" s="674" t="s">
        <v>377</v>
      </c>
      <c r="N16" s="648" t="s">
        <v>326</v>
      </c>
    </row>
    <row r="17" spans="2:16" x14ac:dyDescent="0.25">
      <c r="B17" s="509" t="s">
        <v>345</v>
      </c>
      <c r="C17" s="510" t="s">
        <v>327</v>
      </c>
      <c r="D17" s="510" t="s">
        <v>328</v>
      </c>
      <c r="E17" s="510" t="s">
        <v>325</v>
      </c>
      <c r="F17" s="511" t="s">
        <v>253</v>
      </c>
      <c r="G17" s="565"/>
      <c r="H17" s="669"/>
      <c r="I17" s="671"/>
      <c r="J17" s="673"/>
      <c r="K17" s="675"/>
      <c r="L17" s="675"/>
      <c r="M17" s="676"/>
      <c r="N17" s="649"/>
    </row>
    <row r="18" spans="2:16" ht="26.25" x14ac:dyDescent="0.25">
      <c r="B18" s="482" t="s">
        <v>330</v>
      </c>
      <c r="C18" s="344"/>
      <c r="D18" s="483" t="s">
        <v>331</v>
      </c>
      <c r="E18" s="544">
        <v>1411.12</v>
      </c>
      <c r="F18" s="485" t="s">
        <v>329</v>
      </c>
      <c r="G18" s="565"/>
      <c r="H18" s="579" t="s">
        <v>595</v>
      </c>
      <c r="I18" s="520" t="s">
        <v>398</v>
      </c>
      <c r="J18" s="493" t="s">
        <v>480</v>
      </c>
      <c r="K18" s="494">
        <v>1</v>
      </c>
      <c r="L18" s="495" t="s">
        <v>346</v>
      </c>
      <c r="M18" s="496">
        <f>E73</f>
        <v>152.45426</v>
      </c>
      <c r="N18" s="497" t="s">
        <v>18</v>
      </c>
      <c r="P18" s="569"/>
    </row>
    <row r="19" spans="2:16" ht="15.75" customHeight="1" x14ac:dyDescent="0.25">
      <c r="B19" s="482" t="s">
        <v>332</v>
      </c>
      <c r="C19" s="344"/>
      <c r="D19" s="483" t="s">
        <v>333</v>
      </c>
      <c r="E19" s="544">
        <v>2292.7399999999998</v>
      </c>
      <c r="F19" s="485" t="s">
        <v>329</v>
      </c>
      <c r="G19" s="565"/>
      <c r="H19" s="691"/>
      <c r="I19" s="692"/>
      <c r="J19" s="692"/>
      <c r="K19" s="692"/>
      <c r="L19" s="692"/>
      <c r="M19" s="692"/>
      <c r="N19" s="693"/>
    </row>
    <row r="20" spans="2:16" ht="15" customHeight="1" x14ac:dyDescent="0.25">
      <c r="B20" s="482" t="s">
        <v>334</v>
      </c>
      <c r="C20" s="344"/>
      <c r="D20" s="483" t="s">
        <v>335</v>
      </c>
      <c r="E20" s="544">
        <v>1315.62</v>
      </c>
      <c r="F20" s="485" t="s">
        <v>329</v>
      </c>
      <c r="G20" s="565"/>
      <c r="H20" s="694"/>
      <c r="I20" s="695"/>
      <c r="J20" s="695"/>
      <c r="K20" s="695"/>
      <c r="L20" s="695"/>
      <c r="M20" s="695"/>
      <c r="N20" s="696"/>
    </row>
    <row r="21" spans="2:16" x14ac:dyDescent="0.25">
      <c r="B21" s="482" t="s">
        <v>336</v>
      </c>
      <c r="C21" s="344"/>
      <c r="D21" s="483" t="s">
        <v>337</v>
      </c>
      <c r="E21" s="544">
        <v>5535.16</v>
      </c>
      <c r="F21" s="485" t="s">
        <v>329</v>
      </c>
      <c r="G21" s="565"/>
      <c r="H21" s="697" t="s">
        <v>347</v>
      </c>
      <c r="I21" s="659"/>
      <c r="J21" s="698"/>
      <c r="K21" s="698"/>
      <c r="L21" s="698"/>
      <c r="M21" s="498">
        <f>(K18*M18)</f>
        <v>152.45426</v>
      </c>
      <c r="N21" s="499" t="s">
        <v>348</v>
      </c>
    </row>
    <row r="22" spans="2:16" ht="15.75" thickBot="1" x14ac:dyDescent="0.3">
      <c r="B22" s="482" t="s">
        <v>338</v>
      </c>
      <c r="C22" s="344"/>
      <c r="D22" s="483" t="s">
        <v>339</v>
      </c>
      <c r="E22" s="544">
        <v>1469.3</v>
      </c>
      <c r="F22" s="485" t="s">
        <v>329</v>
      </c>
      <c r="G22" s="565"/>
      <c r="H22" s="699" t="s">
        <v>349</v>
      </c>
      <c r="I22" s="700"/>
      <c r="J22" s="701"/>
      <c r="K22" s="701"/>
      <c r="L22" s="701"/>
      <c r="M22" s="501">
        <f>((M21/7)*30)</f>
        <v>653.37540000000001</v>
      </c>
      <c r="N22" s="502" t="s">
        <v>348</v>
      </c>
    </row>
    <row r="23" spans="2:16" x14ac:dyDescent="0.25">
      <c r="B23" s="482" t="s">
        <v>340</v>
      </c>
      <c r="C23" s="344"/>
      <c r="D23" s="483" t="s">
        <v>341</v>
      </c>
      <c r="E23" s="544">
        <v>1487.32</v>
      </c>
      <c r="F23" s="485" t="s">
        <v>329</v>
      </c>
      <c r="G23" s="565"/>
    </row>
    <row r="24" spans="2:16" ht="15.75" thickBot="1" x14ac:dyDescent="0.3">
      <c r="B24" s="482" t="s">
        <v>513</v>
      </c>
      <c r="C24" s="344"/>
      <c r="D24" s="483" t="s">
        <v>515</v>
      </c>
      <c r="E24" s="544">
        <v>1559.91</v>
      </c>
      <c r="F24" s="485" t="s">
        <v>329</v>
      </c>
      <c r="G24" s="565"/>
    </row>
    <row r="25" spans="2:16" ht="15.75" thickBot="1" x14ac:dyDescent="0.3">
      <c r="B25" s="482" t="s">
        <v>514</v>
      </c>
      <c r="C25" s="344"/>
      <c r="D25" s="483" t="s">
        <v>516</v>
      </c>
      <c r="E25" s="544">
        <v>5743.3</v>
      </c>
      <c r="F25" s="485" t="s">
        <v>329</v>
      </c>
      <c r="G25" s="565"/>
      <c r="H25" s="633" t="s">
        <v>467</v>
      </c>
      <c r="I25" s="634"/>
      <c r="J25" s="634"/>
      <c r="K25" s="634"/>
      <c r="L25" s="634"/>
      <c r="M25" s="634"/>
      <c r="N25" s="635"/>
    </row>
    <row r="26" spans="2:16" ht="15.75" thickBot="1" x14ac:dyDescent="0.3">
      <c r="B26" s="482" t="s">
        <v>519</v>
      </c>
      <c r="C26" s="344"/>
      <c r="D26" s="483" t="s">
        <v>520</v>
      </c>
      <c r="E26" s="544">
        <v>1469.13</v>
      </c>
      <c r="F26" s="485" t="s">
        <v>329</v>
      </c>
      <c r="G26" s="565"/>
      <c r="H26" s="630" t="s">
        <v>468</v>
      </c>
      <c r="I26" s="631"/>
      <c r="J26" s="631"/>
      <c r="K26" s="631"/>
      <c r="L26" s="632"/>
      <c r="M26" s="557" t="s">
        <v>325</v>
      </c>
      <c r="N26" s="556" t="s">
        <v>65</v>
      </c>
    </row>
    <row r="27" spans="2:16" x14ac:dyDescent="0.25">
      <c r="B27" s="482" t="s">
        <v>532</v>
      </c>
      <c r="C27" s="344"/>
      <c r="D27" s="483" t="s">
        <v>521</v>
      </c>
      <c r="E27" s="545">
        <v>6090.87</v>
      </c>
      <c r="F27" s="485" t="s">
        <v>329</v>
      </c>
      <c r="G27" s="565"/>
      <c r="H27" s="702" t="s">
        <v>469</v>
      </c>
      <c r="I27" s="703"/>
      <c r="J27" s="703"/>
      <c r="K27" s="703"/>
      <c r="L27" s="703"/>
      <c r="M27" s="503">
        <v>43.7</v>
      </c>
      <c r="N27" s="504" t="s">
        <v>18</v>
      </c>
      <c r="P27" s="570"/>
    </row>
    <row r="28" spans="2:16" ht="15.75" thickBot="1" x14ac:dyDescent="0.3">
      <c r="B28" s="482" t="s">
        <v>533</v>
      </c>
      <c r="C28" s="344"/>
      <c r="D28" s="483" t="s">
        <v>522</v>
      </c>
      <c r="E28" s="545">
        <v>1630.2</v>
      </c>
      <c r="F28" s="485" t="s">
        <v>329</v>
      </c>
      <c r="G28" s="565"/>
      <c r="H28" s="704" t="s">
        <v>517</v>
      </c>
      <c r="I28" s="705"/>
      <c r="J28" s="705"/>
      <c r="K28" s="705"/>
      <c r="L28" s="706"/>
      <c r="M28" s="484">
        <v>11.5</v>
      </c>
      <c r="N28" s="486" t="s">
        <v>18</v>
      </c>
      <c r="O28" s="565"/>
    </row>
    <row r="29" spans="2:16" ht="15.75" thickBot="1" x14ac:dyDescent="0.3">
      <c r="B29" s="482" t="s">
        <v>534</v>
      </c>
      <c r="C29" s="344"/>
      <c r="D29" s="483" t="s">
        <v>523</v>
      </c>
      <c r="E29" s="545">
        <v>2594.89</v>
      </c>
      <c r="F29" s="485" t="s">
        <v>329</v>
      </c>
      <c r="G29" s="565"/>
      <c r="H29" s="707" t="s">
        <v>470</v>
      </c>
      <c r="I29" s="708"/>
      <c r="J29" s="709"/>
      <c r="K29" s="709"/>
      <c r="L29" s="709"/>
      <c r="M29" s="505">
        <f>SUM(M27:M28)</f>
        <v>55.2</v>
      </c>
      <c r="N29" s="506" t="s">
        <v>18</v>
      </c>
      <c r="O29" s="565"/>
      <c r="P29" s="570"/>
    </row>
    <row r="30" spans="2:16" x14ac:dyDescent="0.25">
      <c r="B30" s="482" t="s">
        <v>535</v>
      </c>
      <c r="C30" s="344"/>
      <c r="D30" s="483" t="s">
        <v>524</v>
      </c>
      <c r="E30" s="544">
        <v>1523.26</v>
      </c>
      <c r="F30" s="485" t="s">
        <v>329</v>
      </c>
      <c r="G30" s="565"/>
      <c r="H30" s="710"/>
      <c r="I30" s="711"/>
      <c r="J30" s="712"/>
      <c r="K30" s="712"/>
      <c r="L30" s="712"/>
      <c r="M30" s="712"/>
      <c r="N30" s="713"/>
    </row>
    <row r="31" spans="2:16" x14ac:dyDescent="0.25">
      <c r="B31" s="482" t="s">
        <v>536</v>
      </c>
      <c r="C31" s="344"/>
      <c r="D31" s="483" t="s">
        <v>525</v>
      </c>
      <c r="E31" s="545">
        <v>3514.05</v>
      </c>
      <c r="F31" s="485" t="s">
        <v>329</v>
      </c>
      <c r="G31" s="565"/>
      <c r="H31" s="714" t="s">
        <v>471</v>
      </c>
      <c r="I31" s="715"/>
      <c r="J31" s="716"/>
      <c r="K31" s="716"/>
      <c r="L31" s="716"/>
      <c r="M31" s="571">
        <v>4</v>
      </c>
      <c r="N31" s="572" t="s">
        <v>483</v>
      </c>
    </row>
    <row r="32" spans="2:16" ht="15.75" thickBot="1" x14ac:dyDescent="0.3">
      <c r="B32" s="482" t="s">
        <v>537</v>
      </c>
      <c r="C32" s="344"/>
      <c r="D32" s="483" t="s">
        <v>526</v>
      </c>
      <c r="E32" s="545">
        <v>2654.07</v>
      </c>
      <c r="F32" s="485" t="s">
        <v>329</v>
      </c>
      <c r="G32" s="565"/>
      <c r="H32" s="688"/>
      <c r="I32" s="689"/>
      <c r="J32" s="689"/>
      <c r="K32" s="689"/>
      <c r="L32" s="689"/>
      <c r="M32" s="689"/>
      <c r="N32" s="690"/>
    </row>
    <row r="33" spans="2:14" ht="15.75" thickBot="1" x14ac:dyDescent="0.3">
      <c r="B33" s="482" t="s">
        <v>538</v>
      </c>
      <c r="C33" s="344"/>
      <c r="D33" s="483" t="s">
        <v>527</v>
      </c>
      <c r="E33" s="545">
        <v>1423.88</v>
      </c>
      <c r="F33" s="485" t="s">
        <v>329</v>
      </c>
      <c r="G33" s="565"/>
      <c r="H33" s="719" t="s">
        <v>474</v>
      </c>
      <c r="I33" s="720"/>
      <c r="J33" s="721"/>
      <c r="K33" s="721"/>
      <c r="L33" s="721"/>
      <c r="M33" s="573">
        <f>M29*M31</f>
        <v>220.8</v>
      </c>
      <c r="N33" s="574" t="s">
        <v>348</v>
      </c>
    </row>
    <row r="34" spans="2:14" x14ac:dyDescent="0.25">
      <c r="B34" s="482" t="s">
        <v>539</v>
      </c>
      <c r="C34" s="344"/>
      <c r="D34" s="483" t="s">
        <v>528</v>
      </c>
      <c r="E34" s="545">
        <v>3001.92</v>
      </c>
      <c r="F34" s="485" t="s">
        <v>329</v>
      </c>
      <c r="G34" s="565"/>
      <c r="H34" s="575"/>
      <c r="I34" s="575"/>
      <c r="J34" s="575"/>
      <c r="K34" s="575"/>
      <c r="L34" s="575"/>
      <c r="M34" s="576"/>
      <c r="N34" s="577"/>
    </row>
    <row r="35" spans="2:14" x14ac:dyDescent="0.25">
      <c r="B35" s="482" t="s">
        <v>540</v>
      </c>
      <c r="C35" s="344"/>
      <c r="D35" s="483" t="s">
        <v>529</v>
      </c>
      <c r="E35" s="545">
        <v>4520.3599999999997</v>
      </c>
      <c r="F35" s="485" t="s">
        <v>329</v>
      </c>
      <c r="G35" s="565"/>
    </row>
    <row r="36" spans="2:14" x14ac:dyDescent="0.25">
      <c r="B36" s="482" t="s">
        <v>541</v>
      </c>
      <c r="C36" s="344"/>
      <c r="D36" s="483" t="s">
        <v>531</v>
      </c>
      <c r="E36" s="545">
        <v>6693.79</v>
      </c>
      <c r="F36" s="485" t="s">
        <v>329</v>
      </c>
      <c r="G36" s="565"/>
    </row>
    <row r="37" spans="2:14" x14ac:dyDescent="0.25">
      <c r="B37" s="482" t="s">
        <v>542</v>
      </c>
      <c r="C37" s="344"/>
      <c r="D37" s="483" t="s">
        <v>530</v>
      </c>
      <c r="E37" s="545">
        <v>2561.4899999999998</v>
      </c>
      <c r="F37" s="485" t="s">
        <v>329</v>
      </c>
    </row>
    <row r="38" spans="2:14" x14ac:dyDescent="0.25">
      <c r="B38" s="482" t="s">
        <v>543</v>
      </c>
      <c r="C38" s="344"/>
      <c r="D38" s="483" t="s">
        <v>547</v>
      </c>
      <c r="E38" s="545">
        <v>9273.98</v>
      </c>
      <c r="F38" s="485" t="s">
        <v>329</v>
      </c>
      <c r="M38" s="578"/>
    </row>
    <row r="39" spans="2:14" x14ac:dyDescent="0.25">
      <c r="B39" s="482" t="s">
        <v>544</v>
      </c>
      <c r="C39" s="344"/>
      <c r="D39" s="483" t="s">
        <v>548</v>
      </c>
      <c r="E39" s="545">
        <v>8526.24</v>
      </c>
      <c r="F39" s="485" t="s">
        <v>329</v>
      </c>
      <c r="I39" s="568"/>
    </row>
    <row r="40" spans="2:14" x14ac:dyDescent="0.25">
      <c r="B40" s="482" t="s">
        <v>545</v>
      </c>
      <c r="C40" s="344"/>
      <c r="D40" s="483" t="s">
        <v>549</v>
      </c>
      <c r="E40" s="545">
        <v>2384.88</v>
      </c>
      <c r="F40" s="485" t="s">
        <v>329</v>
      </c>
    </row>
    <row r="41" spans="2:14" ht="15.75" thickBot="1" x14ac:dyDescent="0.3">
      <c r="B41" s="482" t="s">
        <v>546</v>
      </c>
      <c r="C41" s="344"/>
      <c r="D41" s="483" t="s">
        <v>550</v>
      </c>
      <c r="E41" s="545">
        <v>4423.6000000000004</v>
      </c>
      <c r="F41" s="485" t="s">
        <v>329</v>
      </c>
      <c r="I41" s="570"/>
    </row>
    <row r="42" spans="2:14" ht="15.75" thickBot="1" x14ac:dyDescent="0.3">
      <c r="B42" s="660" t="s">
        <v>342</v>
      </c>
      <c r="C42" s="661"/>
      <c r="D42" s="661"/>
      <c r="E42" s="487">
        <f>SUM(E18:E41)/1000</f>
        <v>83.10108000000001</v>
      </c>
      <c r="F42" s="488" t="s">
        <v>18</v>
      </c>
    </row>
    <row r="43" spans="2:14" ht="15.75" thickBot="1" x14ac:dyDescent="0.3"/>
    <row r="44" spans="2:14" ht="15.75" thickBot="1" x14ac:dyDescent="0.3">
      <c r="B44" s="630" t="s">
        <v>390</v>
      </c>
      <c r="C44" s="631"/>
      <c r="D44" s="631"/>
      <c r="E44" s="631"/>
      <c r="F44" s="632"/>
    </row>
    <row r="45" spans="2:14" ht="15.75" thickBot="1" x14ac:dyDescent="0.3">
      <c r="B45" s="636"/>
      <c r="C45" s="637"/>
      <c r="D45" s="637"/>
      <c r="E45" s="637"/>
      <c r="F45" s="638"/>
    </row>
    <row r="46" spans="2:14" ht="15.75" thickBot="1" x14ac:dyDescent="0.3">
      <c r="B46" s="630" t="s">
        <v>598</v>
      </c>
      <c r="C46" s="631"/>
      <c r="D46" s="631"/>
      <c r="E46" s="631"/>
      <c r="F46" s="632"/>
    </row>
    <row r="47" spans="2:14" x14ac:dyDescent="0.25">
      <c r="B47" s="722" t="s">
        <v>599</v>
      </c>
      <c r="C47" s="723"/>
      <c r="D47" s="723"/>
      <c r="E47" s="723"/>
      <c r="F47" s="724"/>
    </row>
    <row r="48" spans="2:14" x14ac:dyDescent="0.25">
      <c r="B48" s="717" t="s">
        <v>600</v>
      </c>
      <c r="C48" s="654"/>
      <c r="D48" s="718"/>
      <c r="E48" s="512">
        <v>1</v>
      </c>
      <c r="F48" s="489" t="s">
        <v>18</v>
      </c>
    </row>
    <row r="49" spans="2:8" x14ac:dyDescent="0.25">
      <c r="B49" s="717" t="s">
        <v>601</v>
      </c>
      <c r="C49" s="654"/>
      <c r="D49" s="718"/>
      <c r="E49" s="524">
        <f>E12</f>
        <v>23.903179999999999</v>
      </c>
      <c r="F49" s="489" t="s">
        <v>18</v>
      </c>
      <c r="H49" s="570"/>
    </row>
    <row r="50" spans="2:8" x14ac:dyDescent="0.25">
      <c r="B50" s="653" t="s">
        <v>602</v>
      </c>
      <c r="C50" s="654"/>
      <c r="D50" s="718"/>
      <c r="E50" s="484">
        <v>0.85</v>
      </c>
      <c r="F50" s="489" t="s">
        <v>18</v>
      </c>
      <c r="H50" s="570"/>
    </row>
    <row r="51" spans="2:8" x14ac:dyDescent="0.25">
      <c r="B51" s="717" t="s">
        <v>603</v>
      </c>
      <c r="C51" s="654"/>
      <c r="D51" s="718"/>
      <c r="E51" s="484">
        <f>E42</f>
        <v>83.10108000000001</v>
      </c>
      <c r="F51" s="489" t="s">
        <v>18</v>
      </c>
    </row>
    <row r="52" spans="2:8" x14ac:dyDescent="0.25">
      <c r="B52" s="717" t="s">
        <v>604</v>
      </c>
      <c r="C52" s="654"/>
      <c r="D52" s="718"/>
      <c r="E52" s="484">
        <v>10.5</v>
      </c>
      <c r="F52" s="489" t="s">
        <v>18</v>
      </c>
    </row>
    <row r="53" spans="2:8" x14ac:dyDescent="0.25">
      <c r="B53" s="717" t="s">
        <v>517</v>
      </c>
      <c r="C53" s="654"/>
      <c r="D53" s="718"/>
      <c r="E53" s="484">
        <v>11.5</v>
      </c>
      <c r="F53" s="489" t="s">
        <v>18</v>
      </c>
    </row>
    <row r="54" spans="2:8" ht="15.75" thickBot="1" x14ac:dyDescent="0.3">
      <c r="B54" s="725" t="s">
        <v>379</v>
      </c>
      <c r="C54" s="726"/>
      <c r="D54" s="727"/>
      <c r="E54" s="491">
        <f>SUM(E48:E53)</f>
        <v>130.85426000000001</v>
      </c>
      <c r="F54" s="492" t="s">
        <v>18</v>
      </c>
    </row>
    <row r="55" spans="2:8" ht="15.75" thickBot="1" x14ac:dyDescent="0.3">
      <c r="B55" s="636"/>
      <c r="C55" s="637"/>
      <c r="D55" s="637"/>
      <c r="E55" s="637"/>
      <c r="F55" s="638"/>
    </row>
    <row r="56" spans="2:8" ht="15.75" thickBot="1" x14ac:dyDescent="0.3"/>
    <row r="57" spans="2:8" ht="15.75" thickBot="1" x14ac:dyDescent="0.3">
      <c r="B57" s="630" t="s">
        <v>551</v>
      </c>
      <c r="C57" s="631"/>
      <c r="D57" s="631"/>
      <c r="E57" s="631"/>
      <c r="F57" s="632"/>
    </row>
    <row r="58" spans="2:8" x14ac:dyDescent="0.25">
      <c r="B58" s="722" t="s">
        <v>552</v>
      </c>
      <c r="C58" s="723"/>
      <c r="D58" s="723"/>
      <c r="E58" s="723"/>
      <c r="F58" s="724"/>
    </row>
    <row r="59" spans="2:8" x14ac:dyDescent="0.25">
      <c r="B59" s="717" t="s">
        <v>600</v>
      </c>
      <c r="C59" s="654"/>
      <c r="D59" s="718"/>
      <c r="E59" s="512">
        <v>1</v>
      </c>
      <c r="F59" s="489" t="s">
        <v>18</v>
      </c>
    </row>
    <row r="60" spans="2:8" x14ac:dyDescent="0.25">
      <c r="B60" s="717" t="s">
        <v>605</v>
      </c>
      <c r="C60" s="654"/>
      <c r="D60" s="718"/>
      <c r="E60" s="490">
        <f>E12</f>
        <v>23.903179999999999</v>
      </c>
      <c r="F60" s="489" t="s">
        <v>18</v>
      </c>
    </row>
    <row r="61" spans="2:8" x14ac:dyDescent="0.25">
      <c r="B61" s="717" t="s">
        <v>606</v>
      </c>
      <c r="C61" s="654"/>
      <c r="D61" s="718"/>
      <c r="E61" s="484">
        <v>9.9</v>
      </c>
      <c r="F61" s="489" t="s">
        <v>18</v>
      </c>
    </row>
    <row r="62" spans="2:8" x14ac:dyDescent="0.25">
      <c r="B62" s="653" t="s">
        <v>517</v>
      </c>
      <c r="C62" s="654"/>
      <c r="D62" s="718"/>
      <c r="E62" s="484">
        <v>11.5</v>
      </c>
      <c r="F62" s="489" t="s">
        <v>18</v>
      </c>
    </row>
    <row r="63" spans="2:8" ht="15.75" thickBot="1" x14ac:dyDescent="0.3">
      <c r="B63" s="725" t="s">
        <v>379</v>
      </c>
      <c r="C63" s="726"/>
      <c r="D63" s="727"/>
      <c r="E63" s="491">
        <f>SUM(E59:E62)</f>
        <v>46.303179999999998</v>
      </c>
      <c r="F63" s="492" t="s">
        <v>18</v>
      </c>
    </row>
    <row r="64" spans="2:8" ht="15.75" thickBot="1" x14ac:dyDescent="0.3">
      <c r="B64" s="636"/>
      <c r="C64" s="637"/>
      <c r="D64" s="637"/>
      <c r="E64" s="637"/>
      <c r="F64" s="638"/>
    </row>
    <row r="65" spans="2:6" ht="15.75" thickBot="1" x14ac:dyDescent="0.3"/>
    <row r="66" spans="2:6" ht="15.75" thickBot="1" x14ac:dyDescent="0.3">
      <c r="B66" s="630" t="s">
        <v>607</v>
      </c>
      <c r="C66" s="631"/>
      <c r="D66" s="631"/>
      <c r="E66" s="631"/>
      <c r="F66" s="632"/>
    </row>
    <row r="67" spans="2:6" x14ac:dyDescent="0.25">
      <c r="B67" s="722" t="s">
        <v>599</v>
      </c>
      <c r="C67" s="723"/>
      <c r="D67" s="723"/>
      <c r="E67" s="723"/>
      <c r="F67" s="724"/>
    </row>
    <row r="68" spans="2:6" x14ac:dyDescent="0.25">
      <c r="B68" s="717" t="s">
        <v>600</v>
      </c>
      <c r="C68" s="654"/>
      <c r="D68" s="718"/>
      <c r="E68" s="512">
        <v>1</v>
      </c>
      <c r="F68" s="489" t="s">
        <v>18</v>
      </c>
    </row>
    <row r="69" spans="2:6" x14ac:dyDescent="0.25">
      <c r="B69" s="717" t="s">
        <v>601</v>
      </c>
      <c r="C69" s="654"/>
      <c r="D69" s="718"/>
      <c r="E69" s="524">
        <f>E12</f>
        <v>23.903179999999999</v>
      </c>
      <c r="F69" s="489" t="s">
        <v>18</v>
      </c>
    </row>
    <row r="70" spans="2:6" x14ac:dyDescent="0.25">
      <c r="B70" s="653" t="s">
        <v>602</v>
      </c>
      <c r="C70" s="654"/>
      <c r="D70" s="718"/>
      <c r="E70" s="484">
        <v>0.85</v>
      </c>
      <c r="F70" s="489" t="s">
        <v>18</v>
      </c>
    </row>
    <row r="71" spans="2:6" x14ac:dyDescent="0.25">
      <c r="B71" s="717" t="s">
        <v>603</v>
      </c>
      <c r="C71" s="654"/>
      <c r="D71" s="718"/>
      <c r="E71" s="484">
        <f>E42</f>
        <v>83.10108000000001</v>
      </c>
      <c r="F71" s="489" t="s">
        <v>18</v>
      </c>
    </row>
    <row r="72" spans="2:6" x14ac:dyDescent="0.25">
      <c r="B72" s="653" t="s">
        <v>608</v>
      </c>
      <c r="C72" s="654"/>
      <c r="D72" s="718"/>
      <c r="E72" s="484">
        <v>43.6</v>
      </c>
      <c r="F72" s="489" t="s">
        <v>18</v>
      </c>
    </row>
    <row r="73" spans="2:6" ht="15.75" thickBot="1" x14ac:dyDescent="0.3">
      <c r="B73" s="725" t="s">
        <v>379</v>
      </c>
      <c r="C73" s="726"/>
      <c r="D73" s="727"/>
      <c r="E73" s="491">
        <f>SUM(E68:E72)</f>
        <v>152.45426</v>
      </c>
      <c r="F73" s="492" t="s">
        <v>18</v>
      </c>
    </row>
    <row r="74" spans="2:6" ht="15.75" thickBot="1" x14ac:dyDescent="0.3">
      <c r="B74" s="636"/>
      <c r="C74" s="637"/>
      <c r="D74" s="637"/>
      <c r="E74" s="637"/>
      <c r="F74" s="638"/>
    </row>
  </sheetData>
  <mergeCells count="71">
    <mergeCell ref="B74:F74"/>
    <mergeCell ref="B68:D68"/>
    <mergeCell ref="B69:D69"/>
    <mergeCell ref="B70:D70"/>
    <mergeCell ref="B71:D71"/>
    <mergeCell ref="B72:D72"/>
    <mergeCell ref="B73:D73"/>
    <mergeCell ref="B67:F67"/>
    <mergeCell ref="B54:D54"/>
    <mergeCell ref="B55:F55"/>
    <mergeCell ref="B57:F57"/>
    <mergeCell ref="B58:F58"/>
    <mergeCell ref="B59:D59"/>
    <mergeCell ref="B60:D60"/>
    <mergeCell ref="B61:D61"/>
    <mergeCell ref="B62:D62"/>
    <mergeCell ref="B63:D63"/>
    <mergeCell ref="B64:F64"/>
    <mergeCell ref="B66:F66"/>
    <mergeCell ref="B53:D53"/>
    <mergeCell ref="H33:L33"/>
    <mergeCell ref="B42:D42"/>
    <mergeCell ref="B44:F44"/>
    <mergeCell ref="B45:F45"/>
    <mergeCell ref="B46:F46"/>
    <mergeCell ref="B47:F47"/>
    <mergeCell ref="B48:D48"/>
    <mergeCell ref="B49:D49"/>
    <mergeCell ref="B50:D50"/>
    <mergeCell ref="B51:D51"/>
    <mergeCell ref="B52:D52"/>
    <mergeCell ref="H32:N32"/>
    <mergeCell ref="H19:N19"/>
    <mergeCell ref="H20:N20"/>
    <mergeCell ref="H21:L21"/>
    <mergeCell ref="H22:L22"/>
    <mergeCell ref="H25:N25"/>
    <mergeCell ref="H26:L26"/>
    <mergeCell ref="H27:L27"/>
    <mergeCell ref="H28:L28"/>
    <mergeCell ref="H29:L29"/>
    <mergeCell ref="H30:N30"/>
    <mergeCell ref="H31:L31"/>
    <mergeCell ref="H13:N14"/>
    <mergeCell ref="B15:F15"/>
    <mergeCell ref="H15:N15"/>
    <mergeCell ref="B16:F16"/>
    <mergeCell ref="H16:H17"/>
    <mergeCell ref="I16:I17"/>
    <mergeCell ref="J16:J17"/>
    <mergeCell ref="K16:L17"/>
    <mergeCell ref="M16:M17"/>
    <mergeCell ref="N16:N17"/>
    <mergeCell ref="N5:N6"/>
    <mergeCell ref="H8:N8"/>
    <mergeCell ref="H10:N10"/>
    <mergeCell ref="H11:L11"/>
    <mergeCell ref="B12:D12"/>
    <mergeCell ref="H12:L12"/>
    <mergeCell ref="B5:F5"/>
    <mergeCell ref="H5:H6"/>
    <mergeCell ref="I5:I6"/>
    <mergeCell ref="J5:J6"/>
    <mergeCell ref="K5:L6"/>
    <mergeCell ref="M5:M6"/>
    <mergeCell ref="B2:F2"/>
    <mergeCell ref="H2:N2"/>
    <mergeCell ref="B3:F3"/>
    <mergeCell ref="H3:N3"/>
    <mergeCell ref="B4:F4"/>
    <mergeCell ref="H4:N4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sqref="A1:B1"/>
    </sheetView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728" t="s">
        <v>383</v>
      </c>
      <c r="B1" s="729"/>
    </row>
    <row r="2" spans="1:2" s="108" customFormat="1" ht="19.5" customHeight="1" x14ac:dyDescent="0.2">
      <c r="A2" s="265" t="s">
        <v>202</v>
      </c>
      <c r="B2" s="266" t="s">
        <v>276</v>
      </c>
    </row>
    <row r="3" spans="1:2" ht="19.5" customHeight="1" x14ac:dyDescent="0.2">
      <c r="A3" s="165">
        <v>1</v>
      </c>
      <c r="B3" s="164">
        <v>33.629999999999995</v>
      </c>
    </row>
    <row r="4" spans="1:2" ht="19.5" customHeight="1" x14ac:dyDescent="0.2">
      <c r="A4" s="165">
        <v>2</v>
      </c>
      <c r="B4" s="164">
        <v>43.13</v>
      </c>
    </row>
    <row r="5" spans="1:2" ht="19.5" customHeight="1" x14ac:dyDescent="0.2">
      <c r="A5" s="165">
        <v>3</v>
      </c>
      <c r="B5" s="164">
        <v>48.68</v>
      </c>
    </row>
    <row r="6" spans="1:2" ht="19.5" customHeight="1" x14ac:dyDescent="0.2">
      <c r="A6" s="165">
        <v>4</v>
      </c>
      <c r="B6" s="164">
        <v>52.62</v>
      </c>
    </row>
    <row r="7" spans="1:2" ht="19.5" customHeight="1" x14ac:dyDescent="0.2">
      <c r="A7" s="165">
        <v>5</v>
      </c>
      <c r="B7" s="164">
        <v>55.679999999999993</v>
      </c>
    </row>
    <row r="8" spans="1:2" ht="19.5" customHeight="1" x14ac:dyDescent="0.2">
      <c r="A8" s="165">
        <v>6</v>
      </c>
      <c r="B8" s="164">
        <v>58.18</v>
      </c>
    </row>
    <row r="9" spans="1:2" ht="19.5" customHeight="1" x14ac:dyDescent="0.2">
      <c r="A9" s="165">
        <v>7</v>
      </c>
      <c r="B9" s="164">
        <v>60.29</v>
      </c>
    </row>
    <row r="10" spans="1:2" ht="19.5" customHeight="1" x14ac:dyDescent="0.2">
      <c r="A10" s="165">
        <v>8</v>
      </c>
      <c r="B10" s="164">
        <v>62.12</v>
      </c>
    </row>
    <row r="11" spans="1:2" ht="19.5" customHeight="1" x14ac:dyDescent="0.2">
      <c r="A11" s="165">
        <v>9</v>
      </c>
      <c r="B11" s="164">
        <v>63.73</v>
      </c>
    </row>
    <row r="12" spans="1:2" ht="19.5" customHeight="1" x14ac:dyDescent="0.2">
      <c r="A12" s="165">
        <v>10</v>
      </c>
      <c r="B12" s="164">
        <v>65.180000000000007</v>
      </c>
    </row>
    <row r="13" spans="1:2" ht="19.5" customHeight="1" x14ac:dyDescent="0.2">
      <c r="A13" s="165">
        <v>11</v>
      </c>
      <c r="B13" s="164">
        <v>66.47999999999999</v>
      </c>
    </row>
    <row r="14" spans="1:2" ht="19.5" customHeight="1" x14ac:dyDescent="0.2">
      <c r="A14" s="165">
        <v>12</v>
      </c>
      <c r="B14" s="164">
        <v>67.67</v>
      </c>
    </row>
    <row r="15" spans="1:2" ht="19.5" customHeight="1" x14ac:dyDescent="0.2">
      <c r="A15" s="165">
        <v>13</v>
      </c>
      <c r="B15" s="164">
        <v>68.77</v>
      </c>
    </row>
    <row r="16" spans="1:2" ht="19.5" customHeight="1" x14ac:dyDescent="0.2">
      <c r="A16" s="165">
        <v>14</v>
      </c>
      <c r="B16" s="164">
        <v>69.789999999999992</v>
      </c>
    </row>
    <row r="17" spans="1:2" ht="19.5" customHeight="1" thickBot="1" x14ac:dyDescent="0.25">
      <c r="A17" s="166">
        <v>15</v>
      </c>
      <c r="B17" s="167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/>
  </sheetViews>
  <sheetFormatPr defaultColWidth="9.140625"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49" t="s">
        <v>384</v>
      </c>
    </row>
    <row r="2" spans="1:1" x14ac:dyDescent="0.2">
      <c r="A2" s="246"/>
    </row>
    <row r="3" spans="1:1" x14ac:dyDescent="0.2">
      <c r="A3" s="246" t="s">
        <v>240</v>
      </c>
    </row>
    <row r="4" spans="1:1" x14ac:dyDescent="0.2">
      <c r="A4" s="246"/>
    </row>
    <row r="5" spans="1:1" x14ac:dyDescent="0.2">
      <c r="A5" s="246"/>
    </row>
    <row r="6" spans="1:1" x14ac:dyDescent="0.2">
      <c r="A6" s="246"/>
    </row>
    <row r="7" spans="1:1" x14ac:dyDescent="0.2">
      <c r="A7" s="246"/>
    </row>
    <row r="8" spans="1:1" x14ac:dyDescent="0.2">
      <c r="A8" s="246"/>
    </row>
    <row r="9" spans="1:1" x14ac:dyDescent="0.2">
      <c r="A9" s="246"/>
    </row>
    <row r="10" spans="1:1" x14ac:dyDescent="0.2">
      <c r="A10" s="246"/>
    </row>
    <row r="11" spans="1:1" x14ac:dyDescent="0.2">
      <c r="A11" s="246"/>
    </row>
    <row r="12" spans="1:1" ht="19.5" x14ac:dyDescent="0.35">
      <c r="A12" s="247" t="s">
        <v>222</v>
      </c>
    </row>
    <row r="13" spans="1:1" ht="15" x14ac:dyDescent="0.2">
      <c r="A13" s="247" t="s">
        <v>105</v>
      </c>
    </row>
    <row r="14" spans="1:1" ht="15" x14ac:dyDescent="0.2">
      <c r="A14" s="247" t="s">
        <v>109</v>
      </c>
    </row>
    <row r="15" spans="1:1" ht="19.5" x14ac:dyDescent="0.35">
      <c r="A15" s="247" t="s">
        <v>223</v>
      </c>
    </row>
    <row r="16" spans="1:1" ht="19.5" x14ac:dyDescent="0.35">
      <c r="A16" s="247" t="s">
        <v>224</v>
      </c>
    </row>
    <row r="17" spans="1:1" ht="15.75" thickBot="1" x14ac:dyDescent="0.25">
      <c r="A17" s="248" t="s">
        <v>106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3" workbookViewId="0">
      <selection activeCell="C24" sqref="C24"/>
    </sheetView>
  </sheetViews>
  <sheetFormatPr defaultColWidth="9.140625" defaultRowHeight="12.75" x14ac:dyDescent="0.2"/>
  <cols>
    <col min="1" max="1" width="58.28515625" style="277" customWidth="1"/>
    <col min="2" max="2" width="11.140625" style="277" bestFit="1" customWidth="1"/>
    <col min="3" max="3" width="13.28515625" style="277" bestFit="1" customWidth="1"/>
    <col min="4" max="16384" width="9.140625" style="277"/>
  </cols>
  <sheetData>
    <row r="1" spans="1:7" x14ac:dyDescent="0.2">
      <c r="A1" s="11" t="s">
        <v>193</v>
      </c>
    </row>
    <row r="2" spans="1:7" x14ac:dyDescent="0.2">
      <c r="A2" s="282" t="s">
        <v>252</v>
      </c>
    </row>
    <row r="3" spans="1:7" x14ac:dyDescent="0.2">
      <c r="A3" s="282" t="s">
        <v>277</v>
      </c>
    </row>
    <row r="4" spans="1:7" x14ac:dyDescent="0.2">
      <c r="A4" s="7" t="s">
        <v>275</v>
      </c>
    </row>
    <row r="5" spans="1:7" x14ac:dyDescent="0.2">
      <c r="A5" s="7"/>
    </row>
    <row r="6" spans="1:7" s="4" customFormat="1" ht="15.6" hidden="1" customHeight="1" x14ac:dyDescent="0.2">
      <c r="A6" s="302" t="s">
        <v>286</v>
      </c>
      <c r="B6" s="138"/>
      <c r="C6" s="138"/>
      <c r="D6" s="138"/>
      <c r="E6" s="138"/>
      <c r="F6" s="138"/>
      <c r="G6" s="6"/>
    </row>
    <row r="7" spans="1:7" s="4" customFormat="1" ht="16.5" customHeight="1" x14ac:dyDescent="0.2">
      <c r="A7" s="333" t="s">
        <v>293</v>
      </c>
      <c r="B7" s="5"/>
      <c r="C7" s="5"/>
      <c r="D7" s="6"/>
      <c r="E7" s="6"/>
      <c r="F7" s="6"/>
      <c r="G7" s="6"/>
    </row>
    <row r="8" spans="1:7" s="4" customFormat="1" ht="16.5" customHeight="1" x14ac:dyDescent="0.2">
      <c r="A8" s="333" t="s">
        <v>294</v>
      </c>
      <c r="B8" s="5"/>
      <c r="C8" s="5"/>
      <c r="D8" s="6"/>
      <c r="E8" s="6"/>
      <c r="F8" s="6"/>
      <c r="G8" s="6"/>
    </row>
    <row r="9" spans="1:7" ht="13.5" thickBot="1" x14ac:dyDescent="0.25"/>
    <row r="10" spans="1:7" ht="18" x14ac:dyDescent="0.25">
      <c r="A10" s="730" t="s">
        <v>610</v>
      </c>
      <c r="B10" s="731"/>
      <c r="C10" s="732"/>
    </row>
    <row r="11" spans="1:7" s="283" customFormat="1" ht="18" x14ac:dyDescent="0.25">
      <c r="A11" s="297"/>
      <c r="B11" s="296"/>
      <c r="C11" s="298"/>
    </row>
    <row r="12" spans="1:7" s="108" customFormat="1" ht="15" x14ac:dyDescent="0.25">
      <c r="A12" s="284" t="s">
        <v>272</v>
      </c>
      <c r="B12" s="285" t="s">
        <v>253</v>
      </c>
      <c r="C12" s="286" t="s">
        <v>134</v>
      </c>
    </row>
    <row r="13" spans="1:7" ht="14.25" x14ac:dyDescent="0.2">
      <c r="A13" s="287" t="s">
        <v>261</v>
      </c>
      <c r="B13" s="288" t="s">
        <v>254</v>
      </c>
      <c r="C13" s="204">
        <v>3171</v>
      </c>
    </row>
    <row r="14" spans="1:7" ht="14.25" x14ac:dyDescent="0.2">
      <c r="A14" s="203" t="s">
        <v>262</v>
      </c>
      <c r="B14" s="289" t="s">
        <v>259</v>
      </c>
      <c r="C14" s="563">
        <v>0.4</v>
      </c>
    </row>
    <row r="15" spans="1:7" ht="14.25" x14ac:dyDescent="0.2">
      <c r="A15" s="203" t="s">
        <v>263</v>
      </c>
      <c r="B15" s="289" t="s">
        <v>260</v>
      </c>
      <c r="C15" s="290">
        <f>C13*C14/1000</f>
        <v>1.2684000000000002</v>
      </c>
    </row>
    <row r="16" spans="1:7" ht="14.25" x14ac:dyDescent="0.2">
      <c r="A16" s="203" t="s">
        <v>269</v>
      </c>
      <c r="B16" s="289" t="s">
        <v>255</v>
      </c>
      <c r="C16" s="291">
        <f>(C15*30)</f>
        <v>38.052000000000007</v>
      </c>
    </row>
    <row r="17" spans="1:3" ht="14.25" x14ac:dyDescent="0.2">
      <c r="A17" s="203" t="s">
        <v>265</v>
      </c>
      <c r="B17" s="289" t="s">
        <v>92</v>
      </c>
      <c r="C17" s="294">
        <v>3</v>
      </c>
    </row>
    <row r="18" spans="1:3" ht="14.25" x14ac:dyDescent="0.2">
      <c r="A18" s="203" t="s">
        <v>264</v>
      </c>
      <c r="B18" s="289" t="s">
        <v>260</v>
      </c>
      <c r="C18" s="290">
        <f>IFERROR(C15*7/C17,0)</f>
        <v>2.9596000000000005</v>
      </c>
    </row>
    <row r="19" spans="1:3" ht="14.25" x14ac:dyDescent="0.2">
      <c r="A19" s="287" t="s">
        <v>256</v>
      </c>
      <c r="B19" s="289" t="s">
        <v>257</v>
      </c>
      <c r="C19" s="227">
        <v>500</v>
      </c>
    </row>
    <row r="20" spans="1:3" ht="14.25" x14ac:dyDescent="0.2">
      <c r="A20" s="203" t="s">
        <v>270</v>
      </c>
      <c r="B20" s="289"/>
      <c r="C20" s="204">
        <v>1</v>
      </c>
    </row>
    <row r="21" spans="1:3" ht="14.25" x14ac:dyDescent="0.2">
      <c r="A21" s="287" t="s">
        <v>271</v>
      </c>
      <c r="B21" s="289" t="s">
        <v>258</v>
      </c>
      <c r="C21" s="204">
        <v>12</v>
      </c>
    </row>
    <row r="22" spans="1:3" ht="14.25" x14ac:dyDescent="0.2">
      <c r="A22" s="203" t="s">
        <v>266</v>
      </c>
      <c r="B22" s="289" t="s">
        <v>255</v>
      </c>
      <c r="C22" s="291">
        <f>IF(AND(C21&gt;=15,C20=1),5.8,C21/2)</f>
        <v>6</v>
      </c>
    </row>
    <row r="23" spans="1:3" ht="14.25" x14ac:dyDescent="0.2">
      <c r="A23" s="287" t="s">
        <v>267</v>
      </c>
      <c r="B23" s="289"/>
      <c r="C23" s="290">
        <f>IFERROR(C18/C22,0)</f>
        <v>0.49326666666666674</v>
      </c>
    </row>
    <row r="24" spans="1:3" ht="14.25" x14ac:dyDescent="0.2">
      <c r="A24" s="287" t="s">
        <v>273</v>
      </c>
      <c r="B24" s="289"/>
      <c r="C24" s="294">
        <v>1</v>
      </c>
    </row>
    <row r="25" spans="1:3" ht="15" thickBot="1" x14ac:dyDescent="0.25">
      <c r="A25" s="292" t="s">
        <v>268</v>
      </c>
      <c r="B25" s="293"/>
      <c r="C25" s="295">
        <f>IFERROR(C23/C24,0)</f>
        <v>0.49326666666666674</v>
      </c>
    </row>
    <row r="26" spans="1:3" ht="14.25" x14ac:dyDescent="0.2">
      <c r="A26" s="311"/>
      <c r="B26" s="213"/>
      <c r="C26" s="312"/>
    </row>
    <row r="27" spans="1:3" ht="14.25" x14ac:dyDescent="0.2">
      <c r="A27" s="311" t="s">
        <v>297</v>
      </c>
    </row>
    <row r="28" spans="1:3" x14ac:dyDescent="0.2">
      <c r="A28" s="277" t="s">
        <v>298</v>
      </c>
    </row>
    <row r="29" spans="1:3" x14ac:dyDescent="0.2">
      <c r="A29" s="277" t="s">
        <v>299</v>
      </c>
    </row>
    <row r="30" spans="1:3" x14ac:dyDescent="0.2">
      <c r="A30" s="277" t="s">
        <v>295</v>
      </c>
    </row>
    <row r="31" spans="1:3" x14ac:dyDescent="0.2">
      <c r="A31" s="277" t="s">
        <v>300</v>
      </c>
    </row>
    <row r="32" spans="1:3" x14ac:dyDescent="0.2">
      <c r="A32" s="277" t="s">
        <v>301</v>
      </c>
    </row>
    <row r="33" spans="1:1" x14ac:dyDescent="0.2">
      <c r="A33" s="277" t="s">
        <v>302</v>
      </c>
    </row>
    <row r="34" spans="1:1" x14ac:dyDescent="0.2">
      <c r="A34" s="277" t="s">
        <v>303</v>
      </c>
    </row>
    <row r="35" spans="1:1" x14ac:dyDescent="0.2">
      <c r="A35" s="277" t="s">
        <v>296</v>
      </c>
    </row>
  </sheetData>
  <mergeCells count="1">
    <mergeCell ref="A10:C10"/>
  </mergeCells>
  <conditionalFormatting sqref="C22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opLeftCell="A19" workbookViewId="0">
      <selection activeCell="B30" sqref="B30"/>
    </sheetView>
  </sheetViews>
  <sheetFormatPr defaultRowHeight="12.75" x14ac:dyDescent="0.2"/>
  <cols>
    <col min="1" max="1" width="28.7109375" customWidth="1"/>
    <col min="2" max="2" width="22.7109375" customWidth="1"/>
    <col min="3" max="3" width="9.85546875" customWidth="1"/>
    <col min="6" max="6" width="10.140625" bestFit="1" customWidth="1"/>
  </cols>
  <sheetData>
    <row r="1" spans="1:6" ht="15" x14ac:dyDescent="0.25">
      <c r="A1" s="526" t="s">
        <v>490</v>
      </c>
    </row>
    <row r="2" spans="1:6" ht="15" x14ac:dyDescent="0.25">
      <c r="A2" s="526" t="s">
        <v>491</v>
      </c>
    </row>
    <row r="3" spans="1:6" ht="15" x14ac:dyDescent="0.25">
      <c r="A3" s="526" t="s">
        <v>492</v>
      </c>
    </row>
    <row r="4" spans="1:6" ht="15" x14ac:dyDescent="0.25">
      <c r="A4" s="526"/>
    </row>
    <row r="5" spans="1:6" ht="14.45" customHeight="1" x14ac:dyDescent="0.25">
      <c r="A5" s="733" t="s">
        <v>557</v>
      </c>
      <c r="B5" s="733"/>
      <c r="C5" s="733"/>
      <c r="D5" s="733"/>
    </row>
    <row r="6" spans="1:6" ht="30" x14ac:dyDescent="0.25">
      <c r="A6" s="546" t="s">
        <v>493</v>
      </c>
    </row>
    <row r="7" spans="1:6" ht="30" x14ac:dyDescent="0.25">
      <c r="A7" s="546" t="s">
        <v>558</v>
      </c>
    </row>
    <row r="9" spans="1:6" ht="14.45" customHeight="1" x14ac:dyDescent="0.2">
      <c r="A9" s="734" t="s">
        <v>494</v>
      </c>
      <c r="B9" s="735"/>
      <c r="C9" s="735"/>
      <c r="D9" s="735"/>
      <c r="E9" s="735"/>
      <c r="F9" s="736"/>
    </row>
    <row r="10" spans="1:6" ht="30" x14ac:dyDescent="0.25">
      <c r="A10" s="527" t="s">
        <v>495</v>
      </c>
      <c r="B10" s="527" t="s">
        <v>496</v>
      </c>
      <c r="C10" s="527" t="s">
        <v>497</v>
      </c>
      <c r="D10" s="528" t="s">
        <v>498</v>
      </c>
      <c r="E10" s="528" t="s">
        <v>499</v>
      </c>
      <c r="F10" s="528" t="s">
        <v>500</v>
      </c>
    </row>
    <row r="11" spans="1:6" ht="38.25" x14ac:dyDescent="0.2">
      <c r="A11" s="529" t="s">
        <v>559</v>
      </c>
      <c r="B11" s="529" t="s">
        <v>560</v>
      </c>
      <c r="C11" s="530" t="s">
        <v>561</v>
      </c>
      <c r="D11" s="531" t="s">
        <v>503</v>
      </c>
      <c r="E11" s="531">
        <v>6.4989999999999997</v>
      </c>
      <c r="F11" s="532">
        <v>44705</v>
      </c>
    </row>
    <row r="12" spans="1:6" ht="25.5" x14ac:dyDescent="0.2">
      <c r="A12" s="529" t="s">
        <v>562</v>
      </c>
      <c r="B12" s="529" t="s">
        <v>563</v>
      </c>
      <c r="C12" s="530" t="s">
        <v>564</v>
      </c>
      <c r="D12" s="531" t="s">
        <v>504</v>
      </c>
      <c r="E12" s="531">
        <v>6.6989999999999998</v>
      </c>
      <c r="F12" s="532">
        <v>44704</v>
      </c>
    </row>
    <row r="13" spans="1:6" ht="38.25" x14ac:dyDescent="0.2">
      <c r="A13" s="529" t="s">
        <v>565</v>
      </c>
      <c r="B13" s="529" t="s">
        <v>566</v>
      </c>
      <c r="C13" s="530" t="s">
        <v>501</v>
      </c>
      <c r="D13" s="531" t="s">
        <v>503</v>
      </c>
      <c r="E13" s="531">
        <v>6.7489999999999997</v>
      </c>
      <c r="F13" s="532">
        <v>44705</v>
      </c>
    </row>
    <row r="14" spans="1:6" ht="25.5" x14ac:dyDescent="0.2">
      <c r="A14" s="529" t="s">
        <v>562</v>
      </c>
      <c r="B14" s="529" t="s">
        <v>567</v>
      </c>
      <c r="C14" s="530" t="s">
        <v>568</v>
      </c>
      <c r="D14" s="531" t="s">
        <v>505</v>
      </c>
      <c r="E14" s="531">
        <v>6.7990000000000004</v>
      </c>
      <c r="F14" s="532">
        <v>44704</v>
      </c>
    </row>
    <row r="15" spans="1:6" ht="25.5" x14ac:dyDescent="0.2">
      <c r="A15" s="529" t="s">
        <v>506</v>
      </c>
      <c r="B15" s="529" t="s">
        <v>569</v>
      </c>
      <c r="C15" s="530" t="s">
        <v>564</v>
      </c>
      <c r="D15" s="531" t="s">
        <v>502</v>
      </c>
      <c r="E15" s="531">
        <v>6.7990000000000004</v>
      </c>
      <c r="F15" s="532">
        <v>44704</v>
      </c>
    </row>
    <row r="16" spans="1:6" ht="25.5" x14ac:dyDescent="0.2">
      <c r="A16" s="529" t="s">
        <v>562</v>
      </c>
      <c r="B16" s="529" t="s">
        <v>570</v>
      </c>
      <c r="C16" s="530" t="s">
        <v>507</v>
      </c>
      <c r="D16" s="531" t="s">
        <v>505</v>
      </c>
      <c r="E16" s="531">
        <v>6.7990000000000004</v>
      </c>
      <c r="F16" s="532">
        <v>44704</v>
      </c>
    </row>
    <row r="17" spans="1:6" ht="38.25" x14ac:dyDescent="0.2">
      <c r="A17" s="529" t="s">
        <v>571</v>
      </c>
      <c r="B17" s="529" t="s">
        <v>572</v>
      </c>
      <c r="C17" s="530" t="s">
        <v>501</v>
      </c>
      <c r="D17" s="531" t="s">
        <v>503</v>
      </c>
      <c r="E17" s="531">
        <v>6.84</v>
      </c>
      <c r="F17" s="532">
        <v>44705</v>
      </c>
    </row>
    <row r="18" spans="1:6" ht="38.25" x14ac:dyDescent="0.2">
      <c r="A18" s="529" t="s">
        <v>573</v>
      </c>
      <c r="B18" s="529" t="s">
        <v>574</v>
      </c>
      <c r="C18" s="530" t="s">
        <v>575</v>
      </c>
      <c r="D18" s="531" t="s">
        <v>503</v>
      </c>
      <c r="E18" s="531">
        <v>6.899</v>
      </c>
      <c r="F18" s="532">
        <v>44704</v>
      </c>
    </row>
    <row r="19" spans="1:6" ht="25.5" x14ac:dyDescent="0.2">
      <c r="A19" s="529" t="s">
        <v>576</v>
      </c>
      <c r="B19" s="529" t="s">
        <v>577</v>
      </c>
      <c r="C19" s="530" t="s">
        <v>501</v>
      </c>
      <c r="D19" s="531" t="s">
        <v>505</v>
      </c>
      <c r="E19" s="531">
        <v>6.899</v>
      </c>
      <c r="F19" s="532">
        <v>44705</v>
      </c>
    </row>
    <row r="20" spans="1:6" ht="25.5" x14ac:dyDescent="0.2">
      <c r="A20" s="529" t="s">
        <v>578</v>
      </c>
      <c r="B20" s="529" t="s">
        <v>579</v>
      </c>
      <c r="C20" s="530" t="s">
        <v>501</v>
      </c>
      <c r="D20" s="531" t="s">
        <v>504</v>
      </c>
      <c r="E20" s="531">
        <v>6.9989999999999997</v>
      </c>
      <c r="F20" s="532">
        <v>44705</v>
      </c>
    </row>
    <row r="22" spans="1:6" ht="15" x14ac:dyDescent="0.2">
      <c r="A22" s="737" t="s">
        <v>499</v>
      </c>
      <c r="B22" s="738"/>
    </row>
    <row r="23" spans="1:6" ht="15" x14ac:dyDescent="0.25">
      <c r="A23" s="533" t="s">
        <v>508</v>
      </c>
      <c r="B23" s="531">
        <v>6.798</v>
      </c>
    </row>
    <row r="24" spans="1:6" ht="15" x14ac:dyDescent="0.25">
      <c r="A24" s="533" t="s">
        <v>509</v>
      </c>
      <c r="B24" s="531">
        <v>0.13500000000000001</v>
      </c>
    </row>
    <row r="25" spans="1:6" ht="15" x14ac:dyDescent="0.25">
      <c r="A25" s="533" t="s">
        <v>510</v>
      </c>
      <c r="B25" s="531">
        <v>6.4989999999999997</v>
      </c>
    </row>
    <row r="26" spans="1:6" ht="15" x14ac:dyDescent="0.25">
      <c r="A26" s="533" t="s">
        <v>511</v>
      </c>
      <c r="B26" s="531">
        <v>6.9989999999999997</v>
      </c>
    </row>
    <row r="27" spans="1:6" ht="15" x14ac:dyDescent="0.25">
      <c r="A27" s="546" t="s">
        <v>580</v>
      </c>
    </row>
  </sheetData>
  <mergeCells count="3">
    <mergeCell ref="A5:D5"/>
    <mergeCell ref="A9:F9"/>
    <mergeCell ref="A22:B22"/>
  </mergeCells>
  <pageMargins left="0.51181102362204722" right="0.51181102362204722" top="0.78740157480314965" bottom="0.78740157480314965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9</vt:i4>
      </vt:variant>
    </vt:vector>
  </HeadingPairs>
  <TitlesOfParts>
    <vt:vector size="23" baseType="lpstr">
      <vt:lpstr>Resumo</vt:lpstr>
      <vt:lpstr>1. Coleta Orgânica</vt:lpstr>
      <vt:lpstr>2. Coleta Seletiva e Interior</vt:lpstr>
      <vt:lpstr>3. Contentores</vt:lpstr>
      <vt:lpstr>4.Enc Sociais</vt:lpstr>
      <vt:lpstr>5.CAGED</vt:lpstr>
      <vt:lpstr>6.BDI</vt:lpstr>
      <vt:lpstr>7. Ton</vt:lpstr>
      <vt:lpstr>8. Horários</vt:lpstr>
      <vt:lpstr>9. Roteiros </vt:lpstr>
      <vt:lpstr>10. Depr</vt:lpstr>
      <vt:lpstr>12. Rem capital</vt:lpstr>
      <vt:lpstr>13. Dimens</vt:lpstr>
      <vt:lpstr>ANP</vt:lpstr>
      <vt:lpstr>AbaDeprec</vt:lpstr>
      <vt:lpstr>AbaRemun</vt:lpstr>
      <vt:lpstr>'1. Coleta Orgânica'!Area_de_impressao</vt:lpstr>
      <vt:lpstr>'2. Coleta Seletiva e Interior'!Area_de_impressao</vt:lpstr>
      <vt:lpstr>'3. Contentores'!Area_de_impressao</vt:lpstr>
      <vt:lpstr>'4.Enc Sociais'!Area_de_impressao</vt:lpstr>
      <vt:lpstr>'1. Coleta Orgânica'!Titulos_de_impressao</vt:lpstr>
      <vt:lpstr>'2. Coleta Seletiva e Interior'!Titulos_de_impressao</vt:lpstr>
      <vt:lpstr>'3. Contentores'!Titulos_de_impressao</vt:lpstr>
    </vt:vector>
  </TitlesOfParts>
  <Company>dmlu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PREFEITURA</cp:lastModifiedBy>
  <cp:lastPrinted>2022-05-30T13:21:49Z</cp:lastPrinted>
  <dcterms:created xsi:type="dcterms:W3CDTF">2000-12-13T10:02:50Z</dcterms:created>
  <dcterms:modified xsi:type="dcterms:W3CDTF">2022-06-21T12:05:06Z</dcterms:modified>
</cp:coreProperties>
</file>