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codeName="EstaPasta_de_trabalho"/>
  <mc:AlternateContent xmlns:mc="http://schemas.openxmlformats.org/markup-compatibility/2006">
    <mc:Choice Requires="x15">
      <x15ac:absPath xmlns:x15ac="http://schemas.microsoft.com/office/spreadsheetml/2010/11/ac" url="D:\PREFEITURA MUNICIPAL DE FW\Projetos prefeitura\SMEC\EMEF\21 DE ABRIL\LICITAÇÃO AMPLIAÇÃO 08-24\PLANILHAS\"/>
    </mc:Choice>
  </mc:AlternateContent>
  <xr:revisionPtr revIDLastSave="0" documentId="13_ncr:1_{8B81BE95-341D-4D05-BB75-92F75AAD5E13}" xr6:coauthVersionLast="47" xr6:coauthVersionMax="47" xr10:uidLastSave="{00000000-0000-0000-0000-000000000000}"/>
  <workbookProtection workbookAlgorithmName="SHA-512" workbookHashValue="tVeozuWYhlDAKLZsw6gPNtr/MFrRJU4fmkTLuDd9Hor+qgzT1yWVZnZ0nQda0N6XYT4Gqhn2TasNd4VHk6JP7g==" workbookSaltValue="K0pibZwRAYGazeQ33ec2xw==" workbookSpinCount="100000" lockStructure="1"/>
  <bookViews>
    <workbookView xWindow="-120" yWindow="-120" windowWidth="20730" windowHeight="11160" activeTab="5" xr2:uid="{00000000-000D-0000-FFFF-FFFF00000000}"/>
  </bookViews>
  <sheets>
    <sheet name="DADOS" sheetId="16" r:id="rId1"/>
    <sheet name="BDI (1)" sheetId="17" r:id="rId2"/>
    <sheet name="BDI (2)" sheetId="18" r:id="rId3"/>
    <sheet name="PO" sheetId="12" r:id="rId4"/>
    <sheet name="PLQ" sheetId="13" state="hidden" r:id="rId5"/>
    <sheet name="CFF" sheetId="11" r:id="rId6"/>
  </sheet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_xlnm.Print_Area" localSheetId="1">'BDI (1)'!$I$1:$R$50</definedName>
    <definedName name="_xlnm.Print_Area" localSheetId="2">'BDI (2)'!$I$1:$R$50</definedName>
    <definedName name="_xlnm.Print_Area" localSheetId="5">CFF!$L$1:$X$99</definedName>
    <definedName name="_xlnm.Print_Area" localSheetId="0">DADOS!$A$1:$X$87</definedName>
    <definedName name="_xlnm.Print_Area" localSheetId="4">PLQ!$B$1:$P$281</definedName>
    <definedName name="_xlnm.Print_Area" localSheetId="3">PO!$K$1:$T$290</definedName>
    <definedName name="_xlnm.Database">TEXT(Import.DataBase,"mm-aaaa")</definedName>
    <definedName name="CFF.ColunaPadrão">CFF!$AC:$AC</definedName>
    <definedName name="CFF.Colunas">CFF!$P$10:$X$10</definedName>
    <definedName name="CFF.Dados">OFFSET(CFF!$L$17,1,0):OFFSET(CFF!$X$93,-1,-1)</definedName>
    <definedName name="CFF.IncluirLinha">MAX(PO!$V$12:$V$275)*CFF.NumLinha-ROW(CFF!$F$93)+ROW(CFF!$F$17)+1</definedName>
    <definedName name="CFF.Item">OFFSET(CFF!$L$17,1,0):OFFSET(CFF!$X$93,-1,-1)</definedName>
    <definedName name="CFF.LinhaPadrão">CFF!$A$11:$W$11</definedName>
    <definedName name="CFF.NumLinha">ROW(CFF!$D$14)-ROW(CFF!$D$10)-1</definedName>
    <definedName name="Código" localSheetId="3">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OFFSET(PO!$M$12,1,0):OFFSET(PO!$M$275,-1,0)</definedName>
    <definedName name="Import.CR">DADOS!$A$29</definedName>
    <definedName name="Import.CTEF">DADOS!$A$43</definedName>
    <definedName name="Import.CustoUnitário">OFFSET(PO!$Q$12,1,0):OFFSET(PO!$Q$275,-1,0)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OFFSET(PO!$N$12,1,0):OFFSET(PO!$N$275,-1,0)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OFFSET(PO!$L$12,1,0):OFFSET(PO!$L$275,-1,0)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OFFSET(PO!$K$12,1,0):OFFSET(PO!$K$275,-1,0)</definedName>
    <definedName name="Import.Localidade">DADOS!$K$32</definedName>
    <definedName name="Import.LocalSINAPI">DADOS!$D$38</definedName>
    <definedName name="Import.Município">DADOS!$G$32</definedName>
    <definedName name="Import.Nível">OFFSET(PO!$J$12,1,0):OFFSET(PO!$J$275,-1,0)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OFFSET(PLQ!$F$12,1,0):OFFSET(PLQ!$P$275,-1,-1)</definedName>
    <definedName name="Import.POArred">PO!$X$3:$X$7</definedName>
    <definedName name="Import.PreçoTotal">OFFSET(PO!$T$12,1,0):OFFSET(PO!$T$275,-1,0)</definedName>
    <definedName name="Import.PreçoUnitário">OFFSET(PO!$S$12,1,0):OFFSET(PO!$S$275,-1,0)</definedName>
    <definedName name="Import.Programa">DADOS!$F$29</definedName>
    <definedName name="Import.Proponente">DADOS!$A$32</definedName>
    <definedName name="Import.Quantidade">OFFSET(PO!$P$12,1,0):OFFSET(PO!$P$275,-1,0)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OFFSET(PO!$O$12,1,0):OFFSET(PO!$O$275,-1,0)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OFFSET(PO!$Z$12,1,0):OFFSET(PO!$Z$275,-1,0)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PO!$K$276</definedName>
    <definedName name="linhaSINAPIxls" localSheetId="3">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PLQ!$B$9:OFFSET(PLQ!$B$275,-1,0)</definedName>
    <definedName name="PLQ.LinhaPadrão">PLQ!$A$11:$P$11</definedName>
    <definedName name="PLQ.qtde.frentes">COUNTA(PLQ!$F$9:$P$9)</definedName>
    <definedName name="PO.BDI">OFFSET(PO!$R$12,1,0):OFFSET(PO!$R$275,-1,0)</definedName>
    <definedName name="PO.CustoRef">OFFSET(PO!$Y$12,1,0):OFFSET(PO!$Y$275,-1,0)</definedName>
    <definedName name="PO.CustoUnitario">ROUND(PO!$Q1,15-13*PO!$X$4)</definedName>
    <definedName name="PO.Dados">PO!$C$12:OFFSET(PO!$Z$275,-1,0)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"BASE"</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6" i="12" l="1"/>
  <c r="P25" i="12"/>
  <c r="P24" i="12"/>
  <c r="P23" i="12"/>
  <c r="P22" i="12"/>
  <c r="P21" i="12"/>
  <c r="F40" i="13"/>
  <c r="F43" i="13"/>
  <c r="A43" i="13"/>
  <c r="F42" i="13"/>
  <c r="A42" i="13"/>
  <c r="F41" i="13"/>
  <c r="A41" i="13"/>
  <c r="A40" i="13"/>
  <c r="F39" i="13"/>
  <c r="A39" i="13"/>
  <c r="W43" i="12"/>
  <c r="H43" i="12"/>
  <c r="A43" i="12"/>
  <c r="W42" i="12"/>
  <c r="V42" i="12"/>
  <c r="H42" i="12"/>
  <c r="A42" i="12"/>
  <c r="W41" i="12"/>
  <c r="V41" i="12"/>
  <c r="H41" i="12"/>
  <c r="A41" i="12"/>
  <c r="W40" i="12"/>
  <c r="V40" i="12"/>
  <c r="H40" i="12"/>
  <c r="A40" i="12"/>
  <c r="X39" i="12"/>
  <c r="Y39" i="12" s="1"/>
  <c r="W39" i="12"/>
  <c r="C39" i="13"/>
  <c r="A39" i="12"/>
  <c r="F227" i="13"/>
  <c r="A227" i="13"/>
  <c r="W227" i="12"/>
  <c r="A227" i="12"/>
  <c r="V227" i="12" s="1"/>
  <c r="F117" i="13"/>
  <c r="A117" i="13"/>
  <c r="F116" i="13"/>
  <c r="A116" i="13"/>
  <c r="F115" i="13"/>
  <c r="A115" i="13"/>
  <c r="W117" i="12"/>
  <c r="A117" i="12"/>
  <c r="V117" i="12" s="1"/>
  <c r="W116" i="12"/>
  <c r="A116" i="12"/>
  <c r="V116" i="12" s="1"/>
  <c r="W115" i="12"/>
  <c r="A115" i="12"/>
  <c r="V115" i="12" s="1"/>
  <c r="P104" i="12"/>
  <c r="P143" i="12"/>
  <c r="F143" i="13" s="1"/>
  <c r="A143" i="13"/>
  <c r="W143" i="12"/>
  <c r="A143" i="12"/>
  <c r="H143" i="12" s="1"/>
  <c r="F114" i="13"/>
  <c r="A114" i="13"/>
  <c r="F113" i="13"/>
  <c r="A113" i="13"/>
  <c r="F112" i="13"/>
  <c r="A112" i="13"/>
  <c r="F111" i="13"/>
  <c r="A111" i="13"/>
  <c r="A110" i="13"/>
  <c r="W114" i="12"/>
  <c r="A114" i="12"/>
  <c r="V114" i="12" s="1"/>
  <c r="W113" i="12"/>
  <c r="A113" i="12"/>
  <c r="V113" i="12" s="1"/>
  <c r="W112" i="12"/>
  <c r="A112" i="12"/>
  <c r="V112" i="12" s="1"/>
  <c r="W111" i="12"/>
  <c r="A111" i="12"/>
  <c r="V111" i="12" s="1"/>
  <c r="W110" i="12"/>
  <c r="A110" i="12"/>
  <c r="V110" i="12" s="1"/>
  <c r="F109" i="13"/>
  <c r="A109" i="13"/>
  <c r="F108" i="13"/>
  <c r="A108" i="13"/>
  <c r="F107" i="13"/>
  <c r="A107" i="13"/>
  <c r="F106" i="13"/>
  <c r="A106" i="13"/>
  <c r="W109" i="12"/>
  <c r="A109" i="12"/>
  <c r="H109" i="12" s="1"/>
  <c r="W108" i="12"/>
  <c r="A108" i="12"/>
  <c r="H108" i="12" s="1"/>
  <c r="W107" i="12"/>
  <c r="A107" i="12"/>
  <c r="H107" i="12" s="1"/>
  <c r="W106" i="12"/>
  <c r="A106" i="12"/>
  <c r="H106" i="12" s="1"/>
  <c r="F105" i="13"/>
  <c r="A105" i="13"/>
  <c r="F104" i="13"/>
  <c r="A104" i="13"/>
  <c r="F103" i="13"/>
  <c r="A103" i="13"/>
  <c r="W105" i="12"/>
  <c r="A105" i="12"/>
  <c r="H105" i="12" s="1"/>
  <c r="W104" i="12"/>
  <c r="A104" i="12"/>
  <c r="V104" i="12" s="1"/>
  <c r="W103" i="12"/>
  <c r="A103" i="12"/>
  <c r="H103" i="12" s="1"/>
  <c r="P100" i="12"/>
  <c r="P98" i="12"/>
  <c r="F126" i="13"/>
  <c r="A126" i="13"/>
  <c r="F125" i="13"/>
  <c r="A125" i="13"/>
  <c r="W126" i="12"/>
  <c r="A126" i="12"/>
  <c r="V126" i="12" s="1"/>
  <c r="W125" i="12"/>
  <c r="A125" i="12"/>
  <c r="V125" i="12" s="1"/>
  <c r="P134" i="12"/>
  <c r="F72" i="13"/>
  <c r="A72" i="13"/>
  <c r="W72" i="12"/>
  <c r="A72" i="12"/>
  <c r="H72" i="12" s="1"/>
  <c r="P135" i="12"/>
  <c r="P133" i="12"/>
  <c r="P131" i="12"/>
  <c r="P132" i="12"/>
  <c r="P187" i="12"/>
  <c r="P186" i="12"/>
  <c r="P185" i="12"/>
  <c r="O39" i="12" l="1"/>
  <c r="D39" i="13" s="1"/>
  <c r="E40" i="13"/>
  <c r="E42" i="13"/>
  <c r="V43" i="12"/>
  <c r="I40" i="12"/>
  <c r="I41" i="12"/>
  <c r="I42" i="12"/>
  <c r="I43" i="12"/>
  <c r="E39" i="13"/>
  <c r="E41" i="13"/>
  <c r="E43" i="13"/>
  <c r="B40" i="12"/>
  <c r="B41" i="12"/>
  <c r="B42" i="12"/>
  <c r="B43" i="12"/>
  <c r="E227" i="13"/>
  <c r="I227" i="12"/>
  <c r="B227" i="12"/>
  <c r="H227" i="12"/>
  <c r="E115" i="13"/>
  <c r="E117" i="13"/>
  <c r="B115" i="12"/>
  <c r="B116" i="12"/>
  <c r="B117" i="12"/>
  <c r="E116" i="13"/>
  <c r="I115" i="12"/>
  <c r="I116" i="12"/>
  <c r="I117" i="12"/>
  <c r="H115" i="12"/>
  <c r="H116" i="12"/>
  <c r="H117" i="12"/>
  <c r="V108" i="12"/>
  <c r="P110" i="12"/>
  <c r="F110" i="13" s="1"/>
  <c r="E110" i="13" s="1"/>
  <c r="V107" i="12"/>
  <c r="H110" i="12"/>
  <c r="H111" i="12"/>
  <c r="H114" i="12"/>
  <c r="V143" i="12"/>
  <c r="E111" i="13"/>
  <c r="E113" i="13"/>
  <c r="E143" i="13"/>
  <c r="V106" i="12"/>
  <c r="H112" i="12"/>
  <c r="V109" i="12"/>
  <c r="H113" i="12"/>
  <c r="I143" i="12"/>
  <c r="B143" i="12"/>
  <c r="H104" i="12"/>
  <c r="V103" i="12"/>
  <c r="V105" i="12"/>
  <c r="I110" i="12"/>
  <c r="I111" i="12"/>
  <c r="I112" i="12"/>
  <c r="I113" i="12"/>
  <c r="I114" i="12"/>
  <c r="E112" i="13"/>
  <c r="E114" i="13"/>
  <c r="B110" i="12"/>
  <c r="B111" i="12"/>
  <c r="B112" i="12"/>
  <c r="B113" i="12"/>
  <c r="B114" i="12"/>
  <c r="E107" i="13"/>
  <c r="E109" i="13"/>
  <c r="I106" i="12"/>
  <c r="I107" i="12"/>
  <c r="I108" i="12"/>
  <c r="I109" i="12"/>
  <c r="E106" i="13"/>
  <c r="E108" i="13"/>
  <c r="B106" i="12"/>
  <c r="B107" i="12"/>
  <c r="B108" i="12"/>
  <c r="B109" i="12"/>
  <c r="E104" i="13"/>
  <c r="H125" i="12"/>
  <c r="H126" i="12"/>
  <c r="V72" i="12"/>
  <c r="I103" i="12"/>
  <c r="I104" i="12"/>
  <c r="I105" i="12"/>
  <c r="E103" i="13"/>
  <c r="E105" i="13"/>
  <c r="B103" i="12"/>
  <c r="B104" i="12"/>
  <c r="B105" i="12"/>
  <c r="E126" i="13"/>
  <c r="I126" i="12"/>
  <c r="E125" i="13"/>
  <c r="I125" i="12"/>
  <c r="B125" i="12"/>
  <c r="B126" i="12"/>
  <c r="I72" i="12"/>
  <c r="E72" i="13"/>
  <c r="B72" i="12"/>
  <c r="F187" i="13"/>
  <c r="A187" i="13"/>
  <c r="W187" i="12"/>
  <c r="A187" i="12"/>
  <c r="V187" i="12" s="1"/>
  <c r="F188" i="13"/>
  <c r="A188" i="13"/>
  <c r="W188" i="12"/>
  <c r="A188" i="12"/>
  <c r="V188" i="12" s="1"/>
  <c r="X41" i="12"/>
  <c r="X42" i="12"/>
  <c r="X43" i="12"/>
  <c r="X40" i="12"/>
  <c r="X227" i="12"/>
  <c r="X117" i="12"/>
  <c r="X116" i="12"/>
  <c r="X115" i="12"/>
  <c r="H187" i="12" l="1"/>
  <c r="H188" i="12"/>
  <c r="I187" i="12"/>
  <c r="E187" i="13"/>
  <c r="B187" i="12"/>
  <c r="I188" i="12"/>
  <c r="E188" i="13"/>
  <c r="B188" i="12"/>
  <c r="O43" i="12"/>
  <c r="Y42" i="12"/>
  <c r="O41" i="12"/>
  <c r="N43" i="12"/>
  <c r="O42" i="12"/>
  <c r="N41" i="12"/>
  <c r="Y43" i="12"/>
  <c r="Q42" i="12"/>
  <c r="Y41" i="12"/>
  <c r="Q43" i="12"/>
  <c r="N42" i="12"/>
  <c r="Q41" i="12"/>
  <c r="Y40" i="12"/>
  <c r="Q40" i="12"/>
  <c r="N40" i="12"/>
  <c r="O40" i="12"/>
  <c r="Q227" i="12"/>
  <c r="O227" i="12"/>
  <c r="Y227" i="12"/>
  <c r="N227" i="12"/>
  <c r="Q117" i="12"/>
  <c r="O117" i="12"/>
  <c r="N117" i="12"/>
  <c r="Y117" i="12"/>
  <c r="Q116" i="12"/>
  <c r="Q115" i="12"/>
  <c r="O116" i="12"/>
  <c r="N116" i="12"/>
  <c r="Y116" i="12"/>
  <c r="O115" i="12"/>
  <c r="Y115" i="12"/>
  <c r="N115" i="12"/>
  <c r="C42" i="13" l="1"/>
  <c r="C41" i="13"/>
  <c r="D42" i="13"/>
  <c r="C43" i="13"/>
  <c r="D41" i="13"/>
  <c r="D43" i="13"/>
  <c r="D40" i="13"/>
  <c r="C40" i="13"/>
  <c r="C227" i="13"/>
  <c r="D227" i="13"/>
  <c r="C117" i="13"/>
  <c r="D117" i="13"/>
  <c r="C116" i="13"/>
  <c r="D116" i="13"/>
  <c r="C115" i="13"/>
  <c r="D115" i="13"/>
  <c r="F163" i="13"/>
  <c r="A163" i="13"/>
  <c r="F162" i="13"/>
  <c r="A162" i="13"/>
  <c r="F161" i="13"/>
  <c r="A161" i="13"/>
  <c r="F160" i="13"/>
  <c r="A160" i="13"/>
  <c r="W163" i="12"/>
  <c r="A163" i="12"/>
  <c r="V163" i="12" s="1"/>
  <c r="W162" i="12"/>
  <c r="A162" i="12"/>
  <c r="V162" i="12" s="1"/>
  <c r="W161" i="12"/>
  <c r="A161" i="12"/>
  <c r="V161" i="12" s="1"/>
  <c r="W160" i="12"/>
  <c r="A160" i="12"/>
  <c r="V160" i="12" s="1"/>
  <c r="F186" i="13"/>
  <c r="A186" i="13"/>
  <c r="F185" i="13"/>
  <c r="A185" i="13"/>
  <c r="W186" i="12"/>
  <c r="A186" i="12"/>
  <c r="V186" i="12" s="1"/>
  <c r="W185" i="12"/>
  <c r="A185" i="12"/>
  <c r="V185" i="12" s="1"/>
  <c r="P210" i="12"/>
  <c r="F210" i="13" s="1"/>
  <c r="P268" i="12"/>
  <c r="F268" i="13" s="1"/>
  <c r="F269" i="13"/>
  <c r="A269" i="13"/>
  <c r="A268" i="13"/>
  <c r="W269" i="12"/>
  <c r="A269" i="12"/>
  <c r="H269" i="12" s="1"/>
  <c r="W268" i="12"/>
  <c r="A268" i="12"/>
  <c r="H268" i="12" s="1"/>
  <c r="P177" i="12"/>
  <c r="P83" i="12"/>
  <c r="F83" i="13" s="1"/>
  <c r="A77" i="13"/>
  <c r="W77" i="12"/>
  <c r="A77" i="12"/>
  <c r="V77" i="12" s="1"/>
  <c r="P62" i="12"/>
  <c r="F85" i="13"/>
  <c r="A85" i="13"/>
  <c r="W85" i="12"/>
  <c r="A85" i="12"/>
  <c r="P78" i="12"/>
  <c r="F78" i="13" s="1"/>
  <c r="P79" i="12"/>
  <c r="F79" i="13" s="1"/>
  <c r="P76" i="12"/>
  <c r="F76" i="13" s="1"/>
  <c r="P80" i="12"/>
  <c r="F80" i="13" s="1"/>
  <c r="P81" i="12"/>
  <c r="F81" i="13" s="1"/>
  <c r="P223" i="12"/>
  <c r="F223" i="13" s="1"/>
  <c r="A223" i="13"/>
  <c r="W223" i="12"/>
  <c r="A223" i="12"/>
  <c r="H223" i="12" s="1"/>
  <c r="P215" i="12"/>
  <c r="F215" i="13" s="1"/>
  <c r="P214" i="12"/>
  <c r="F216" i="13"/>
  <c r="A216" i="13"/>
  <c r="A215" i="13"/>
  <c r="F214" i="13"/>
  <c r="A214" i="13"/>
  <c r="W216" i="12"/>
  <c r="A216" i="12"/>
  <c r="V216" i="12" s="1"/>
  <c r="W215" i="12"/>
  <c r="A215" i="12"/>
  <c r="V215" i="12" s="1"/>
  <c r="W214" i="12"/>
  <c r="A214" i="12"/>
  <c r="V214" i="12" s="1"/>
  <c r="A210" i="13"/>
  <c r="A209" i="13"/>
  <c r="W210" i="12"/>
  <c r="A210" i="12"/>
  <c r="V210" i="12" s="1"/>
  <c r="W209" i="12"/>
  <c r="A209" i="12"/>
  <c r="V209" i="12" s="1"/>
  <c r="P263" i="12"/>
  <c r="F263" i="13" s="1"/>
  <c r="A263" i="13"/>
  <c r="W263" i="12"/>
  <c r="A263" i="12"/>
  <c r="V263" i="12" s="1"/>
  <c r="P18" i="12"/>
  <c r="F18" i="13" s="1"/>
  <c r="F86" i="13"/>
  <c r="A86" i="13"/>
  <c r="F84" i="13"/>
  <c r="A84" i="13"/>
  <c r="A83" i="13"/>
  <c r="F82" i="13"/>
  <c r="A82" i="13"/>
  <c r="A81" i="13"/>
  <c r="A80" i="13"/>
  <c r="A79" i="13"/>
  <c r="A78" i="13"/>
  <c r="A76" i="13"/>
  <c r="X86" i="12"/>
  <c r="Y86" i="12" s="1"/>
  <c r="W86" i="12"/>
  <c r="A86" i="12"/>
  <c r="W84" i="12"/>
  <c r="A84" i="12"/>
  <c r="V84" i="12" s="1"/>
  <c r="W83" i="12"/>
  <c r="A83" i="12"/>
  <c r="V83" i="12" s="1"/>
  <c r="W82" i="12"/>
  <c r="A82" i="12"/>
  <c r="W81" i="12"/>
  <c r="A81" i="12"/>
  <c r="V81" i="12" s="1"/>
  <c r="W80" i="12"/>
  <c r="A80" i="12"/>
  <c r="V80" i="12" s="1"/>
  <c r="W79" i="12"/>
  <c r="A79" i="12"/>
  <c r="V79" i="12" s="1"/>
  <c r="W78" i="12"/>
  <c r="A78" i="12"/>
  <c r="V78" i="12" s="1"/>
  <c r="W76" i="12"/>
  <c r="A76" i="12"/>
  <c r="V76" i="12" s="1"/>
  <c r="P16" i="12"/>
  <c r="F16" i="13" s="1"/>
  <c r="P266" i="12"/>
  <c r="F266" i="13" s="1"/>
  <c r="P265" i="12"/>
  <c r="F265" i="13" s="1"/>
  <c r="A266" i="13"/>
  <c r="A265" i="13"/>
  <c r="F264" i="13"/>
  <c r="A264" i="13"/>
  <c r="W266" i="12"/>
  <c r="A266" i="12"/>
  <c r="V266" i="12" s="1"/>
  <c r="W265" i="12"/>
  <c r="A265" i="12"/>
  <c r="V265" i="12" s="1"/>
  <c r="W264" i="12"/>
  <c r="A264" i="12"/>
  <c r="V264" i="12" s="1"/>
  <c r="P15" i="12"/>
  <c r="F19" i="13"/>
  <c r="A19" i="13"/>
  <c r="A18" i="13"/>
  <c r="F17" i="13"/>
  <c r="A17" i="13"/>
  <c r="A16" i="13"/>
  <c r="W19" i="12"/>
  <c r="A19" i="12"/>
  <c r="H19" i="12" s="1"/>
  <c r="W18" i="12"/>
  <c r="A18" i="12"/>
  <c r="V18" i="12" s="1"/>
  <c r="W17" i="12"/>
  <c r="A17" i="12"/>
  <c r="B17" i="12" s="1"/>
  <c r="W16" i="12"/>
  <c r="A16" i="12"/>
  <c r="H16" i="12" s="1"/>
  <c r="P273" i="12"/>
  <c r="F137" i="13"/>
  <c r="A137" i="13"/>
  <c r="F136" i="13"/>
  <c r="A136" i="13"/>
  <c r="F135" i="13"/>
  <c r="A135" i="13"/>
  <c r="F134" i="13"/>
  <c r="A134" i="13"/>
  <c r="F133" i="13"/>
  <c r="A133" i="13"/>
  <c r="F132" i="13"/>
  <c r="A132" i="13"/>
  <c r="F131" i="13"/>
  <c r="A131" i="13"/>
  <c r="F130" i="13"/>
  <c r="A130" i="13"/>
  <c r="F129" i="13"/>
  <c r="A129" i="13"/>
  <c r="F128" i="13"/>
  <c r="A128" i="13"/>
  <c r="W137" i="12"/>
  <c r="A137" i="12"/>
  <c r="V137" i="12" s="1"/>
  <c r="W136" i="12"/>
  <c r="A136" i="12"/>
  <c r="V136" i="12" s="1"/>
  <c r="W135" i="12"/>
  <c r="A135" i="12"/>
  <c r="V135" i="12" s="1"/>
  <c r="W134" i="12"/>
  <c r="A134" i="12"/>
  <c r="V134" i="12" s="1"/>
  <c r="W133" i="12"/>
  <c r="A133" i="12"/>
  <c r="V133" i="12" s="1"/>
  <c r="W132" i="12"/>
  <c r="A132" i="12"/>
  <c r="V132" i="12" s="1"/>
  <c r="W131" i="12"/>
  <c r="A131" i="12"/>
  <c r="V131" i="12" s="1"/>
  <c r="W130" i="12"/>
  <c r="A130" i="12"/>
  <c r="V130" i="12" s="1"/>
  <c r="W129" i="12"/>
  <c r="A129" i="12"/>
  <c r="V129" i="12" s="1"/>
  <c r="W128" i="12"/>
  <c r="A128" i="12"/>
  <c r="V128" i="12" s="1"/>
  <c r="F68" i="13"/>
  <c r="A68" i="13"/>
  <c r="W68" i="12"/>
  <c r="A68" i="12"/>
  <c r="H68" i="12" s="1"/>
  <c r="F184" i="13"/>
  <c r="A184" i="13"/>
  <c r="F183" i="13"/>
  <c r="A183" i="13"/>
  <c r="F182" i="13"/>
  <c r="A182" i="13"/>
  <c r="F181" i="13"/>
  <c r="A181" i="13"/>
  <c r="F180" i="13"/>
  <c r="A180" i="13"/>
  <c r="E180" i="13" s="1"/>
  <c r="W184" i="12"/>
  <c r="A184" i="12"/>
  <c r="I184" i="12" s="1"/>
  <c r="W183" i="12"/>
  <c r="A183" i="12"/>
  <c r="W182" i="12"/>
  <c r="A182" i="12"/>
  <c r="I182" i="12" s="1"/>
  <c r="W181" i="12"/>
  <c r="A181" i="12"/>
  <c r="X180" i="12"/>
  <c r="O180" i="12" s="1"/>
  <c r="D180" i="13" s="1"/>
  <c r="W180" i="12"/>
  <c r="A180" i="12"/>
  <c r="F58" i="13"/>
  <c r="A58" i="13"/>
  <c r="F57" i="13"/>
  <c r="A57" i="13"/>
  <c r="F56" i="13"/>
  <c r="A56" i="13"/>
  <c r="F55" i="13"/>
  <c r="A55" i="13"/>
  <c r="F54" i="13"/>
  <c r="A54" i="13"/>
  <c r="F53" i="13"/>
  <c r="A53" i="13"/>
  <c r="F52" i="13"/>
  <c r="A52" i="13"/>
  <c r="F51" i="13"/>
  <c r="A51" i="13"/>
  <c r="F50" i="13"/>
  <c r="A50" i="13"/>
  <c r="F49" i="13"/>
  <c r="A49" i="13"/>
  <c r="F48" i="13"/>
  <c r="A48" i="13"/>
  <c r="F47" i="13"/>
  <c r="A47" i="13"/>
  <c r="F46" i="13"/>
  <c r="A46" i="13"/>
  <c r="W58" i="12"/>
  <c r="A58" i="12"/>
  <c r="B58" i="12" s="1"/>
  <c r="W57" i="12"/>
  <c r="A57" i="12"/>
  <c r="W56" i="12"/>
  <c r="A56" i="12"/>
  <c r="W55" i="12"/>
  <c r="A55" i="12"/>
  <c r="V55" i="12" s="1"/>
  <c r="X54" i="12"/>
  <c r="Y54" i="12" s="1"/>
  <c r="W54" i="12"/>
  <c r="A54" i="12"/>
  <c r="W53" i="12"/>
  <c r="A53" i="12"/>
  <c r="V53" i="12" s="1"/>
  <c r="W52" i="12"/>
  <c r="A52" i="12"/>
  <c r="B52" i="12" s="1"/>
  <c r="W51" i="12"/>
  <c r="A51" i="12"/>
  <c r="B51" i="12" s="1"/>
  <c r="W50" i="12"/>
  <c r="A50" i="12"/>
  <c r="B50" i="12" s="1"/>
  <c r="X49" i="12"/>
  <c r="Q49" i="12" s="1"/>
  <c r="W49" i="12"/>
  <c r="A49" i="12"/>
  <c r="W48" i="12"/>
  <c r="A48" i="12"/>
  <c r="B48" i="12" s="1"/>
  <c r="W47" i="12"/>
  <c r="A47" i="12"/>
  <c r="B47" i="12" s="1"/>
  <c r="W46" i="12"/>
  <c r="A46" i="12"/>
  <c r="B46" i="12" s="1"/>
  <c r="F37" i="13"/>
  <c r="A37" i="13"/>
  <c r="F36" i="13"/>
  <c r="A36" i="13"/>
  <c r="F35" i="13"/>
  <c r="A35" i="13"/>
  <c r="F34" i="13"/>
  <c r="A34" i="13"/>
  <c r="F33" i="13"/>
  <c r="A33" i="13"/>
  <c r="F32" i="13"/>
  <c r="A32" i="13"/>
  <c r="F31" i="13"/>
  <c r="A31" i="13"/>
  <c r="F30" i="13"/>
  <c r="A30" i="13"/>
  <c r="F29" i="13"/>
  <c r="A29" i="13"/>
  <c r="F28" i="13"/>
  <c r="A28" i="13"/>
  <c r="F27" i="13"/>
  <c r="A27" i="13"/>
  <c r="F26" i="13"/>
  <c r="A26" i="13"/>
  <c r="F25" i="13"/>
  <c r="A25" i="13"/>
  <c r="F24" i="13"/>
  <c r="A24" i="13"/>
  <c r="F23" i="13"/>
  <c r="A23" i="13"/>
  <c r="W37" i="12"/>
  <c r="A37" i="12"/>
  <c r="W36" i="12"/>
  <c r="A36" i="12"/>
  <c r="V36" i="12" s="1"/>
  <c r="W35" i="12"/>
  <c r="A35" i="12"/>
  <c r="V35" i="12" s="1"/>
  <c r="X34" i="12"/>
  <c r="W34" i="12"/>
  <c r="A34" i="12"/>
  <c r="W33" i="12"/>
  <c r="A33" i="12"/>
  <c r="V33" i="12" s="1"/>
  <c r="W32" i="12"/>
  <c r="A32" i="12"/>
  <c r="V32" i="12" s="1"/>
  <c r="W31" i="12"/>
  <c r="A31" i="12"/>
  <c r="W30" i="12"/>
  <c r="A30" i="12"/>
  <c r="V30" i="12" s="1"/>
  <c r="W29" i="12"/>
  <c r="A29" i="12"/>
  <c r="V29" i="12" s="1"/>
  <c r="W28" i="12"/>
  <c r="A28" i="12"/>
  <c r="X27" i="12"/>
  <c r="Y27" i="12" s="1"/>
  <c r="W27" i="12"/>
  <c r="A27" i="12"/>
  <c r="W26" i="12"/>
  <c r="A26" i="12"/>
  <c r="V26" i="12" s="1"/>
  <c r="W25" i="12"/>
  <c r="A25" i="12"/>
  <c r="V25" i="12" s="1"/>
  <c r="W24" i="12"/>
  <c r="A24" i="12"/>
  <c r="W23" i="12"/>
  <c r="A23" i="12"/>
  <c r="V23" i="12" s="1"/>
  <c r="P66" i="12"/>
  <c r="P70" i="12"/>
  <c r="F262" i="13"/>
  <c r="A262" i="13"/>
  <c r="W262" i="12"/>
  <c r="A262" i="12"/>
  <c r="V262" i="12" s="1"/>
  <c r="F241" i="13"/>
  <c r="A241" i="13"/>
  <c r="W241" i="12"/>
  <c r="A241" i="12"/>
  <c r="V241" i="12" s="1"/>
  <c r="F140" i="13"/>
  <c r="A140" i="13"/>
  <c r="F139" i="13"/>
  <c r="A139" i="13"/>
  <c r="F138" i="13"/>
  <c r="A138" i="13"/>
  <c r="F127" i="13"/>
  <c r="A127" i="13"/>
  <c r="F124" i="13"/>
  <c r="A124" i="13"/>
  <c r="F123" i="13"/>
  <c r="A123" i="13"/>
  <c r="F122" i="13"/>
  <c r="A122" i="13"/>
  <c r="F121" i="13"/>
  <c r="A121" i="13"/>
  <c r="F120" i="13"/>
  <c r="A120" i="13"/>
  <c r="F119" i="13"/>
  <c r="A119" i="13"/>
  <c r="F118" i="13"/>
  <c r="A118" i="13"/>
  <c r="E118" i="13" s="1"/>
  <c r="F102" i="13"/>
  <c r="A102" i="13"/>
  <c r="F101" i="13"/>
  <c r="A101" i="13"/>
  <c r="F100" i="13"/>
  <c r="A100" i="13"/>
  <c r="F99" i="13"/>
  <c r="A99" i="13"/>
  <c r="F98" i="13"/>
  <c r="A98" i="13"/>
  <c r="F97" i="13"/>
  <c r="A97" i="13"/>
  <c r="F96" i="13"/>
  <c r="A96" i="13"/>
  <c r="W140" i="12"/>
  <c r="A140" i="12"/>
  <c r="I140" i="12" s="1"/>
  <c r="W139" i="12"/>
  <c r="A139" i="12"/>
  <c r="I139" i="12" s="1"/>
  <c r="W138" i="12"/>
  <c r="A138" i="12"/>
  <c r="W127" i="12"/>
  <c r="A127" i="12"/>
  <c r="I127" i="12" s="1"/>
  <c r="W124" i="12"/>
  <c r="A124" i="12"/>
  <c r="W123" i="12"/>
  <c r="A123" i="12"/>
  <c r="I123" i="12" s="1"/>
  <c r="W122" i="12"/>
  <c r="A122" i="12"/>
  <c r="V122" i="12" s="1"/>
  <c r="W121" i="12"/>
  <c r="A121" i="12"/>
  <c r="H121" i="12" s="1"/>
  <c r="W120" i="12"/>
  <c r="A120" i="12"/>
  <c r="V120" i="12" s="1"/>
  <c r="W119" i="12"/>
  <c r="A119" i="12"/>
  <c r="V119" i="12" s="1"/>
  <c r="X118" i="12"/>
  <c r="W118" i="12"/>
  <c r="A118" i="12"/>
  <c r="W102" i="12"/>
  <c r="A102" i="12"/>
  <c r="V102" i="12" s="1"/>
  <c r="W101" i="12"/>
  <c r="A101" i="12"/>
  <c r="V101" i="12" s="1"/>
  <c r="W100" i="12"/>
  <c r="A100" i="12"/>
  <c r="W99" i="12"/>
  <c r="A99" i="12"/>
  <c r="V99" i="12" s="1"/>
  <c r="W98" i="12"/>
  <c r="A98" i="12"/>
  <c r="V98" i="12" s="1"/>
  <c r="W97" i="12"/>
  <c r="A97" i="12"/>
  <c r="V97" i="12" s="1"/>
  <c r="W96" i="12"/>
  <c r="A96" i="12"/>
  <c r="F242" i="13"/>
  <c r="A242" i="13"/>
  <c r="W242" i="12"/>
  <c r="A242" i="12"/>
  <c r="B242" i="12" s="1"/>
  <c r="F247" i="13"/>
  <c r="A247" i="13"/>
  <c r="W247" i="12"/>
  <c r="A247" i="12"/>
  <c r="H247" i="12" s="1"/>
  <c r="P255" i="12"/>
  <c r="F255" i="13" s="1"/>
  <c r="P253" i="12"/>
  <c r="F253" i="13" s="1"/>
  <c r="A255" i="13"/>
  <c r="F254" i="13"/>
  <c r="A254" i="13"/>
  <c r="W255" i="12"/>
  <c r="A255" i="12"/>
  <c r="V255" i="12" s="1"/>
  <c r="W254" i="12"/>
  <c r="A254" i="12"/>
  <c r="V254" i="12" s="1"/>
  <c r="A253" i="13"/>
  <c r="F252" i="13"/>
  <c r="A252" i="13"/>
  <c r="F251" i="13"/>
  <c r="A251" i="13"/>
  <c r="W253" i="12"/>
  <c r="A253" i="12"/>
  <c r="V253" i="12" s="1"/>
  <c r="W252" i="12"/>
  <c r="A252" i="12"/>
  <c r="V252" i="12" s="1"/>
  <c r="W251" i="12"/>
  <c r="A251" i="12"/>
  <c r="V251" i="12" s="1"/>
  <c r="F250" i="13"/>
  <c r="A250" i="13"/>
  <c r="F249" i="13"/>
  <c r="A249" i="13"/>
  <c r="F248" i="13"/>
  <c r="A248" i="13"/>
  <c r="F246" i="13"/>
  <c r="A246" i="13"/>
  <c r="F245" i="13"/>
  <c r="A245" i="13"/>
  <c r="F244" i="13"/>
  <c r="A244" i="13"/>
  <c r="F243" i="13"/>
  <c r="A243" i="13"/>
  <c r="F240" i="13"/>
  <c r="A240" i="13"/>
  <c r="F239" i="13"/>
  <c r="A239" i="13"/>
  <c r="W250" i="12"/>
  <c r="A250" i="12"/>
  <c r="V250" i="12" s="1"/>
  <c r="W249" i="12"/>
  <c r="A249" i="12"/>
  <c r="V249" i="12" s="1"/>
  <c r="W248" i="12"/>
  <c r="A248" i="12"/>
  <c r="V248" i="12" s="1"/>
  <c r="W246" i="12"/>
  <c r="A246" i="12"/>
  <c r="V246" i="12" s="1"/>
  <c r="W245" i="12"/>
  <c r="A245" i="12"/>
  <c r="V245" i="12" s="1"/>
  <c r="W244" i="12"/>
  <c r="A244" i="12"/>
  <c r="V244" i="12" s="1"/>
  <c r="W243" i="12"/>
  <c r="A243" i="12"/>
  <c r="V243" i="12" s="1"/>
  <c r="W240" i="12"/>
  <c r="A240" i="12"/>
  <c r="V240" i="12" s="1"/>
  <c r="X239" i="12"/>
  <c r="Y239" i="12" s="1"/>
  <c r="W239" i="12"/>
  <c r="A239" i="12"/>
  <c r="P74" i="12"/>
  <c r="F74" i="13" s="1"/>
  <c r="A74" i="13"/>
  <c r="W74" i="12"/>
  <c r="A74" i="12"/>
  <c r="V74" i="12" s="1"/>
  <c r="P238" i="12"/>
  <c r="F238" i="13" s="1"/>
  <c r="P237" i="12"/>
  <c r="P236" i="12"/>
  <c r="P235" i="12"/>
  <c r="P234" i="12"/>
  <c r="P233" i="12"/>
  <c r="P231" i="12"/>
  <c r="P232" i="12"/>
  <c r="P230" i="12"/>
  <c r="P229" i="12"/>
  <c r="P225" i="12"/>
  <c r="P226" i="12" s="1"/>
  <c r="A238" i="13"/>
  <c r="W238" i="12"/>
  <c r="A238" i="12"/>
  <c r="H238" i="12" s="1"/>
  <c r="P149" i="12"/>
  <c r="P164" i="12"/>
  <c r="P165" i="12" s="1"/>
  <c r="F165" i="13" s="1"/>
  <c r="A165" i="13"/>
  <c r="W165" i="12"/>
  <c r="A165" i="12"/>
  <c r="V165" i="12" s="1"/>
  <c r="F164" i="13"/>
  <c r="A164" i="13"/>
  <c r="F159" i="13"/>
  <c r="A159" i="13"/>
  <c r="F158" i="13"/>
  <c r="A158" i="13"/>
  <c r="F157" i="13"/>
  <c r="A157" i="13"/>
  <c r="F156" i="13"/>
  <c r="A156" i="13"/>
  <c r="W164" i="12"/>
  <c r="A164" i="12"/>
  <c r="V164" i="12" s="1"/>
  <c r="W159" i="12"/>
  <c r="A159" i="12"/>
  <c r="V159" i="12" s="1"/>
  <c r="W158" i="12"/>
  <c r="A158" i="12"/>
  <c r="H158" i="12" s="1"/>
  <c r="W157" i="12"/>
  <c r="A157" i="12"/>
  <c r="H157" i="12" s="1"/>
  <c r="W156" i="12"/>
  <c r="A156" i="12"/>
  <c r="V156" i="12" s="1"/>
  <c r="P150" i="12"/>
  <c r="P153" i="12"/>
  <c r="F154" i="13" s="1"/>
  <c r="A154" i="13"/>
  <c r="W154" i="12"/>
  <c r="A154" i="12"/>
  <c r="H154" i="12" s="1"/>
  <c r="P152" i="12"/>
  <c r="X57" i="12"/>
  <c r="X58" i="12"/>
  <c r="X55" i="12"/>
  <c r="X56" i="12"/>
  <c r="X53" i="12"/>
  <c r="X50" i="12"/>
  <c r="X51" i="12"/>
  <c r="X52" i="12"/>
  <c r="X46" i="12"/>
  <c r="X47" i="12"/>
  <c r="X48" i="12"/>
  <c r="X35" i="12"/>
  <c r="X36" i="12"/>
  <c r="X37" i="12"/>
  <c r="X33" i="12"/>
  <c r="X29" i="12"/>
  <c r="X30" i="12"/>
  <c r="X32" i="12"/>
  <c r="X28" i="12"/>
  <c r="X31" i="12"/>
  <c r="X26" i="12"/>
  <c r="Q26" i="12" s="1"/>
  <c r="X23" i="12"/>
  <c r="Q23" i="12" s="1"/>
  <c r="X24" i="12"/>
  <c r="Q24" i="12" s="1"/>
  <c r="X25" i="12"/>
  <c r="Q25" i="12" s="1"/>
  <c r="Y34" i="12" l="1"/>
  <c r="Q34" i="12"/>
  <c r="E162" i="13"/>
  <c r="E185" i="13"/>
  <c r="E186" i="13"/>
  <c r="I162" i="12"/>
  <c r="I163" i="12"/>
  <c r="E160" i="13"/>
  <c r="V269" i="12"/>
  <c r="B160" i="12"/>
  <c r="B161" i="12"/>
  <c r="B162" i="12"/>
  <c r="B163" i="12"/>
  <c r="I160" i="12"/>
  <c r="I161" i="12"/>
  <c r="E161" i="13"/>
  <c r="E163" i="13"/>
  <c r="H160" i="12"/>
  <c r="H161" i="12"/>
  <c r="H162" i="12"/>
  <c r="H163" i="12"/>
  <c r="I185" i="12"/>
  <c r="I186" i="12"/>
  <c r="V268" i="12"/>
  <c r="B185" i="12"/>
  <c r="B186" i="12"/>
  <c r="H185" i="12"/>
  <c r="H186" i="12"/>
  <c r="E269" i="13"/>
  <c r="E268" i="13"/>
  <c r="B77" i="12"/>
  <c r="H77" i="12"/>
  <c r="I268" i="12"/>
  <c r="I269" i="12"/>
  <c r="P77" i="12"/>
  <c r="F77" i="13" s="1"/>
  <c r="E77" i="13" s="1"/>
  <c r="B268" i="12"/>
  <c r="B269" i="12"/>
  <c r="I77" i="12"/>
  <c r="V223" i="12"/>
  <c r="E85" i="13"/>
  <c r="H85" i="12"/>
  <c r="V85" i="12"/>
  <c r="I85" i="12"/>
  <c r="B85" i="12"/>
  <c r="H214" i="12"/>
  <c r="H215" i="12"/>
  <c r="H216" i="12"/>
  <c r="I223" i="12"/>
  <c r="E223" i="13"/>
  <c r="B223" i="12"/>
  <c r="E215" i="13"/>
  <c r="P209" i="12"/>
  <c r="F209" i="13" s="1"/>
  <c r="E209" i="13" s="1"/>
  <c r="I214" i="12"/>
  <c r="I215" i="12"/>
  <c r="I216" i="12"/>
  <c r="E214" i="13"/>
  <c r="E216" i="13"/>
  <c r="B214" i="12"/>
  <c r="B215" i="12"/>
  <c r="B216" i="12"/>
  <c r="V17" i="12"/>
  <c r="I209" i="12"/>
  <c r="I210" i="12"/>
  <c r="B263" i="12"/>
  <c r="B209" i="12"/>
  <c r="B210" i="12"/>
  <c r="H263" i="12"/>
  <c r="E210" i="13"/>
  <c r="H209" i="12"/>
  <c r="H210" i="12"/>
  <c r="E263" i="13"/>
  <c r="H18" i="12"/>
  <c r="I263" i="12"/>
  <c r="E76" i="13"/>
  <c r="E79" i="13"/>
  <c r="E81" i="13"/>
  <c r="E83" i="13"/>
  <c r="O86" i="12"/>
  <c r="D86" i="13" s="1"/>
  <c r="I78" i="12"/>
  <c r="I80" i="12"/>
  <c r="I84" i="12"/>
  <c r="B76" i="12"/>
  <c r="B78" i="12"/>
  <c r="B79" i="12"/>
  <c r="B80" i="12"/>
  <c r="B81" i="12"/>
  <c r="B83" i="12"/>
  <c r="B84" i="12"/>
  <c r="I83" i="12"/>
  <c r="H17" i="12"/>
  <c r="B18" i="12"/>
  <c r="E78" i="13"/>
  <c r="E80" i="13"/>
  <c r="E82" i="13"/>
  <c r="E84" i="13"/>
  <c r="E86" i="13"/>
  <c r="I76" i="12"/>
  <c r="I79" i="12"/>
  <c r="I81" i="12"/>
  <c r="H76" i="12"/>
  <c r="H78" i="12"/>
  <c r="H79" i="12"/>
  <c r="H80" i="12"/>
  <c r="H81" i="12"/>
  <c r="H83" i="12"/>
  <c r="H84" i="12"/>
  <c r="V16" i="12"/>
  <c r="H264" i="12"/>
  <c r="H265" i="12"/>
  <c r="H266" i="12"/>
  <c r="V19" i="12"/>
  <c r="E265" i="13"/>
  <c r="B16" i="12"/>
  <c r="B19" i="12"/>
  <c r="I264" i="12"/>
  <c r="I265" i="12"/>
  <c r="I266" i="12"/>
  <c r="E264" i="13"/>
  <c r="E266" i="13"/>
  <c r="B264" i="12"/>
  <c r="B265" i="12"/>
  <c r="B266" i="12"/>
  <c r="E18" i="13"/>
  <c r="E17" i="13"/>
  <c r="E19" i="13"/>
  <c r="E16" i="13"/>
  <c r="I16" i="12"/>
  <c r="I17" i="12"/>
  <c r="I18" i="12"/>
  <c r="I19" i="12"/>
  <c r="H25" i="12"/>
  <c r="H26" i="12"/>
  <c r="H53" i="12"/>
  <c r="E130" i="13"/>
  <c r="E132" i="13"/>
  <c r="E134" i="13"/>
  <c r="E136" i="13"/>
  <c r="I129" i="12"/>
  <c r="I136" i="12"/>
  <c r="E128" i="13"/>
  <c r="B128" i="12"/>
  <c r="B129" i="12"/>
  <c r="B130" i="12"/>
  <c r="B131" i="12"/>
  <c r="B132" i="12"/>
  <c r="B133" i="12"/>
  <c r="B134" i="12"/>
  <c r="B135" i="12"/>
  <c r="B136" i="12"/>
  <c r="B137" i="12"/>
  <c r="I128" i="12"/>
  <c r="I130" i="12"/>
  <c r="I132" i="12"/>
  <c r="I135" i="12"/>
  <c r="I137" i="12"/>
  <c r="E129" i="13"/>
  <c r="E131" i="13"/>
  <c r="E133" i="13"/>
  <c r="E135" i="13"/>
  <c r="E137" i="13"/>
  <c r="I131" i="12"/>
  <c r="I133" i="12"/>
  <c r="I134" i="12"/>
  <c r="H128" i="12"/>
  <c r="H129" i="12"/>
  <c r="H130" i="12"/>
  <c r="H131" i="12"/>
  <c r="H132" i="12"/>
  <c r="H133" i="12"/>
  <c r="H134" i="12"/>
  <c r="H135" i="12"/>
  <c r="H136" i="12"/>
  <c r="H137" i="12"/>
  <c r="E46" i="13"/>
  <c r="E48" i="13"/>
  <c r="E56" i="13"/>
  <c r="E184" i="13"/>
  <c r="H58" i="12"/>
  <c r="V68" i="12"/>
  <c r="I58" i="12"/>
  <c r="I68" i="12"/>
  <c r="E68" i="13"/>
  <c r="I53" i="12"/>
  <c r="B68" i="12"/>
  <c r="E47" i="13"/>
  <c r="E49" i="13"/>
  <c r="E51" i="13"/>
  <c r="E53" i="13"/>
  <c r="E55" i="13"/>
  <c r="E57" i="13"/>
  <c r="V181" i="12"/>
  <c r="H181" i="12"/>
  <c r="B181" i="12"/>
  <c r="V183" i="12"/>
  <c r="H183" i="12"/>
  <c r="B183" i="12"/>
  <c r="E52" i="13"/>
  <c r="E182" i="13"/>
  <c r="V28" i="12"/>
  <c r="H28" i="12"/>
  <c r="V37" i="12"/>
  <c r="H37" i="12"/>
  <c r="V57" i="12"/>
  <c r="I57" i="12"/>
  <c r="B57" i="12"/>
  <c r="H57" i="12"/>
  <c r="I181" i="12"/>
  <c r="V182" i="12"/>
  <c r="H182" i="12"/>
  <c r="B182" i="12"/>
  <c r="I183" i="12"/>
  <c r="V184" i="12"/>
  <c r="H184" i="12"/>
  <c r="B184" i="12"/>
  <c r="H35" i="12"/>
  <c r="V58" i="12"/>
  <c r="Y180" i="12"/>
  <c r="E181" i="13"/>
  <c r="E183" i="13"/>
  <c r="H30" i="12"/>
  <c r="H32" i="12"/>
  <c r="B53" i="12"/>
  <c r="E54" i="13"/>
  <c r="H24" i="12"/>
  <c r="H23" i="12"/>
  <c r="V24" i="12"/>
  <c r="E50" i="13"/>
  <c r="E58" i="13"/>
  <c r="C27" i="13"/>
  <c r="V56" i="12"/>
  <c r="I56" i="12"/>
  <c r="H56" i="12"/>
  <c r="B56" i="12"/>
  <c r="H33" i="12"/>
  <c r="H36" i="12"/>
  <c r="Y49" i="12"/>
  <c r="O49" i="12"/>
  <c r="D49" i="13" s="1"/>
  <c r="H29" i="12"/>
  <c r="V31" i="12"/>
  <c r="H31" i="12"/>
  <c r="H46" i="12"/>
  <c r="V46" i="12"/>
  <c r="H47" i="12"/>
  <c r="V47" i="12"/>
  <c r="H48" i="12"/>
  <c r="V48" i="12"/>
  <c r="H50" i="12"/>
  <c r="V50" i="12"/>
  <c r="H51" i="12"/>
  <c r="V51" i="12"/>
  <c r="H52" i="12"/>
  <c r="V52" i="12"/>
  <c r="O54" i="12"/>
  <c r="D54" i="13" s="1"/>
  <c r="B55" i="12"/>
  <c r="H55" i="12"/>
  <c r="E26" i="13"/>
  <c r="E30" i="13"/>
  <c r="E32" i="13"/>
  <c r="E34" i="13"/>
  <c r="I46" i="12"/>
  <c r="I47" i="12"/>
  <c r="I48" i="12"/>
  <c r="I50" i="12"/>
  <c r="I51" i="12"/>
  <c r="I52" i="12"/>
  <c r="I55" i="12"/>
  <c r="O27" i="12"/>
  <c r="D27" i="13" s="1"/>
  <c r="O34" i="12"/>
  <c r="D34" i="13" s="1"/>
  <c r="E24" i="13"/>
  <c r="E28" i="13"/>
  <c r="E36" i="13"/>
  <c r="I23" i="12"/>
  <c r="I24" i="12"/>
  <c r="I25" i="12"/>
  <c r="I26" i="12"/>
  <c r="I28" i="12"/>
  <c r="I29" i="12"/>
  <c r="I30" i="12"/>
  <c r="I31" i="12"/>
  <c r="I32" i="12"/>
  <c r="I33" i="12"/>
  <c r="I35" i="12"/>
  <c r="I36" i="12"/>
  <c r="I37" i="12"/>
  <c r="E23" i="13"/>
  <c r="E25" i="13"/>
  <c r="E27" i="13"/>
  <c r="E29" i="13"/>
  <c r="E31" i="13"/>
  <c r="E33" i="13"/>
  <c r="E35" i="13"/>
  <c r="E37" i="13"/>
  <c r="B23" i="12"/>
  <c r="B24" i="12"/>
  <c r="B25" i="12"/>
  <c r="B26" i="12"/>
  <c r="B28" i="12"/>
  <c r="B29" i="12"/>
  <c r="B30" i="12"/>
  <c r="B31" i="12"/>
  <c r="B32" i="12"/>
  <c r="B33" i="12"/>
  <c r="B35" i="12"/>
  <c r="B36" i="12"/>
  <c r="B37" i="12"/>
  <c r="B262" i="12"/>
  <c r="H99" i="12"/>
  <c r="H262" i="12"/>
  <c r="E262" i="13"/>
  <c r="I262" i="12"/>
  <c r="I241" i="12"/>
  <c r="E241" i="13"/>
  <c r="I122" i="12"/>
  <c r="B121" i="12"/>
  <c r="B122" i="12"/>
  <c r="B241" i="12"/>
  <c r="I119" i="12"/>
  <c r="H241" i="12"/>
  <c r="E97" i="13"/>
  <c r="E99" i="13"/>
  <c r="E101" i="13"/>
  <c r="E120" i="13"/>
  <c r="E122" i="13"/>
  <c r="E124" i="13"/>
  <c r="H242" i="12"/>
  <c r="H98" i="12"/>
  <c r="H102" i="12"/>
  <c r="H122" i="12"/>
  <c r="E138" i="13"/>
  <c r="E140" i="13"/>
  <c r="B96" i="12"/>
  <c r="I96" i="12"/>
  <c r="E100" i="13"/>
  <c r="B99" i="12"/>
  <c r="I99" i="12"/>
  <c r="H97" i="12"/>
  <c r="B98" i="12"/>
  <c r="I98" i="12"/>
  <c r="H101" i="12"/>
  <c r="B102" i="12"/>
  <c r="I102" i="12"/>
  <c r="Y118" i="12"/>
  <c r="O118" i="12"/>
  <c r="D118" i="13" s="1"/>
  <c r="V127" i="12"/>
  <c r="H127" i="12"/>
  <c r="B127" i="12"/>
  <c r="E121" i="13"/>
  <c r="B100" i="12"/>
  <c r="I100" i="12"/>
  <c r="H96" i="12"/>
  <c r="V96" i="12"/>
  <c r="B97" i="12"/>
  <c r="I97" i="12"/>
  <c r="H100" i="12"/>
  <c r="V100" i="12"/>
  <c r="B101" i="12"/>
  <c r="I101" i="12"/>
  <c r="I120" i="12"/>
  <c r="H120" i="12"/>
  <c r="B120" i="12"/>
  <c r="V121" i="12"/>
  <c r="I121" i="12"/>
  <c r="V139" i="12"/>
  <c r="H139" i="12"/>
  <c r="B139" i="12"/>
  <c r="E96" i="13"/>
  <c r="E127" i="13"/>
  <c r="V123" i="12"/>
  <c r="V124" i="12"/>
  <c r="H124" i="12"/>
  <c r="I124" i="12"/>
  <c r="V138" i="12"/>
  <c r="H138" i="12"/>
  <c r="I138" i="12"/>
  <c r="V140" i="12"/>
  <c r="H140" i="12"/>
  <c r="B140" i="12"/>
  <c r="E242" i="13"/>
  <c r="B119" i="12"/>
  <c r="H119" i="12"/>
  <c r="B123" i="12"/>
  <c r="H123" i="12"/>
  <c r="B124" i="12"/>
  <c r="B138" i="12"/>
  <c r="E98" i="13"/>
  <c r="E102" i="13"/>
  <c r="E119" i="13"/>
  <c r="E123" i="13"/>
  <c r="E139" i="13"/>
  <c r="V242" i="12"/>
  <c r="I242" i="12"/>
  <c r="E247" i="13"/>
  <c r="V247" i="12"/>
  <c r="I247" i="12"/>
  <c r="B247" i="12"/>
  <c r="E254" i="13"/>
  <c r="E251" i="13"/>
  <c r="I254" i="12"/>
  <c r="I255" i="12"/>
  <c r="B254" i="12"/>
  <c r="B255" i="12"/>
  <c r="E255" i="13"/>
  <c r="H254" i="12"/>
  <c r="H255" i="12"/>
  <c r="E240" i="13"/>
  <c r="E244" i="13"/>
  <c r="I251" i="12"/>
  <c r="B251" i="12"/>
  <c r="B252" i="12"/>
  <c r="B253" i="12"/>
  <c r="I253" i="12"/>
  <c r="E252" i="13"/>
  <c r="E253" i="13"/>
  <c r="I252" i="12"/>
  <c r="H251" i="12"/>
  <c r="H252" i="12"/>
  <c r="H253" i="12"/>
  <c r="E246" i="13"/>
  <c r="E249" i="13"/>
  <c r="E248" i="13"/>
  <c r="O239" i="12"/>
  <c r="D239" i="13" s="1"/>
  <c r="I240" i="12"/>
  <c r="I244" i="12"/>
  <c r="I246" i="12"/>
  <c r="I249" i="12"/>
  <c r="E239" i="13"/>
  <c r="E243" i="13"/>
  <c r="E245" i="13"/>
  <c r="E250" i="13"/>
  <c r="H74" i="12"/>
  <c r="B240" i="12"/>
  <c r="B243" i="12"/>
  <c r="B244" i="12"/>
  <c r="B245" i="12"/>
  <c r="B246" i="12"/>
  <c r="B248" i="12"/>
  <c r="B249" i="12"/>
  <c r="B250" i="12"/>
  <c r="I243" i="12"/>
  <c r="I245" i="12"/>
  <c r="I248" i="12"/>
  <c r="I250" i="12"/>
  <c r="H240" i="12"/>
  <c r="H243" i="12"/>
  <c r="H244" i="12"/>
  <c r="H245" i="12"/>
  <c r="H246" i="12"/>
  <c r="H248" i="12"/>
  <c r="H249" i="12"/>
  <c r="H250" i="12"/>
  <c r="I74" i="12"/>
  <c r="E74" i="13"/>
  <c r="B74" i="12"/>
  <c r="V238" i="12"/>
  <c r="I238" i="12"/>
  <c r="E238" i="13"/>
  <c r="B238" i="12"/>
  <c r="H159" i="12"/>
  <c r="V158" i="12"/>
  <c r="B158" i="12"/>
  <c r="V157" i="12"/>
  <c r="B159" i="12"/>
  <c r="E165" i="13"/>
  <c r="B156" i="12"/>
  <c r="H156" i="12"/>
  <c r="B157" i="12"/>
  <c r="H164" i="12"/>
  <c r="I165" i="12"/>
  <c r="B164" i="12"/>
  <c r="B165" i="12"/>
  <c r="H165" i="12"/>
  <c r="E156" i="13"/>
  <c r="E158" i="13"/>
  <c r="E164" i="13"/>
  <c r="E157" i="13"/>
  <c r="E159" i="13"/>
  <c r="I156" i="12"/>
  <c r="I157" i="12"/>
  <c r="I158" i="12"/>
  <c r="I159" i="12"/>
  <c r="I164" i="12"/>
  <c r="I154" i="12"/>
  <c r="E154" i="13"/>
  <c r="V154" i="12"/>
  <c r="B154" i="12"/>
  <c r="F153" i="13"/>
  <c r="A153" i="13"/>
  <c r="F152" i="13"/>
  <c r="A152" i="13"/>
  <c r="F151" i="13"/>
  <c r="A151" i="13"/>
  <c r="F150" i="13"/>
  <c r="A150" i="13"/>
  <c r="F149" i="13"/>
  <c r="A149" i="13"/>
  <c r="W153" i="12"/>
  <c r="A153" i="12"/>
  <c r="V153" i="12" s="1"/>
  <c r="W152" i="12"/>
  <c r="A152" i="12"/>
  <c r="V152" i="12" s="1"/>
  <c r="W151" i="12"/>
  <c r="A151" i="12"/>
  <c r="V151" i="12" s="1"/>
  <c r="W150" i="12"/>
  <c r="A150" i="12"/>
  <c r="V150" i="12" s="1"/>
  <c r="W149" i="12"/>
  <c r="A149" i="12"/>
  <c r="V149" i="12" s="1"/>
  <c r="P170" i="12"/>
  <c r="P169" i="12"/>
  <c r="P168" i="12"/>
  <c r="P199" i="12"/>
  <c r="F199" i="13" s="1"/>
  <c r="P212" i="12"/>
  <c r="P208" i="12"/>
  <c r="P213" i="12"/>
  <c r="P217" i="12"/>
  <c r="F221" i="13"/>
  <c r="A221" i="13"/>
  <c r="W221" i="12"/>
  <c r="A221" i="12"/>
  <c r="H221" i="12" s="1"/>
  <c r="F206" i="13"/>
  <c r="A206" i="13"/>
  <c r="F205" i="13"/>
  <c r="A205" i="13"/>
  <c r="F204" i="13"/>
  <c r="A204" i="13"/>
  <c r="F203" i="13"/>
  <c r="A203" i="13"/>
  <c r="F202" i="13"/>
  <c r="A202" i="13"/>
  <c r="F201" i="13"/>
  <c r="A201" i="13"/>
  <c r="F200" i="13"/>
  <c r="A200" i="13"/>
  <c r="A199" i="13"/>
  <c r="F198" i="13"/>
  <c r="A198" i="13"/>
  <c r="F197" i="13"/>
  <c r="A197" i="13"/>
  <c r="F196" i="13"/>
  <c r="A196" i="13"/>
  <c r="F195" i="13"/>
  <c r="A195" i="13"/>
  <c r="W206" i="12"/>
  <c r="A206" i="12"/>
  <c r="B206" i="12" s="1"/>
  <c r="W205" i="12"/>
  <c r="A205" i="12"/>
  <c r="V205" i="12" s="1"/>
  <c r="W204" i="12"/>
  <c r="A204" i="12"/>
  <c r="B204" i="12" s="1"/>
  <c r="W203" i="12"/>
  <c r="A203" i="12"/>
  <c r="V203" i="12" s="1"/>
  <c r="W202" i="12"/>
  <c r="A202" i="12"/>
  <c r="B202" i="12" s="1"/>
  <c r="W201" i="12"/>
  <c r="A201" i="12"/>
  <c r="V201" i="12" s="1"/>
  <c r="W200" i="12"/>
  <c r="A200" i="12"/>
  <c r="B200" i="12" s="1"/>
  <c r="W199" i="12"/>
  <c r="A199" i="12"/>
  <c r="V199" i="12" s="1"/>
  <c r="W198" i="12"/>
  <c r="A198" i="12"/>
  <c r="V198" i="12" s="1"/>
  <c r="W197" i="12"/>
  <c r="A197" i="12"/>
  <c r="H197" i="12" s="1"/>
  <c r="W196" i="12"/>
  <c r="A196" i="12"/>
  <c r="V196" i="12" s="1"/>
  <c r="W195" i="12"/>
  <c r="A195" i="12"/>
  <c r="V195" i="12" s="1"/>
  <c r="P257" i="12"/>
  <c r="P258" i="12"/>
  <c r="P259" i="12"/>
  <c r="P260" i="12"/>
  <c r="P261" i="12"/>
  <c r="P192" i="12"/>
  <c r="P171" i="12"/>
  <c r="F173" i="13"/>
  <c r="A173" i="13"/>
  <c r="W173" i="12"/>
  <c r="A173" i="12"/>
  <c r="B173" i="12" s="1"/>
  <c r="F177" i="13"/>
  <c r="A177" i="13"/>
  <c r="W177" i="12"/>
  <c r="A177" i="12"/>
  <c r="B177" i="12" s="1"/>
  <c r="F172" i="13"/>
  <c r="A172" i="13"/>
  <c r="W172" i="12"/>
  <c r="A172" i="12"/>
  <c r="F155" i="13"/>
  <c r="A155" i="13"/>
  <c r="F148" i="13"/>
  <c r="A148" i="13"/>
  <c r="F147" i="13"/>
  <c r="A147" i="13"/>
  <c r="F146" i="13"/>
  <c r="A146" i="13"/>
  <c r="F145" i="13"/>
  <c r="A145" i="13"/>
  <c r="F144" i="13"/>
  <c r="A144" i="13"/>
  <c r="F142" i="13"/>
  <c r="A142" i="13"/>
  <c r="F141" i="13"/>
  <c r="A141" i="13"/>
  <c r="F95" i="13"/>
  <c r="A95" i="13"/>
  <c r="F94" i="13"/>
  <c r="A94" i="13"/>
  <c r="W155" i="12"/>
  <c r="A155" i="12"/>
  <c r="V155" i="12" s="1"/>
  <c r="W148" i="12"/>
  <c r="A148" i="12"/>
  <c r="V148" i="12" s="1"/>
  <c r="W147" i="12"/>
  <c r="A147" i="12"/>
  <c r="V147" i="12" s="1"/>
  <c r="W146" i="12"/>
  <c r="A146" i="12"/>
  <c r="V146" i="12" s="1"/>
  <c r="W145" i="12"/>
  <c r="A145" i="12"/>
  <c r="V145" i="12" s="1"/>
  <c r="X144" i="12"/>
  <c r="O144" i="12" s="1"/>
  <c r="D144" i="13" s="1"/>
  <c r="W144" i="12"/>
  <c r="A144" i="12"/>
  <c r="W142" i="12"/>
  <c r="A142" i="12"/>
  <c r="V142" i="12" s="1"/>
  <c r="W141" i="12"/>
  <c r="A141" i="12"/>
  <c r="V141" i="12" s="1"/>
  <c r="W95" i="12"/>
  <c r="A95" i="12"/>
  <c r="V95" i="12" s="1"/>
  <c r="W94" i="12"/>
  <c r="A94" i="12"/>
  <c r="F71" i="13"/>
  <c r="A71" i="13"/>
  <c r="W71" i="12"/>
  <c r="A71" i="12"/>
  <c r="B71" i="12" s="1"/>
  <c r="Q56" i="12"/>
  <c r="Q55" i="12"/>
  <c r="Q58" i="12"/>
  <c r="Q57" i="12"/>
  <c r="O57" i="12"/>
  <c r="N57" i="12"/>
  <c r="Y57" i="12"/>
  <c r="Y56" i="12"/>
  <c r="O55" i="12"/>
  <c r="N56" i="12"/>
  <c r="N55" i="12"/>
  <c r="Y55" i="12"/>
  <c r="Y58" i="12"/>
  <c r="O56" i="12"/>
  <c r="N58" i="12"/>
  <c r="O58" i="12"/>
  <c r="Q52" i="12"/>
  <c r="Q51" i="12"/>
  <c r="Q53" i="12"/>
  <c r="Q50" i="12"/>
  <c r="O50" i="12"/>
  <c r="Y53" i="12"/>
  <c r="Y51" i="12"/>
  <c r="N52" i="12"/>
  <c r="N50" i="12"/>
  <c r="O53" i="12"/>
  <c r="N53" i="12"/>
  <c r="O51" i="12"/>
  <c r="Y52" i="12"/>
  <c r="Y50" i="12"/>
  <c r="N51" i="12"/>
  <c r="O52" i="12"/>
  <c r="Q48" i="12"/>
  <c r="Y47" i="12"/>
  <c r="O46" i="12"/>
  <c r="O48" i="12"/>
  <c r="Q47" i="12"/>
  <c r="O47" i="12"/>
  <c r="N46" i="12"/>
  <c r="Y48" i="12"/>
  <c r="Q46" i="12"/>
  <c r="N47" i="12"/>
  <c r="Y46" i="12"/>
  <c r="N48" i="12"/>
  <c r="Q37" i="12"/>
  <c r="Q36" i="12"/>
  <c r="Q35" i="12"/>
  <c r="Y36" i="12"/>
  <c r="O37" i="12"/>
  <c r="N37" i="12"/>
  <c r="N35" i="12"/>
  <c r="O35" i="12"/>
  <c r="O36" i="12"/>
  <c r="Y37" i="12"/>
  <c r="Y35" i="12"/>
  <c r="N36" i="12"/>
  <c r="N28" i="12"/>
  <c r="Q30" i="12"/>
  <c r="O32" i="12"/>
  <c r="O33" i="12"/>
  <c r="N30" i="12"/>
  <c r="Y29" i="12"/>
  <c r="N33" i="12"/>
  <c r="Y33" i="12"/>
  <c r="Y31" i="12"/>
  <c r="Q29" i="12"/>
  <c r="Q32" i="12"/>
  <c r="Q33" i="12"/>
  <c r="O30" i="12"/>
  <c r="O29" i="12"/>
  <c r="Y30" i="12"/>
  <c r="O28" i="12"/>
  <c r="Q28" i="12"/>
  <c r="Y32" i="12"/>
  <c r="Y28" i="12"/>
  <c r="O31" i="12"/>
  <c r="Q31" i="12"/>
  <c r="N32" i="12"/>
  <c r="N29" i="12"/>
  <c r="N31" i="12"/>
  <c r="N26" i="12"/>
  <c r="O26" i="12"/>
  <c r="Y26" i="12"/>
  <c r="Y24" i="12"/>
  <c r="N23" i="12"/>
  <c r="Y23" i="12"/>
  <c r="Y25" i="12"/>
  <c r="O25" i="12"/>
  <c r="N25" i="12"/>
  <c r="O23" i="12"/>
  <c r="N24" i="12"/>
  <c r="O24" i="12"/>
  <c r="D57" i="13" l="1"/>
  <c r="D58" i="13"/>
  <c r="D56" i="13"/>
  <c r="D55" i="13"/>
  <c r="D52" i="13"/>
  <c r="D51" i="13"/>
  <c r="D53" i="13"/>
  <c r="D50" i="13"/>
  <c r="D47" i="13"/>
  <c r="D48" i="13"/>
  <c r="D46" i="13"/>
  <c r="C36" i="13"/>
  <c r="D36" i="13"/>
  <c r="D35" i="13"/>
  <c r="C37" i="13"/>
  <c r="D37" i="13"/>
  <c r="C28" i="13"/>
  <c r="C31" i="13"/>
  <c r="C29" i="13"/>
  <c r="C32" i="13"/>
  <c r="D31" i="13"/>
  <c r="D28" i="13"/>
  <c r="D29" i="13"/>
  <c r="D30" i="13"/>
  <c r="C33" i="13"/>
  <c r="D33" i="13"/>
  <c r="D32" i="13"/>
  <c r="D26" i="13"/>
  <c r="C26" i="13"/>
  <c r="D24" i="13"/>
  <c r="C24" i="13"/>
  <c r="D23" i="13"/>
  <c r="C25" i="13"/>
  <c r="D25" i="13"/>
  <c r="C23" i="13"/>
  <c r="C86" i="13"/>
  <c r="C30" i="13"/>
  <c r="C34" i="13"/>
  <c r="C35" i="13"/>
  <c r="C180" i="13"/>
  <c r="C54" i="13"/>
  <c r="C51" i="13"/>
  <c r="C50" i="13"/>
  <c r="C52" i="13"/>
  <c r="C53" i="13"/>
  <c r="C58" i="13"/>
  <c r="C49" i="13"/>
  <c r="C46" i="13"/>
  <c r="C56" i="13"/>
  <c r="C47" i="13"/>
  <c r="C57" i="13"/>
  <c r="C55" i="13"/>
  <c r="C48" i="13"/>
  <c r="C118" i="13"/>
  <c r="C239" i="13"/>
  <c r="H149" i="12"/>
  <c r="H150" i="12"/>
  <c r="H151" i="12"/>
  <c r="H152" i="12"/>
  <c r="H153" i="12"/>
  <c r="E150" i="13"/>
  <c r="E152" i="13"/>
  <c r="I149" i="12"/>
  <c r="I150" i="12"/>
  <c r="I151" i="12"/>
  <c r="I152" i="12"/>
  <c r="I153" i="12"/>
  <c r="E149" i="13"/>
  <c r="E151" i="13"/>
  <c r="E153" i="13"/>
  <c r="B149" i="12"/>
  <c r="B150" i="12"/>
  <c r="B151" i="12"/>
  <c r="B152" i="12"/>
  <c r="B153" i="12"/>
  <c r="H202" i="12"/>
  <c r="V221" i="12"/>
  <c r="V197" i="12"/>
  <c r="H206" i="12"/>
  <c r="B197" i="12"/>
  <c r="H204" i="12"/>
  <c r="H200" i="12"/>
  <c r="B195" i="12"/>
  <c r="V200" i="12"/>
  <c r="V202" i="12"/>
  <c r="V204" i="12"/>
  <c r="V206" i="12"/>
  <c r="H195" i="12"/>
  <c r="E199" i="13"/>
  <c r="E203" i="13"/>
  <c r="E205" i="13"/>
  <c r="B196" i="12"/>
  <c r="B198" i="12"/>
  <c r="B199" i="12"/>
  <c r="B201" i="12"/>
  <c r="B203" i="12"/>
  <c r="B205" i="12"/>
  <c r="H196" i="12"/>
  <c r="H198" i="12"/>
  <c r="H199" i="12"/>
  <c r="H201" i="12"/>
  <c r="H203" i="12"/>
  <c r="H205" i="12"/>
  <c r="I221" i="12"/>
  <c r="E221" i="13"/>
  <c r="B221" i="12"/>
  <c r="E195" i="13"/>
  <c r="E197" i="13"/>
  <c r="E200" i="13"/>
  <c r="E202" i="13"/>
  <c r="E204" i="13"/>
  <c r="E206" i="13"/>
  <c r="E196" i="13"/>
  <c r="E198" i="13"/>
  <c r="E201" i="13"/>
  <c r="I195" i="12"/>
  <c r="I196" i="12"/>
  <c r="I197" i="12"/>
  <c r="I198" i="12"/>
  <c r="I199" i="12"/>
  <c r="I200" i="12"/>
  <c r="I201" i="12"/>
  <c r="I202" i="12"/>
  <c r="I203" i="12"/>
  <c r="I204" i="12"/>
  <c r="I205" i="12"/>
  <c r="I206" i="12"/>
  <c r="E173" i="13"/>
  <c r="H173" i="12"/>
  <c r="V173" i="12"/>
  <c r="I173" i="12"/>
  <c r="E177" i="13"/>
  <c r="E148" i="13"/>
  <c r="E172" i="13"/>
  <c r="H172" i="12"/>
  <c r="H177" i="12"/>
  <c r="V177" i="12"/>
  <c r="V172" i="12"/>
  <c r="E95" i="13"/>
  <c r="E142" i="13"/>
  <c r="E155" i="13"/>
  <c r="I177" i="12"/>
  <c r="I172" i="12"/>
  <c r="B172" i="12"/>
  <c r="Y144" i="12"/>
  <c r="E145" i="13"/>
  <c r="E147" i="13"/>
  <c r="V94" i="12"/>
  <c r="H94" i="12"/>
  <c r="B94" i="12"/>
  <c r="I94" i="12"/>
  <c r="I141" i="12"/>
  <c r="I142" i="12"/>
  <c r="I145" i="12"/>
  <c r="I146" i="12"/>
  <c r="I147" i="12"/>
  <c r="I148" i="12"/>
  <c r="I155" i="12"/>
  <c r="E94" i="13"/>
  <c r="E141" i="13"/>
  <c r="E144" i="13"/>
  <c r="E146" i="13"/>
  <c r="B95" i="12"/>
  <c r="B141" i="12"/>
  <c r="B142" i="12"/>
  <c r="B145" i="12"/>
  <c r="B146" i="12"/>
  <c r="B147" i="12"/>
  <c r="B148" i="12"/>
  <c r="B155" i="12"/>
  <c r="E71" i="13"/>
  <c r="I95" i="12"/>
  <c r="H95" i="12"/>
  <c r="H141" i="12"/>
  <c r="H142" i="12"/>
  <c r="H145" i="12"/>
  <c r="H146" i="12"/>
  <c r="H147" i="12"/>
  <c r="H148" i="12"/>
  <c r="H155" i="12"/>
  <c r="H71" i="12"/>
  <c r="V71" i="12"/>
  <c r="I71" i="12"/>
  <c r="C144" i="13" l="1"/>
  <c r="F70" i="13" l="1"/>
  <c r="A70" i="13"/>
  <c r="F69" i="13"/>
  <c r="A69" i="13"/>
  <c r="F67" i="13"/>
  <c r="A67" i="13"/>
  <c r="F66" i="13"/>
  <c r="A66" i="13"/>
  <c r="F65" i="13"/>
  <c r="A65" i="13"/>
  <c r="F64" i="13"/>
  <c r="A64" i="13"/>
  <c r="F63" i="13"/>
  <c r="A63" i="13"/>
  <c r="F62" i="13"/>
  <c r="A62" i="13"/>
  <c r="F61" i="13"/>
  <c r="A61" i="13"/>
  <c r="F60" i="13"/>
  <c r="A60" i="13"/>
  <c r="F59" i="13"/>
  <c r="A59" i="13"/>
  <c r="F45" i="13"/>
  <c r="A45" i="13"/>
  <c r="F44" i="13"/>
  <c r="A44" i="13"/>
  <c r="F38" i="13"/>
  <c r="A38" i="13"/>
  <c r="F22" i="13"/>
  <c r="A22" i="13"/>
  <c r="F21" i="13"/>
  <c r="A21" i="13"/>
  <c r="F20" i="13"/>
  <c r="A20" i="13"/>
  <c r="F15" i="13"/>
  <c r="A15" i="13"/>
  <c r="W70" i="12"/>
  <c r="A70" i="12"/>
  <c r="V70" i="12" s="1"/>
  <c r="W69" i="12"/>
  <c r="A69" i="12"/>
  <c r="H69" i="12" s="1"/>
  <c r="W67" i="12"/>
  <c r="A67" i="12"/>
  <c r="V67" i="12" s="1"/>
  <c r="W66" i="12"/>
  <c r="A66" i="12"/>
  <c r="V66" i="12" s="1"/>
  <c r="W65" i="12"/>
  <c r="A65" i="12"/>
  <c r="V65" i="12" s="1"/>
  <c r="W64" i="12"/>
  <c r="A64" i="12"/>
  <c r="V64" i="12" s="1"/>
  <c r="W63" i="12"/>
  <c r="A63" i="12"/>
  <c r="V63" i="12" s="1"/>
  <c r="W62" i="12"/>
  <c r="A62" i="12"/>
  <c r="W61" i="12"/>
  <c r="A61" i="12"/>
  <c r="V61" i="12" s="1"/>
  <c r="W60" i="12"/>
  <c r="A60" i="12"/>
  <c r="X59" i="12"/>
  <c r="O59" i="12" s="1"/>
  <c r="D59" i="13" s="1"/>
  <c r="W59" i="12"/>
  <c r="A59" i="12"/>
  <c r="W45" i="12"/>
  <c r="A45" i="12"/>
  <c r="X44" i="12"/>
  <c r="W44" i="12"/>
  <c r="A44" i="12"/>
  <c r="W38" i="12"/>
  <c r="A38" i="12"/>
  <c r="V38" i="12" s="1"/>
  <c r="W22" i="12"/>
  <c r="A22" i="12"/>
  <c r="V22" i="12" s="1"/>
  <c r="W21" i="12"/>
  <c r="A21" i="12"/>
  <c r="V21" i="12" s="1"/>
  <c r="X20" i="12"/>
  <c r="W20" i="12"/>
  <c r="A20" i="12"/>
  <c r="W15" i="12"/>
  <c r="A15" i="12"/>
  <c r="V15" i="12" s="1"/>
  <c r="F220" i="13"/>
  <c r="A220" i="13"/>
  <c r="F219" i="13"/>
  <c r="A219" i="13"/>
  <c r="F218" i="13"/>
  <c r="A218" i="13"/>
  <c r="F217" i="13"/>
  <c r="A217" i="13"/>
  <c r="F213" i="13"/>
  <c r="A213" i="13"/>
  <c r="F212" i="13"/>
  <c r="A212" i="13"/>
  <c r="W220" i="12"/>
  <c r="A220" i="12"/>
  <c r="W219" i="12"/>
  <c r="A219" i="12"/>
  <c r="W218" i="12"/>
  <c r="A218" i="12"/>
  <c r="W217" i="12"/>
  <c r="A217" i="12"/>
  <c r="I217" i="12" s="1"/>
  <c r="W213" i="12"/>
  <c r="A213" i="12"/>
  <c r="W212" i="12"/>
  <c r="A212" i="12"/>
  <c r="F236" i="13"/>
  <c r="A236" i="13"/>
  <c r="F235" i="13"/>
  <c r="A235" i="13"/>
  <c r="F234" i="13"/>
  <c r="A234" i="13"/>
  <c r="F233" i="13"/>
  <c r="A233" i="13"/>
  <c r="W236" i="12"/>
  <c r="A236" i="12"/>
  <c r="V236" i="12" s="1"/>
  <c r="W235" i="12"/>
  <c r="A235" i="12"/>
  <c r="V235" i="12" s="1"/>
  <c r="W234" i="12"/>
  <c r="A234" i="12"/>
  <c r="V234" i="12" s="1"/>
  <c r="W233" i="12"/>
  <c r="A233" i="12"/>
  <c r="V233" i="12" s="1"/>
  <c r="F232" i="13"/>
  <c r="A232" i="13"/>
  <c r="F231" i="13"/>
  <c r="A231" i="13"/>
  <c r="W232" i="12"/>
  <c r="A232" i="12"/>
  <c r="V232" i="12" s="1"/>
  <c r="W231" i="12"/>
  <c r="A231" i="12"/>
  <c r="V231" i="12" s="1"/>
  <c r="F228" i="13"/>
  <c r="A228" i="13"/>
  <c r="E228" i="13" s="1"/>
  <c r="F226" i="13"/>
  <c r="A226" i="13"/>
  <c r="F225" i="13"/>
  <c r="A225" i="13"/>
  <c r="X228" i="12"/>
  <c r="O228" i="12" s="1"/>
  <c r="D228" i="13" s="1"/>
  <c r="W228" i="12"/>
  <c r="C228" i="13"/>
  <c r="A228" i="12"/>
  <c r="W226" i="12"/>
  <c r="A226" i="12"/>
  <c r="V226" i="12" s="1"/>
  <c r="W225" i="12"/>
  <c r="A225" i="12"/>
  <c r="V225" i="12" s="1"/>
  <c r="F274" i="13"/>
  <c r="A274" i="13"/>
  <c r="F273" i="13"/>
  <c r="A273" i="13"/>
  <c r="F272" i="13"/>
  <c r="A272" i="13"/>
  <c r="F271" i="13"/>
  <c r="A271" i="13"/>
  <c r="W274" i="12"/>
  <c r="A274" i="12"/>
  <c r="V274" i="12" s="1"/>
  <c r="W273" i="12"/>
  <c r="A273" i="12"/>
  <c r="V273" i="12" s="1"/>
  <c r="W272" i="12"/>
  <c r="A272" i="12"/>
  <c r="V272" i="12" s="1"/>
  <c r="W271" i="12"/>
  <c r="A271" i="12"/>
  <c r="V271" i="12" s="1"/>
  <c r="X82" i="12"/>
  <c r="X45" i="12"/>
  <c r="X38" i="12"/>
  <c r="X22" i="12"/>
  <c r="Q22" i="12" s="1"/>
  <c r="X21" i="12"/>
  <c r="Q21" i="12" s="1"/>
  <c r="Y20" i="12" l="1"/>
  <c r="Q20" i="12"/>
  <c r="Y44" i="12"/>
  <c r="Q44" i="12"/>
  <c r="B15" i="12"/>
  <c r="B21" i="12"/>
  <c r="B22" i="12"/>
  <c r="H70" i="12"/>
  <c r="H22" i="12"/>
  <c r="V69" i="12"/>
  <c r="B38" i="12"/>
  <c r="E15" i="13"/>
  <c r="H15" i="12"/>
  <c r="H21" i="12"/>
  <c r="H38" i="12"/>
  <c r="I63" i="12"/>
  <c r="H64" i="12"/>
  <c r="H65" i="12"/>
  <c r="H66" i="12"/>
  <c r="H67" i="12"/>
  <c r="E44" i="13"/>
  <c r="E21" i="13"/>
  <c r="E60" i="13"/>
  <c r="E62" i="13"/>
  <c r="E63" i="13"/>
  <c r="E65" i="13"/>
  <c r="E66" i="13"/>
  <c r="E38" i="13"/>
  <c r="E69" i="13"/>
  <c r="C20" i="13"/>
  <c r="O20" i="12"/>
  <c r="D20" i="13" s="1"/>
  <c r="Y59" i="12"/>
  <c r="I45" i="12"/>
  <c r="H45" i="12"/>
  <c r="B45" i="12"/>
  <c r="B61" i="12"/>
  <c r="H61" i="12"/>
  <c r="V45" i="12"/>
  <c r="I61" i="12"/>
  <c r="I213" i="12"/>
  <c r="B213" i="12"/>
  <c r="B217" i="12"/>
  <c r="E64" i="13"/>
  <c r="E213" i="13"/>
  <c r="E217" i="13"/>
  <c r="I15" i="12"/>
  <c r="I21" i="12"/>
  <c r="I22" i="12"/>
  <c r="I38" i="12"/>
  <c r="O44" i="12"/>
  <c r="D44" i="13" s="1"/>
  <c r="B62" i="12"/>
  <c r="H62" i="12"/>
  <c r="I62" i="12"/>
  <c r="V62" i="12"/>
  <c r="B60" i="12"/>
  <c r="H60" i="12"/>
  <c r="I60" i="12"/>
  <c r="V60" i="12"/>
  <c r="E61" i="13"/>
  <c r="E67" i="13"/>
  <c r="B63" i="12"/>
  <c r="B64" i="12"/>
  <c r="I64" i="12"/>
  <c r="B65" i="12"/>
  <c r="I65" i="12"/>
  <c r="B66" i="12"/>
  <c r="I66" i="12"/>
  <c r="B67" i="12"/>
  <c r="I67" i="12"/>
  <c r="B69" i="12"/>
  <c r="I69" i="12"/>
  <c r="B70" i="12"/>
  <c r="I70" i="12"/>
  <c r="E20" i="13"/>
  <c r="E22" i="13"/>
  <c r="H63" i="12"/>
  <c r="E45" i="13"/>
  <c r="E59" i="13"/>
  <c r="E70" i="13"/>
  <c r="E219" i="13"/>
  <c r="V219" i="12"/>
  <c r="H219" i="12"/>
  <c r="I219" i="12"/>
  <c r="B212" i="12"/>
  <c r="I212" i="12"/>
  <c r="V218" i="12"/>
  <c r="H218" i="12"/>
  <c r="I218" i="12"/>
  <c r="V220" i="12"/>
  <c r="H220" i="12"/>
  <c r="I220" i="12"/>
  <c r="V212" i="12"/>
  <c r="H212" i="12"/>
  <c r="B219" i="12"/>
  <c r="V213" i="12"/>
  <c r="H213" i="12"/>
  <c r="V217" i="12"/>
  <c r="H217" i="12"/>
  <c r="B218" i="12"/>
  <c r="B220" i="12"/>
  <c r="E212" i="13"/>
  <c r="E218" i="13"/>
  <c r="E220" i="13"/>
  <c r="H232" i="12"/>
  <c r="H231" i="12"/>
  <c r="B225" i="12"/>
  <c r="E231" i="13"/>
  <c r="I233" i="12"/>
  <c r="I234" i="12"/>
  <c r="I235" i="12"/>
  <c r="I236" i="12"/>
  <c r="E233" i="13"/>
  <c r="E235" i="13"/>
  <c r="B233" i="12"/>
  <c r="B234" i="12"/>
  <c r="B235" i="12"/>
  <c r="B236" i="12"/>
  <c r="E234" i="13"/>
  <c r="E236" i="13"/>
  <c r="H225" i="12"/>
  <c r="H233" i="12"/>
  <c r="H234" i="12"/>
  <c r="H235" i="12"/>
  <c r="H236" i="12"/>
  <c r="E226" i="13"/>
  <c r="E232" i="13"/>
  <c r="B226" i="12"/>
  <c r="H226" i="12"/>
  <c r="I231" i="12"/>
  <c r="I232" i="12"/>
  <c r="B231" i="12"/>
  <c r="B232" i="12"/>
  <c r="E225" i="13"/>
  <c r="E272" i="13"/>
  <c r="Y228" i="12"/>
  <c r="H274" i="12"/>
  <c r="I225" i="12"/>
  <c r="I226" i="12"/>
  <c r="E274" i="13"/>
  <c r="H271" i="12"/>
  <c r="H272" i="12"/>
  <c r="H273" i="12"/>
  <c r="I271" i="12"/>
  <c r="I272" i="12"/>
  <c r="I273" i="12"/>
  <c r="I274" i="12"/>
  <c r="E271" i="13"/>
  <c r="E273" i="13"/>
  <c r="B271" i="12"/>
  <c r="B272" i="12"/>
  <c r="B273" i="12"/>
  <c r="B274" i="12"/>
  <c r="O82" i="12"/>
  <c r="Y82" i="12"/>
  <c r="Q45" i="12"/>
  <c r="Y45" i="12"/>
  <c r="O45" i="12"/>
  <c r="N45" i="12"/>
  <c r="Y38" i="12"/>
  <c r="N38" i="12"/>
  <c r="Q38" i="12"/>
  <c r="O38" i="12"/>
  <c r="N21" i="12"/>
  <c r="Y21" i="12"/>
  <c r="N22" i="12"/>
  <c r="O22" i="12"/>
  <c r="Y22" i="12"/>
  <c r="O21" i="12"/>
  <c r="D45" i="13" l="1"/>
  <c r="D38" i="13"/>
  <c r="C38" i="13"/>
  <c r="D21" i="13"/>
  <c r="D22" i="13"/>
  <c r="C22" i="13"/>
  <c r="C21" i="13"/>
  <c r="C82" i="13"/>
  <c r="D82" i="13"/>
  <c r="C45" i="13"/>
  <c r="C59" i="13"/>
  <c r="C44" i="13"/>
  <c r="F267" i="13" l="1"/>
  <c r="A267" i="13"/>
  <c r="F261" i="13"/>
  <c r="A261" i="13"/>
  <c r="F260" i="13"/>
  <c r="A260" i="13"/>
  <c r="F259" i="13"/>
  <c r="A259" i="13"/>
  <c r="F258" i="13"/>
  <c r="A258" i="13"/>
  <c r="W267" i="12"/>
  <c r="A267" i="12"/>
  <c r="H267" i="12" s="1"/>
  <c r="W261" i="12"/>
  <c r="A261" i="12"/>
  <c r="H261" i="12" s="1"/>
  <c r="W260" i="12"/>
  <c r="A260" i="12"/>
  <c r="H260" i="12" s="1"/>
  <c r="W259" i="12"/>
  <c r="A259" i="12"/>
  <c r="H259" i="12" s="1"/>
  <c r="W258" i="12"/>
  <c r="A258" i="12"/>
  <c r="H258" i="12" s="1"/>
  <c r="F270" i="13"/>
  <c r="A270" i="13"/>
  <c r="W270" i="12"/>
  <c r="A270" i="12"/>
  <c r="F166" i="13"/>
  <c r="A166" i="13"/>
  <c r="F93" i="13"/>
  <c r="A93" i="13"/>
  <c r="F92" i="13"/>
  <c r="A92" i="13"/>
  <c r="F91" i="13"/>
  <c r="A91" i="13"/>
  <c r="F90" i="13"/>
  <c r="A90" i="13"/>
  <c r="F89" i="13"/>
  <c r="A89" i="13"/>
  <c r="F88" i="13"/>
  <c r="A88" i="13"/>
  <c r="F87" i="13"/>
  <c r="A87" i="13"/>
  <c r="X166" i="12"/>
  <c r="O166" i="12" s="1"/>
  <c r="D166" i="13" s="1"/>
  <c r="W166" i="12"/>
  <c r="A166" i="12"/>
  <c r="W93" i="12"/>
  <c r="A93" i="12"/>
  <c r="W92" i="12"/>
  <c r="A92" i="12"/>
  <c r="H92" i="12" s="1"/>
  <c r="W91" i="12"/>
  <c r="A91" i="12"/>
  <c r="H91" i="12" s="1"/>
  <c r="W90" i="12"/>
  <c r="A90" i="12"/>
  <c r="H90" i="12" s="1"/>
  <c r="W89" i="12"/>
  <c r="A89" i="12"/>
  <c r="H89" i="12" s="1"/>
  <c r="W88" i="12"/>
  <c r="A88" i="12"/>
  <c r="H88" i="12" s="1"/>
  <c r="W87" i="12"/>
  <c r="A87" i="12"/>
  <c r="H87" i="12" s="1"/>
  <c r="F194" i="13"/>
  <c r="A194" i="13"/>
  <c r="W194" i="12"/>
  <c r="A194" i="12"/>
  <c r="V267" i="12" l="1"/>
  <c r="V258" i="12"/>
  <c r="V261" i="12"/>
  <c r="V260" i="12"/>
  <c r="V89" i="12"/>
  <c r="V259" i="12"/>
  <c r="E259" i="13"/>
  <c r="V88" i="12"/>
  <c r="V87" i="12"/>
  <c r="V91" i="12"/>
  <c r="V90" i="12"/>
  <c r="E261" i="13"/>
  <c r="I258" i="12"/>
  <c r="I259" i="12"/>
  <c r="I260" i="12"/>
  <c r="I261" i="12"/>
  <c r="I267" i="12"/>
  <c r="E258" i="13"/>
  <c r="E260" i="13"/>
  <c r="E267" i="13"/>
  <c r="B258" i="12"/>
  <c r="B259" i="12"/>
  <c r="B260" i="12"/>
  <c r="B261" i="12"/>
  <c r="B267" i="12"/>
  <c r="E270" i="13"/>
  <c r="E88" i="13"/>
  <c r="E92" i="13"/>
  <c r="E93" i="13"/>
  <c r="Y166" i="12"/>
  <c r="E90" i="13"/>
  <c r="C166" i="13"/>
  <c r="V92" i="12"/>
  <c r="H93" i="12"/>
  <c r="V93" i="12"/>
  <c r="I87" i="12"/>
  <c r="E87" i="13"/>
  <c r="E89" i="13"/>
  <c r="E91" i="13"/>
  <c r="E166" i="13"/>
  <c r="I88" i="12"/>
  <c r="I89" i="12"/>
  <c r="I90" i="12"/>
  <c r="I91" i="12"/>
  <c r="I92" i="12"/>
  <c r="I93" i="12"/>
  <c r="B87" i="12"/>
  <c r="B88" i="12"/>
  <c r="B89" i="12"/>
  <c r="B90" i="12"/>
  <c r="B91" i="12"/>
  <c r="B92" i="12"/>
  <c r="B93" i="12"/>
  <c r="H194" i="12"/>
  <c r="V194" i="12"/>
  <c r="E194" i="13"/>
  <c r="I194" i="12"/>
  <c r="B194" i="12"/>
  <c r="F190" i="13" l="1"/>
  <c r="A190" i="13"/>
  <c r="W190" i="12"/>
  <c r="A190" i="12"/>
  <c r="H190" i="12" s="1"/>
  <c r="F208" i="13"/>
  <c r="A208" i="13"/>
  <c r="W208" i="12"/>
  <c r="A208" i="12"/>
  <c r="H208" i="12" s="1"/>
  <c r="F192" i="13"/>
  <c r="A192" i="13"/>
  <c r="F191" i="13"/>
  <c r="A191" i="13"/>
  <c r="F189" i="13"/>
  <c r="A189" i="13"/>
  <c r="W192" i="12"/>
  <c r="A192" i="12"/>
  <c r="V192" i="12" s="1"/>
  <c r="W191" i="12"/>
  <c r="A191" i="12"/>
  <c r="V191" i="12" s="1"/>
  <c r="X189" i="12"/>
  <c r="Y189" i="12" s="1"/>
  <c r="W189" i="12"/>
  <c r="A189" i="12"/>
  <c r="F176" i="13"/>
  <c r="F178" i="13"/>
  <c r="A178" i="13"/>
  <c r="W178" i="12"/>
  <c r="A178" i="12"/>
  <c r="V178" i="12" s="1"/>
  <c r="F222" i="13"/>
  <c r="A222" i="13"/>
  <c r="F211" i="13"/>
  <c r="A211" i="13"/>
  <c r="W222" i="12"/>
  <c r="A222" i="12"/>
  <c r="H222" i="12" s="1"/>
  <c r="W211" i="12"/>
  <c r="A211" i="12"/>
  <c r="H211" i="12" s="1"/>
  <c r="F170" i="13"/>
  <c r="A170" i="13"/>
  <c r="W170" i="12"/>
  <c r="A170" i="12"/>
  <c r="H170" i="12" s="1"/>
  <c r="F169" i="13"/>
  <c r="A169" i="13"/>
  <c r="W169" i="12"/>
  <c r="A169" i="12"/>
  <c r="V169" i="12" s="1"/>
  <c r="F174" i="13"/>
  <c r="A174" i="13"/>
  <c r="W174" i="12"/>
  <c r="A174" i="12"/>
  <c r="V174" i="12" s="1"/>
  <c r="A176" i="13"/>
  <c r="W176" i="12"/>
  <c r="A176" i="12"/>
  <c r="H176" i="12" s="1"/>
  <c r="V190" i="12" l="1"/>
  <c r="I190" i="12"/>
  <c r="E190" i="13"/>
  <c r="B190" i="12"/>
  <c r="V208" i="12"/>
  <c r="I208" i="12"/>
  <c r="E208" i="13"/>
  <c r="B208" i="12"/>
  <c r="E192" i="13"/>
  <c r="E191" i="13"/>
  <c r="O189" i="12"/>
  <c r="D189" i="13" s="1"/>
  <c r="I191" i="12"/>
  <c r="I192" i="12"/>
  <c r="E189" i="13"/>
  <c r="B191" i="12"/>
  <c r="B192" i="12"/>
  <c r="H191" i="12"/>
  <c r="H192" i="12"/>
  <c r="B178" i="12"/>
  <c r="H178" i="12"/>
  <c r="E178" i="13"/>
  <c r="V211" i="12"/>
  <c r="I178" i="12"/>
  <c r="V222" i="12"/>
  <c r="E222" i="13"/>
  <c r="I211" i="12"/>
  <c r="I222" i="12"/>
  <c r="E211" i="13"/>
  <c r="B211" i="12"/>
  <c r="B222" i="12"/>
  <c r="V170" i="12"/>
  <c r="I170" i="12"/>
  <c r="E170" i="13"/>
  <c r="B170" i="12"/>
  <c r="E169" i="13"/>
  <c r="I169" i="12"/>
  <c r="B169" i="12"/>
  <c r="H169" i="12"/>
  <c r="B174" i="12"/>
  <c r="H174" i="12"/>
  <c r="E174" i="13"/>
  <c r="I174" i="12"/>
  <c r="I176" i="12"/>
  <c r="E176" i="13"/>
  <c r="V176" i="12"/>
  <c r="B176" i="12"/>
  <c r="C189" i="13" l="1"/>
  <c r="F73" i="13" l="1"/>
  <c r="F179" i="13"/>
  <c r="A179" i="13"/>
  <c r="W179" i="12"/>
  <c r="A179" i="12"/>
  <c r="H179" i="12" s="1"/>
  <c r="F167" i="13"/>
  <c r="J50" i="18"/>
  <c r="J49" i="18"/>
  <c r="J48" i="18"/>
  <c r="J47" i="18"/>
  <c r="A45" i="18"/>
  <c r="C45" i="18" s="1"/>
  <c r="C44" i="18"/>
  <c r="A39" i="18"/>
  <c r="A40" i="18" s="1"/>
  <c r="A41" i="18" s="1"/>
  <c r="C38" i="18"/>
  <c r="I35" i="18"/>
  <c r="M32" i="18"/>
  <c r="I29" i="18"/>
  <c r="A29" i="18"/>
  <c r="A32" i="18" s="1"/>
  <c r="A28" i="18"/>
  <c r="C28" i="18" s="1"/>
  <c r="C27" i="18"/>
  <c r="N26" i="18"/>
  <c r="N24" i="18"/>
  <c r="M22" i="18"/>
  <c r="I22" i="18"/>
  <c r="C22" i="18"/>
  <c r="A22" i="18"/>
  <c r="A23" i="18" s="1"/>
  <c r="M21" i="18"/>
  <c r="I21" i="18"/>
  <c r="C21" i="18"/>
  <c r="M20" i="18"/>
  <c r="I20" i="18"/>
  <c r="M19" i="18"/>
  <c r="P19" i="18" s="1"/>
  <c r="I19" i="18"/>
  <c r="M18" i="18"/>
  <c r="P18" i="18" s="1"/>
  <c r="I18" i="18"/>
  <c r="A15" i="18"/>
  <c r="C15" i="18" s="1"/>
  <c r="C14" i="18"/>
  <c r="C13" i="18"/>
  <c r="C12" i="18"/>
  <c r="Q11" i="18"/>
  <c r="I37" i="18" s="1"/>
  <c r="C11" i="18"/>
  <c r="C10" i="18"/>
  <c r="C9" i="18"/>
  <c r="I8" i="18"/>
  <c r="C8" i="18"/>
  <c r="K5" i="18"/>
  <c r="I5" i="18"/>
  <c r="A4" i="18"/>
  <c r="C4" i="18" s="1"/>
  <c r="A3" i="18"/>
  <c r="C3" i="18" s="1"/>
  <c r="C2" i="18"/>
  <c r="N1" i="18"/>
  <c r="F168" i="13"/>
  <c r="A168" i="13"/>
  <c r="A167" i="13"/>
  <c r="F75" i="13"/>
  <c r="A75" i="13"/>
  <c r="E75" i="13" s="1"/>
  <c r="W168" i="12"/>
  <c r="A168" i="12"/>
  <c r="W167" i="12"/>
  <c r="A167" i="12"/>
  <c r="X75" i="12"/>
  <c r="O75" i="12" s="1"/>
  <c r="D75" i="13" s="1"/>
  <c r="W75" i="12"/>
  <c r="A75" i="12"/>
  <c r="F257" i="13"/>
  <c r="A257" i="13"/>
  <c r="F256" i="13"/>
  <c r="A256" i="13"/>
  <c r="E256" i="13" s="1"/>
  <c r="F237" i="13"/>
  <c r="A237" i="13"/>
  <c r="W257" i="12"/>
  <c r="A257" i="12"/>
  <c r="H257" i="12" s="1"/>
  <c r="X256" i="12"/>
  <c r="Y256" i="12" s="1"/>
  <c r="W256" i="12"/>
  <c r="C256" i="13"/>
  <c r="A256" i="12"/>
  <c r="W237" i="12"/>
  <c r="A237" i="12"/>
  <c r="V237" i="12" s="1"/>
  <c r="F230" i="13"/>
  <c r="A230" i="13"/>
  <c r="F229" i="13"/>
  <c r="A229" i="13"/>
  <c r="F224" i="13"/>
  <c r="A224" i="13"/>
  <c r="F207" i="13"/>
  <c r="A207" i="13"/>
  <c r="W230" i="12"/>
  <c r="A230" i="12"/>
  <c r="V230" i="12" s="1"/>
  <c r="W229" i="12"/>
  <c r="A229" i="12"/>
  <c r="V229" i="12" s="1"/>
  <c r="X224" i="12"/>
  <c r="O224" i="12" s="1"/>
  <c r="D224" i="13" s="1"/>
  <c r="W224" i="12"/>
  <c r="A224" i="12"/>
  <c r="W207" i="12"/>
  <c r="A207" i="12"/>
  <c r="F175" i="13"/>
  <c r="A175" i="13"/>
  <c r="F171" i="13"/>
  <c r="A171" i="13"/>
  <c r="A73" i="13"/>
  <c r="W175" i="12"/>
  <c r="A175" i="12"/>
  <c r="H175" i="12" s="1"/>
  <c r="W171" i="12"/>
  <c r="A171" i="12"/>
  <c r="H171" i="12" s="1"/>
  <c r="W73" i="12"/>
  <c r="A73" i="12"/>
  <c r="V179" i="12" l="1"/>
  <c r="I179" i="12"/>
  <c r="E179" i="13"/>
  <c r="B179" i="12"/>
  <c r="A17" i="18"/>
  <c r="N25" i="18"/>
  <c r="O25" i="18" s="1"/>
  <c r="M33" i="18"/>
  <c r="C39" i="18"/>
  <c r="L32" i="18"/>
  <c r="H237" i="12"/>
  <c r="A42" i="18"/>
  <c r="C41" i="18"/>
  <c r="Q20" i="18"/>
  <c r="C23" i="18"/>
  <c r="A24" i="18"/>
  <c r="R20" i="18"/>
  <c r="Q19" i="18"/>
  <c r="A33" i="18"/>
  <c r="C32" i="18"/>
  <c r="Q18" i="18"/>
  <c r="R19" i="18"/>
  <c r="C29" i="18"/>
  <c r="A5" i="18"/>
  <c r="R18" i="18"/>
  <c r="P20" i="18"/>
  <c r="C40" i="18"/>
  <c r="A46" i="18"/>
  <c r="E168" i="13"/>
  <c r="E257" i="13"/>
  <c r="Y75" i="12"/>
  <c r="V168" i="12"/>
  <c r="H168" i="12"/>
  <c r="I168" i="12"/>
  <c r="B168" i="12"/>
  <c r="V167" i="12"/>
  <c r="H167" i="12"/>
  <c r="B167" i="12"/>
  <c r="I167" i="12"/>
  <c r="E167" i="13"/>
  <c r="O256" i="12"/>
  <c r="D256" i="13" s="1"/>
  <c r="E237" i="13"/>
  <c r="V257" i="12"/>
  <c r="I237" i="12"/>
  <c r="I257" i="12"/>
  <c r="B237" i="12"/>
  <c r="B257" i="12"/>
  <c r="Y224" i="12"/>
  <c r="I230" i="12"/>
  <c r="E229" i="13"/>
  <c r="B229" i="12"/>
  <c r="B230" i="12"/>
  <c r="I229" i="12"/>
  <c r="E207" i="13"/>
  <c r="E224" i="13"/>
  <c r="E230" i="13"/>
  <c r="H229" i="12"/>
  <c r="H230" i="12"/>
  <c r="V73" i="12"/>
  <c r="B73" i="12"/>
  <c r="V171" i="12"/>
  <c r="B171" i="12"/>
  <c r="B175" i="12"/>
  <c r="V175" i="12"/>
  <c r="H73" i="12"/>
  <c r="E73" i="13"/>
  <c r="E171" i="13"/>
  <c r="E175" i="13"/>
  <c r="I73" i="12"/>
  <c r="I171" i="12"/>
  <c r="I175" i="12"/>
  <c r="F11" i="13"/>
  <c r="F193" i="13"/>
  <c r="F14" i="13"/>
  <c r="F13" i="13"/>
  <c r="A193" i="13"/>
  <c r="A14" i="13"/>
  <c r="X193" i="12"/>
  <c r="O193" i="12" s="1"/>
  <c r="D193" i="13" s="1"/>
  <c r="W193" i="12"/>
  <c r="A193" i="12"/>
  <c r="X14" i="12"/>
  <c r="Y14" i="12" s="1"/>
  <c r="W14" i="12"/>
  <c r="A14" i="12"/>
  <c r="E7" i="13"/>
  <c r="P9" i="12"/>
  <c r="F10" i="13"/>
  <c r="G10" i="13" s="1"/>
  <c r="H10" i="13" s="1"/>
  <c r="I10" i="13" s="1"/>
  <c r="J10" i="13" s="1"/>
  <c r="K10" i="13" s="1"/>
  <c r="L10" i="13" s="1"/>
  <c r="M10" i="13" s="1"/>
  <c r="N10" i="13" s="1"/>
  <c r="O10" i="13" s="1"/>
  <c r="U10" i="13"/>
  <c r="AC9" i="11"/>
  <c r="AC10" i="11" s="1"/>
  <c r="K283" i="12"/>
  <c r="X13" i="12"/>
  <c r="Y13" i="12" s="1"/>
  <c r="W13" i="12"/>
  <c r="N24" i="17"/>
  <c r="Q224" i="16"/>
  <c r="Q223" i="16"/>
  <c r="P2" i="11"/>
  <c r="A20" i="11"/>
  <c r="A23" i="11" s="1"/>
  <c r="Q10" i="12"/>
  <c r="Q11" i="17"/>
  <c r="I37" i="17" s="1"/>
  <c r="N8" i="11"/>
  <c r="O9" i="11"/>
  <c r="P9" i="11" s="1"/>
  <c r="Q9" i="11" s="1"/>
  <c r="R9" i="11" s="1"/>
  <c r="S9" i="11" s="1"/>
  <c r="T9" i="11" s="1"/>
  <c r="U9" i="11" s="1"/>
  <c r="V9" i="11" s="1"/>
  <c r="W9" i="11" s="1"/>
  <c r="O10" i="11"/>
  <c r="A13" i="11"/>
  <c r="K13" i="11" s="1"/>
  <c r="N11" i="11" s="1"/>
  <c r="D17" i="11"/>
  <c r="L95" i="11"/>
  <c r="K289" i="12"/>
  <c r="A11" i="13"/>
  <c r="X11" i="12"/>
  <c r="O11" i="12" s="1"/>
  <c r="D11" i="13" s="1"/>
  <c r="J12" i="12"/>
  <c r="A12" i="13" s="1"/>
  <c r="N12" i="12"/>
  <c r="A13" i="13"/>
  <c r="E13" i="13" s="1"/>
  <c r="K286" i="12"/>
  <c r="N2" i="12"/>
  <c r="Y10" i="12"/>
  <c r="Z10" i="12"/>
  <c r="A11" i="12"/>
  <c r="B11" i="12" s="1"/>
  <c r="W11" i="12"/>
  <c r="A13" i="12"/>
  <c r="G13" i="12" s="1"/>
  <c r="N1" i="17"/>
  <c r="C2" i="17"/>
  <c r="A3" i="17"/>
  <c r="I5" i="17"/>
  <c r="K5" i="17"/>
  <c r="C8" i="17"/>
  <c r="I8" i="17"/>
  <c r="C9" i="17"/>
  <c r="C10" i="17"/>
  <c r="C11" i="17"/>
  <c r="C12" i="17"/>
  <c r="C13" i="17"/>
  <c r="C14" i="17"/>
  <c r="A15" i="17"/>
  <c r="C15" i="17" s="1"/>
  <c r="A17" i="17"/>
  <c r="C17" i="17" s="1"/>
  <c r="I18" i="17"/>
  <c r="M18" i="17"/>
  <c r="R18" i="17" s="1"/>
  <c r="I19" i="17"/>
  <c r="M19" i="17"/>
  <c r="I20" i="17"/>
  <c r="M20" i="17"/>
  <c r="R20" i="17" s="1"/>
  <c r="C21" i="17"/>
  <c r="I21" i="17"/>
  <c r="M21" i="17"/>
  <c r="A22" i="17"/>
  <c r="C22" i="17" s="1"/>
  <c r="I22" i="17"/>
  <c r="M22" i="17"/>
  <c r="C27" i="17"/>
  <c r="A28" i="17"/>
  <c r="C28" i="17"/>
  <c r="A29" i="17"/>
  <c r="A32" i="17" s="1"/>
  <c r="I29" i="17"/>
  <c r="M32" i="17"/>
  <c r="I35" i="17"/>
  <c r="C38" i="17"/>
  <c r="A39" i="17"/>
  <c r="C39" i="17" s="1"/>
  <c r="A40" i="17"/>
  <c r="C44" i="17"/>
  <c r="A45" i="17"/>
  <c r="A46" i="17" s="1"/>
  <c r="J47" i="17"/>
  <c r="J48" i="17"/>
  <c r="J49" i="17"/>
  <c r="J50" i="17"/>
  <c r="A55" i="16"/>
  <c r="G55" i="16"/>
  <c r="A56" i="16"/>
  <c r="A57" i="16"/>
  <c r="G57" i="16"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A23" i="17"/>
  <c r="C23" i="17" s="1"/>
  <c r="C3" i="17"/>
  <c r="A4" i="17"/>
  <c r="C4" i="17" s="1"/>
  <c r="Q18" i="17"/>
  <c r="N25" i="17"/>
  <c r="O25" i="17" s="1"/>
  <c r="A18" i="17"/>
  <c r="A24" i="17"/>
  <c r="C24" i="17" s="1"/>
  <c r="P19" i="17"/>
  <c r="A25" i="17"/>
  <c r="D13" i="13"/>
  <c r="V38" i="16"/>
  <c r="X38" i="16"/>
  <c r="W38" i="16"/>
  <c r="A26" i="11" l="1"/>
  <c r="C46" i="17"/>
  <c r="A47" i="17"/>
  <c r="A5" i="17"/>
  <c r="C5" i="17" s="1"/>
  <c r="P21" i="17" s="1"/>
  <c r="P18" i="17"/>
  <c r="Q21" i="17"/>
  <c r="C45" i="17"/>
  <c r="N27" i="18"/>
  <c r="C17" i="18"/>
  <c r="A18" i="18"/>
  <c r="I49" i="17"/>
  <c r="I49" i="18"/>
  <c r="B277" i="13"/>
  <c r="I42" i="18"/>
  <c r="A43" i="18"/>
  <c r="C43" i="18" s="1"/>
  <c r="C42" i="18"/>
  <c r="B280" i="13"/>
  <c r="O42" i="18"/>
  <c r="C46" i="18"/>
  <c r="A47" i="18"/>
  <c r="C5" i="18"/>
  <c r="A6" i="18"/>
  <c r="I50" i="17"/>
  <c r="I50" i="18"/>
  <c r="A34" i="18"/>
  <c r="C34" i="18" s="1"/>
  <c r="C33" i="18"/>
  <c r="A25" i="18"/>
  <c r="C24" i="18"/>
  <c r="C75" i="13"/>
  <c r="F13" i="12"/>
  <c r="F14" i="12" s="1"/>
  <c r="C224" i="13"/>
  <c r="V13" i="12"/>
  <c r="I42" i="17"/>
  <c r="S13" i="12"/>
  <c r="E193" i="13"/>
  <c r="V11" i="12"/>
  <c r="D11" i="12"/>
  <c r="F11" i="12"/>
  <c r="C11" i="12"/>
  <c r="E13" i="12"/>
  <c r="G11" i="12"/>
  <c r="I11" i="12"/>
  <c r="E11" i="12"/>
  <c r="H11" i="12"/>
  <c r="C13" i="12"/>
  <c r="C14" i="12" s="1"/>
  <c r="G14" i="12"/>
  <c r="L11" i="11"/>
  <c r="N11" i="12"/>
  <c r="C11" i="13" s="1"/>
  <c r="C13" i="11"/>
  <c r="H13" i="11" s="1"/>
  <c r="M11" i="11"/>
  <c r="O14" i="12"/>
  <c r="D14" i="13" s="1"/>
  <c r="P10" i="11"/>
  <c r="R10" i="11" s="1"/>
  <c r="T10" i="11" s="1"/>
  <c r="V10" i="11" s="1"/>
  <c r="L32" i="17"/>
  <c r="C193" i="13"/>
  <c r="M33" i="17"/>
  <c r="Y11" i="12"/>
  <c r="L98" i="11"/>
  <c r="Q10" i="11"/>
  <c r="S10" i="11" s="1"/>
  <c r="U10" i="11" s="1"/>
  <c r="W10" i="11" s="1"/>
  <c r="O42" i="17"/>
  <c r="X227" i="16"/>
  <c r="S112" i="16"/>
  <c r="W227" i="16"/>
  <c r="S111" i="16"/>
  <c r="S110" i="16"/>
  <c r="V227" i="16"/>
  <c r="A48" i="17"/>
  <c r="C47" i="17"/>
  <c r="Y193" i="12"/>
  <c r="C25" i="17"/>
  <c r="A26" i="17"/>
  <c r="C26" i="17" s="1"/>
  <c r="A33" i="17"/>
  <c r="C32" i="17"/>
  <c r="U12" i="12"/>
  <c r="C12" i="13"/>
  <c r="E11" i="13"/>
  <c r="N26" i="17"/>
  <c r="N27" i="17"/>
  <c r="A5" i="12"/>
  <c r="E14" i="12"/>
  <c r="C18" i="17"/>
  <c r="A19" i="17"/>
  <c r="E14" i="13"/>
  <c r="R21" i="17"/>
  <c r="Q20" i="17"/>
  <c r="P20" i="17"/>
  <c r="C40" i="17"/>
  <c r="A41" i="17"/>
  <c r="Q19" i="17"/>
  <c r="R19" i="17"/>
  <c r="C13" i="13"/>
  <c r="C29" i="17"/>
  <c r="A6" i="17"/>
  <c r="G56" i="16"/>
  <c r="D13" i="12"/>
  <c r="D14" i="12" s="1"/>
  <c r="U38" i="16"/>
  <c r="T38" i="16"/>
  <c r="Z43" i="12" l="1"/>
  <c r="S43" i="12" s="1"/>
  <c r="T43" i="12" s="1"/>
  <c r="U43" i="12" s="1"/>
  <c r="Z42" i="12"/>
  <c r="S42" i="12" s="1"/>
  <c r="T42" i="12" s="1"/>
  <c r="U42" i="12" s="1"/>
  <c r="Z41" i="12"/>
  <c r="S41" i="12" s="1"/>
  <c r="T41" i="12" s="1"/>
  <c r="U41" i="12" s="1"/>
  <c r="Z40" i="12"/>
  <c r="S40" i="12" s="1"/>
  <c r="T40" i="12" s="1"/>
  <c r="U40" i="12" s="1"/>
  <c r="Z39" i="12"/>
  <c r="S39" i="12" s="1"/>
  <c r="Z227" i="12"/>
  <c r="S227" i="12" s="1"/>
  <c r="T227" i="12" s="1"/>
  <c r="U227" i="12" s="1"/>
  <c r="Z117" i="12"/>
  <c r="S117" i="12" s="1"/>
  <c r="T117" i="12" s="1"/>
  <c r="U117" i="12" s="1"/>
  <c r="Z116" i="12"/>
  <c r="S116" i="12" s="1"/>
  <c r="T116" i="12" s="1"/>
  <c r="U116" i="12" s="1"/>
  <c r="Z115" i="12"/>
  <c r="S115" i="12" s="1"/>
  <c r="T115" i="12" s="1"/>
  <c r="U115" i="12" s="1"/>
  <c r="Z143" i="12"/>
  <c r="Z111" i="12"/>
  <c r="Z114" i="12"/>
  <c r="Z113" i="12"/>
  <c r="Z112" i="12"/>
  <c r="Z110" i="12"/>
  <c r="Z108" i="12"/>
  <c r="Z109" i="12"/>
  <c r="Z107" i="12"/>
  <c r="Z106" i="12"/>
  <c r="Z105" i="12"/>
  <c r="Z104" i="12"/>
  <c r="Z103" i="12"/>
  <c r="Z125" i="12"/>
  <c r="Z126" i="12"/>
  <c r="Z72" i="12"/>
  <c r="Z187" i="12"/>
  <c r="Z188" i="12"/>
  <c r="Z163" i="12"/>
  <c r="Z162" i="12"/>
  <c r="Z161" i="12"/>
  <c r="Z160" i="12"/>
  <c r="Z186" i="12"/>
  <c r="Z185" i="12"/>
  <c r="Z269" i="12"/>
  <c r="Z268" i="12"/>
  <c r="Z77" i="12"/>
  <c r="Z85" i="12"/>
  <c r="Z223" i="12"/>
  <c r="Z216" i="12"/>
  <c r="Z215" i="12"/>
  <c r="Z214" i="12"/>
  <c r="Z210" i="12"/>
  <c r="Z209" i="12"/>
  <c r="Z263" i="12"/>
  <c r="Z86" i="12"/>
  <c r="S86" i="12" s="1"/>
  <c r="Z84" i="12"/>
  <c r="Z83" i="12"/>
  <c r="Z82" i="12"/>
  <c r="S82" i="12" s="1"/>
  <c r="Z81" i="12"/>
  <c r="Z80" i="12"/>
  <c r="Z79" i="12"/>
  <c r="Z78" i="12"/>
  <c r="Z76" i="12"/>
  <c r="Z266" i="12"/>
  <c r="Z265" i="12"/>
  <c r="Z264" i="12"/>
  <c r="Z19" i="12"/>
  <c r="Z18" i="12"/>
  <c r="Z17" i="12"/>
  <c r="Z16" i="12"/>
  <c r="Z137" i="12"/>
  <c r="Z136" i="12"/>
  <c r="Z135" i="12"/>
  <c r="Z134" i="12"/>
  <c r="Z133" i="12"/>
  <c r="Z132" i="12"/>
  <c r="Z131" i="12"/>
  <c r="Z130" i="12"/>
  <c r="Z129" i="12"/>
  <c r="Z128" i="12"/>
  <c r="Z68" i="12"/>
  <c r="Z184" i="12"/>
  <c r="Z183" i="12"/>
  <c r="Z182" i="12"/>
  <c r="Z181" i="12"/>
  <c r="Z180" i="12"/>
  <c r="S180" i="12" s="1"/>
  <c r="Z55" i="12"/>
  <c r="S55" i="12" s="1"/>
  <c r="T55" i="12" s="1"/>
  <c r="U55" i="12" s="1"/>
  <c r="Z56" i="12"/>
  <c r="S56" i="12" s="1"/>
  <c r="T56" i="12" s="1"/>
  <c r="U56" i="12" s="1"/>
  <c r="Z52" i="12"/>
  <c r="S52" i="12" s="1"/>
  <c r="T52" i="12" s="1"/>
  <c r="U52" i="12" s="1"/>
  <c r="Z51" i="12"/>
  <c r="S51" i="12" s="1"/>
  <c r="T51" i="12" s="1"/>
  <c r="U51" i="12" s="1"/>
  <c r="Z50" i="12"/>
  <c r="S50" i="12" s="1"/>
  <c r="T50" i="12" s="1"/>
  <c r="U50" i="12" s="1"/>
  <c r="Z49" i="12"/>
  <c r="S49" i="12" s="1"/>
  <c r="Z48" i="12"/>
  <c r="S48" i="12" s="1"/>
  <c r="T48" i="12" s="1"/>
  <c r="U48" i="12" s="1"/>
  <c r="Z47" i="12"/>
  <c r="S47" i="12" s="1"/>
  <c r="T47" i="12" s="1"/>
  <c r="U47" i="12" s="1"/>
  <c r="Z46" i="12"/>
  <c r="S46" i="12" s="1"/>
  <c r="T46" i="12" s="1"/>
  <c r="U46" i="12" s="1"/>
  <c r="Z57" i="12"/>
  <c r="S57" i="12" s="1"/>
  <c r="T57" i="12" s="1"/>
  <c r="U57" i="12" s="1"/>
  <c r="Z53" i="12"/>
  <c r="S53" i="12" s="1"/>
  <c r="T53" i="12" s="1"/>
  <c r="U53" i="12" s="1"/>
  <c r="Z58" i="12"/>
  <c r="S58" i="12" s="1"/>
  <c r="T58" i="12" s="1"/>
  <c r="U58" i="12" s="1"/>
  <c r="Z54" i="12"/>
  <c r="S54" i="12" s="1"/>
  <c r="Z37" i="12"/>
  <c r="S37" i="12" s="1"/>
  <c r="T37" i="12" s="1"/>
  <c r="U37" i="12" s="1"/>
  <c r="Z36" i="12"/>
  <c r="S36" i="12" s="1"/>
  <c r="T36" i="12" s="1"/>
  <c r="U36" i="12" s="1"/>
  <c r="Z35" i="12"/>
  <c r="S35" i="12" s="1"/>
  <c r="T35" i="12" s="1"/>
  <c r="U35" i="12" s="1"/>
  <c r="Z34" i="12"/>
  <c r="S34" i="12" s="1"/>
  <c r="Z33" i="12"/>
  <c r="S33" i="12" s="1"/>
  <c r="T33" i="12" s="1"/>
  <c r="U33" i="12" s="1"/>
  <c r="Z32" i="12"/>
  <c r="S32" i="12" s="1"/>
  <c r="T32" i="12" s="1"/>
  <c r="U32" i="12" s="1"/>
  <c r="Z31" i="12"/>
  <c r="S31" i="12" s="1"/>
  <c r="T31" i="12" s="1"/>
  <c r="U31" i="12" s="1"/>
  <c r="Z30" i="12"/>
  <c r="S30" i="12" s="1"/>
  <c r="T30" i="12" s="1"/>
  <c r="U30" i="12" s="1"/>
  <c r="Z29" i="12"/>
  <c r="S29" i="12" s="1"/>
  <c r="T29" i="12" s="1"/>
  <c r="U29" i="12" s="1"/>
  <c r="Z28" i="12"/>
  <c r="S28" i="12" s="1"/>
  <c r="T28" i="12" s="1"/>
  <c r="U28" i="12" s="1"/>
  <c r="Z27" i="12"/>
  <c r="S27" i="12" s="1"/>
  <c r="Z26" i="12"/>
  <c r="S26" i="12" s="1"/>
  <c r="T26" i="12" s="1"/>
  <c r="U26" i="12" s="1"/>
  <c r="Z25" i="12"/>
  <c r="S25" i="12" s="1"/>
  <c r="T25" i="12" s="1"/>
  <c r="U25" i="12" s="1"/>
  <c r="Z24" i="12"/>
  <c r="S24" i="12" s="1"/>
  <c r="T24" i="12" s="1"/>
  <c r="U24" i="12" s="1"/>
  <c r="Z23" i="12"/>
  <c r="S23" i="12" s="1"/>
  <c r="T23" i="12" s="1"/>
  <c r="U23" i="12" s="1"/>
  <c r="Z262" i="12"/>
  <c r="Z241" i="12"/>
  <c r="Z140" i="12"/>
  <c r="Z139" i="12"/>
  <c r="Z138" i="12"/>
  <c r="Z127" i="12"/>
  <c r="Z124" i="12"/>
  <c r="Z123" i="12"/>
  <c r="Z120" i="12"/>
  <c r="Z121" i="12"/>
  <c r="Z118" i="12"/>
  <c r="S118" i="12" s="1"/>
  <c r="Z99" i="12"/>
  <c r="Z101" i="12"/>
  <c r="Z97" i="12"/>
  <c r="Z102" i="12"/>
  <c r="Z98" i="12"/>
  <c r="Z119" i="12"/>
  <c r="Z100" i="12"/>
  <c r="Z96" i="12"/>
  <c r="Z122" i="12"/>
  <c r="Z242" i="12"/>
  <c r="Z247" i="12"/>
  <c r="Z255" i="12"/>
  <c r="Z254" i="12"/>
  <c r="Z253" i="12"/>
  <c r="Z252" i="12"/>
  <c r="Z251" i="12"/>
  <c r="Z250" i="12"/>
  <c r="Z249" i="12"/>
  <c r="Z248" i="12"/>
  <c r="Z246" i="12"/>
  <c r="Z245" i="12"/>
  <c r="Z244" i="12"/>
  <c r="Z243" i="12"/>
  <c r="Z240" i="12"/>
  <c r="Z239" i="12"/>
  <c r="S239" i="12" s="1"/>
  <c r="Z74" i="12"/>
  <c r="Z238" i="12"/>
  <c r="Z165" i="12"/>
  <c r="Z164" i="12"/>
  <c r="Z159" i="12"/>
  <c r="Z158" i="12"/>
  <c r="Z157" i="12"/>
  <c r="Z156" i="12"/>
  <c r="Z154" i="12"/>
  <c r="Z153" i="12"/>
  <c r="Z152" i="12"/>
  <c r="Z151" i="12"/>
  <c r="Z150" i="12"/>
  <c r="Z149" i="12"/>
  <c r="Z221" i="12"/>
  <c r="Z206" i="12"/>
  <c r="Z205" i="12"/>
  <c r="Z204" i="12"/>
  <c r="Z203" i="12"/>
  <c r="Z202" i="12"/>
  <c r="Z201" i="12"/>
  <c r="Z200" i="12"/>
  <c r="Z199" i="12"/>
  <c r="Z198" i="12"/>
  <c r="Z197" i="12"/>
  <c r="Z196" i="12"/>
  <c r="Z195" i="12"/>
  <c r="Z173" i="12"/>
  <c r="Z177" i="12"/>
  <c r="Z172" i="12"/>
  <c r="Z155" i="12"/>
  <c r="Z148" i="12"/>
  <c r="Z147" i="12"/>
  <c r="Z146" i="12"/>
  <c r="Z145" i="12"/>
  <c r="Z144" i="12"/>
  <c r="S144" i="12" s="1"/>
  <c r="Z142" i="12"/>
  <c r="Z141" i="12"/>
  <c r="Z95" i="12"/>
  <c r="Z94" i="12"/>
  <c r="Z71" i="12"/>
  <c r="Z70" i="12"/>
  <c r="Z67" i="12"/>
  <c r="Z64" i="12"/>
  <c r="Z60" i="12"/>
  <c r="Z45" i="12"/>
  <c r="S45" i="12" s="1"/>
  <c r="T45" i="12" s="1"/>
  <c r="U45" i="12" s="1"/>
  <c r="Z63" i="12"/>
  <c r="Z59" i="12"/>
  <c r="S59" i="12" s="1"/>
  <c r="Z69" i="12"/>
  <c r="Z66" i="12"/>
  <c r="Z65" i="12"/>
  <c r="Z62" i="12"/>
  <c r="Z44" i="12"/>
  <c r="S44" i="12" s="1"/>
  <c r="Z15" i="12"/>
  <c r="Z22" i="12"/>
  <c r="S22" i="12" s="1"/>
  <c r="T22" i="12" s="1"/>
  <c r="U22" i="12" s="1"/>
  <c r="Z20" i="12"/>
  <c r="S20" i="12" s="1"/>
  <c r="Z61" i="12"/>
  <c r="Z38" i="12"/>
  <c r="S38" i="12" s="1"/>
  <c r="T38" i="12" s="1"/>
  <c r="U38" i="12" s="1"/>
  <c r="Z21" i="12"/>
  <c r="S21" i="12" s="1"/>
  <c r="T21" i="12" s="1"/>
  <c r="U21" i="12" s="1"/>
  <c r="G15" i="12"/>
  <c r="C15" i="12"/>
  <c r="F15" i="12"/>
  <c r="D15" i="12"/>
  <c r="E15" i="12"/>
  <c r="Z220" i="12"/>
  <c r="Z219" i="12"/>
  <c r="Z218" i="12"/>
  <c r="Z217" i="12"/>
  <c r="Z213" i="12"/>
  <c r="Z212" i="12"/>
  <c r="Z236" i="12"/>
  <c r="Z235" i="12"/>
  <c r="Z234" i="12"/>
  <c r="Z233" i="12"/>
  <c r="Z232" i="12"/>
  <c r="Z231" i="12"/>
  <c r="Z228" i="12"/>
  <c r="S228" i="12" s="1"/>
  <c r="Z226" i="12"/>
  <c r="Z225" i="12"/>
  <c r="Z274" i="12"/>
  <c r="Z273" i="12"/>
  <c r="Z272" i="12"/>
  <c r="Z271" i="12"/>
  <c r="Z258" i="12"/>
  <c r="Z267" i="12"/>
  <c r="Z261" i="12"/>
  <c r="Z260" i="12"/>
  <c r="Z259" i="12"/>
  <c r="Z270" i="12"/>
  <c r="S270" i="12" s="1"/>
  <c r="Z89" i="12"/>
  <c r="Z90" i="12"/>
  <c r="Z166" i="12"/>
  <c r="S166" i="12" s="1"/>
  <c r="Z93" i="12"/>
  <c r="Z92" i="12"/>
  <c r="Z91" i="12"/>
  <c r="Z88" i="12"/>
  <c r="Z87" i="12"/>
  <c r="Z194" i="12"/>
  <c r="Z190" i="12"/>
  <c r="A29" i="11"/>
  <c r="Z208" i="12"/>
  <c r="Z192" i="12"/>
  <c r="Z191" i="12"/>
  <c r="Z189" i="12"/>
  <c r="S189" i="12" s="1"/>
  <c r="Z178" i="12"/>
  <c r="Z222" i="12"/>
  <c r="Z211" i="12"/>
  <c r="Z170" i="12"/>
  <c r="Z169" i="12"/>
  <c r="Z174" i="12"/>
  <c r="Z176" i="12"/>
  <c r="Z179" i="12"/>
  <c r="S109" i="16"/>
  <c r="U227" i="16"/>
  <c r="A19" i="18"/>
  <c r="C18" i="18"/>
  <c r="C6" i="18"/>
  <c r="Q22" i="18" s="1"/>
  <c r="A7" i="18"/>
  <c r="C7" i="18" s="1"/>
  <c r="R21" i="18"/>
  <c r="P21" i="18"/>
  <c r="Q21" i="18"/>
  <c r="P22" i="18"/>
  <c r="R26" i="18"/>
  <c r="A48" i="18"/>
  <c r="C47" i="18"/>
  <c r="A26" i="18"/>
  <c r="C26" i="18" s="1"/>
  <c r="C25" i="18"/>
  <c r="Z168" i="12"/>
  <c r="Z167" i="12"/>
  <c r="Z75" i="12"/>
  <c r="S75" i="12" s="1"/>
  <c r="F75" i="12"/>
  <c r="F76" i="12" s="1"/>
  <c r="Z257" i="12"/>
  <c r="Z256" i="12"/>
  <c r="S256" i="12" s="1"/>
  <c r="Z237" i="12"/>
  <c r="C20" i="11"/>
  <c r="F20" i="11" s="1"/>
  <c r="Z230" i="12"/>
  <c r="Z229" i="12"/>
  <c r="Z224" i="12"/>
  <c r="S224" i="12" s="1"/>
  <c r="Z207" i="12"/>
  <c r="S207" i="12" s="1"/>
  <c r="J13" i="11"/>
  <c r="M18" i="11"/>
  <c r="V14" i="12"/>
  <c r="V20" i="12" s="1"/>
  <c r="E13" i="11"/>
  <c r="Z171" i="12"/>
  <c r="Z73" i="12"/>
  <c r="Z175" i="12"/>
  <c r="G13" i="11"/>
  <c r="I13" i="11"/>
  <c r="B13" i="11"/>
  <c r="Q11" i="11" s="1"/>
  <c r="F13" i="11"/>
  <c r="U11" i="12"/>
  <c r="K14" i="12"/>
  <c r="B14" i="13" s="1"/>
  <c r="S108" i="16"/>
  <c r="Z14" i="12"/>
  <c r="S14" i="12" s="1"/>
  <c r="Z13" i="12"/>
  <c r="Z193" i="12"/>
  <c r="S193" i="12" s="1"/>
  <c r="Z11" i="12"/>
  <c r="S11" i="12" s="1"/>
  <c r="T11" i="12" s="1"/>
  <c r="T227" i="16"/>
  <c r="A42" i="17"/>
  <c r="C41" i="17"/>
  <c r="C14" i="13"/>
  <c r="A34" i="17"/>
  <c r="C34" i="17" s="1"/>
  <c r="C33" i="17"/>
  <c r="C48" i="17"/>
  <c r="A49" i="17"/>
  <c r="C49" i="17" s="1"/>
  <c r="A7" i="17"/>
  <c r="C7" i="17" s="1"/>
  <c r="C6" i="17"/>
  <c r="A20" i="17"/>
  <c r="C20" i="17" s="1"/>
  <c r="C19" i="17"/>
  <c r="K11" i="12"/>
  <c r="B11" i="13" s="1"/>
  <c r="K13" i="12"/>
  <c r="V27" i="12" l="1"/>
  <c r="V34" i="12" s="1"/>
  <c r="F77" i="12"/>
  <c r="F78" i="12" s="1"/>
  <c r="F79" i="12" s="1"/>
  <c r="F80" i="12" s="1"/>
  <c r="F81" i="12" s="1"/>
  <c r="F82" i="12" s="1"/>
  <c r="F83" i="12" s="1"/>
  <c r="F84" i="12" s="1"/>
  <c r="F85" i="12" s="1"/>
  <c r="F86" i="12" s="1"/>
  <c r="F87" i="12" s="1"/>
  <c r="F88" i="12" s="1"/>
  <c r="F89" i="12" s="1"/>
  <c r="F90" i="12" s="1"/>
  <c r="F91" i="12" s="1"/>
  <c r="F92" i="12" s="1"/>
  <c r="F93" i="12" s="1"/>
  <c r="E20" i="12"/>
  <c r="E21" i="12" s="1"/>
  <c r="E22" i="12" s="1"/>
  <c r="E23" i="12" s="1"/>
  <c r="E24" i="12" s="1"/>
  <c r="E25" i="12" s="1"/>
  <c r="E26" i="12" s="1"/>
  <c r="E27" i="12" s="1"/>
  <c r="E28" i="12" s="1"/>
  <c r="E29" i="12" s="1"/>
  <c r="E30" i="12" s="1"/>
  <c r="E31" i="12" s="1"/>
  <c r="E32" i="12" s="1"/>
  <c r="E33" i="12" s="1"/>
  <c r="E34" i="12" s="1"/>
  <c r="E35" i="12" s="1"/>
  <c r="E36" i="12" s="1"/>
  <c r="E37" i="12" s="1"/>
  <c r="E38" i="12" s="1"/>
  <c r="E16" i="12"/>
  <c r="E17" i="12" s="1"/>
  <c r="E18" i="12" s="1"/>
  <c r="E19" i="12" s="1"/>
  <c r="G20" i="12"/>
  <c r="G21" i="12" s="1"/>
  <c r="G22" i="12" s="1"/>
  <c r="G23" i="12" s="1"/>
  <c r="G24" i="12" s="1"/>
  <c r="G25" i="12" s="1"/>
  <c r="G26" i="12" s="1"/>
  <c r="G27" i="12" s="1"/>
  <c r="G28" i="12" s="1"/>
  <c r="G29" i="12" s="1"/>
  <c r="G30" i="12" s="1"/>
  <c r="G31" i="12" s="1"/>
  <c r="G32" i="12" s="1"/>
  <c r="G33" i="12" s="1"/>
  <c r="G34" i="12" s="1"/>
  <c r="G35" i="12" s="1"/>
  <c r="G36" i="12" s="1"/>
  <c r="G37" i="12" s="1"/>
  <c r="G38" i="12" s="1"/>
  <c r="G16" i="12"/>
  <c r="G17" i="12" s="1"/>
  <c r="G18" i="12" s="1"/>
  <c r="G19" i="12" s="1"/>
  <c r="D16" i="12"/>
  <c r="D17" i="12" s="1"/>
  <c r="D18" i="12" s="1"/>
  <c r="D19" i="12" s="1"/>
  <c r="D20" i="12" s="1"/>
  <c r="D21" i="12" s="1"/>
  <c r="F20" i="12"/>
  <c r="F21" i="12" s="1"/>
  <c r="F22" i="12" s="1"/>
  <c r="F23" i="12" s="1"/>
  <c r="F24" i="12" s="1"/>
  <c r="F25" i="12" s="1"/>
  <c r="F26" i="12" s="1"/>
  <c r="F27" i="12" s="1"/>
  <c r="F28" i="12" s="1"/>
  <c r="F29" i="12" s="1"/>
  <c r="F30" i="12" s="1"/>
  <c r="F31" i="12" s="1"/>
  <c r="F32" i="12" s="1"/>
  <c r="F33" i="12" s="1"/>
  <c r="F34" i="12" s="1"/>
  <c r="F35" i="12" s="1"/>
  <c r="F36" i="12" s="1"/>
  <c r="F37" i="12" s="1"/>
  <c r="F38" i="12" s="1"/>
  <c r="F16" i="12"/>
  <c r="F17" i="12" s="1"/>
  <c r="F18" i="12" s="1"/>
  <c r="F19" i="12" s="1"/>
  <c r="K15" i="12"/>
  <c r="B15" i="13" s="1"/>
  <c r="C23" i="11"/>
  <c r="B20" i="11" s="1"/>
  <c r="A32" i="11"/>
  <c r="M21" i="11"/>
  <c r="L21" i="11"/>
  <c r="C19" i="18"/>
  <c r="A20" i="18"/>
  <c r="C20" i="18" s="1"/>
  <c r="P26" i="18"/>
  <c r="C48" i="18"/>
  <c r="A49" i="18"/>
  <c r="C49" i="18" s="1"/>
  <c r="Q26" i="18"/>
  <c r="R22" i="18"/>
  <c r="O26" i="18"/>
  <c r="H20" i="11"/>
  <c r="G75" i="12"/>
  <c r="G76" i="12" s="1"/>
  <c r="E75" i="12"/>
  <c r="E76" i="12" s="1"/>
  <c r="G20" i="11"/>
  <c r="E20" i="11"/>
  <c r="D13" i="11"/>
  <c r="V11" i="11"/>
  <c r="Q12" i="11"/>
  <c r="W13" i="11"/>
  <c r="S12" i="11"/>
  <c r="R11" i="11"/>
  <c r="T12" i="11"/>
  <c r="S11" i="11"/>
  <c r="V13" i="11"/>
  <c r="V12" i="11"/>
  <c r="Q13" i="11"/>
  <c r="R12" i="11"/>
  <c r="P13" i="11"/>
  <c r="W12" i="11"/>
  <c r="AC11" i="11"/>
  <c r="AC13" i="11"/>
  <c r="U11" i="11"/>
  <c r="W11" i="11"/>
  <c r="S13" i="11"/>
  <c r="T11" i="11"/>
  <c r="R13" i="11"/>
  <c r="T13" i="11"/>
  <c r="P12" i="11"/>
  <c r="U12" i="11"/>
  <c r="P11" i="11"/>
  <c r="AC12" i="11"/>
  <c r="U13" i="11"/>
  <c r="B13" i="13"/>
  <c r="L18" i="11"/>
  <c r="P22" i="17"/>
  <c r="P26" i="17"/>
  <c r="Q22" i="17"/>
  <c r="R26" i="17"/>
  <c r="Q26" i="17"/>
  <c r="R22" i="17"/>
  <c r="C42" i="17"/>
  <c r="A43" i="17"/>
  <c r="C43" i="17" s="1"/>
  <c r="V39" i="12" l="1"/>
  <c r="V44" i="12" s="1"/>
  <c r="V49" i="12" s="1"/>
  <c r="V54" i="12" s="1"/>
  <c r="V59" i="12" s="1"/>
  <c r="V75" i="12" s="1"/>
  <c r="E44" i="12"/>
  <c r="E45" i="12" s="1"/>
  <c r="E46" i="12" s="1"/>
  <c r="E47" i="12" s="1"/>
  <c r="E48" i="12" s="1"/>
  <c r="E49" i="12" s="1"/>
  <c r="E50" i="12" s="1"/>
  <c r="E51" i="12" s="1"/>
  <c r="E52" i="12" s="1"/>
  <c r="E53" i="12" s="1"/>
  <c r="E54" i="12" s="1"/>
  <c r="E55" i="12" s="1"/>
  <c r="E56" i="12" s="1"/>
  <c r="E57" i="12" s="1"/>
  <c r="E58" i="12" s="1"/>
  <c r="E59" i="12" s="1"/>
  <c r="E60" i="12" s="1"/>
  <c r="E61" i="12" s="1"/>
  <c r="E62" i="12" s="1"/>
  <c r="E63" i="12" s="1"/>
  <c r="E64" i="12" s="1"/>
  <c r="E65" i="12" s="1"/>
  <c r="E66" i="12" s="1"/>
  <c r="E67" i="12" s="1"/>
  <c r="E39" i="12"/>
  <c r="E40" i="12" s="1"/>
  <c r="E41" i="12" s="1"/>
  <c r="E42" i="12" s="1"/>
  <c r="E43" i="12" s="1"/>
  <c r="G44" i="12"/>
  <c r="G45" i="12" s="1"/>
  <c r="G46" i="12" s="1"/>
  <c r="G47" i="12" s="1"/>
  <c r="G48" i="12" s="1"/>
  <c r="G49" i="12" s="1"/>
  <c r="G50" i="12" s="1"/>
  <c r="G51" i="12" s="1"/>
  <c r="G52" i="12" s="1"/>
  <c r="G53" i="12" s="1"/>
  <c r="G54" i="12" s="1"/>
  <c r="G55" i="12" s="1"/>
  <c r="G56" i="12" s="1"/>
  <c r="G57" i="12" s="1"/>
  <c r="G58" i="12" s="1"/>
  <c r="G59" i="12" s="1"/>
  <c r="G60" i="12" s="1"/>
  <c r="G61" i="12" s="1"/>
  <c r="G62" i="12" s="1"/>
  <c r="G63" i="12" s="1"/>
  <c r="G64" i="12" s="1"/>
  <c r="G65" i="12" s="1"/>
  <c r="G66" i="12" s="1"/>
  <c r="G67" i="12" s="1"/>
  <c r="G39" i="12"/>
  <c r="G40" i="12" s="1"/>
  <c r="G41" i="12" s="1"/>
  <c r="G42" i="12" s="1"/>
  <c r="G43" i="12" s="1"/>
  <c r="F44" i="12"/>
  <c r="F45" i="12" s="1"/>
  <c r="F46" i="12" s="1"/>
  <c r="F47" i="12" s="1"/>
  <c r="F48" i="12" s="1"/>
  <c r="F49" i="12" s="1"/>
  <c r="F50" i="12" s="1"/>
  <c r="F51" i="12" s="1"/>
  <c r="F52" i="12" s="1"/>
  <c r="F53" i="12" s="1"/>
  <c r="F54" i="12" s="1"/>
  <c r="F55" i="12" s="1"/>
  <c r="F56" i="12" s="1"/>
  <c r="F57" i="12" s="1"/>
  <c r="F58" i="12" s="1"/>
  <c r="F59" i="12" s="1"/>
  <c r="F60" i="12" s="1"/>
  <c r="F61" i="12" s="1"/>
  <c r="F62" i="12" s="1"/>
  <c r="F63" i="12" s="1"/>
  <c r="F64" i="12" s="1"/>
  <c r="F65" i="12" s="1"/>
  <c r="F66" i="12" s="1"/>
  <c r="F67" i="12" s="1"/>
  <c r="F39" i="12"/>
  <c r="F40" i="12" s="1"/>
  <c r="F41" i="12" s="1"/>
  <c r="F42" i="12" s="1"/>
  <c r="F43" i="12" s="1"/>
  <c r="G77" i="12"/>
  <c r="G78" i="12" s="1"/>
  <c r="G79" i="12" s="1"/>
  <c r="G80" i="12" s="1"/>
  <c r="G81" i="12" s="1"/>
  <c r="G82" i="12" s="1"/>
  <c r="G83" i="12" s="1"/>
  <c r="G84" i="12" s="1"/>
  <c r="G85" i="12" s="1"/>
  <c r="G86" i="12" s="1"/>
  <c r="G87" i="12" s="1"/>
  <c r="G88" i="12" s="1"/>
  <c r="G89" i="12" s="1"/>
  <c r="G90" i="12" s="1"/>
  <c r="G91" i="12" s="1"/>
  <c r="G92" i="12" s="1"/>
  <c r="G93" i="12" s="1"/>
  <c r="E77" i="12"/>
  <c r="E78" i="12" s="1"/>
  <c r="E79" i="12" s="1"/>
  <c r="E80" i="12" s="1"/>
  <c r="E81" i="12" s="1"/>
  <c r="E82" i="12" s="1"/>
  <c r="E83" i="12" s="1"/>
  <c r="E84" i="12" s="1"/>
  <c r="E85" i="12" s="1"/>
  <c r="E86" i="12" s="1"/>
  <c r="E87" i="12" s="1"/>
  <c r="E88" i="12" s="1"/>
  <c r="E89" i="12" s="1"/>
  <c r="E90" i="12" s="1"/>
  <c r="E91" i="12" s="1"/>
  <c r="E92" i="12" s="1"/>
  <c r="E93" i="12" s="1"/>
  <c r="D22" i="12"/>
  <c r="D23" i="12" s="1"/>
  <c r="D24" i="12" s="1"/>
  <c r="D25" i="12" s="1"/>
  <c r="D26" i="12" s="1"/>
  <c r="D27" i="12" s="1"/>
  <c r="F166" i="12"/>
  <c r="F167" i="12" s="1"/>
  <c r="F168" i="12" s="1"/>
  <c r="F169" i="12" s="1"/>
  <c r="F170" i="12" s="1"/>
  <c r="F171" i="12" s="1"/>
  <c r="F94" i="12"/>
  <c r="F95" i="12" s="1"/>
  <c r="C26" i="11"/>
  <c r="B23" i="11" s="1"/>
  <c r="M24" i="11"/>
  <c r="G23" i="11"/>
  <c r="F23" i="11"/>
  <c r="E23" i="11"/>
  <c r="H23" i="11"/>
  <c r="A35" i="11"/>
  <c r="V27" i="18"/>
  <c r="T16" i="18" s="1"/>
  <c r="O27" i="18"/>
  <c r="O26" i="17"/>
  <c r="D28" i="12" l="1"/>
  <c r="V82" i="12"/>
  <c r="V86" i="12" s="1"/>
  <c r="V118" i="12" s="1"/>
  <c r="C16" i="12"/>
  <c r="F68" i="12"/>
  <c r="F69" i="12" s="1"/>
  <c r="F70" i="12" s="1"/>
  <c r="F71" i="12" s="1"/>
  <c r="E68" i="12"/>
  <c r="E69" i="12" s="1"/>
  <c r="E70" i="12" s="1"/>
  <c r="E71" i="12" s="1"/>
  <c r="G68" i="12"/>
  <c r="G69" i="12" s="1"/>
  <c r="G70" i="12" s="1"/>
  <c r="G71" i="12" s="1"/>
  <c r="F96" i="12"/>
  <c r="F97" i="12" s="1"/>
  <c r="F98" i="12" s="1"/>
  <c r="F99" i="12" s="1"/>
  <c r="F100" i="12" s="1"/>
  <c r="F101" i="12" s="1"/>
  <c r="F102" i="12" s="1"/>
  <c r="F172" i="12"/>
  <c r="E166" i="12"/>
  <c r="E167" i="12" s="1"/>
  <c r="E168" i="12" s="1"/>
  <c r="E169" i="12" s="1"/>
  <c r="E170" i="12" s="1"/>
  <c r="E171" i="12" s="1"/>
  <c r="E94" i="12"/>
  <c r="E95" i="12" s="1"/>
  <c r="G166" i="12"/>
  <c r="G167" i="12" s="1"/>
  <c r="G168" i="12" s="1"/>
  <c r="G169" i="12" s="1"/>
  <c r="G170" i="12" s="1"/>
  <c r="G171" i="12" s="1"/>
  <c r="G94" i="12"/>
  <c r="G95" i="12" s="1"/>
  <c r="A38" i="11"/>
  <c r="AC21" i="11"/>
  <c r="AC22" i="11" s="1"/>
  <c r="T21" i="11"/>
  <c r="W21" i="11"/>
  <c r="S21" i="11"/>
  <c r="V21" i="11"/>
  <c r="R21" i="11"/>
  <c r="P22" i="11"/>
  <c r="U21" i="11"/>
  <c r="Q21" i="11"/>
  <c r="C32" i="11"/>
  <c r="F26" i="11"/>
  <c r="E26" i="11"/>
  <c r="H26" i="11"/>
  <c r="G26" i="11"/>
  <c r="M30" i="11"/>
  <c r="C29" i="11"/>
  <c r="B26" i="11" s="1"/>
  <c r="M27" i="11"/>
  <c r="V27" i="17"/>
  <c r="T16" i="17" s="1"/>
  <c r="O27" i="17"/>
  <c r="D29" i="12" l="1"/>
  <c r="F103" i="12"/>
  <c r="F104" i="12" s="1"/>
  <c r="F105" i="12" s="1"/>
  <c r="E72" i="12"/>
  <c r="E73" i="12" s="1"/>
  <c r="E74" i="12" s="1"/>
  <c r="F72" i="12"/>
  <c r="F73" i="12" s="1"/>
  <c r="F74" i="12" s="1"/>
  <c r="G72" i="12"/>
  <c r="G73" i="12" s="1"/>
  <c r="G74" i="12" s="1"/>
  <c r="V144" i="12"/>
  <c r="V166" i="12" s="1"/>
  <c r="V180" i="12" s="1"/>
  <c r="V189" i="12" s="1"/>
  <c r="V193" i="12" s="1"/>
  <c r="K16" i="12"/>
  <c r="B16" i="13" s="1"/>
  <c r="C17" i="12"/>
  <c r="G96" i="12"/>
  <c r="G97" i="12" s="1"/>
  <c r="G98" i="12" s="1"/>
  <c r="G99" i="12" s="1"/>
  <c r="G100" i="12" s="1"/>
  <c r="G101" i="12" s="1"/>
  <c r="G102" i="12" s="1"/>
  <c r="E96" i="12"/>
  <c r="E97" i="12" s="1"/>
  <c r="E98" i="12" s="1"/>
  <c r="E99" i="12" s="1"/>
  <c r="E100" i="12" s="1"/>
  <c r="E101" i="12" s="1"/>
  <c r="E102" i="12" s="1"/>
  <c r="F173" i="12"/>
  <c r="F174" i="12" s="1"/>
  <c r="F175" i="12" s="1"/>
  <c r="F176" i="12" s="1"/>
  <c r="F177" i="12" s="1"/>
  <c r="E172" i="12"/>
  <c r="G172" i="12"/>
  <c r="Q22" i="11"/>
  <c r="R22" i="11" s="1"/>
  <c r="J23" i="11"/>
  <c r="A41" i="11"/>
  <c r="A44" i="11" s="1"/>
  <c r="A47" i="11" s="1"/>
  <c r="E29" i="11"/>
  <c r="H29" i="11"/>
  <c r="G29" i="11"/>
  <c r="F29" i="11"/>
  <c r="F32" i="11" s="1"/>
  <c r="B29" i="11"/>
  <c r="W24" i="11"/>
  <c r="S24" i="11"/>
  <c r="V24" i="11"/>
  <c r="R24" i="11"/>
  <c r="U24" i="11"/>
  <c r="AC24" i="11"/>
  <c r="AC25" i="11" s="1"/>
  <c r="T24" i="11"/>
  <c r="P25" i="11"/>
  <c r="H32" i="11"/>
  <c r="G32" i="11"/>
  <c r="D30" i="12" l="1"/>
  <c r="C47" i="11"/>
  <c r="A50" i="11"/>
  <c r="M45" i="11"/>
  <c r="F106" i="12"/>
  <c r="F107" i="12" s="1"/>
  <c r="F108" i="12" s="1"/>
  <c r="F109" i="12" s="1"/>
  <c r="E103" i="12"/>
  <c r="E104" i="12" s="1"/>
  <c r="E105" i="12" s="1"/>
  <c r="G103" i="12"/>
  <c r="G104" i="12" s="1"/>
  <c r="G105" i="12" s="1"/>
  <c r="V207" i="12"/>
  <c r="V224" i="12" s="1"/>
  <c r="V228" i="12" s="1"/>
  <c r="V239" i="12" s="1"/>
  <c r="V256" i="12" s="1"/>
  <c r="V270" i="12" s="1"/>
  <c r="K17" i="12"/>
  <c r="B17" i="13" s="1"/>
  <c r="C18" i="12"/>
  <c r="G173" i="12"/>
  <c r="G174" i="12" s="1"/>
  <c r="G175" i="12" s="1"/>
  <c r="G176" i="12" s="1"/>
  <c r="G177" i="12" s="1"/>
  <c r="E173" i="12"/>
  <c r="E174" i="12" s="1"/>
  <c r="E175" i="12" s="1"/>
  <c r="E176" i="12" s="1"/>
  <c r="E177" i="12" s="1"/>
  <c r="M33" i="11"/>
  <c r="C35" i="11"/>
  <c r="B32" i="11" s="1"/>
  <c r="AC30" i="11" s="1"/>
  <c r="AC31" i="11" s="1"/>
  <c r="Q25" i="11"/>
  <c r="R25" i="11" s="1"/>
  <c r="E32" i="11"/>
  <c r="V27" i="11"/>
  <c r="U27" i="11"/>
  <c r="AC27" i="11"/>
  <c r="AC28" i="11" s="1"/>
  <c r="T27" i="11"/>
  <c r="P28" i="11"/>
  <c r="W27" i="11"/>
  <c r="S27" i="11"/>
  <c r="J26" i="11"/>
  <c r="J29" i="11"/>
  <c r="M36" i="11"/>
  <c r="S22" i="11"/>
  <c r="C38" i="11"/>
  <c r="F178" i="12"/>
  <c r="F179" i="12" s="1"/>
  <c r="F180" i="12" s="1"/>
  <c r="F181" i="12" s="1"/>
  <c r="F182" i="12" s="1"/>
  <c r="F183" i="12" s="1"/>
  <c r="F184" i="12" s="1"/>
  <c r="F185" i="12" s="1"/>
  <c r="F186" i="12" s="1"/>
  <c r="D31" i="12" l="1"/>
  <c r="C50" i="11"/>
  <c r="B47" i="11" s="1"/>
  <c r="A53" i="11"/>
  <c r="M48" i="11"/>
  <c r="H47" i="11"/>
  <c r="G47" i="11"/>
  <c r="F110" i="12"/>
  <c r="F111" i="12" s="1"/>
  <c r="F112" i="12" s="1"/>
  <c r="F113" i="12" s="1"/>
  <c r="F114" i="12" s="1"/>
  <c r="G106" i="12"/>
  <c r="G107" i="12" s="1"/>
  <c r="G108" i="12" s="1"/>
  <c r="G109" i="12" s="1"/>
  <c r="E106" i="12"/>
  <c r="E107" i="12" s="1"/>
  <c r="E108" i="12" s="1"/>
  <c r="E109" i="12" s="1"/>
  <c r="F187" i="12"/>
  <c r="F188" i="12" s="1"/>
  <c r="K18" i="12"/>
  <c r="B18" i="13" s="1"/>
  <c r="C19" i="12"/>
  <c r="M42" i="11"/>
  <c r="C44" i="11"/>
  <c r="E35" i="11"/>
  <c r="E38" i="11" s="1"/>
  <c r="C41" i="11"/>
  <c r="B38" i="11" s="1"/>
  <c r="M39" i="11"/>
  <c r="B35" i="11"/>
  <c r="P34" i="11" s="1"/>
  <c r="F35" i="11"/>
  <c r="J32" i="11" s="1"/>
  <c r="H35" i="11"/>
  <c r="V30" i="11"/>
  <c r="G35" i="11"/>
  <c r="P31" i="11"/>
  <c r="W30" i="11"/>
  <c r="T30" i="11"/>
  <c r="U30" i="11"/>
  <c r="S30" i="11"/>
  <c r="Q28" i="11"/>
  <c r="R28" i="11" s="1"/>
  <c r="S28" i="11" s="1"/>
  <c r="H38" i="11"/>
  <c r="G38" i="11"/>
  <c r="S25" i="11"/>
  <c r="T22" i="11"/>
  <c r="F193" i="12"/>
  <c r="F194" i="12" s="1"/>
  <c r="F195" i="12" s="1"/>
  <c r="F196" i="12" s="1"/>
  <c r="F197" i="12" s="1"/>
  <c r="F198" i="12" s="1"/>
  <c r="F199" i="12" s="1"/>
  <c r="F200" i="12" s="1"/>
  <c r="F201" i="12" s="1"/>
  <c r="F202" i="12" s="1"/>
  <c r="F203" i="12" s="1"/>
  <c r="F204" i="12" s="1"/>
  <c r="F205" i="12" s="1"/>
  <c r="F206" i="12" s="1"/>
  <c r="F189" i="12"/>
  <c r="G178" i="12"/>
  <c r="G179" i="12" s="1"/>
  <c r="G180" i="12" s="1"/>
  <c r="G181" i="12" s="1"/>
  <c r="G182" i="12" s="1"/>
  <c r="G183" i="12" s="1"/>
  <c r="G184" i="12" s="1"/>
  <c r="G185" i="12" s="1"/>
  <c r="G186" i="12" s="1"/>
  <c r="E178" i="12"/>
  <c r="E179" i="12" s="1"/>
  <c r="E180" i="12" s="1"/>
  <c r="E181" i="12" s="1"/>
  <c r="E182" i="12" s="1"/>
  <c r="E183" i="12" s="1"/>
  <c r="E184" i="12" s="1"/>
  <c r="E185" i="12" s="1"/>
  <c r="E186" i="12" s="1"/>
  <c r="F224" i="12"/>
  <c r="D32" i="12" l="1"/>
  <c r="F118" i="12"/>
  <c r="F119" i="12" s="1"/>
  <c r="F120" i="12" s="1"/>
  <c r="F121" i="12" s="1"/>
  <c r="F122" i="12" s="1"/>
  <c r="F123" i="12" s="1"/>
  <c r="F124" i="12" s="1"/>
  <c r="F125" i="12" s="1"/>
  <c r="F126" i="12" s="1"/>
  <c r="F127" i="12" s="1"/>
  <c r="F128" i="12" s="1"/>
  <c r="F129" i="12" s="1"/>
  <c r="F130" i="12" s="1"/>
  <c r="F131" i="12" s="1"/>
  <c r="F132" i="12" s="1"/>
  <c r="F133" i="12" s="1"/>
  <c r="F134" i="12" s="1"/>
  <c r="F135" i="12" s="1"/>
  <c r="F136" i="12" s="1"/>
  <c r="F137" i="12" s="1"/>
  <c r="F138" i="12" s="1"/>
  <c r="F139" i="12" s="1"/>
  <c r="F140" i="12" s="1"/>
  <c r="F141" i="12" s="1"/>
  <c r="F142" i="12" s="1"/>
  <c r="F143" i="12" s="1"/>
  <c r="F115" i="12"/>
  <c r="F116" i="12" s="1"/>
  <c r="F117" i="12" s="1"/>
  <c r="A56" i="11"/>
  <c r="M51" i="11"/>
  <c r="C53" i="11"/>
  <c r="B50" i="11" s="1"/>
  <c r="U45" i="11"/>
  <c r="AC45" i="11"/>
  <c r="AC46" i="11" s="1"/>
  <c r="P46" i="11"/>
  <c r="V45" i="11"/>
  <c r="W45" i="11"/>
  <c r="S45" i="11"/>
  <c r="G50" i="11"/>
  <c r="H50" i="11"/>
  <c r="F144" i="12"/>
  <c r="F145" i="12" s="1"/>
  <c r="F146" i="12" s="1"/>
  <c r="F147" i="12" s="1"/>
  <c r="F148" i="12" s="1"/>
  <c r="F149" i="12" s="1"/>
  <c r="F150" i="12" s="1"/>
  <c r="F151" i="12" s="1"/>
  <c r="F152" i="12" s="1"/>
  <c r="F153" i="12" s="1"/>
  <c r="F154" i="12" s="1"/>
  <c r="F155" i="12" s="1"/>
  <c r="F156" i="12" s="1"/>
  <c r="F157" i="12" s="1"/>
  <c r="F158" i="12" s="1"/>
  <c r="F159" i="12" s="1"/>
  <c r="F160" i="12" s="1"/>
  <c r="F161" i="12" s="1"/>
  <c r="F162" i="12" s="1"/>
  <c r="F163" i="12" s="1"/>
  <c r="F164" i="12" s="1"/>
  <c r="F165" i="12" s="1"/>
  <c r="G110" i="12"/>
  <c r="G111" i="12" s="1"/>
  <c r="G112" i="12" s="1"/>
  <c r="G113" i="12" s="1"/>
  <c r="G114" i="12" s="1"/>
  <c r="E110" i="12"/>
  <c r="E111" i="12" s="1"/>
  <c r="E112" i="12" s="1"/>
  <c r="E113" i="12" s="1"/>
  <c r="E114" i="12" s="1"/>
  <c r="E187" i="12"/>
  <c r="E188" i="12" s="1"/>
  <c r="G187" i="12"/>
  <c r="G188" i="12" s="1"/>
  <c r="K19" i="12"/>
  <c r="B19" i="13" s="1"/>
  <c r="C20" i="12"/>
  <c r="F225" i="12"/>
  <c r="F226" i="12" s="1"/>
  <c r="F227" i="12" s="1"/>
  <c r="H44" i="11"/>
  <c r="G44" i="11"/>
  <c r="B44" i="11"/>
  <c r="B41" i="11"/>
  <c r="AC39" i="11" s="1"/>
  <c r="AC40" i="11" s="1"/>
  <c r="E41" i="11"/>
  <c r="E44" i="11" s="1"/>
  <c r="E47" i="11" s="1"/>
  <c r="E50" i="11" s="1"/>
  <c r="G41" i="11"/>
  <c r="F190" i="12"/>
  <c r="F191" i="12" s="1"/>
  <c r="F192" i="12" s="1"/>
  <c r="H41" i="11"/>
  <c r="U33" i="11"/>
  <c r="V33" i="11"/>
  <c r="W33" i="11"/>
  <c r="F38" i="11"/>
  <c r="F41" i="11" s="1"/>
  <c r="F44" i="11" s="1"/>
  <c r="T33" i="11"/>
  <c r="S33" i="11"/>
  <c r="AC33" i="11"/>
  <c r="AC34" i="11" s="1"/>
  <c r="Q31" i="11"/>
  <c r="R31" i="11" s="1"/>
  <c r="S31" i="11" s="1"/>
  <c r="Q34" i="11"/>
  <c r="T25" i="11"/>
  <c r="U22" i="11"/>
  <c r="W36" i="11"/>
  <c r="V36" i="11"/>
  <c r="U36" i="11"/>
  <c r="AC36" i="11"/>
  <c r="AC37" i="11" s="1"/>
  <c r="T36" i="11"/>
  <c r="P37" i="11"/>
  <c r="T28" i="11"/>
  <c r="F256" i="12"/>
  <c r="F257" i="12" s="1"/>
  <c r="F258" i="12" s="1"/>
  <c r="F259" i="12" s="1"/>
  <c r="F260" i="12" s="1"/>
  <c r="F261" i="12" s="1"/>
  <c r="G193" i="12"/>
  <c r="G194" i="12" s="1"/>
  <c r="G195" i="12" s="1"/>
  <c r="G196" i="12" s="1"/>
  <c r="G197" i="12" s="1"/>
  <c r="G198" i="12" s="1"/>
  <c r="G199" i="12" s="1"/>
  <c r="G200" i="12" s="1"/>
  <c r="G201" i="12" s="1"/>
  <c r="G202" i="12" s="1"/>
  <c r="G203" i="12" s="1"/>
  <c r="G204" i="12" s="1"/>
  <c r="G205" i="12" s="1"/>
  <c r="G206" i="12" s="1"/>
  <c r="G189" i="12"/>
  <c r="E193" i="12"/>
  <c r="E194" i="12" s="1"/>
  <c r="E195" i="12" s="1"/>
  <c r="E196" i="12" s="1"/>
  <c r="E197" i="12" s="1"/>
  <c r="E198" i="12" s="1"/>
  <c r="E199" i="12" s="1"/>
  <c r="E200" i="12" s="1"/>
  <c r="E201" i="12" s="1"/>
  <c r="E202" i="12" s="1"/>
  <c r="E203" i="12" s="1"/>
  <c r="E204" i="12" s="1"/>
  <c r="E205" i="12" s="1"/>
  <c r="E206" i="12" s="1"/>
  <c r="E189" i="12"/>
  <c r="E224" i="12"/>
  <c r="G224" i="12"/>
  <c r="D33" i="12" l="1"/>
  <c r="E118" i="12"/>
  <c r="E119" i="12" s="1"/>
  <c r="E120" i="12" s="1"/>
  <c r="E121" i="12" s="1"/>
  <c r="E122" i="12" s="1"/>
  <c r="E123" i="12" s="1"/>
  <c r="E124" i="12" s="1"/>
  <c r="E125" i="12" s="1"/>
  <c r="E126" i="12" s="1"/>
  <c r="E127" i="12" s="1"/>
  <c r="E128" i="12" s="1"/>
  <c r="E129" i="12" s="1"/>
  <c r="E130" i="12" s="1"/>
  <c r="E131" i="12" s="1"/>
  <c r="E132" i="12" s="1"/>
  <c r="E133" i="12" s="1"/>
  <c r="E134" i="12" s="1"/>
  <c r="E135" i="12" s="1"/>
  <c r="E136" i="12" s="1"/>
  <c r="E137" i="12" s="1"/>
  <c r="E138" i="12" s="1"/>
  <c r="E139" i="12" s="1"/>
  <c r="E140" i="12" s="1"/>
  <c r="E141" i="12" s="1"/>
  <c r="E142" i="12" s="1"/>
  <c r="E143" i="12" s="1"/>
  <c r="E115" i="12"/>
  <c r="E116" i="12" s="1"/>
  <c r="E117" i="12" s="1"/>
  <c r="G118" i="12"/>
  <c r="G119" i="12" s="1"/>
  <c r="G120" i="12" s="1"/>
  <c r="G121" i="12" s="1"/>
  <c r="G122" i="12" s="1"/>
  <c r="G123" i="12" s="1"/>
  <c r="G124" i="12" s="1"/>
  <c r="G125" i="12" s="1"/>
  <c r="G126" i="12" s="1"/>
  <c r="G127" i="12" s="1"/>
  <c r="G128" i="12" s="1"/>
  <c r="G129" i="12" s="1"/>
  <c r="G130" i="12" s="1"/>
  <c r="G131" i="12" s="1"/>
  <c r="G132" i="12" s="1"/>
  <c r="G133" i="12" s="1"/>
  <c r="G134" i="12" s="1"/>
  <c r="G135" i="12" s="1"/>
  <c r="G136" i="12" s="1"/>
  <c r="G137" i="12" s="1"/>
  <c r="G138" i="12" s="1"/>
  <c r="G139" i="12" s="1"/>
  <c r="G140" i="12" s="1"/>
  <c r="G141" i="12" s="1"/>
  <c r="G142" i="12" s="1"/>
  <c r="G143" i="12" s="1"/>
  <c r="G115" i="12"/>
  <c r="G116" i="12" s="1"/>
  <c r="G117" i="12" s="1"/>
  <c r="Q46" i="11"/>
  <c r="AC48" i="11"/>
  <c r="AC49" i="11" s="1"/>
  <c r="T48" i="11"/>
  <c r="P48" i="11"/>
  <c r="P49" i="11" s="1"/>
  <c r="W48" i="11"/>
  <c r="V48" i="11"/>
  <c r="U48" i="11"/>
  <c r="Q48" i="11"/>
  <c r="F47" i="11"/>
  <c r="E53" i="11"/>
  <c r="H53" i="11"/>
  <c r="G53" i="11"/>
  <c r="M54" i="11"/>
  <c r="A59" i="11"/>
  <c r="C56" i="11"/>
  <c r="E144" i="12"/>
  <c r="E145" i="12" s="1"/>
  <c r="E146" i="12" s="1"/>
  <c r="E147" i="12" s="1"/>
  <c r="E148" i="12" s="1"/>
  <c r="E149" i="12" s="1"/>
  <c r="E150" i="12" s="1"/>
  <c r="E151" i="12" s="1"/>
  <c r="E152" i="12" s="1"/>
  <c r="E153" i="12" s="1"/>
  <c r="E154" i="12" s="1"/>
  <c r="E155" i="12" s="1"/>
  <c r="E156" i="12" s="1"/>
  <c r="E157" i="12" s="1"/>
  <c r="E158" i="12" s="1"/>
  <c r="E159" i="12" s="1"/>
  <c r="E160" i="12" s="1"/>
  <c r="E161" i="12" s="1"/>
  <c r="E162" i="12" s="1"/>
  <c r="E163" i="12" s="1"/>
  <c r="E164" i="12" s="1"/>
  <c r="E165" i="12" s="1"/>
  <c r="G144" i="12"/>
  <c r="G145" i="12" s="1"/>
  <c r="G146" i="12" s="1"/>
  <c r="G147" i="12" s="1"/>
  <c r="G148" i="12" s="1"/>
  <c r="G149" i="12" s="1"/>
  <c r="G150" i="12" s="1"/>
  <c r="G151" i="12" s="1"/>
  <c r="G152" i="12" s="1"/>
  <c r="G153" i="12" s="1"/>
  <c r="G154" i="12" s="1"/>
  <c r="G155" i="12" s="1"/>
  <c r="G156" i="12" s="1"/>
  <c r="G157" i="12" s="1"/>
  <c r="G158" i="12" s="1"/>
  <c r="G159" i="12" s="1"/>
  <c r="G160" i="12" s="1"/>
  <c r="G161" i="12" s="1"/>
  <c r="G162" i="12" s="1"/>
  <c r="G163" i="12" s="1"/>
  <c r="G164" i="12" s="1"/>
  <c r="G165" i="12" s="1"/>
  <c r="K20" i="12"/>
  <c r="B20" i="13" s="1"/>
  <c r="C21" i="12"/>
  <c r="F262" i="12"/>
  <c r="F263" i="12" s="1"/>
  <c r="F228" i="12"/>
  <c r="F229" i="12" s="1"/>
  <c r="F230" i="12" s="1"/>
  <c r="F231" i="12" s="1"/>
  <c r="F232" i="12" s="1"/>
  <c r="G225" i="12"/>
  <c r="G226" i="12" s="1"/>
  <c r="G227" i="12" s="1"/>
  <c r="E225" i="12"/>
  <c r="E226" i="12" s="1"/>
  <c r="E227" i="12" s="1"/>
  <c r="F270" i="12"/>
  <c r="U42" i="11"/>
  <c r="AC42" i="11"/>
  <c r="AC43" i="11" s="1"/>
  <c r="T42" i="11"/>
  <c r="P43" i="11"/>
  <c r="W42" i="11"/>
  <c r="V42" i="11"/>
  <c r="U39" i="11"/>
  <c r="W39" i="11"/>
  <c r="P40" i="11"/>
  <c r="Q40" i="11" s="1"/>
  <c r="V39" i="11"/>
  <c r="T39" i="11"/>
  <c r="G190" i="12"/>
  <c r="G191" i="12" s="1"/>
  <c r="G192" i="12" s="1"/>
  <c r="E190" i="12"/>
  <c r="E191" i="12" s="1"/>
  <c r="E192" i="12" s="1"/>
  <c r="J35" i="11"/>
  <c r="J38" i="11"/>
  <c r="R34" i="11"/>
  <c r="S34" i="11" s="1"/>
  <c r="Q37" i="11"/>
  <c r="R37" i="11" s="1"/>
  <c r="U28" i="11"/>
  <c r="V22" i="11"/>
  <c r="U25" i="11"/>
  <c r="T31" i="11"/>
  <c r="J41" i="11"/>
  <c r="F207" i="12"/>
  <c r="F208" i="12" s="1"/>
  <c r="G256" i="12"/>
  <c r="G257" i="12" s="1"/>
  <c r="G258" i="12" s="1"/>
  <c r="G259" i="12" s="1"/>
  <c r="G260" i="12" s="1"/>
  <c r="G261" i="12" s="1"/>
  <c r="E256" i="12"/>
  <c r="E257" i="12" s="1"/>
  <c r="E258" i="12" s="1"/>
  <c r="E259" i="12" s="1"/>
  <c r="E260" i="12" s="1"/>
  <c r="E261" i="12" s="1"/>
  <c r="D34" i="12" l="1"/>
  <c r="G56" i="11"/>
  <c r="E56" i="11"/>
  <c r="H56" i="11"/>
  <c r="F50" i="11"/>
  <c r="Q49" i="11"/>
  <c r="A62" i="11"/>
  <c r="M57" i="11"/>
  <c r="C59" i="11"/>
  <c r="B56" i="11" s="1"/>
  <c r="B53" i="11"/>
  <c r="J44" i="11"/>
  <c r="R46" i="11"/>
  <c r="F209" i="12"/>
  <c r="F210" i="12" s="1"/>
  <c r="F264" i="12"/>
  <c r="F265" i="12" s="1"/>
  <c r="F266" i="12" s="1"/>
  <c r="F267" i="12" s="1"/>
  <c r="F268" i="12" s="1"/>
  <c r="F269" i="12" s="1"/>
  <c r="K21" i="12"/>
  <c r="B21" i="13" s="1"/>
  <c r="C22" i="12"/>
  <c r="E262" i="12"/>
  <c r="E263" i="12" s="1"/>
  <c r="G262" i="12"/>
  <c r="G263" i="12" s="1"/>
  <c r="G228" i="12"/>
  <c r="G229" i="12" s="1"/>
  <c r="G230" i="12" s="1"/>
  <c r="G231" i="12" s="1"/>
  <c r="G232" i="12" s="1"/>
  <c r="E228" i="12"/>
  <c r="E229" i="12" s="1"/>
  <c r="E230" i="12" s="1"/>
  <c r="E231" i="12" s="1"/>
  <c r="E232" i="12" s="1"/>
  <c r="F233" i="12"/>
  <c r="F234" i="12" s="1"/>
  <c r="F235" i="12" s="1"/>
  <c r="F236" i="12" s="1"/>
  <c r="F237" i="12" s="1"/>
  <c r="F238" i="12" s="1"/>
  <c r="F239" i="12" s="1"/>
  <c r="F240" i="12" s="1"/>
  <c r="F241" i="12" s="1"/>
  <c r="F271" i="12"/>
  <c r="F272" i="12" s="1"/>
  <c r="F273" i="12" s="1"/>
  <c r="F274" i="12" s="1"/>
  <c r="G270" i="12"/>
  <c r="E270" i="12"/>
  <c r="Q43" i="11"/>
  <c r="R40" i="11"/>
  <c r="S40" i="11" s="1"/>
  <c r="T40" i="11" s="1"/>
  <c r="U31" i="11"/>
  <c r="W22" i="11"/>
  <c r="S37" i="11"/>
  <c r="T34" i="11"/>
  <c r="V25" i="11"/>
  <c r="V28" i="11"/>
  <c r="E207" i="12"/>
  <c r="E208" i="12" s="1"/>
  <c r="G207" i="12"/>
  <c r="G208" i="12" s="1"/>
  <c r="D35" i="12" l="1"/>
  <c r="V54" i="11"/>
  <c r="R54" i="11"/>
  <c r="AC54" i="11"/>
  <c r="AC55" i="11" s="1"/>
  <c r="W54" i="11"/>
  <c r="Q54" i="11"/>
  <c r="U54" i="11"/>
  <c r="P54" i="11"/>
  <c r="P55" i="11" s="1"/>
  <c r="F53" i="11"/>
  <c r="J50" i="11" s="1"/>
  <c r="W51" i="11"/>
  <c r="S51" i="11"/>
  <c r="V51" i="11"/>
  <c r="R51" i="11"/>
  <c r="U51" i="11"/>
  <c r="Q51" i="11"/>
  <c r="AC51" i="11"/>
  <c r="AC52" i="11" s="1"/>
  <c r="P51" i="11"/>
  <c r="P52" i="11" s="1"/>
  <c r="S46" i="11"/>
  <c r="H59" i="11"/>
  <c r="G59" i="11"/>
  <c r="E59" i="11"/>
  <c r="M60" i="11"/>
  <c r="C62" i="11"/>
  <c r="B59" i="11" s="1"/>
  <c r="A65" i="11"/>
  <c r="J47" i="11"/>
  <c r="R49" i="11"/>
  <c r="F211" i="12"/>
  <c r="F212" i="12" s="1"/>
  <c r="F213" i="12" s="1"/>
  <c r="E209" i="12"/>
  <c r="E210" i="12" s="1"/>
  <c r="G209" i="12"/>
  <c r="G210" i="12" s="1"/>
  <c r="G264" i="12"/>
  <c r="G265" i="12" s="1"/>
  <c r="G266" i="12" s="1"/>
  <c r="G267" i="12" s="1"/>
  <c r="G268" i="12" s="1"/>
  <c r="G269" i="12" s="1"/>
  <c r="E264" i="12"/>
  <c r="E265" i="12" s="1"/>
  <c r="E266" i="12" s="1"/>
  <c r="E267" i="12" s="1"/>
  <c r="E268" i="12" s="1"/>
  <c r="E269" i="12" s="1"/>
  <c r="C23" i="12"/>
  <c r="K22" i="12"/>
  <c r="B22" i="13" s="1"/>
  <c r="F242" i="12"/>
  <c r="F243" i="12" s="1"/>
  <c r="F244" i="12" s="1"/>
  <c r="F245" i="12" s="1"/>
  <c r="F246" i="12" s="1"/>
  <c r="F247" i="12" s="1"/>
  <c r="F248" i="12" s="1"/>
  <c r="F249" i="12" s="1"/>
  <c r="F250" i="12" s="1"/>
  <c r="F251" i="12" s="1"/>
  <c r="F252" i="12" s="1"/>
  <c r="F253" i="12" s="1"/>
  <c r="F254" i="12" s="1"/>
  <c r="F255" i="12" s="1"/>
  <c r="G233" i="12"/>
  <c r="G234" i="12" s="1"/>
  <c r="G235" i="12" s="1"/>
  <c r="G236" i="12" s="1"/>
  <c r="G237" i="12" s="1"/>
  <c r="G238" i="12" s="1"/>
  <c r="G239" i="12" s="1"/>
  <c r="G240" i="12" s="1"/>
  <c r="G241" i="12" s="1"/>
  <c r="E233" i="12"/>
  <c r="E234" i="12" s="1"/>
  <c r="E235" i="12" s="1"/>
  <c r="E236" i="12" s="1"/>
  <c r="E237" i="12" s="1"/>
  <c r="E238" i="12" s="1"/>
  <c r="E239" i="12" s="1"/>
  <c r="E240" i="12" s="1"/>
  <c r="E241" i="12" s="1"/>
  <c r="E271" i="12"/>
  <c r="E272" i="12" s="1"/>
  <c r="E273" i="12" s="1"/>
  <c r="E274" i="12" s="1"/>
  <c r="G271" i="12"/>
  <c r="G272" i="12" s="1"/>
  <c r="G273" i="12" s="1"/>
  <c r="G274" i="12" s="1"/>
  <c r="R43" i="11"/>
  <c r="U34" i="11"/>
  <c r="U40" i="11"/>
  <c r="V31" i="11"/>
  <c r="W25" i="11"/>
  <c r="T37" i="11"/>
  <c r="W28" i="11"/>
  <c r="D36" i="12" l="1"/>
  <c r="Q55" i="11"/>
  <c r="R55" i="11" s="1"/>
  <c r="S55" i="11" s="1"/>
  <c r="Q52" i="11"/>
  <c r="R52" i="11" s="1"/>
  <c r="W57" i="11"/>
  <c r="S57" i="11"/>
  <c r="Q57" i="11"/>
  <c r="AC57" i="11"/>
  <c r="AC58" i="11" s="1"/>
  <c r="P57" i="11"/>
  <c r="P58" i="11" s="1"/>
  <c r="V57" i="11"/>
  <c r="T57" i="11"/>
  <c r="R57" i="11"/>
  <c r="A68" i="11"/>
  <c r="M63" i="11"/>
  <c r="C65" i="11"/>
  <c r="B62" i="11" s="1"/>
  <c r="T46" i="11"/>
  <c r="F56" i="11"/>
  <c r="J53" i="11" s="1"/>
  <c r="E62" i="11"/>
  <c r="G62" i="11"/>
  <c r="H62" i="11"/>
  <c r="S49" i="11"/>
  <c r="F214" i="12"/>
  <c r="F215" i="12" s="1"/>
  <c r="F216" i="12" s="1"/>
  <c r="F217" i="12" s="1"/>
  <c r="F218" i="12" s="1"/>
  <c r="F219" i="12" s="1"/>
  <c r="F220" i="12" s="1"/>
  <c r="F221" i="12" s="1"/>
  <c r="F222" i="12" s="1"/>
  <c r="F223" i="12" s="1"/>
  <c r="G211" i="12"/>
  <c r="G212" i="12" s="1"/>
  <c r="G213" i="12" s="1"/>
  <c r="E211" i="12"/>
  <c r="E212" i="12" s="1"/>
  <c r="E213" i="12" s="1"/>
  <c r="K23" i="12"/>
  <c r="B23" i="13" s="1"/>
  <c r="C24" i="12"/>
  <c r="I14" i="12"/>
  <c r="E242" i="12"/>
  <c r="E243" i="12" s="1"/>
  <c r="E244" i="12" s="1"/>
  <c r="E245" i="12" s="1"/>
  <c r="E246" i="12" s="1"/>
  <c r="E247" i="12" s="1"/>
  <c r="E248" i="12" s="1"/>
  <c r="E249" i="12" s="1"/>
  <c r="E250" i="12" s="1"/>
  <c r="E251" i="12" s="1"/>
  <c r="E252" i="12" s="1"/>
  <c r="E253" i="12" s="1"/>
  <c r="E254" i="12" s="1"/>
  <c r="E255" i="12" s="1"/>
  <c r="G242" i="12"/>
  <c r="G243" i="12" s="1"/>
  <c r="G244" i="12" s="1"/>
  <c r="G245" i="12" s="1"/>
  <c r="G246" i="12" s="1"/>
  <c r="G247" i="12" s="1"/>
  <c r="G248" i="12" s="1"/>
  <c r="G249" i="12" s="1"/>
  <c r="G250" i="12" s="1"/>
  <c r="G251" i="12" s="1"/>
  <c r="G252" i="12" s="1"/>
  <c r="G253" i="12" s="1"/>
  <c r="G254" i="12" s="1"/>
  <c r="G255" i="12" s="1"/>
  <c r="S43" i="11"/>
  <c r="W31" i="11"/>
  <c r="U37" i="11"/>
  <c r="V34" i="11"/>
  <c r="V40" i="11"/>
  <c r="D37" i="12" l="1"/>
  <c r="Q58" i="11"/>
  <c r="R58" i="11" s="1"/>
  <c r="T55" i="11"/>
  <c r="T49" i="11"/>
  <c r="R60" i="11"/>
  <c r="AC60" i="11"/>
  <c r="AC61" i="11" s="1"/>
  <c r="T60" i="11"/>
  <c r="P60" i="11"/>
  <c r="P61" i="11" s="1"/>
  <c r="W60" i="11"/>
  <c r="S60" i="11"/>
  <c r="Q60" i="11"/>
  <c r="S52" i="11"/>
  <c r="U46" i="11"/>
  <c r="C68" i="11"/>
  <c r="B65" i="11" s="1"/>
  <c r="A71" i="11"/>
  <c r="M66" i="11"/>
  <c r="F59" i="11"/>
  <c r="H65" i="11"/>
  <c r="G65" i="11"/>
  <c r="E65" i="11"/>
  <c r="E214" i="12"/>
  <c r="E215" i="12" s="1"/>
  <c r="E216" i="12" s="1"/>
  <c r="E217" i="12" s="1"/>
  <c r="E218" i="12" s="1"/>
  <c r="E219" i="12" s="1"/>
  <c r="E220" i="12" s="1"/>
  <c r="E221" i="12" s="1"/>
  <c r="E222" i="12" s="1"/>
  <c r="E223" i="12" s="1"/>
  <c r="G214" i="12"/>
  <c r="G215" i="12" s="1"/>
  <c r="G216" i="12" s="1"/>
  <c r="G217" i="12" s="1"/>
  <c r="G218" i="12" s="1"/>
  <c r="G219" i="12" s="1"/>
  <c r="G220" i="12" s="1"/>
  <c r="G221" i="12" s="1"/>
  <c r="G222" i="12" s="1"/>
  <c r="G223" i="12" s="1"/>
  <c r="C25" i="12"/>
  <c r="K24" i="12"/>
  <c r="B24" i="13" s="1"/>
  <c r="T43" i="11"/>
  <c r="V37" i="11"/>
  <c r="W34" i="11"/>
  <c r="W40" i="11"/>
  <c r="D38" i="12" l="1"/>
  <c r="D39" i="12" s="1"/>
  <c r="Q61" i="11"/>
  <c r="R61" i="11" s="1"/>
  <c r="S58" i="11"/>
  <c r="J56" i="11"/>
  <c r="V46" i="11"/>
  <c r="U63" i="11"/>
  <c r="Q63" i="11"/>
  <c r="S63" i="11"/>
  <c r="V63" i="11"/>
  <c r="T63" i="11"/>
  <c r="R63" i="11"/>
  <c r="AC63" i="11"/>
  <c r="AC64" i="11" s="1"/>
  <c r="P63" i="11"/>
  <c r="P64" i="11" s="1"/>
  <c r="A74" i="11"/>
  <c r="M69" i="11"/>
  <c r="C71" i="11"/>
  <c r="B68" i="11" s="1"/>
  <c r="U49" i="11"/>
  <c r="F62" i="11"/>
  <c r="G68" i="11"/>
  <c r="E68" i="11"/>
  <c r="H68" i="11"/>
  <c r="U55" i="11"/>
  <c r="T52" i="11"/>
  <c r="K25" i="12"/>
  <c r="B25" i="13" s="1"/>
  <c r="C26" i="12"/>
  <c r="U43" i="11"/>
  <c r="W37" i="11"/>
  <c r="D40" i="12" l="1"/>
  <c r="Q64" i="11"/>
  <c r="V55" i="11"/>
  <c r="J59" i="11"/>
  <c r="M72" i="11"/>
  <c r="C74" i="11"/>
  <c r="B71" i="11" s="1"/>
  <c r="A77" i="11"/>
  <c r="A80" i="11" s="1"/>
  <c r="S61" i="11"/>
  <c r="U52" i="11"/>
  <c r="AC66" i="11"/>
  <c r="AC67" i="11" s="1"/>
  <c r="T66" i="11"/>
  <c r="P66" i="11"/>
  <c r="P67" i="11" s="1"/>
  <c r="S66" i="11"/>
  <c r="V66" i="11"/>
  <c r="R66" i="11"/>
  <c r="U66" i="11"/>
  <c r="Q66" i="11"/>
  <c r="E71" i="11"/>
  <c r="H71" i="11"/>
  <c r="G71" i="11"/>
  <c r="W46" i="11"/>
  <c r="T58" i="11"/>
  <c r="F65" i="11"/>
  <c r="V49" i="11"/>
  <c r="C27" i="12"/>
  <c r="K26" i="12"/>
  <c r="B26" i="13" s="1"/>
  <c r="V43" i="11"/>
  <c r="C80" i="11" l="1"/>
  <c r="A83" i="11"/>
  <c r="M78" i="11"/>
  <c r="D41" i="12"/>
  <c r="Q67" i="11"/>
  <c r="R67" i="11" s="1"/>
  <c r="W49" i="11"/>
  <c r="W55" i="11"/>
  <c r="C77" i="11"/>
  <c r="B74" i="11" s="1"/>
  <c r="M75" i="11"/>
  <c r="S69" i="11"/>
  <c r="V69" i="11"/>
  <c r="R69" i="11"/>
  <c r="U69" i="11"/>
  <c r="Q69" i="11"/>
  <c r="T69" i="11"/>
  <c r="P69" i="11"/>
  <c r="P70" i="11" s="1"/>
  <c r="AC69" i="11"/>
  <c r="AC70" i="11" s="1"/>
  <c r="V52" i="11"/>
  <c r="F68" i="11"/>
  <c r="J65" i="11" s="1"/>
  <c r="J62" i="11"/>
  <c r="T61" i="11"/>
  <c r="E74" i="11"/>
  <c r="H74" i="11"/>
  <c r="G74" i="11"/>
  <c r="R64" i="11"/>
  <c r="U58" i="11"/>
  <c r="C28" i="12"/>
  <c r="K27" i="12"/>
  <c r="B27" i="13" s="1"/>
  <c r="W43" i="11"/>
  <c r="C83" i="11" l="1"/>
  <c r="B80" i="11" s="1"/>
  <c r="A86" i="11"/>
  <c r="M81" i="11"/>
  <c r="H80" i="11"/>
  <c r="G80" i="11"/>
  <c r="D42" i="12"/>
  <c r="Q70" i="11"/>
  <c r="R70" i="11" s="1"/>
  <c r="V58" i="11"/>
  <c r="F71" i="11"/>
  <c r="V72" i="11"/>
  <c r="R72" i="11"/>
  <c r="U72" i="11"/>
  <c r="Q72" i="11"/>
  <c r="AC72" i="11"/>
  <c r="AC73" i="11" s="1"/>
  <c r="T72" i="11"/>
  <c r="P72" i="11"/>
  <c r="P73" i="11" s="1"/>
  <c r="S72" i="11"/>
  <c r="U61" i="11"/>
  <c r="H77" i="11"/>
  <c r="G77" i="11"/>
  <c r="B77" i="11"/>
  <c r="E77" i="11"/>
  <c r="E80" i="11" s="1"/>
  <c r="S67" i="11"/>
  <c r="S64" i="11"/>
  <c r="W52" i="11"/>
  <c r="K28" i="12"/>
  <c r="B28" i="13" s="1"/>
  <c r="C29" i="12"/>
  <c r="A89" i="11" l="1"/>
  <c r="M84" i="11"/>
  <c r="C86" i="11"/>
  <c r="B83" i="11" s="1"/>
  <c r="U78" i="11"/>
  <c r="Q78" i="11"/>
  <c r="AC78" i="11"/>
  <c r="AC79" i="11" s="1"/>
  <c r="T78" i="11"/>
  <c r="P78" i="11"/>
  <c r="P79" i="11" s="1"/>
  <c r="S78" i="11"/>
  <c r="V78" i="11"/>
  <c r="R78" i="11"/>
  <c r="G83" i="11"/>
  <c r="E83" i="11"/>
  <c r="H83" i="11"/>
  <c r="D43" i="12"/>
  <c r="Q73" i="11"/>
  <c r="R73" i="11" s="1"/>
  <c r="W58" i="11"/>
  <c r="T67" i="11"/>
  <c r="V61" i="11"/>
  <c r="T64" i="11"/>
  <c r="U75" i="11"/>
  <c r="Q75" i="11"/>
  <c r="AC75" i="11"/>
  <c r="AC76" i="11" s="1"/>
  <c r="T75" i="11"/>
  <c r="P75" i="11"/>
  <c r="P76" i="11" s="1"/>
  <c r="S75" i="11"/>
  <c r="R75" i="11"/>
  <c r="V75" i="11"/>
  <c r="F74" i="11"/>
  <c r="J71" i="11" s="1"/>
  <c r="J68" i="11"/>
  <c r="S70" i="11"/>
  <c r="K29" i="12"/>
  <c r="B29" i="13" s="1"/>
  <c r="C30" i="12"/>
  <c r="Q79" i="11" l="1"/>
  <c r="R79" i="11" s="1"/>
  <c r="AC81" i="11"/>
  <c r="AC82" i="11" s="1"/>
  <c r="T81" i="11"/>
  <c r="P81" i="11"/>
  <c r="P82" i="11" s="1"/>
  <c r="S81" i="11"/>
  <c r="V81" i="11"/>
  <c r="R81" i="11"/>
  <c r="U81" i="11"/>
  <c r="Q81" i="11"/>
  <c r="E86" i="11"/>
  <c r="H86" i="11"/>
  <c r="G86" i="11"/>
  <c r="M87" i="11"/>
  <c r="C89" i="11"/>
  <c r="A92" i="11"/>
  <c r="D44" i="12"/>
  <c r="I39" i="12" s="1"/>
  <c r="Q76" i="11"/>
  <c r="R76" i="11" s="1"/>
  <c r="F77" i="11"/>
  <c r="U64" i="11"/>
  <c r="W61" i="11"/>
  <c r="T70" i="11"/>
  <c r="U67" i="11"/>
  <c r="S73" i="11"/>
  <c r="C31" i="12"/>
  <c r="K30" i="12"/>
  <c r="B30" i="13" s="1"/>
  <c r="Q82" i="11" l="1"/>
  <c r="R82" i="11" s="1"/>
  <c r="S82" i="11" s="1"/>
  <c r="T82" i="11" s="1"/>
  <c r="S79" i="11"/>
  <c r="C92" i="11"/>
  <c r="B89" i="11" s="1"/>
  <c r="M90" i="11"/>
  <c r="F80" i="11"/>
  <c r="E89" i="11"/>
  <c r="H89" i="11"/>
  <c r="G89" i="11"/>
  <c r="B86" i="11"/>
  <c r="I34" i="12"/>
  <c r="D45" i="12"/>
  <c r="D46" i="12" s="1"/>
  <c r="D47" i="12" s="1"/>
  <c r="D48" i="12" s="1"/>
  <c r="D49" i="12" s="1"/>
  <c r="S76" i="11"/>
  <c r="T73" i="11"/>
  <c r="V64" i="11"/>
  <c r="V67" i="11"/>
  <c r="J77" i="11"/>
  <c r="U70" i="11"/>
  <c r="J74" i="11"/>
  <c r="K31" i="12"/>
  <c r="B31" i="13" s="1"/>
  <c r="C32" i="12"/>
  <c r="U82" i="11" l="1"/>
  <c r="H92" i="11"/>
  <c r="G92" i="11"/>
  <c r="B92" i="11"/>
  <c r="I92" i="11"/>
  <c r="E92" i="11"/>
  <c r="J20" i="11" s="1"/>
  <c r="S84" i="11"/>
  <c r="V84" i="11"/>
  <c r="R84" i="11"/>
  <c r="U84" i="11"/>
  <c r="Q84" i="11"/>
  <c r="AC84" i="11"/>
  <c r="AC85" i="11" s="1"/>
  <c r="T84" i="11"/>
  <c r="P84" i="11"/>
  <c r="P85" i="11" s="1"/>
  <c r="F83" i="11"/>
  <c r="J80" i="11" s="1"/>
  <c r="T79" i="11"/>
  <c r="V87" i="11"/>
  <c r="R87" i="11"/>
  <c r="U87" i="11"/>
  <c r="Q87" i="11"/>
  <c r="AC87" i="11"/>
  <c r="AC88" i="11" s="1"/>
  <c r="T87" i="11"/>
  <c r="P87" i="11"/>
  <c r="P88" i="11" s="1"/>
  <c r="S87" i="11"/>
  <c r="D50" i="12"/>
  <c r="D51" i="12" s="1"/>
  <c r="D52" i="12" s="1"/>
  <c r="D53" i="12" s="1"/>
  <c r="D54" i="12" s="1"/>
  <c r="D55" i="12" s="1"/>
  <c r="D56" i="12" s="1"/>
  <c r="D57" i="12" s="1"/>
  <c r="U73" i="11"/>
  <c r="W64" i="11"/>
  <c r="T76" i="11"/>
  <c r="V70" i="11"/>
  <c r="W67" i="11"/>
  <c r="C33" i="12"/>
  <c r="K32" i="12"/>
  <c r="B32" i="13" s="1"/>
  <c r="Q88" i="11" l="1"/>
  <c r="Q85" i="11"/>
  <c r="R85" i="11" s="1"/>
  <c r="U79" i="11"/>
  <c r="I20" i="11"/>
  <c r="D20" i="11" s="1"/>
  <c r="V82" i="11"/>
  <c r="F86" i="11"/>
  <c r="J83" i="11" s="1"/>
  <c r="U90" i="11"/>
  <c r="Q90" i="11"/>
  <c r="AC90" i="11"/>
  <c r="AC91" i="11" s="1"/>
  <c r="T90" i="11"/>
  <c r="P90" i="11"/>
  <c r="P91" i="11" s="1"/>
  <c r="S90" i="11"/>
  <c r="V90" i="11"/>
  <c r="R90" i="11"/>
  <c r="I49" i="12"/>
  <c r="D58" i="12"/>
  <c r="W70" i="11"/>
  <c r="V73" i="11"/>
  <c r="U76" i="11"/>
  <c r="K33" i="12"/>
  <c r="B33" i="13" s="1"/>
  <c r="C34" i="12"/>
  <c r="Q91" i="11" l="1"/>
  <c r="R91" i="11" s="1"/>
  <c r="S91" i="11" s="1"/>
  <c r="W82" i="11"/>
  <c r="V79" i="11"/>
  <c r="F89" i="11"/>
  <c r="J86" i="11" s="1"/>
  <c r="S85" i="11"/>
  <c r="R88" i="11"/>
  <c r="V76" i="11"/>
  <c r="W73" i="11"/>
  <c r="K34" i="12"/>
  <c r="B34" i="13" s="1"/>
  <c r="C35" i="12"/>
  <c r="T91" i="11" l="1"/>
  <c r="F92" i="11"/>
  <c r="I41" i="11" s="1"/>
  <c r="D41" i="11" s="1"/>
  <c r="S88" i="11"/>
  <c r="T85" i="11"/>
  <c r="W79" i="11"/>
  <c r="W76" i="11"/>
  <c r="C36" i="12"/>
  <c r="K35" i="12"/>
  <c r="B35" i="13" s="1"/>
  <c r="I80" i="11" l="1"/>
  <c r="D80" i="11" s="1"/>
  <c r="I32" i="11"/>
  <c r="D32" i="11" s="1"/>
  <c r="I50" i="11"/>
  <c r="D50" i="11" s="1"/>
  <c r="I47" i="11"/>
  <c r="D47" i="11" s="1"/>
  <c r="I56" i="11"/>
  <c r="D56" i="11" s="1"/>
  <c r="I59" i="11"/>
  <c r="D59" i="11" s="1"/>
  <c r="I26" i="11"/>
  <c r="D26" i="11" s="1"/>
  <c r="I65" i="11"/>
  <c r="D65" i="11" s="1"/>
  <c r="I62" i="11"/>
  <c r="D62" i="11" s="1"/>
  <c r="I44" i="11"/>
  <c r="D44" i="11" s="1"/>
  <c r="I35" i="11"/>
  <c r="D35" i="11" s="1"/>
  <c r="I71" i="11"/>
  <c r="D71" i="11" s="1"/>
  <c r="I38" i="11"/>
  <c r="D38" i="11" s="1"/>
  <c r="I53" i="11"/>
  <c r="D53" i="11" s="1"/>
  <c r="I74" i="11"/>
  <c r="D74" i="11" s="1"/>
  <c r="I23" i="11"/>
  <c r="D23" i="11" s="1"/>
  <c r="J89" i="11"/>
  <c r="U85" i="11"/>
  <c r="T88" i="11"/>
  <c r="I86" i="11"/>
  <c r="D86" i="11" s="1"/>
  <c r="I89" i="11"/>
  <c r="J92" i="11"/>
  <c r="D92" i="11" s="1"/>
  <c r="I29" i="11"/>
  <c r="D29" i="11" s="1"/>
  <c r="I77" i="11"/>
  <c r="D77" i="11" s="1"/>
  <c r="I83" i="11"/>
  <c r="D83" i="11" s="1"/>
  <c r="I68" i="11"/>
  <c r="D68" i="11" s="1"/>
  <c r="U91" i="11"/>
  <c r="C37" i="12"/>
  <c r="K36" i="12"/>
  <c r="B36" i="13" s="1"/>
  <c r="D89" i="11" l="1"/>
  <c r="V85" i="11"/>
  <c r="V91" i="11"/>
  <c r="U88" i="11"/>
  <c r="C38" i="12"/>
  <c r="C39" i="12" s="1"/>
  <c r="K37" i="12"/>
  <c r="B37" i="13" s="1"/>
  <c r="W91" i="11" l="1"/>
  <c r="V88" i="11"/>
  <c r="W85" i="11"/>
  <c r="C40" i="12"/>
  <c r="K39" i="12"/>
  <c r="B39" i="13" s="1"/>
  <c r="K38" i="12"/>
  <c r="B38" i="13" s="1"/>
  <c r="W88" i="11" l="1"/>
  <c r="C41" i="12"/>
  <c r="K40" i="12"/>
  <c r="B40" i="13" s="1"/>
  <c r="D59" i="12"/>
  <c r="C42" i="12" l="1"/>
  <c r="K41" i="12"/>
  <c r="B41" i="13" s="1"/>
  <c r="D60" i="12"/>
  <c r="D61" i="12" s="1"/>
  <c r="D62" i="12" s="1"/>
  <c r="D63" i="12" s="1"/>
  <c r="D64" i="12" s="1"/>
  <c r="D65" i="12" s="1"/>
  <c r="D66" i="12" s="1"/>
  <c r="D67" i="12" s="1"/>
  <c r="D68" i="12" s="1"/>
  <c r="D69" i="12" s="1"/>
  <c r="D70" i="12" s="1"/>
  <c r="D71" i="12" s="1"/>
  <c r="D72" i="12" s="1"/>
  <c r="D73" i="12" s="1"/>
  <c r="D74" i="12" s="1"/>
  <c r="D75" i="12" s="1"/>
  <c r="C43" i="12" l="1"/>
  <c r="K42" i="12"/>
  <c r="B42" i="13" s="1"/>
  <c r="I59" i="12"/>
  <c r="D76" i="12"/>
  <c r="D77" i="12" s="1"/>
  <c r="D78" i="12" s="1"/>
  <c r="D79" i="12" s="1"/>
  <c r="D80" i="12" s="1"/>
  <c r="D81" i="12" s="1"/>
  <c r="D82" i="12" s="1"/>
  <c r="K43" i="12" l="1"/>
  <c r="B43" i="13" s="1"/>
  <c r="C44" i="12"/>
  <c r="I75" i="12"/>
  <c r="D83" i="12"/>
  <c r="D84" i="12" s="1"/>
  <c r="D85" i="12" s="1"/>
  <c r="D86" i="12" s="1"/>
  <c r="D87" i="12" s="1"/>
  <c r="D88" i="12" s="1"/>
  <c r="D89" i="12" s="1"/>
  <c r="D90" i="12" s="1"/>
  <c r="D91" i="12" s="1"/>
  <c r="D92" i="12" s="1"/>
  <c r="D93" i="12" s="1"/>
  <c r="D94" i="12" s="1"/>
  <c r="D95" i="12" s="1"/>
  <c r="D96" i="12" s="1"/>
  <c r="D97" i="12" s="1"/>
  <c r="D98" i="12" s="1"/>
  <c r="D99" i="12" s="1"/>
  <c r="D100" i="12" s="1"/>
  <c r="D101" i="12" s="1"/>
  <c r="D102" i="12" s="1"/>
  <c r="D103" i="12" s="1"/>
  <c r="D104" i="12" s="1"/>
  <c r="D105" i="12" s="1"/>
  <c r="D106" i="12" s="1"/>
  <c r="D107" i="12" s="1"/>
  <c r="D108" i="12" s="1"/>
  <c r="D109" i="12" s="1"/>
  <c r="D110" i="12" s="1"/>
  <c r="D111" i="12" s="1"/>
  <c r="D112" i="12" s="1"/>
  <c r="D113" i="12" s="1"/>
  <c r="D114" i="12" s="1"/>
  <c r="D115" i="12" s="1"/>
  <c r="D116" i="12" s="1"/>
  <c r="D117" i="12" s="1"/>
  <c r="D118" i="12" s="1"/>
  <c r="D119" i="12" s="1"/>
  <c r="D120" i="12" s="1"/>
  <c r="D121" i="12" s="1"/>
  <c r="D122" i="12" s="1"/>
  <c r="D123" i="12" s="1"/>
  <c r="D124" i="12" s="1"/>
  <c r="D125" i="12" s="1"/>
  <c r="D126" i="12" s="1"/>
  <c r="D127" i="12" s="1"/>
  <c r="D128" i="12" s="1"/>
  <c r="D129" i="12" s="1"/>
  <c r="D130" i="12" s="1"/>
  <c r="D131" i="12" s="1"/>
  <c r="D132" i="12" s="1"/>
  <c r="D133" i="12" s="1"/>
  <c r="D134" i="12" s="1"/>
  <c r="D135" i="12" s="1"/>
  <c r="D136" i="12" s="1"/>
  <c r="D137" i="12" s="1"/>
  <c r="D138" i="12" s="1"/>
  <c r="D139" i="12" s="1"/>
  <c r="D140" i="12" s="1"/>
  <c r="D141" i="12" s="1"/>
  <c r="D142" i="12" s="1"/>
  <c r="D143" i="12" s="1"/>
  <c r="D144" i="12" s="1"/>
  <c r="D145" i="12" s="1"/>
  <c r="D146" i="12" s="1"/>
  <c r="D147" i="12" s="1"/>
  <c r="D148" i="12" s="1"/>
  <c r="D149" i="12" s="1"/>
  <c r="D150" i="12" s="1"/>
  <c r="D151" i="12" s="1"/>
  <c r="D152" i="12" s="1"/>
  <c r="D153" i="12" s="1"/>
  <c r="D154" i="12" s="1"/>
  <c r="D155" i="12" s="1"/>
  <c r="D156" i="12" s="1"/>
  <c r="D157" i="12" s="1"/>
  <c r="D158" i="12" s="1"/>
  <c r="D159" i="12" s="1"/>
  <c r="D160" i="12" s="1"/>
  <c r="D161" i="12" s="1"/>
  <c r="D162" i="12" s="1"/>
  <c r="D163" i="12" s="1"/>
  <c r="D164" i="12" s="1"/>
  <c r="D165" i="12" s="1"/>
  <c r="D166" i="12" s="1"/>
  <c r="D167" i="12" s="1"/>
  <c r="D168" i="12" s="1"/>
  <c r="D169" i="12" s="1"/>
  <c r="D170" i="12" s="1"/>
  <c r="D171" i="12" s="1"/>
  <c r="D172" i="12" s="1"/>
  <c r="D173" i="12" s="1"/>
  <c r="D174" i="12" s="1"/>
  <c r="D175" i="12" s="1"/>
  <c r="D176" i="12" s="1"/>
  <c r="D177" i="12" s="1"/>
  <c r="D178" i="12" s="1"/>
  <c r="D179" i="12" s="1"/>
  <c r="D180" i="12" s="1"/>
  <c r="D181" i="12" s="1"/>
  <c r="D182" i="12" s="1"/>
  <c r="D183" i="12" s="1"/>
  <c r="D184" i="12" s="1"/>
  <c r="D185" i="12" s="1"/>
  <c r="D186" i="12" s="1"/>
  <c r="D187" i="12" s="1"/>
  <c r="D188" i="12" s="1"/>
  <c r="D189" i="12" s="1"/>
  <c r="D190" i="12" s="1"/>
  <c r="D191" i="12" s="1"/>
  <c r="D192" i="12" s="1"/>
  <c r="D193" i="12" s="1"/>
  <c r="D194" i="12" s="1"/>
  <c r="I189" i="12" l="1"/>
  <c r="I144" i="12"/>
  <c r="C45" i="12"/>
  <c r="K44" i="12"/>
  <c r="B44" i="13" s="1"/>
  <c r="I82" i="12"/>
  <c r="D195" i="12"/>
  <c r="K45" i="12" l="1"/>
  <c r="B45" i="13" s="1"/>
  <c r="C46" i="12"/>
  <c r="D196" i="12"/>
  <c r="D197" i="12" s="1"/>
  <c r="D198" i="12" s="1"/>
  <c r="D199" i="12" s="1"/>
  <c r="D200" i="12" s="1"/>
  <c r="D201" i="12" s="1"/>
  <c r="D202" i="12" s="1"/>
  <c r="D203" i="12" s="1"/>
  <c r="D204" i="12" s="1"/>
  <c r="D205" i="12" s="1"/>
  <c r="D206" i="12" s="1"/>
  <c r="D207" i="12" s="1"/>
  <c r="C47" i="12" l="1"/>
  <c r="K46" i="12"/>
  <c r="B46" i="13" s="1"/>
  <c r="I193" i="12"/>
  <c r="D208" i="12"/>
  <c r="I166" i="12"/>
  <c r="K47" i="12" l="1"/>
  <c r="B47" i="13" s="1"/>
  <c r="C48" i="12"/>
  <c r="D209" i="12"/>
  <c r="D210" i="12" s="1"/>
  <c r="C49" i="12" l="1"/>
  <c r="K48" i="12"/>
  <c r="B48" i="13" s="1"/>
  <c r="D211" i="12"/>
  <c r="L24" i="11"/>
  <c r="K49" i="12" l="1"/>
  <c r="B49" i="13" s="1"/>
  <c r="C50" i="12"/>
  <c r="D212" i="12"/>
  <c r="D213" i="12" s="1"/>
  <c r="C51" i="12" l="1"/>
  <c r="K50" i="12"/>
  <c r="B50" i="13" s="1"/>
  <c r="D214" i="12"/>
  <c r="D215" i="12" s="1"/>
  <c r="D216" i="12" s="1"/>
  <c r="D217" i="12" s="1"/>
  <c r="D218" i="12" s="1"/>
  <c r="D219" i="12" s="1"/>
  <c r="D220" i="12" s="1"/>
  <c r="D221" i="12" s="1"/>
  <c r="D222" i="12" s="1"/>
  <c r="K51" i="12" l="1"/>
  <c r="B51" i="13" s="1"/>
  <c r="C52" i="12"/>
  <c r="D223" i="12"/>
  <c r="D224" i="12" s="1"/>
  <c r="D225" i="12" s="1"/>
  <c r="D226" i="12" s="1"/>
  <c r="K52" i="12" l="1"/>
  <c r="B52" i="13" s="1"/>
  <c r="C53" i="12"/>
  <c r="D227" i="12"/>
  <c r="D228" i="12" s="1"/>
  <c r="I207" i="12"/>
  <c r="K53" i="12" l="1"/>
  <c r="B53" i="13" s="1"/>
  <c r="C54" i="12"/>
  <c r="I224" i="12"/>
  <c r="D229" i="12"/>
  <c r="D230" i="12" s="1"/>
  <c r="D231" i="12" s="1"/>
  <c r="D232" i="12" s="1"/>
  <c r="D233" i="12" s="1"/>
  <c r="D234" i="12" s="1"/>
  <c r="D235" i="12" s="1"/>
  <c r="D236" i="12" s="1"/>
  <c r="D237" i="12" s="1"/>
  <c r="D238" i="12" s="1"/>
  <c r="D239" i="12" s="1"/>
  <c r="D240" i="12" s="1"/>
  <c r="D241" i="12" s="1"/>
  <c r="D242" i="12" s="1"/>
  <c r="D243" i="12" s="1"/>
  <c r="D244" i="12" s="1"/>
  <c r="D245" i="12" s="1"/>
  <c r="D246" i="12" s="1"/>
  <c r="D247" i="12" s="1"/>
  <c r="D248" i="12" s="1"/>
  <c r="D249" i="12" s="1"/>
  <c r="D250" i="12" s="1"/>
  <c r="D251" i="12" s="1"/>
  <c r="D252" i="12" s="1"/>
  <c r="D253" i="12" s="1"/>
  <c r="D254" i="12" s="1"/>
  <c r="D255" i="12" s="1"/>
  <c r="D256" i="12" s="1"/>
  <c r="D257" i="12" s="1"/>
  <c r="D258" i="12" s="1"/>
  <c r="D259" i="12" s="1"/>
  <c r="D260" i="12" s="1"/>
  <c r="D261" i="12" s="1"/>
  <c r="D262" i="12" s="1"/>
  <c r="D263" i="12" s="1"/>
  <c r="I118" i="12"/>
  <c r="K54" i="12" l="1"/>
  <c r="B54" i="13" s="1"/>
  <c r="C55" i="12"/>
  <c r="I228" i="12"/>
  <c r="I239" i="12"/>
  <c r="D264" i="12"/>
  <c r="D265" i="12" s="1"/>
  <c r="D266" i="12" s="1"/>
  <c r="D267" i="12" s="1"/>
  <c r="C56" i="12" l="1"/>
  <c r="K55" i="12"/>
  <c r="B55" i="13" s="1"/>
  <c r="D268" i="12"/>
  <c r="D269" i="12" s="1"/>
  <c r="D270" i="12" s="1"/>
  <c r="K56" i="12" l="1"/>
  <c r="B56" i="13" s="1"/>
  <c r="C57" i="12"/>
  <c r="I256" i="12"/>
  <c r="D271" i="12"/>
  <c r="D272" i="12" s="1"/>
  <c r="C58" i="12" l="1"/>
  <c r="K58" i="12" s="1"/>
  <c r="B58" i="13" s="1"/>
  <c r="K57" i="12"/>
  <c r="B57" i="13" s="1"/>
  <c r="D273" i="12"/>
  <c r="L27" i="11"/>
  <c r="D274" i="12" l="1"/>
  <c r="H39" i="12" s="1"/>
  <c r="B39" i="12" s="1"/>
  <c r="T39" i="12" s="1"/>
  <c r="U39" i="12" s="1"/>
  <c r="X207" i="12"/>
  <c r="H49" i="12" l="1"/>
  <c r="B49" i="12" s="1"/>
  <c r="T49" i="12" s="1"/>
  <c r="U49" i="12" s="1"/>
  <c r="I54" i="12"/>
  <c r="H54" i="12"/>
  <c r="H118" i="12"/>
  <c r="B118" i="12" s="1"/>
  <c r="H34" i="12"/>
  <c r="B34" i="12" s="1"/>
  <c r="T34" i="12" s="1"/>
  <c r="U34" i="12" s="1"/>
  <c r="H82" i="12"/>
  <c r="B82" i="12" s="1"/>
  <c r="I27" i="12"/>
  <c r="H27" i="12"/>
  <c r="I86" i="12"/>
  <c r="H86" i="12"/>
  <c r="I180" i="12"/>
  <c r="H180" i="12"/>
  <c r="I44" i="12"/>
  <c r="H44" i="12"/>
  <c r="I270" i="12"/>
  <c r="I20" i="12"/>
  <c r="H20" i="12"/>
  <c r="H75" i="12"/>
  <c r="B75" i="12" s="1"/>
  <c r="H14" i="12"/>
  <c r="B14" i="12" s="1"/>
  <c r="H144" i="12"/>
  <c r="B144" i="12" s="1"/>
  <c r="H166" i="12"/>
  <c r="B166" i="12" s="1"/>
  <c r="H228" i="12"/>
  <c r="B228" i="12" s="1"/>
  <c r="H256" i="12"/>
  <c r="B256" i="12" s="1"/>
  <c r="H59" i="12"/>
  <c r="B59" i="12" s="1"/>
  <c r="H270" i="12"/>
  <c r="H224" i="12"/>
  <c r="B224" i="12" s="1"/>
  <c r="H207" i="12"/>
  <c r="B207" i="12" s="1"/>
  <c r="H239" i="12"/>
  <c r="B239" i="12" s="1"/>
  <c r="H193" i="12"/>
  <c r="B193" i="12" s="1"/>
  <c r="H189" i="12"/>
  <c r="B189" i="12" s="1"/>
  <c r="O207" i="12"/>
  <c r="Y207" i="12"/>
  <c r="C207" i="13"/>
  <c r="B54" i="12" l="1"/>
  <c r="T54" i="12" s="1"/>
  <c r="U54" i="12" s="1"/>
  <c r="B27" i="12"/>
  <c r="T27" i="12" s="1"/>
  <c r="U27" i="12" s="1"/>
  <c r="B86" i="12"/>
  <c r="B270" i="12"/>
  <c r="B180" i="12"/>
  <c r="B44" i="12"/>
  <c r="T44" i="12" s="1"/>
  <c r="U44" i="12" s="1"/>
  <c r="B20" i="12"/>
  <c r="T20" i="12" s="1"/>
  <c r="U20" i="12" s="1"/>
  <c r="D207" i="13"/>
  <c r="X270" i="12" l="1"/>
  <c r="Y270" i="12" l="1"/>
  <c r="O270" i="12"/>
  <c r="C270" i="13" l="1"/>
  <c r="D270" i="13"/>
  <c r="C59" i="12" l="1"/>
  <c r="K59" i="12" l="1"/>
  <c r="B59" i="13" s="1"/>
  <c r="C60" i="12"/>
  <c r="K26" i="11"/>
  <c r="N24" i="11" s="1"/>
  <c r="K60" i="12" l="1"/>
  <c r="B60" i="13" s="1"/>
  <c r="C61" i="12"/>
  <c r="R26" i="11"/>
  <c r="W26" i="11"/>
  <c r="V26" i="11"/>
  <c r="Q26" i="11"/>
  <c r="AC26" i="11"/>
  <c r="S26" i="11"/>
  <c r="P26" i="11"/>
  <c r="T26" i="11"/>
  <c r="U26" i="11"/>
  <c r="K61" i="12" l="1"/>
  <c r="B61" i="13" s="1"/>
  <c r="C62" i="12"/>
  <c r="K29" i="11"/>
  <c r="N27" i="11" s="1"/>
  <c r="K62" i="12" l="1"/>
  <c r="B62" i="13" s="1"/>
  <c r="C63" i="12"/>
  <c r="V29" i="11"/>
  <c r="Q29" i="11"/>
  <c r="S29" i="11"/>
  <c r="W29" i="11"/>
  <c r="R29" i="11"/>
  <c r="AC29" i="11"/>
  <c r="U29" i="11"/>
  <c r="T29" i="11"/>
  <c r="P29" i="11"/>
  <c r="K63" i="12" l="1"/>
  <c r="B63" i="13" s="1"/>
  <c r="C64" i="12"/>
  <c r="C65" i="12" l="1"/>
  <c r="K64" i="12"/>
  <c r="B64" i="13" s="1"/>
  <c r="C66" i="12" l="1"/>
  <c r="K65" i="12"/>
  <c r="B65" i="13" s="1"/>
  <c r="C67" i="12" l="1"/>
  <c r="K66" i="12"/>
  <c r="B66" i="13" s="1"/>
  <c r="C68" i="12" l="1"/>
  <c r="K67" i="12"/>
  <c r="B67" i="13" s="1"/>
  <c r="K68" i="12" l="1"/>
  <c r="B68" i="13" s="1"/>
  <c r="C69" i="12"/>
  <c r="K69" i="12" l="1"/>
  <c r="B69" i="13" s="1"/>
  <c r="C70" i="12"/>
  <c r="L30" i="11"/>
  <c r="C71" i="12" l="1"/>
  <c r="C72" i="12" s="1"/>
  <c r="K72" i="12" s="1"/>
  <c r="B72" i="13" s="1"/>
  <c r="K70" i="12"/>
  <c r="B70" i="13" s="1"/>
  <c r="K71" i="12" l="1"/>
  <c r="B71" i="13" s="1"/>
  <c r="C73" i="12"/>
  <c r="C74" i="12" l="1"/>
  <c r="K73" i="12"/>
  <c r="B73" i="13" s="1"/>
  <c r="K74" i="12" l="1"/>
  <c r="B74" i="13" s="1"/>
  <c r="C75" i="12"/>
  <c r="C76" i="12" s="1"/>
  <c r="C77" i="12" s="1"/>
  <c r="K77" i="12" s="1"/>
  <c r="B77" i="13" s="1"/>
  <c r="C78" i="12" l="1"/>
  <c r="K76" i="12"/>
  <c r="B76" i="13" s="1"/>
  <c r="K75" i="12"/>
  <c r="B75" i="13" s="1"/>
  <c r="K78" i="12" l="1"/>
  <c r="B78" i="13" s="1"/>
  <c r="C79" i="12"/>
  <c r="C80" i="12" l="1"/>
  <c r="K79" i="12"/>
  <c r="B79" i="13" s="1"/>
  <c r="C81" i="12" l="1"/>
  <c r="K80" i="12"/>
  <c r="B80" i="13" s="1"/>
  <c r="K81" i="12" l="1"/>
  <c r="B81" i="13" s="1"/>
  <c r="C82" i="12"/>
  <c r="C83" i="12" l="1"/>
  <c r="K82" i="12"/>
  <c r="B82" i="13" s="1"/>
  <c r="C84" i="12" l="1"/>
  <c r="K83" i="12"/>
  <c r="B83" i="13" s="1"/>
  <c r="C85" i="12" l="1"/>
  <c r="K84" i="12"/>
  <c r="B84" i="13" s="1"/>
  <c r="K85" i="12" l="1"/>
  <c r="B85" i="13" s="1"/>
  <c r="C86" i="12" l="1"/>
  <c r="C87" i="12" l="1"/>
  <c r="K86" i="12"/>
  <c r="B86" i="13" s="1"/>
  <c r="L33" i="11"/>
  <c r="C88" i="12" l="1"/>
  <c r="K87" i="12"/>
  <c r="B87" i="13" s="1"/>
  <c r="K88" i="12" l="1"/>
  <c r="B88" i="13" s="1"/>
  <c r="C89" i="12"/>
  <c r="C90" i="12" l="1"/>
  <c r="K89" i="12"/>
  <c r="B89" i="13" s="1"/>
  <c r="K90" i="12" l="1"/>
  <c r="B90" i="13" s="1"/>
  <c r="C91" i="12"/>
  <c r="C92" i="12" l="1"/>
  <c r="K91" i="12"/>
  <c r="B91" i="13" s="1"/>
  <c r="K92" i="12" l="1"/>
  <c r="B92" i="13" s="1"/>
  <c r="C93" i="12" l="1"/>
  <c r="K93" i="12" l="1"/>
  <c r="B93" i="13" s="1"/>
  <c r="C94" i="12"/>
  <c r="K94" i="12" l="1"/>
  <c r="B94" i="13" s="1"/>
  <c r="C95" i="12"/>
  <c r="C96" i="12" l="1"/>
  <c r="K95" i="12"/>
  <c r="B95" i="13" s="1"/>
  <c r="C97" i="12" l="1"/>
  <c r="K96" i="12"/>
  <c r="B96" i="13" s="1"/>
  <c r="K97" i="12" l="1"/>
  <c r="B97" i="13" s="1"/>
  <c r="C98" i="12"/>
  <c r="K98" i="12" l="1"/>
  <c r="B98" i="13" s="1"/>
  <c r="C99" i="12"/>
  <c r="K99" i="12" l="1"/>
  <c r="B99" i="13" s="1"/>
  <c r="C100" i="12"/>
  <c r="K100" i="12" l="1"/>
  <c r="B100" i="13" s="1"/>
  <c r="C101" i="12"/>
  <c r="C102" i="12" l="1"/>
  <c r="C103" i="12" s="1"/>
  <c r="K101" i="12"/>
  <c r="B101" i="13" s="1"/>
  <c r="C104" i="12" l="1"/>
  <c r="K103" i="12"/>
  <c r="B103" i="13" s="1"/>
  <c r="K102" i="12"/>
  <c r="B102" i="13" s="1"/>
  <c r="L36" i="11"/>
  <c r="C105" i="12" l="1"/>
  <c r="C106" i="12" s="1"/>
  <c r="K104" i="12"/>
  <c r="B104" i="13" s="1"/>
  <c r="C107" i="12" l="1"/>
  <c r="K106" i="12"/>
  <c r="B106" i="13" s="1"/>
  <c r="K105" i="12"/>
  <c r="B105" i="13" s="1"/>
  <c r="C108" i="12" l="1"/>
  <c r="K107" i="12"/>
  <c r="B107" i="13" s="1"/>
  <c r="C109" i="12" l="1"/>
  <c r="C110" i="12" s="1"/>
  <c r="K108" i="12"/>
  <c r="B108" i="13" s="1"/>
  <c r="C111" i="12" l="1"/>
  <c r="K110" i="12"/>
  <c r="B110" i="13" s="1"/>
  <c r="K109" i="12"/>
  <c r="B109" i="13" s="1"/>
  <c r="C112" i="12" l="1"/>
  <c r="K111" i="12"/>
  <c r="B111" i="13" s="1"/>
  <c r="C113" i="12" l="1"/>
  <c r="K112" i="12"/>
  <c r="B112" i="13" s="1"/>
  <c r="C114" i="12" l="1"/>
  <c r="C115" i="12" s="1"/>
  <c r="K113" i="12"/>
  <c r="B113" i="13" s="1"/>
  <c r="K115" i="12" l="1"/>
  <c r="B115" i="13" s="1"/>
  <c r="C116" i="12"/>
  <c r="K114" i="12"/>
  <c r="B114" i="13" s="1"/>
  <c r="K116" i="12" l="1"/>
  <c r="B116" i="13" s="1"/>
  <c r="C117" i="12"/>
  <c r="K117" i="12" l="1"/>
  <c r="B117" i="13" s="1"/>
  <c r="C118" i="12" l="1"/>
  <c r="K118" i="12" l="1"/>
  <c r="B118" i="13" s="1"/>
  <c r="C119" i="12"/>
  <c r="C120" i="12" l="1"/>
  <c r="K119" i="12"/>
  <c r="B119" i="13" s="1"/>
  <c r="K120" i="12" l="1"/>
  <c r="B120" i="13" s="1"/>
  <c r="C121" i="12"/>
  <c r="C122" i="12" l="1"/>
  <c r="K121" i="12"/>
  <c r="B121" i="13" s="1"/>
  <c r="K122" i="12" l="1"/>
  <c r="B122" i="13" s="1"/>
  <c r="C123" i="12"/>
  <c r="C124" i="12" l="1"/>
  <c r="K123" i="12"/>
  <c r="B123" i="13" s="1"/>
  <c r="C125" i="12" l="1"/>
  <c r="K124" i="12"/>
  <c r="B124" i="13" s="1"/>
  <c r="K125" i="12" l="1"/>
  <c r="B125" i="13" s="1"/>
  <c r="C126" i="12"/>
  <c r="K126" i="12" l="1"/>
  <c r="B126" i="13" s="1"/>
  <c r="C127" i="12"/>
  <c r="L39" i="11"/>
  <c r="K127" i="12" l="1"/>
  <c r="B127" i="13" s="1"/>
  <c r="C128" i="12"/>
  <c r="C129" i="12" l="1"/>
  <c r="K128" i="12"/>
  <c r="B128" i="13" s="1"/>
  <c r="C130" i="12" l="1"/>
  <c r="K129" i="12"/>
  <c r="B129" i="13" s="1"/>
  <c r="K130" i="12" l="1"/>
  <c r="B130" i="13" s="1"/>
  <c r="C131" i="12"/>
  <c r="C132" i="12" l="1"/>
  <c r="K131" i="12"/>
  <c r="B131" i="13" s="1"/>
  <c r="C133" i="12" l="1"/>
  <c r="K132" i="12"/>
  <c r="B132" i="13" s="1"/>
  <c r="K133" i="12" l="1"/>
  <c r="B133" i="13" s="1"/>
  <c r="C134" i="12"/>
  <c r="K134" i="12" l="1"/>
  <c r="B134" i="13" s="1"/>
  <c r="C135" i="12"/>
  <c r="K135" i="12" l="1"/>
  <c r="B135" i="13" s="1"/>
  <c r="C136" i="12"/>
  <c r="K136" i="12" l="1"/>
  <c r="B136" i="13" s="1"/>
  <c r="C137" i="12"/>
  <c r="K137" i="12" l="1"/>
  <c r="B137" i="13" s="1"/>
  <c r="C138" i="12"/>
  <c r="K138" i="12" l="1"/>
  <c r="B138" i="13" s="1"/>
  <c r="C139" i="12"/>
  <c r="K139" i="12" l="1"/>
  <c r="B139" i="13" s="1"/>
  <c r="C140" i="12"/>
  <c r="K140" i="12" l="1"/>
  <c r="B140" i="13" s="1"/>
  <c r="C141" i="12"/>
  <c r="K141" i="12" l="1"/>
  <c r="B141" i="13" s="1"/>
  <c r="C142" i="12"/>
  <c r="C143" i="12" l="1"/>
  <c r="K142" i="12"/>
  <c r="B142" i="13" s="1"/>
  <c r="K143" i="12" l="1"/>
  <c r="B143" i="13" s="1"/>
  <c r="C144" i="12"/>
  <c r="K144" i="12" l="1"/>
  <c r="C145" i="12"/>
  <c r="L42" i="11"/>
  <c r="K145" i="12" l="1"/>
  <c r="B145" i="13" s="1"/>
  <c r="C146" i="12"/>
  <c r="L45" i="11"/>
  <c r="B144" i="13"/>
  <c r="K146" i="12" l="1"/>
  <c r="B146" i="13" s="1"/>
  <c r="C147" i="12"/>
  <c r="K147" i="12" l="1"/>
  <c r="B147" i="13" s="1"/>
  <c r="C148" i="12"/>
  <c r="C149" i="12" l="1"/>
  <c r="K148" i="12"/>
  <c r="B148" i="13" s="1"/>
  <c r="K149" i="12" l="1"/>
  <c r="B149" i="13" s="1"/>
  <c r="C150" i="12"/>
  <c r="K150" i="12" l="1"/>
  <c r="B150" i="13" s="1"/>
  <c r="C151" i="12"/>
  <c r="K151" i="12" l="1"/>
  <c r="B151" i="13" s="1"/>
  <c r="C152" i="12"/>
  <c r="C153" i="12" l="1"/>
  <c r="K152" i="12"/>
  <c r="B152" i="13" s="1"/>
  <c r="C154" i="12" l="1"/>
  <c r="K153" i="12"/>
  <c r="B153" i="13" s="1"/>
  <c r="K154" i="12" l="1"/>
  <c r="B154" i="13" s="1"/>
  <c r="C155" i="12"/>
  <c r="K155" i="12" l="1"/>
  <c r="B155" i="13" s="1"/>
  <c r="C156" i="12"/>
  <c r="C157" i="12" l="1"/>
  <c r="K156" i="12"/>
  <c r="B156" i="13" s="1"/>
  <c r="K157" i="12" l="1"/>
  <c r="B157" i="13" s="1"/>
  <c r="C158" i="12"/>
  <c r="K158" i="12" l="1"/>
  <c r="B158" i="13" s="1"/>
  <c r="C159" i="12"/>
  <c r="C160" i="12" l="1"/>
  <c r="K159" i="12"/>
  <c r="B159" i="13" s="1"/>
  <c r="C161" i="12" l="1"/>
  <c r="K160" i="12"/>
  <c r="B160" i="13" s="1"/>
  <c r="K161" i="12" l="1"/>
  <c r="B161" i="13" s="1"/>
  <c r="C162" i="12"/>
  <c r="K162" i="12" l="1"/>
  <c r="B162" i="13" s="1"/>
  <c r="C163" i="12"/>
  <c r="K163" i="12" l="1"/>
  <c r="B163" i="13" s="1"/>
  <c r="C164" i="12"/>
  <c r="C165" i="12" l="1"/>
  <c r="K164" i="12"/>
  <c r="B164" i="13" s="1"/>
  <c r="K165" i="12" l="1"/>
  <c r="B165" i="13" s="1"/>
  <c r="C166" i="12"/>
  <c r="C167" i="12" l="1"/>
  <c r="K166" i="12"/>
  <c r="L48" i="11" l="1"/>
  <c r="B166" i="13"/>
  <c r="C168" i="12"/>
  <c r="K167" i="12"/>
  <c r="B167" i="13" s="1"/>
  <c r="K168" i="12" l="1"/>
  <c r="B168" i="13" s="1"/>
  <c r="C169" i="12"/>
  <c r="C170" i="12" l="1"/>
  <c r="K169" i="12"/>
  <c r="B169" i="13" s="1"/>
  <c r="C171" i="12" l="1"/>
  <c r="K170" i="12"/>
  <c r="B170" i="13" s="1"/>
  <c r="K171" i="12" l="1"/>
  <c r="B171" i="13" s="1"/>
  <c r="C172" i="12"/>
  <c r="K172" i="12" l="1"/>
  <c r="B172" i="13" s="1"/>
  <c r="C173" i="12"/>
  <c r="K173" i="12" l="1"/>
  <c r="B173" i="13" s="1"/>
  <c r="C174" i="12"/>
  <c r="C175" i="12" l="1"/>
  <c r="K174" i="12"/>
  <c r="B174" i="13" s="1"/>
  <c r="C176" i="12" l="1"/>
  <c r="K175" i="12"/>
  <c r="B175" i="13" s="1"/>
  <c r="K176" i="12" l="1"/>
  <c r="B176" i="13" s="1"/>
  <c r="C177" i="12"/>
  <c r="K177" i="12" l="1"/>
  <c r="B177" i="13" s="1"/>
  <c r="C178" i="12"/>
  <c r="K178" i="12" l="1"/>
  <c r="B178" i="13" s="1"/>
  <c r="C179" i="12"/>
  <c r="K179" i="12" l="1"/>
  <c r="B179" i="13" s="1"/>
  <c r="C180" i="12"/>
  <c r="K180" i="12" l="1"/>
  <c r="C181" i="12"/>
  <c r="C182" i="12" l="1"/>
  <c r="K181" i="12"/>
  <c r="B181" i="13" s="1"/>
  <c r="L51" i="11"/>
  <c r="B180" i="13"/>
  <c r="K182" i="12" l="1"/>
  <c r="B182" i="13" s="1"/>
  <c r="C183" i="12"/>
  <c r="C184" i="12" l="1"/>
  <c r="K183" i="12"/>
  <c r="B183" i="13" s="1"/>
  <c r="K184" i="12" l="1"/>
  <c r="B184" i="13" s="1"/>
  <c r="C185" i="12"/>
  <c r="K185" i="12" l="1"/>
  <c r="B185" i="13" s="1"/>
  <c r="C186" i="12"/>
  <c r="C187" i="12" l="1"/>
  <c r="K186" i="12"/>
  <c r="B186" i="13" s="1"/>
  <c r="K187" i="12" l="1"/>
  <c r="B187" i="13" s="1"/>
  <c r="C188" i="12"/>
  <c r="K188" i="12" l="1"/>
  <c r="B188" i="13" s="1"/>
  <c r="C189" i="12"/>
  <c r="K189" i="12" l="1"/>
  <c r="C190" i="12"/>
  <c r="C191" i="12" l="1"/>
  <c r="K190" i="12"/>
  <c r="B190" i="13" s="1"/>
  <c r="L54" i="11"/>
  <c r="B189" i="13"/>
  <c r="K191" i="12" l="1"/>
  <c r="B191" i="13" s="1"/>
  <c r="C192" i="12"/>
  <c r="K192" i="12" l="1"/>
  <c r="B192" i="13" s="1"/>
  <c r="C193" i="12"/>
  <c r="K193" i="12" l="1"/>
  <c r="C194" i="12"/>
  <c r="K194" i="12" l="1"/>
  <c r="B194" i="13" s="1"/>
  <c r="C195" i="12"/>
  <c r="B193" i="13"/>
  <c r="L57" i="11"/>
  <c r="K195" i="12" l="1"/>
  <c r="B195" i="13" s="1"/>
  <c r="C196" i="12"/>
  <c r="K196" i="12" l="1"/>
  <c r="B196" i="13" s="1"/>
  <c r="C197" i="12"/>
  <c r="C198" i="12" l="1"/>
  <c r="K197" i="12"/>
  <c r="B197" i="13" s="1"/>
  <c r="C199" i="12" l="1"/>
  <c r="K198" i="12"/>
  <c r="B198" i="13" s="1"/>
  <c r="K199" i="12" l="1"/>
  <c r="B199" i="13" s="1"/>
  <c r="C200" i="12"/>
  <c r="C201" i="12" l="1"/>
  <c r="K200" i="12"/>
  <c r="B200" i="13" s="1"/>
  <c r="C202" i="12" l="1"/>
  <c r="K201" i="12"/>
  <c r="B201" i="13" s="1"/>
  <c r="K202" i="12" l="1"/>
  <c r="B202" i="13" s="1"/>
  <c r="C203" i="12"/>
  <c r="K203" i="12" l="1"/>
  <c r="B203" i="13" s="1"/>
  <c r="C204" i="12"/>
  <c r="K204" i="12" l="1"/>
  <c r="B204" i="13" s="1"/>
  <c r="C205" i="12"/>
  <c r="K205" i="12" l="1"/>
  <c r="B205" i="13" s="1"/>
  <c r="C206" i="12"/>
  <c r="K206" i="12" l="1"/>
  <c r="B206" i="13" s="1"/>
  <c r="C207" i="12"/>
  <c r="K207" i="12" l="1"/>
  <c r="C208" i="12"/>
  <c r="C209" i="12" l="1"/>
  <c r="K208" i="12"/>
  <c r="B208" i="13" s="1"/>
  <c r="L60" i="11"/>
  <c r="B207" i="13"/>
  <c r="K209" i="12" l="1"/>
  <c r="B209" i="13" s="1"/>
  <c r="C210" i="12"/>
  <c r="C211" i="12" l="1"/>
  <c r="K210" i="12"/>
  <c r="B210" i="13" s="1"/>
  <c r="K211" i="12" l="1"/>
  <c r="B211" i="13" s="1"/>
  <c r="C212" i="12"/>
  <c r="K212" i="12" l="1"/>
  <c r="B212" i="13" s="1"/>
  <c r="C213" i="12"/>
  <c r="K213" i="12" l="1"/>
  <c r="B213" i="13" s="1"/>
  <c r="C214" i="12"/>
  <c r="C215" i="12" l="1"/>
  <c r="K214" i="12"/>
  <c r="B214" i="13" s="1"/>
  <c r="C216" i="12" l="1"/>
  <c r="K215" i="12"/>
  <c r="B215" i="13" s="1"/>
  <c r="C217" i="12" l="1"/>
  <c r="K216" i="12"/>
  <c r="B216" i="13" s="1"/>
  <c r="K217" i="12" l="1"/>
  <c r="B217" i="13" s="1"/>
  <c r="C218" i="12"/>
  <c r="K218" i="12" l="1"/>
  <c r="B218" i="13" s="1"/>
  <c r="C219" i="12"/>
  <c r="K219" i="12" l="1"/>
  <c r="B219" i="13" s="1"/>
  <c r="C220" i="12"/>
  <c r="K220" i="12" l="1"/>
  <c r="B220" i="13" s="1"/>
  <c r="C221" i="12"/>
  <c r="K221" i="12" l="1"/>
  <c r="B221" i="13" s="1"/>
  <c r="C222" i="12"/>
  <c r="C223" i="12" l="1"/>
  <c r="K222" i="12"/>
  <c r="B222" i="13" s="1"/>
  <c r="C224" i="12" l="1"/>
  <c r="K223" i="12"/>
  <c r="B223" i="13" s="1"/>
  <c r="C225" i="12" l="1"/>
  <c r="K224" i="12"/>
  <c r="L78" i="11" s="1"/>
  <c r="B224" i="13" l="1"/>
  <c r="L63" i="11"/>
  <c r="C226" i="12"/>
  <c r="C227" i="12" s="1"/>
  <c r="K225" i="12"/>
  <c r="B225" i="13" s="1"/>
  <c r="K227" i="12" l="1"/>
  <c r="B227" i="13" s="1"/>
  <c r="K226" i="12"/>
  <c r="B226" i="13" s="1"/>
  <c r="C228" i="12" l="1"/>
  <c r="K228" i="12" s="1"/>
  <c r="L81" i="11" s="1"/>
  <c r="C229" i="12" l="1"/>
  <c r="K229" i="12" s="1"/>
  <c r="B229" i="13" s="1"/>
  <c r="B228" i="13"/>
  <c r="L66" i="11"/>
  <c r="C230" i="12" l="1"/>
  <c r="K230" i="12" s="1"/>
  <c r="B230" i="13" s="1"/>
  <c r="C231" i="12" l="1"/>
  <c r="K231" i="12" s="1"/>
  <c r="B231" i="13" s="1"/>
  <c r="C232" i="12" l="1"/>
  <c r="C233" i="12" s="1"/>
  <c r="K232" i="12" l="1"/>
  <c r="B232" i="13" s="1"/>
  <c r="C234" i="12"/>
  <c r="K233" i="12"/>
  <c r="B233" i="13" s="1"/>
  <c r="C235" i="12" l="1"/>
  <c r="K234" i="12"/>
  <c r="B234" i="13" s="1"/>
  <c r="K235" i="12" l="1"/>
  <c r="B235" i="13" s="1"/>
  <c r="C236" i="12"/>
  <c r="C237" i="12" l="1"/>
  <c r="K236" i="12"/>
  <c r="B236" i="13" s="1"/>
  <c r="C238" i="12" l="1"/>
  <c r="K237" i="12"/>
  <c r="B237" i="13" s="1"/>
  <c r="C239" i="12" l="1"/>
  <c r="K238" i="12"/>
  <c r="B238" i="13" s="1"/>
  <c r="C240" i="12" l="1"/>
  <c r="K239" i="12"/>
  <c r="L84" i="11" s="1"/>
  <c r="L69" i="11" l="1"/>
  <c r="B239" i="13"/>
  <c r="K240" i="12"/>
  <c r="B240" i="13" s="1"/>
  <c r="C241" i="12"/>
  <c r="C242" i="12" l="1"/>
  <c r="K241" i="12"/>
  <c r="B241" i="13" s="1"/>
  <c r="C243" i="12" l="1"/>
  <c r="K242" i="12"/>
  <c r="B242" i="13" s="1"/>
  <c r="C244" i="12" l="1"/>
  <c r="K243" i="12"/>
  <c r="B243" i="13" s="1"/>
  <c r="C245" i="12" l="1"/>
  <c r="K244" i="12"/>
  <c r="B244" i="13" s="1"/>
  <c r="C246" i="12" l="1"/>
  <c r="K245" i="12"/>
  <c r="B245" i="13" s="1"/>
  <c r="C247" i="12" l="1"/>
  <c r="K246" i="12"/>
  <c r="B246" i="13" s="1"/>
  <c r="K247" i="12" l="1"/>
  <c r="B247" i="13" s="1"/>
  <c r="C248" i="12"/>
  <c r="K248" i="12" l="1"/>
  <c r="B248" i="13" s="1"/>
  <c r="C249" i="12"/>
  <c r="K249" i="12" l="1"/>
  <c r="B249" i="13" s="1"/>
  <c r="C250" i="12"/>
  <c r="C251" i="12" l="1"/>
  <c r="K250" i="12"/>
  <c r="B250" i="13" s="1"/>
  <c r="K251" i="12" l="1"/>
  <c r="B251" i="13" s="1"/>
  <c r="C252" i="12"/>
  <c r="K252" i="12" l="1"/>
  <c r="B252" i="13" s="1"/>
  <c r="C253" i="12"/>
  <c r="C254" i="12" l="1"/>
  <c r="K253" i="12"/>
  <c r="B253" i="13" s="1"/>
  <c r="K254" i="12" l="1"/>
  <c r="B254" i="13" s="1"/>
  <c r="C255" i="12"/>
  <c r="C256" i="12" l="1"/>
  <c r="K255" i="12"/>
  <c r="B255" i="13" s="1"/>
  <c r="K256" i="12" l="1"/>
  <c r="L87" i="11" s="1"/>
  <c r="C257" i="12"/>
  <c r="C258" i="12" l="1"/>
  <c r="K257" i="12"/>
  <c r="B257" i="13" s="1"/>
  <c r="L72" i="11"/>
  <c r="B256" i="13"/>
  <c r="C259" i="12" l="1"/>
  <c r="K258" i="12"/>
  <c r="B258" i="13" s="1"/>
  <c r="K259" i="12" l="1"/>
  <c r="B259" i="13" s="1"/>
  <c r="C260" i="12"/>
  <c r="K260" i="12" l="1"/>
  <c r="B260" i="13" s="1"/>
  <c r="C261" i="12"/>
  <c r="C262" i="12" l="1"/>
  <c r="K261" i="12"/>
  <c r="B261" i="13" s="1"/>
  <c r="K262" i="12" l="1"/>
  <c r="B262" i="13" s="1"/>
  <c r="C263" i="12"/>
  <c r="C264" i="12" l="1"/>
  <c r="K263" i="12"/>
  <c r="B263" i="13" s="1"/>
  <c r="C265" i="12" l="1"/>
  <c r="K264" i="12"/>
  <c r="B264" i="13" s="1"/>
  <c r="K265" i="12" l="1"/>
  <c r="B265" i="13" s="1"/>
  <c r="C266" i="12"/>
  <c r="K266" i="12" l="1"/>
  <c r="B266" i="13" s="1"/>
  <c r="C267" i="12"/>
  <c r="C268" i="12" l="1"/>
  <c r="K267" i="12"/>
  <c r="B267" i="13" s="1"/>
  <c r="K268" i="12" l="1"/>
  <c r="B268" i="13" s="1"/>
  <c r="C269" i="12"/>
  <c r="C270" i="12" l="1"/>
  <c r="K269" i="12"/>
  <c r="B269" i="13" s="1"/>
  <c r="C271" i="12" l="1"/>
  <c r="K270" i="12"/>
  <c r="L90" i="11" s="1"/>
  <c r="L75" i="11" l="1"/>
  <c r="B270" i="13"/>
  <c r="C272" i="12"/>
  <c r="K271" i="12"/>
  <c r="B271" i="13" s="1"/>
  <c r="C273" i="12" l="1"/>
  <c r="K272" i="12"/>
  <c r="B272" i="13" s="1"/>
  <c r="X87" i="12"/>
  <c r="X175" i="12"/>
  <c r="X186" i="12"/>
  <c r="X187" i="12"/>
  <c r="X185" i="12"/>
  <c r="X101" i="12"/>
  <c r="X135" i="12"/>
  <c r="X161" i="12"/>
  <c r="X133" i="12"/>
  <c r="X139" i="12"/>
  <c r="X188" i="12"/>
  <c r="X107" i="12"/>
  <c r="X141" i="12"/>
  <c r="X160" i="12"/>
  <c r="X100" i="12"/>
  <c r="X110" i="12"/>
  <c r="X126" i="12"/>
  <c r="X112" i="12"/>
  <c r="X119" i="12"/>
  <c r="X266" i="12"/>
  <c r="X217" i="12"/>
  <c r="X214" i="12"/>
  <c r="X201" i="12"/>
  <c r="X274" i="12"/>
  <c r="X159" i="12"/>
  <c r="X221" i="12"/>
  <c r="X253" i="12"/>
  <c r="X252" i="12"/>
  <c r="X153" i="12"/>
  <c r="X154" i="12"/>
  <c r="X248" i="12"/>
  <c r="X120" i="12"/>
  <c r="X242" i="12"/>
  <c r="X184" i="12"/>
  <c r="X264" i="12"/>
  <c r="X263" i="12"/>
  <c r="X196" i="12"/>
  <c r="X149" i="12"/>
  <c r="X195" i="12"/>
  <c r="X235" i="12"/>
  <c r="X178" i="12"/>
  <c r="X177" i="12"/>
  <c r="X236" i="12"/>
  <c r="X172" i="12"/>
  <c r="X190" i="12"/>
  <c r="X173" i="12"/>
  <c r="X208" i="12"/>
  <c r="X194" i="12"/>
  <c r="X71" i="12"/>
  <c r="X267" i="12"/>
  <c r="X93" i="12"/>
  <c r="X90" i="12"/>
  <c r="X232" i="12"/>
  <c r="X176" i="12"/>
  <c r="X183" i="12"/>
  <c r="X198" i="12"/>
  <c r="X244" i="12"/>
  <c r="X206" i="12"/>
  <c r="X250" i="12"/>
  <c r="X222" i="12"/>
  <c r="X170" i="12"/>
  <c r="X69" i="12"/>
  <c r="X261" i="12"/>
  <c r="X168" i="12"/>
  <c r="X104" i="12"/>
  <c r="X121" i="12"/>
  <c r="X123" i="12"/>
  <c r="X96" i="12"/>
  <c r="X113" i="12"/>
  <c r="X94" i="12"/>
  <c r="X145" i="12"/>
  <c r="X156" i="12"/>
  <c r="X246" i="12"/>
  <c r="X220" i="12"/>
  <c r="X182" i="12"/>
  <c r="X18" i="12"/>
  <c r="X241" i="12"/>
  <c r="X85" i="12"/>
  <c r="X262" i="12"/>
  <c r="X258" i="12"/>
  <c r="X62" i="12"/>
  <c r="X237" i="12"/>
  <c r="X229" i="12"/>
  <c r="X191" i="12"/>
  <c r="X174" i="12"/>
  <c r="X111" i="12"/>
  <c r="X95" i="12"/>
  <c r="X131" i="12"/>
  <c r="X77" i="12"/>
  <c r="X163" i="12"/>
  <c r="X136" i="12"/>
  <c r="X268" i="12"/>
  <c r="X103" i="12"/>
  <c r="X72" i="12"/>
  <c r="X129" i="12"/>
  <c r="X132" i="12"/>
  <c r="X106" i="12"/>
  <c r="X140" i="12"/>
  <c r="X97" i="12"/>
  <c r="X238" i="12"/>
  <c r="X247" i="12"/>
  <c r="X16" i="12"/>
  <c r="X273" i="12"/>
  <c r="X210" i="12"/>
  <c r="X157" i="12"/>
  <c r="X78" i="12"/>
  <c r="X76" i="12"/>
  <c r="X158" i="12"/>
  <c r="X202" i="12"/>
  <c r="X80" i="12"/>
  <c r="X199" i="12"/>
  <c r="X152" i="12"/>
  <c r="X150" i="12"/>
  <c r="X240" i="12"/>
  <c r="X204" i="12"/>
  <c r="X17" i="12"/>
  <c r="X147" i="12"/>
  <c r="X84" i="12"/>
  <c r="X243" i="12"/>
  <c r="X155" i="12"/>
  <c r="X63" i="12"/>
  <c r="X230" i="12"/>
  <c r="X171" i="12"/>
  <c r="X88" i="12"/>
  <c r="X65" i="12"/>
  <c r="X66" i="12"/>
  <c r="X92" i="12"/>
  <c r="X225" i="12"/>
  <c r="X272" i="12"/>
  <c r="X259" i="12"/>
  <c r="X73" i="12"/>
  <c r="X60" i="12"/>
  <c r="X67" i="12"/>
  <c r="X169" i="12"/>
  <c r="X79" i="12"/>
  <c r="X83" i="12"/>
  <c r="X219" i="12"/>
  <c r="X205" i="12"/>
  <c r="X164" i="12"/>
  <c r="X179" i="12"/>
  <c r="X192" i="12"/>
  <c r="X64" i="12"/>
  <c r="X211" i="12"/>
  <c r="X231" i="12"/>
  <c r="X89" i="12"/>
  <c r="X122" i="12"/>
  <c r="X125" i="12"/>
  <c r="X143" i="12"/>
  <c r="X105" i="12"/>
  <c r="X98" i="12"/>
  <c r="X213" i="12"/>
  <c r="X200" i="12"/>
  <c r="X68" i="12"/>
  <c r="X15" i="12"/>
  <c r="X249" i="12"/>
  <c r="X81" i="12"/>
  <c r="X255" i="12"/>
  <c r="X19" i="12"/>
  <c r="X254" i="12"/>
  <c r="X257" i="12"/>
  <c r="X226" i="12"/>
  <c r="X234" i="12"/>
  <c r="X70" i="12"/>
  <c r="X61" i="12"/>
  <c r="X108" i="12"/>
  <c r="X142" i="12"/>
  <c r="X127" i="12"/>
  <c r="X130" i="12"/>
  <c r="X109" i="12"/>
  <c r="X128" i="12"/>
  <c r="X114" i="12"/>
  <c r="X99" i="12"/>
  <c r="X134" i="12"/>
  <c r="X269" i="12"/>
  <c r="X162" i="12"/>
  <c r="X102" i="12"/>
  <c r="X137" i="12"/>
  <c r="X216" i="12"/>
  <c r="X146" i="12"/>
  <c r="X165" i="12"/>
  <c r="X74" i="12"/>
  <c r="X251" i="12"/>
  <c r="X245" i="12"/>
  <c r="X223" i="12"/>
  <c r="X181" i="12"/>
  <c r="X209" i="12"/>
  <c r="X203" i="12"/>
  <c r="X215" i="12"/>
  <c r="X148" i="12"/>
  <c r="X212" i="12"/>
  <c r="X91" i="12"/>
  <c r="X260" i="12"/>
  <c r="X138" i="12"/>
  <c r="X124" i="12"/>
  <c r="X265" i="12"/>
  <c r="X218" i="12"/>
  <c r="X151" i="12"/>
  <c r="X197" i="12"/>
  <c r="X167" i="12"/>
  <c r="X271" i="12"/>
  <c r="X233" i="12"/>
  <c r="Q233" i="12"/>
  <c r="N271" i="12"/>
  <c r="Q167" i="12"/>
  <c r="O197" i="12"/>
  <c r="N151" i="12"/>
  <c r="Q218" i="12"/>
  <c r="O265" i="12"/>
  <c r="Y124" i="12"/>
  <c r="O138" i="12"/>
  <c r="Q260" i="12"/>
  <c r="N91" i="12"/>
  <c r="O212" i="12"/>
  <c r="Q148" i="12"/>
  <c r="Y215" i="12"/>
  <c r="Q203" i="12"/>
  <c r="Y209" i="12"/>
  <c r="Y181" i="12"/>
  <c r="N223" i="12"/>
  <c r="O245" i="12"/>
  <c r="N251" i="12"/>
  <c r="O74" i="12"/>
  <c r="O165" i="12"/>
  <c r="O146" i="12"/>
  <c r="Q216" i="12"/>
  <c r="Y137" i="12"/>
  <c r="O102" i="12"/>
  <c r="N162" i="12"/>
  <c r="N269" i="12"/>
  <c r="O134" i="12"/>
  <c r="O99" i="12"/>
  <c r="O114" i="12"/>
  <c r="O128" i="12"/>
  <c r="N109" i="12"/>
  <c r="O130" i="12"/>
  <c r="O127" i="12"/>
  <c r="Q142" i="12"/>
  <c r="Y108" i="12"/>
  <c r="N61" i="12"/>
  <c r="Y70" i="12"/>
  <c r="Y234" i="12"/>
  <c r="N226" i="12"/>
  <c r="O257" i="12"/>
  <c r="N254" i="12"/>
  <c r="Q19" i="12"/>
  <c r="Y255" i="12"/>
  <c r="N81" i="12"/>
  <c r="O249" i="12"/>
  <c r="Y15" i="12"/>
  <c r="Q68" i="12"/>
  <c r="N200" i="12"/>
  <c r="Q213" i="12"/>
  <c r="N98" i="12"/>
  <c r="O105" i="12"/>
  <c r="O143" i="12"/>
  <c r="N125" i="12"/>
  <c r="Q122" i="12"/>
  <c r="Y89" i="12"/>
  <c r="Q231" i="12"/>
  <c r="N211" i="12"/>
  <c r="Y64" i="12"/>
  <c r="Q192" i="12"/>
  <c r="N179" i="12"/>
  <c r="Q164" i="12"/>
  <c r="O205" i="12"/>
  <c r="Y219" i="12"/>
  <c r="N83" i="12"/>
  <c r="N79" i="12"/>
  <c r="Q169" i="12"/>
  <c r="Y67" i="12"/>
  <c r="N60" i="12"/>
  <c r="O73" i="12"/>
  <c r="O259" i="12"/>
  <c r="Q272" i="12"/>
  <c r="Y225" i="12"/>
  <c r="O92" i="12"/>
  <c r="Q66" i="12"/>
  <c r="N65" i="12"/>
  <c r="N88" i="12"/>
  <c r="Q171" i="12"/>
  <c r="N230" i="12"/>
  <c r="N63" i="12"/>
  <c r="N155" i="12"/>
  <c r="Q243" i="12"/>
  <c r="N84" i="12"/>
  <c r="Y147" i="12"/>
  <c r="O17" i="12"/>
  <c r="O204" i="12"/>
  <c r="Q240" i="12"/>
  <c r="N150" i="12"/>
  <c r="Q152" i="12"/>
  <c r="Q199" i="12"/>
  <c r="N80" i="12"/>
  <c r="O202" i="12"/>
  <c r="O158" i="12"/>
  <c r="O76" i="12"/>
  <c r="O78" i="12"/>
  <c r="N157" i="12"/>
  <c r="O210" i="12"/>
  <c r="O273" i="12"/>
  <c r="O16" i="12"/>
  <c r="N247" i="12"/>
  <c r="O238" i="12"/>
  <c r="O97" i="12"/>
  <c r="N140" i="12"/>
  <c r="N106" i="12"/>
  <c r="N132" i="12"/>
  <c r="N129" i="12"/>
  <c r="O72" i="12"/>
  <c r="N103" i="12"/>
  <c r="O268" i="12"/>
  <c r="Q136" i="12"/>
  <c r="Y163" i="12"/>
  <c r="O77" i="12"/>
  <c r="Q131" i="12"/>
  <c r="O95" i="12"/>
  <c r="N111" i="12"/>
  <c r="Y174" i="12"/>
  <c r="N191" i="12"/>
  <c r="Q229" i="12"/>
  <c r="Y237" i="12"/>
  <c r="O62" i="12"/>
  <c r="O258" i="12"/>
  <c r="Q262" i="12"/>
  <c r="O85" i="12"/>
  <c r="O241" i="12"/>
  <c r="Y18" i="12"/>
  <c r="O182" i="12"/>
  <c r="Y220" i="12"/>
  <c r="O233" i="12"/>
  <c r="Y271" i="12"/>
  <c r="O167" i="12"/>
  <c r="N197" i="12"/>
  <c r="Y151" i="12"/>
  <c r="Y218" i="12"/>
  <c r="Q265" i="12"/>
  <c r="Q124" i="12"/>
  <c r="Y138" i="12"/>
  <c r="O260" i="12"/>
  <c r="Q91" i="12"/>
  <c r="N212" i="12"/>
  <c r="O148" i="12"/>
  <c r="Q215" i="12"/>
  <c r="O203" i="12"/>
  <c r="N209" i="12"/>
  <c r="N181" i="12"/>
  <c r="O223" i="12"/>
  <c r="Q245" i="12"/>
  <c r="Q251" i="12"/>
  <c r="N74" i="12"/>
  <c r="Q165" i="12"/>
  <c r="N146" i="12"/>
  <c r="Y216" i="12"/>
  <c r="N137" i="12"/>
  <c r="N102" i="12"/>
  <c r="O162" i="12"/>
  <c r="Y269" i="12"/>
  <c r="Y134" i="12"/>
  <c r="Y99" i="12"/>
  <c r="N114" i="12"/>
  <c r="Q128" i="12"/>
  <c r="Q109" i="12"/>
  <c r="N130" i="12"/>
  <c r="N127" i="12"/>
  <c r="O142" i="12"/>
  <c r="N108" i="12"/>
  <c r="O61" i="12"/>
  <c r="N70" i="12"/>
  <c r="Q234" i="12"/>
  <c r="Y226" i="12"/>
  <c r="Q257" i="12"/>
  <c r="Q254" i="12"/>
  <c r="O19" i="12"/>
  <c r="N255" i="12"/>
  <c r="Y81" i="12"/>
  <c r="N249" i="12"/>
  <c r="N15" i="12"/>
  <c r="Y68" i="12"/>
  <c r="O200" i="12"/>
  <c r="Y213" i="12"/>
  <c r="O98" i="12"/>
  <c r="N105" i="12"/>
  <c r="Q143" i="12"/>
  <c r="O125" i="12"/>
  <c r="Y122" i="12"/>
  <c r="Q89" i="12"/>
  <c r="O231" i="12"/>
  <c r="O211" i="12"/>
  <c r="Q64" i="12"/>
  <c r="O192" i="12"/>
  <c r="O179" i="12"/>
  <c r="O164" i="12"/>
  <c r="Y205" i="12"/>
  <c r="N219" i="12"/>
  <c r="O83" i="12"/>
  <c r="Y79" i="12"/>
  <c r="Y169" i="12"/>
  <c r="Q67" i="12"/>
  <c r="O60" i="12"/>
  <c r="N73" i="12"/>
  <c r="N259" i="12"/>
  <c r="O272" i="12"/>
  <c r="Q225" i="12"/>
  <c r="Y92" i="12"/>
  <c r="O66" i="12"/>
  <c r="O65" i="12"/>
  <c r="Y88" i="12"/>
  <c r="O171" i="12"/>
  <c r="Y230" i="12"/>
  <c r="O63" i="12"/>
  <c r="Y155" i="12"/>
  <c r="Y243" i="12"/>
  <c r="Y84" i="12"/>
  <c r="Q147" i="12"/>
  <c r="Y17" i="12"/>
  <c r="Q204" i="12"/>
  <c r="N240" i="12"/>
  <c r="Q150" i="12"/>
  <c r="Y152" i="12"/>
  <c r="N199" i="12"/>
  <c r="O80" i="12"/>
  <c r="N202" i="12"/>
  <c r="Q158" i="12"/>
  <c r="N76" i="12"/>
  <c r="Y78" i="12"/>
  <c r="Y157" i="12"/>
  <c r="Y210" i="12"/>
  <c r="Y273" i="12"/>
  <c r="Q16" i="12"/>
  <c r="Q247" i="12"/>
  <c r="Y238" i="12"/>
  <c r="Q97" i="12"/>
  <c r="Q140" i="12"/>
  <c r="O106" i="12"/>
  <c r="Y132" i="12"/>
  <c r="Y129" i="12"/>
  <c r="N72" i="12"/>
  <c r="O103" i="12"/>
  <c r="N268" i="12"/>
  <c r="O136" i="12"/>
  <c r="N163" i="12"/>
  <c r="N77" i="12"/>
  <c r="N131" i="12"/>
  <c r="N95" i="12"/>
  <c r="Q111" i="12"/>
  <c r="Q174" i="12"/>
  <c r="Q191" i="12"/>
  <c r="N229" i="12"/>
  <c r="Q237" i="12"/>
  <c r="Y62" i="12"/>
  <c r="Y258" i="12"/>
  <c r="O262" i="12"/>
  <c r="Y85" i="12"/>
  <c r="N241" i="12"/>
  <c r="N18" i="12"/>
  <c r="Y182" i="12"/>
  <c r="N220" i="12"/>
  <c r="N233" i="12"/>
  <c r="O271" i="12"/>
  <c r="N167" i="12"/>
  <c r="Q197" i="12"/>
  <c r="O151" i="12"/>
  <c r="O218" i="12"/>
  <c r="Y265" i="12"/>
  <c r="N124" i="12"/>
  <c r="Q138" i="12"/>
  <c r="Y260" i="12"/>
  <c r="Y91" i="12"/>
  <c r="Q212" i="12"/>
  <c r="Y148" i="12"/>
  <c r="O215" i="12"/>
  <c r="N203" i="12"/>
  <c r="Q209" i="12"/>
  <c r="Q181" i="12"/>
  <c r="Q223" i="12"/>
  <c r="Y245" i="12"/>
  <c r="Y251" i="12"/>
  <c r="Y74" i="12"/>
  <c r="N165" i="12"/>
  <c r="Q146" i="12"/>
  <c r="O216" i="12"/>
  <c r="Q137" i="12"/>
  <c r="Y102" i="12"/>
  <c r="Y162" i="12"/>
  <c r="Q269" i="12"/>
  <c r="Q134" i="12"/>
  <c r="Q99" i="12"/>
  <c r="Q114" i="12"/>
  <c r="Y128" i="12"/>
  <c r="Y109" i="12"/>
  <c r="Y130" i="12"/>
  <c r="Q127" i="12"/>
  <c r="N142" i="12"/>
  <c r="O108" i="12"/>
  <c r="Q61" i="12"/>
  <c r="O70" i="12"/>
  <c r="O234" i="12"/>
  <c r="Q226" i="12"/>
  <c r="N257" i="12"/>
  <c r="O254" i="12"/>
  <c r="Y19" i="12"/>
  <c r="O255" i="12"/>
  <c r="O81" i="12"/>
  <c r="Y249" i="12"/>
  <c r="Q15" i="12"/>
  <c r="O68" i="12"/>
  <c r="Y200" i="12"/>
  <c r="N213" i="12"/>
  <c r="Y98" i="12"/>
  <c r="Q105" i="12"/>
  <c r="N143" i="12"/>
  <c r="Y125" i="12"/>
  <c r="N122" i="12"/>
  <c r="O89" i="12"/>
  <c r="Y231" i="12"/>
  <c r="Y211" i="12"/>
  <c r="N64" i="12"/>
  <c r="N192" i="12"/>
  <c r="Q179" i="12"/>
  <c r="N164" i="12"/>
  <c r="Q205" i="12"/>
  <c r="O219" i="12"/>
  <c r="Y83" i="12"/>
  <c r="Q79" i="12"/>
  <c r="N169" i="12"/>
  <c r="N67" i="12"/>
  <c r="Y60" i="12"/>
  <c r="Y73" i="12"/>
  <c r="Q259" i="12"/>
  <c r="Y272" i="12"/>
  <c r="O225" i="12"/>
  <c r="Q92" i="12"/>
  <c r="N66" i="12"/>
  <c r="Y65" i="12"/>
  <c r="Q88" i="12"/>
  <c r="Y171" i="12"/>
  <c r="O230" i="12"/>
  <c r="Y63" i="12"/>
  <c r="Q155" i="12"/>
  <c r="N243" i="12"/>
  <c r="O84" i="12"/>
  <c r="O147" i="12"/>
  <c r="Q17" i="12"/>
  <c r="Y204" i="12"/>
  <c r="O240" i="12"/>
  <c r="O150" i="12"/>
  <c r="O152" i="12"/>
  <c r="Y199" i="12"/>
  <c r="Q80" i="12"/>
  <c r="Q202" i="12"/>
  <c r="Y158" i="12"/>
  <c r="Y76" i="12"/>
  <c r="N78" i="12"/>
  <c r="Q157" i="12"/>
  <c r="Q210" i="12"/>
  <c r="Q273" i="12"/>
  <c r="N16" i="12"/>
  <c r="O247" i="12"/>
  <c r="Q238" i="12"/>
  <c r="Y97" i="12"/>
  <c r="Y140" i="12"/>
  <c r="Y106" i="12"/>
  <c r="Q132" i="12"/>
  <c r="Q129" i="12"/>
  <c r="Q72" i="12"/>
  <c r="Q103" i="12"/>
  <c r="Q268" i="12"/>
  <c r="Y136" i="12"/>
  <c r="O163" i="12"/>
  <c r="Q77" i="12"/>
  <c r="O131" i="12"/>
  <c r="Y95" i="12"/>
  <c r="Y111" i="12"/>
  <c r="O174" i="12"/>
  <c r="Y191" i="12"/>
  <c r="O229" i="12"/>
  <c r="O237" i="12"/>
  <c r="N62" i="12"/>
  <c r="Q258" i="12"/>
  <c r="N262" i="12"/>
  <c r="N85" i="12"/>
  <c r="Y241" i="12"/>
  <c r="O18" i="12"/>
  <c r="N182" i="12"/>
  <c r="Y233" i="12"/>
  <c r="Q271" i="12"/>
  <c r="Y167" i="12"/>
  <c r="Y197" i="12"/>
  <c r="Q151" i="12"/>
  <c r="N218" i="12"/>
  <c r="N265" i="12"/>
  <c r="O124" i="12"/>
  <c r="N138" i="12"/>
  <c r="N260" i="12"/>
  <c r="O91" i="12"/>
  <c r="Y212" i="12"/>
  <c r="N148" i="12"/>
  <c r="N215" i="12"/>
  <c r="Y203" i="12"/>
  <c r="O209" i="12"/>
  <c r="O181" i="12"/>
  <c r="Y223" i="12"/>
  <c r="N245" i="12"/>
  <c r="O251" i="12"/>
  <c r="Q74" i="12"/>
  <c r="Y165" i="12"/>
  <c r="Y146" i="12"/>
  <c r="N216" i="12"/>
  <c r="O137" i="12"/>
  <c r="Q102" i="12"/>
  <c r="Q162" i="12"/>
  <c r="O269" i="12"/>
  <c r="N134" i="12"/>
  <c r="N99" i="12"/>
  <c r="Y114" i="12"/>
  <c r="N128" i="12"/>
  <c r="O109" i="12"/>
  <c r="Q130" i="12"/>
  <c r="Y127" i="12"/>
  <c r="Y142" i="12"/>
  <c r="Q108" i="12"/>
  <c r="Y61" i="12"/>
  <c r="Q70" i="12"/>
  <c r="N234" i="12"/>
  <c r="O226" i="12"/>
  <c r="Y257" i="12"/>
  <c r="Y254" i="12"/>
  <c r="N19" i="12"/>
  <c r="Q255" i="12"/>
  <c r="Q81" i="12"/>
  <c r="Q249" i="12"/>
  <c r="O15" i="12"/>
  <c r="N68" i="12"/>
  <c r="Q200" i="12"/>
  <c r="O213" i="12"/>
  <c r="Q98" i="12"/>
  <c r="Y105" i="12"/>
  <c r="Y143" i="12"/>
  <c r="Q125" i="12"/>
  <c r="O122" i="12"/>
  <c r="N89" i="12"/>
  <c r="N231" i="12"/>
  <c r="Q211" i="12"/>
  <c r="O64" i="12"/>
  <c r="Y192" i="12"/>
  <c r="Y179" i="12"/>
  <c r="Y164" i="12"/>
  <c r="N205" i="12"/>
  <c r="Q219" i="12"/>
  <c r="Q83" i="12"/>
  <c r="O79" i="12"/>
  <c r="O169" i="12"/>
  <c r="O67" i="12"/>
  <c r="Q60" i="12"/>
  <c r="Q73" i="12"/>
  <c r="Y259" i="12"/>
  <c r="N272" i="12"/>
  <c r="N225" i="12"/>
  <c r="N92" i="12"/>
  <c r="Y66" i="12"/>
  <c r="Q65" i="12"/>
  <c r="O88" i="12"/>
  <c r="N171" i="12"/>
  <c r="Q230" i="12"/>
  <c r="Q63" i="12"/>
  <c r="O155" i="12"/>
  <c r="O243" i="12"/>
  <c r="Q84" i="12"/>
  <c r="N147" i="12"/>
  <c r="N17" i="12"/>
  <c r="N204" i="12"/>
  <c r="Y240" i="12"/>
  <c r="Y150" i="12"/>
  <c r="N152" i="12"/>
  <c r="O199" i="12"/>
  <c r="Y80" i="12"/>
  <c r="Y202" i="12"/>
  <c r="N158" i="12"/>
  <c r="Q76" i="12"/>
  <c r="Q78" i="12"/>
  <c r="O157" i="12"/>
  <c r="N210" i="12"/>
  <c r="N273" i="12"/>
  <c r="Y16" i="12"/>
  <c r="Y247" i="12"/>
  <c r="N238" i="12"/>
  <c r="N97" i="12"/>
  <c r="O140" i="12"/>
  <c r="Q106" i="12"/>
  <c r="O132" i="12"/>
  <c r="O129" i="12"/>
  <c r="Y72" i="12"/>
  <c r="Y103" i="12"/>
  <c r="Y268" i="12"/>
  <c r="N136" i="12"/>
  <c r="Q163" i="12"/>
  <c r="Y77" i="12"/>
  <c r="Y131" i="12"/>
  <c r="Q95" i="12"/>
  <c r="O111" i="12"/>
  <c r="N174" i="12"/>
  <c r="O191" i="12"/>
  <c r="Y229" i="12"/>
  <c r="N237" i="12"/>
  <c r="Q62" i="12"/>
  <c r="N258" i="12"/>
  <c r="Y262" i="12"/>
  <c r="Q85" i="12"/>
  <c r="Q241" i="12"/>
  <c r="Q18" i="12"/>
  <c r="Q182" i="12"/>
  <c r="O220" i="12"/>
  <c r="Q246" i="12"/>
  <c r="N156" i="12"/>
  <c r="Q145" i="12"/>
  <c r="Q94" i="12"/>
  <c r="N113" i="12"/>
  <c r="Q96" i="12"/>
  <c r="O123" i="12"/>
  <c r="N121" i="12"/>
  <c r="Y104" i="12"/>
  <c r="Q168" i="12"/>
  <c r="Y261" i="12"/>
  <c r="N69" i="12"/>
  <c r="O170" i="12"/>
  <c r="Q222" i="12"/>
  <c r="Q250" i="12"/>
  <c r="Q206" i="12"/>
  <c r="Y244" i="12"/>
  <c r="Q198" i="12"/>
  <c r="Q183" i="12"/>
  <c r="Q176" i="12"/>
  <c r="O232" i="12"/>
  <c r="Q90" i="12"/>
  <c r="O93" i="12"/>
  <c r="N267" i="12"/>
  <c r="N71" i="12"/>
  <c r="N194" i="12"/>
  <c r="Q208" i="12"/>
  <c r="O173" i="12"/>
  <c r="Y190" i="12"/>
  <c r="Y172" i="12"/>
  <c r="N236" i="12"/>
  <c r="Y177" i="12"/>
  <c r="Y178" i="12"/>
  <c r="Y235" i="12"/>
  <c r="N195" i="12"/>
  <c r="N149" i="12"/>
  <c r="N196" i="12"/>
  <c r="N263" i="12"/>
  <c r="Y264" i="12"/>
  <c r="Y184" i="12"/>
  <c r="Q242" i="12"/>
  <c r="N120" i="12"/>
  <c r="O248" i="12"/>
  <c r="O154" i="12"/>
  <c r="O153" i="12"/>
  <c r="Q252" i="12"/>
  <c r="O253" i="12"/>
  <c r="N221" i="12"/>
  <c r="Y159" i="12"/>
  <c r="Q274" i="12"/>
  <c r="Y201" i="12"/>
  <c r="Q214" i="12"/>
  <c r="N217" i="12"/>
  <c r="Y266" i="12"/>
  <c r="O119" i="12"/>
  <c r="Q110" i="12"/>
  <c r="N141" i="12"/>
  <c r="Q139" i="12"/>
  <c r="Y185" i="12"/>
  <c r="Q175" i="12"/>
  <c r="N133" i="12"/>
  <c r="Q185" i="12"/>
  <c r="Y87" i="12"/>
  <c r="Q220" i="12"/>
  <c r="O246" i="12"/>
  <c r="Y156" i="12"/>
  <c r="Y145" i="12"/>
  <c r="N94" i="12"/>
  <c r="O113" i="12"/>
  <c r="Y96" i="12"/>
  <c r="Y123" i="12"/>
  <c r="O121" i="12"/>
  <c r="Q104" i="12"/>
  <c r="Y168" i="12"/>
  <c r="O261" i="12"/>
  <c r="Y69" i="12"/>
  <c r="Q170" i="12"/>
  <c r="Y222" i="12"/>
  <c r="Y250" i="12"/>
  <c r="O206" i="12"/>
  <c r="Q244" i="12"/>
  <c r="N198" i="12"/>
  <c r="N183" i="12"/>
  <c r="Y176" i="12"/>
  <c r="Y232" i="12"/>
  <c r="N90" i="12"/>
  <c r="N93" i="12"/>
  <c r="Y267" i="12"/>
  <c r="Q71" i="12"/>
  <c r="Q194" i="12"/>
  <c r="Y208" i="12"/>
  <c r="Y173" i="12"/>
  <c r="Q190" i="12"/>
  <c r="N172" i="12"/>
  <c r="Q236" i="12"/>
  <c r="O177" i="12"/>
  <c r="Q178" i="12"/>
  <c r="O235" i="12"/>
  <c r="Q195" i="12"/>
  <c r="Y149" i="12"/>
  <c r="Q196" i="12"/>
  <c r="Y263" i="12"/>
  <c r="O264" i="12"/>
  <c r="Q184" i="12"/>
  <c r="Y242" i="12"/>
  <c r="O120" i="12"/>
  <c r="N248" i="12"/>
  <c r="Y154" i="12"/>
  <c r="N153" i="12"/>
  <c r="N252" i="12"/>
  <c r="Q253" i="12"/>
  <c r="O221" i="12"/>
  <c r="Q159" i="12"/>
  <c r="N274" i="12"/>
  <c r="O201" i="12"/>
  <c r="N214" i="12"/>
  <c r="Y217" i="12"/>
  <c r="Q266" i="12"/>
  <c r="N119" i="12"/>
  <c r="N112" i="12"/>
  <c r="O126" i="12"/>
  <c r="Y110" i="12"/>
  <c r="Y100" i="12"/>
  <c r="N160" i="12"/>
  <c r="Y107" i="12"/>
  <c r="Q101" i="12"/>
  <c r="Y175" i="12"/>
  <c r="Y246" i="12"/>
  <c r="O156" i="12"/>
  <c r="O145" i="12"/>
  <c r="Y94" i="12"/>
  <c r="Y113" i="12"/>
  <c r="O96" i="12"/>
  <c r="Q123" i="12"/>
  <c r="Y121" i="12"/>
  <c r="N104" i="12"/>
  <c r="O168" i="12"/>
  <c r="Q261" i="12"/>
  <c r="Q69" i="12"/>
  <c r="Y170" i="12"/>
  <c r="N222" i="12"/>
  <c r="O250" i="12"/>
  <c r="Y206" i="12"/>
  <c r="N244" i="12"/>
  <c r="Y198" i="12"/>
  <c r="O183" i="12"/>
  <c r="O176" i="12"/>
  <c r="Q232" i="12"/>
  <c r="Y90" i="12"/>
  <c r="Q93" i="12"/>
  <c r="O267" i="12"/>
  <c r="Y71" i="12"/>
  <c r="Y194" i="12"/>
  <c r="O208" i="12"/>
  <c r="Q173" i="12"/>
  <c r="O190" i="12"/>
  <c r="Q172" i="12"/>
  <c r="O236" i="12"/>
  <c r="Q177" i="12"/>
  <c r="N178" i="12"/>
  <c r="N235" i="12"/>
  <c r="O195" i="12"/>
  <c r="Q149" i="12"/>
  <c r="O196" i="12"/>
  <c r="O263" i="12"/>
  <c r="Q264" i="12"/>
  <c r="O184" i="12"/>
  <c r="O242" i="12"/>
  <c r="Y120" i="12"/>
  <c r="Y248" i="12"/>
  <c r="Q154" i="12"/>
  <c r="Y153" i="12"/>
  <c r="O252" i="12"/>
  <c r="Y253" i="12"/>
  <c r="Q221" i="12"/>
  <c r="O159" i="12"/>
  <c r="Y274" i="12"/>
  <c r="Q201" i="12"/>
  <c r="O214" i="12"/>
  <c r="Q217" i="12"/>
  <c r="N266" i="12"/>
  <c r="Q119" i="12"/>
  <c r="O112" i="12"/>
  <c r="Q126" i="12"/>
  <c r="O110" i="12"/>
  <c r="Q100" i="12"/>
  <c r="Y160" i="12"/>
  <c r="Y141" i="12"/>
  <c r="O107" i="12"/>
  <c r="O188" i="12"/>
  <c r="N139" i="12"/>
  <c r="Q133" i="12"/>
  <c r="N161" i="12"/>
  <c r="Q135" i="12"/>
  <c r="O101" i="12"/>
  <c r="O185" i="12"/>
  <c r="O187" i="12"/>
  <c r="O186" i="12"/>
  <c r="O175" i="12"/>
  <c r="O87" i="12"/>
  <c r="N126" i="12"/>
  <c r="O160" i="12"/>
  <c r="Q107" i="12"/>
  <c r="Y133" i="12"/>
  <c r="Y135" i="12"/>
  <c r="Y186" i="12"/>
  <c r="Q141" i="12"/>
  <c r="Y139" i="12"/>
  <c r="O135" i="12"/>
  <c r="Y187" i="12"/>
  <c r="N246" i="12"/>
  <c r="Q156" i="12"/>
  <c r="N145" i="12"/>
  <c r="O94" i="12"/>
  <c r="Q113" i="12"/>
  <c r="N96" i="12"/>
  <c r="N123" i="12"/>
  <c r="Q121" i="12"/>
  <c r="O104" i="12"/>
  <c r="N168" i="12"/>
  <c r="N261" i="12"/>
  <c r="O69" i="12"/>
  <c r="N170" i="12"/>
  <c r="O222" i="12"/>
  <c r="N250" i="12"/>
  <c r="N206" i="12"/>
  <c r="O244" i="12"/>
  <c r="O198" i="12"/>
  <c r="Y183" i="12"/>
  <c r="N176" i="12"/>
  <c r="N232" i="12"/>
  <c r="O90" i="12"/>
  <c r="Y93" i="12"/>
  <c r="Q267" i="12"/>
  <c r="O71" i="12"/>
  <c r="O194" i="12"/>
  <c r="N208" i="12"/>
  <c r="N173" i="12"/>
  <c r="N190" i="12"/>
  <c r="O172" i="12"/>
  <c r="Y236" i="12"/>
  <c r="N177" i="12"/>
  <c r="O178" i="12"/>
  <c r="Q235" i="12"/>
  <c r="Y195" i="12"/>
  <c r="O149" i="12"/>
  <c r="Y196" i="12"/>
  <c r="Q263" i="12"/>
  <c r="N264" i="12"/>
  <c r="N184" i="12"/>
  <c r="N242" i="12"/>
  <c r="Q120" i="12"/>
  <c r="Q248" i="12"/>
  <c r="N154" i="12"/>
  <c r="Q153" i="12"/>
  <c r="Y252" i="12"/>
  <c r="N253" i="12"/>
  <c r="Y221" i="12"/>
  <c r="N159" i="12"/>
  <c r="O274" i="12"/>
  <c r="N201" i="12"/>
  <c r="Y214" i="12"/>
  <c r="O217" i="12"/>
  <c r="O266" i="12"/>
  <c r="Y119" i="12"/>
  <c r="Y112" i="12"/>
  <c r="Y126" i="12"/>
  <c r="N110" i="12"/>
  <c r="N100" i="12"/>
  <c r="Q160" i="12"/>
  <c r="O141" i="12"/>
  <c r="N107" i="12"/>
  <c r="N188" i="12"/>
  <c r="O139" i="12"/>
  <c r="O133" i="12"/>
  <c r="O161" i="12"/>
  <c r="N135" i="12"/>
  <c r="Y101" i="12"/>
  <c r="N185" i="12"/>
  <c r="N187" i="12"/>
  <c r="N186" i="12"/>
  <c r="N175" i="12"/>
  <c r="N87" i="12"/>
  <c r="Q112" i="12"/>
  <c r="O100" i="12"/>
  <c r="Y188" i="12"/>
  <c r="Y161" i="12"/>
  <c r="N101" i="12"/>
  <c r="Q187" i="12"/>
  <c r="Q87" i="12"/>
  <c r="Q188" i="12"/>
  <c r="Q161" i="12"/>
  <c r="Q186" i="12"/>
  <c r="C274" i="12" l="1"/>
  <c r="K273" i="12"/>
  <c r="B273" i="13" s="1"/>
  <c r="I13" i="12"/>
  <c r="S186" i="12"/>
  <c r="T186" i="12" s="1"/>
  <c r="U186" i="12" s="1"/>
  <c r="S161" i="12"/>
  <c r="T161" i="12" s="1"/>
  <c r="U161" i="12" s="1"/>
  <c r="S188" i="12"/>
  <c r="T188" i="12" s="1"/>
  <c r="U188" i="12" s="1"/>
  <c r="S87" i="12"/>
  <c r="T87" i="12" s="1"/>
  <c r="U87" i="12" s="1"/>
  <c r="S187" i="12"/>
  <c r="T187" i="12" s="1"/>
  <c r="C101" i="13"/>
  <c r="D100" i="13"/>
  <c r="S112" i="12"/>
  <c r="T112" i="12" s="1"/>
  <c r="U112" i="12" s="1"/>
  <c r="C87" i="13"/>
  <c r="C175" i="13"/>
  <c r="C186" i="13"/>
  <c r="C187" i="13"/>
  <c r="U187" i="12"/>
  <c r="C185" i="13"/>
  <c r="C135" i="13"/>
  <c r="D161" i="13"/>
  <c r="D133" i="13"/>
  <c r="D139" i="13"/>
  <c r="C188" i="13"/>
  <c r="C107" i="13"/>
  <c r="D141" i="13"/>
  <c r="S160" i="12"/>
  <c r="T160" i="12" s="1"/>
  <c r="U160" i="12" s="1"/>
  <c r="C100" i="13"/>
  <c r="C110" i="13"/>
  <c r="D266" i="13"/>
  <c r="D217" i="13"/>
  <c r="C201" i="13"/>
  <c r="D274" i="13"/>
  <c r="C159" i="13"/>
  <c r="C253" i="13"/>
  <c r="S153" i="12"/>
  <c r="T153" i="12" s="1"/>
  <c r="U153" i="12" s="1"/>
  <c r="C154" i="13"/>
  <c r="S248" i="12"/>
  <c r="T248" i="12" s="1"/>
  <c r="U248" i="12" s="1"/>
  <c r="S120" i="12"/>
  <c r="T120" i="12" s="1"/>
  <c r="U120" i="12" s="1"/>
  <c r="C242" i="13"/>
  <c r="C184" i="13"/>
  <c r="C264" i="13"/>
  <c r="S263" i="12"/>
  <c r="T263" i="12" s="1"/>
  <c r="U263" i="12" s="1"/>
  <c r="D149" i="13"/>
  <c r="S235" i="12"/>
  <c r="T235" i="12" s="1"/>
  <c r="U235" i="12" s="1"/>
  <c r="D178" i="13"/>
  <c r="C177" i="13"/>
  <c r="D172" i="13"/>
  <c r="C190" i="13"/>
  <c r="C173" i="13"/>
  <c r="C208" i="13"/>
  <c r="D194" i="13"/>
  <c r="D71" i="13"/>
  <c r="S267" i="12"/>
  <c r="T267" i="12" s="1"/>
  <c r="U267" i="12" s="1"/>
  <c r="D90" i="13"/>
  <c r="C232" i="13"/>
  <c r="C176" i="13"/>
  <c r="D198" i="13"/>
  <c r="D244" i="13"/>
  <c r="C206" i="13"/>
  <c r="C250" i="13"/>
  <c r="D222" i="13"/>
  <c r="C170" i="13"/>
  <c r="D69" i="13"/>
  <c r="C261" i="13"/>
  <c r="C168" i="13"/>
  <c r="D104" i="13"/>
  <c r="S121" i="12"/>
  <c r="T121" i="12" s="1"/>
  <c r="U121" i="12" s="1"/>
  <c r="C123" i="13"/>
  <c r="C96" i="13"/>
  <c r="S113" i="12"/>
  <c r="T113" i="12" s="1"/>
  <c r="U113" i="12" s="1"/>
  <c r="D94" i="13"/>
  <c r="C145" i="13"/>
  <c r="S156" i="12"/>
  <c r="T156" i="12" s="1"/>
  <c r="U156" i="12" s="1"/>
  <c r="C246" i="13"/>
  <c r="D135" i="13"/>
  <c r="S141" i="12"/>
  <c r="T141" i="12" s="1"/>
  <c r="U141" i="12" s="1"/>
  <c r="S107" i="12"/>
  <c r="T107" i="12" s="1"/>
  <c r="U107" i="12" s="1"/>
  <c r="D160" i="13"/>
  <c r="C126" i="13"/>
  <c r="D87" i="13"/>
  <c r="D175" i="13"/>
  <c r="D186" i="13"/>
  <c r="D187" i="13"/>
  <c r="D185" i="13"/>
  <c r="D101" i="13"/>
  <c r="S135" i="12"/>
  <c r="T135" i="12" s="1"/>
  <c r="U135" i="12" s="1"/>
  <c r="C161" i="13"/>
  <c r="S133" i="12"/>
  <c r="T133" i="12" s="1"/>
  <c r="U133" i="12" s="1"/>
  <c r="C139" i="13"/>
  <c r="D188" i="13"/>
  <c r="D107" i="13"/>
  <c r="S100" i="12"/>
  <c r="T100" i="12" s="1"/>
  <c r="U100" i="12" s="1"/>
  <c r="D110" i="13"/>
  <c r="S126" i="12"/>
  <c r="T126" i="12" s="1"/>
  <c r="U126" i="12" s="1"/>
  <c r="D112" i="13"/>
  <c r="S119" i="12"/>
  <c r="T119" i="12" s="1"/>
  <c r="U119" i="12" s="1"/>
  <c r="C266" i="13"/>
  <c r="S217" i="12"/>
  <c r="T217" i="12" s="1"/>
  <c r="U217" i="12" s="1"/>
  <c r="D214" i="13"/>
  <c r="S201" i="12"/>
  <c r="T201" i="12" s="1"/>
  <c r="U201" i="12" s="1"/>
  <c r="D159" i="13"/>
  <c r="S221" i="12"/>
  <c r="T221" i="12" s="1"/>
  <c r="U221" i="12" s="1"/>
  <c r="D252" i="13"/>
  <c r="S154" i="12"/>
  <c r="T154" i="12" s="1"/>
  <c r="U154" i="12" s="1"/>
  <c r="D242" i="13"/>
  <c r="D184" i="13"/>
  <c r="S264" i="12"/>
  <c r="T264" i="12" s="1"/>
  <c r="U264" i="12" s="1"/>
  <c r="D263" i="13"/>
  <c r="D196" i="13"/>
  <c r="S149" i="12"/>
  <c r="T149" i="12" s="1"/>
  <c r="U149" i="12" s="1"/>
  <c r="D195" i="13"/>
  <c r="C235" i="13"/>
  <c r="C178" i="13"/>
  <c r="S177" i="12"/>
  <c r="T177" i="12" s="1"/>
  <c r="U177" i="12" s="1"/>
  <c r="D236" i="13"/>
  <c r="S172" i="12"/>
  <c r="T172" i="12" s="1"/>
  <c r="U172" i="12" s="1"/>
  <c r="D190" i="13"/>
  <c r="S173" i="12"/>
  <c r="T173" i="12" s="1"/>
  <c r="U173" i="12" s="1"/>
  <c r="D208" i="13"/>
  <c r="D267" i="13"/>
  <c r="S93" i="12"/>
  <c r="T93" i="12" s="1"/>
  <c r="U93" i="12" s="1"/>
  <c r="S232" i="12"/>
  <c r="T232" i="12" s="1"/>
  <c r="U232" i="12" s="1"/>
  <c r="D176" i="13"/>
  <c r="D183" i="13"/>
  <c r="C244" i="13"/>
  <c r="D250" i="13"/>
  <c r="C222" i="13"/>
  <c r="S69" i="12"/>
  <c r="T69" i="12" s="1"/>
  <c r="U69" i="12" s="1"/>
  <c r="S261" i="12"/>
  <c r="T261" i="12" s="1"/>
  <c r="U261" i="12" s="1"/>
  <c r="D168" i="13"/>
  <c r="C104" i="13"/>
  <c r="S123" i="12"/>
  <c r="T123" i="12" s="1"/>
  <c r="U123" i="12" s="1"/>
  <c r="D96" i="13"/>
  <c r="D145" i="13"/>
  <c r="D156" i="13"/>
  <c r="S101" i="12"/>
  <c r="T101" i="12" s="1"/>
  <c r="U101" i="12" s="1"/>
  <c r="C160" i="13"/>
  <c r="D126" i="13"/>
  <c r="C112" i="13"/>
  <c r="C119" i="13"/>
  <c r="S266" i="12"/>
  <c r="T266" i="12" s="1"/>
  <c r="U266" i="12" s="1"/>
  <c r="C214" i="13"/>
  <c r="D201" i="13"/>
  <c r="C274" i="13"/>
  <c r="S159" i="12"/>
  <c r="T159" i="12" s="1"/>
  <c r="U159" i="12" s="1"/>
  <c r="D221" i="13"/>
  <c r="S253" i="12"/>
  <c r="T253" i="12" s="1"/>
  <c r="U253" i="12" s="1"/>
  <c r="C252" i="13"/>
  <c r="C153" i="13"/>
  <c r="C248" i="13"/>
  <c r="D120" i="13"/>
  <c r="S184" i="12"/>
  <c r="T184" i="12" s="1"/>
  <c r="U184" i="12" s="1"/>
  <c r="D264" i="13"/>
  <c r="S196" i="12"/>
  <c r="T196" i="12" s="1"/>
  <c r="U196" i="12" s="1"/>
  <c r="S195" i="12"/>
  <c r="T195" i="12" s="1"/>
  <c r="U195" i="12" s="1"/>
  <c r="D235" i="13"/>
  <c r="S178" i="12"/>
  <c r="T178" i="12" s="1"/>
  <c r="U178" i="12" s="1"/>
  <c r="D177" i="13"/>
  <c r="S236" i="12"/>
  <c r="T236" i="12" s="1"/>
  <c r="U236" i="12" s="1"/>
  <c r="C172" i="13"/>
  <c r="S190" i="12"/>
  <c r="T190" i="12" s="1"/>
  <c r="U190" i="12" s="1"/>
  <c r="S194" i="12"/>
  <c r="T194" i="12" s="1"/>
  <c r="U194" i="12" s="1"/>
  <c r="S71" i="12"/>
  <c r="T71" i="12" s="1"/>
  <c r="U71" i="12" s="1"/>
  <c r="C93" i="13"/>
  <c r="C90" i="13"/>
  <c r="C183" i="13"/>
  <c r="C198" i="13"/>
  <c r="S244" i="12"/>
  <c r="T244" i="12" s="1"/>
  <c r="U244" i="12" s="1"/>
  <c r="D206" i="13"/>
  <c r="S170" i="12"/>
  <c r="T170" i="12" s="1"/>
  <c r="U170" i="12" s="1"/>
  <c r="D261" i="13"/>
  <c r="S104" i="12"/>
  <c r="T104" i="12" s="1"/>
  <c r="U104" i="12" s="1"/>
  <c r="D121" i="13"/>
  <c r="D113" i="13"/>
  <c r="C94" i="13"/>
  <c r="D246" i="13"/>
  <c r="S220" i="12"/>
  <c r="T220" i="12" s="1"/>
  <c r="U220" i="12" s="1"/>
  <c r="S185" i="12"/>
  <c r="T185" i="12" s="1"/>
  <c r="U185" i="12" s="1"/>
  <c r="C133" i="13"/>
  <c r="S175" i="12"/>
  <c r="T175" i="12" s="1"/>
  <c r="U175" i="12" s="1"/>
  <c r="S139" i="12"/>
  <c r="T139" i="12" s="1"/>
  <c r="U139" i="12" s="1"/>
  <c r="C141" i="13"/>
  <c r="S110" i="12"/>
  <c r="T110" i="12" s="1"/>
  <c r="U110" i="12" s="1"/>
  <c r="D119" i="13"/>
  <c r="C217" i="13"/>
  <c r="S214" i="12"/>
  <c r="T214" i="12" s="1"/>
  <c r="U214" i="12" s="1"/>
  <c r="S274" i="12"/>
  <c r="T274" i="12" s="1"/>
  <c r="U274" i="12" s="1"/>
  <c r="C221" i="13"/>
  <c r="D253" i="13"/>
  <c r="S252" i="12"/>
  <c r="T252" i="12" s="1"/>
  <c r="U252" i="12" s="1"/>
  <c r="D153" i="13"/>
  <c r="D154" i="13"/>
  <c r="D248" i="13"/>
  <c r="C120" i="13"/>
  <c r="S242" i="12"/>
  <c r="T242" i="12" s="1"/>
  <c r="U242" i="12" s="1"/>
  <c r="C263" i="13"/>
  <c r="C196" i="13"/>
  <c r="C149" i="13"/>
  <c r="C195" i="13"/>
  <c r="C236" i="13"/>
  <c r="D173" i="13"/>
  <c r="S208" i="12"/>
  <c r="T208" i="12" s="1"/>
  <c r="U208" i="12" s="1"/>
  <c r="C194" i="13"/>
  <c r="C71" i="13"/>
  <c r="C267" i="13"/>
  <c r="D93" i="13"/>
  <c r="S90" i="12"/>
  <c r="T90" i="12" s="1"/>
  <c r="U90" i="12" s="1"/>
  <c r="D232" i="13"/>
  <c r="S176" i="12"/>
  <c r="T176" i="12" s="1"/>
  <c r="U176" i="12" s="1"/>
  <c r="S183" i="12"/>
  <c r="T183" i="12" s="1"/>
  <c r="U183" i="12" s="1"/>
  <c r="S198" i="12"/>
  <c r="T198" i="12" s="1"/>
  <c r="U198" i="12" s="1"/>
  <c r="S206" i="12"/>
  <c r="T206" i="12" s="1"/>
  <c r="U206" i="12" s="1"/>
  <c r="S250" i="12"/>
  <c r="T250" i="12" s="1"/>
  <c r="U250" i="12" s="1"/>
  <c r="S222" i="12"/>
  <c r="T222" i="12" s="1"/>
  <c r="U222" i="12" s="1"/>
  <c r="D170" i="13"/>
  <c r="C69" i="13"/>
  <c r="S168" i="12"/>
  <c r="T168" i="12" s="1"/>
  <c r="U168" i="12" s="1"/>
  <c r="C121" i="13"/>
  <c r="D123" i="13"/>
  <c r="S96" i="12"/>
  <c r="T96" i="12" s="1"/>
  <c r="U96" i="12" s="1"/>
  <c r="C113" i="13"/>
  <c r="S94" i="12"/>
  <c r="T94" i="12" s="1"/>
  <c r="U94" i="12" s="1"/>
  <c r="S145" i="12"/>
  <c r="T145" i="12" s="1"/>
  <c r="C156" i="13"/>
  <c r="S246" i="12"/>
  <c r="T246" i="12" s="1"/>
  <c r="U246" i="12" s="1"/>
  <c r="D220" i="13"/>
  <c r="S182" i="12"/>
  <c r="T182" i="12" s="1"/>
  <c r="U182" i="12" s="1"/>
  <c r="S18" i="12"/>
  <c r="T18" i="12" s="1"/>
  <c r="U18" i="12" s="1"/>
  <c r="S241" i="12"/>
  <c r="T241" i="12" s="1"/>
  <c r="U241" i="12" s="1"/>
  <c r="S85" i="12"/>
  <c r="T85" i="12" s="1"/>
  <c r="U85" i="12" s="1"/>
  <c r="C258" i="13"/>
  <c r="S62" i="12"/>
  <c r="T62" i="12" s="1"/>
  <c r="U62" i="12" s="1"/>
  <c r="C237" i="13"/>
  <c r="D191" i="13"/>
  <c r="C174" i="13"/>
  <c r="D111" i="13"/>
  <c r="S95" i="12"/>
  <c r="T95" i="12" s="1"/>
  <c r="U95" i="12" s="1"/>
  <c r="S163" i="12"/>
  <c r="T163" i="12" s="1"/>
  <c r="U163" i="12" s="1"/>
  <c r="C136" i="13"/>
  <c r="D129" i="13"/>
  <c r="D132" i="13"/>
  <c r="S106" i="12"/>
  <c r="T106" i="12" s="1"/>
  <c r="U106" i="12" s="1"/>
  <c r="D140" i="13"/>
  <c r="C97" i="13"/>
  <c r="C238" i="13"/>
  <c r="C273" i="13"/>
  <c r="C210" i="13"/>
  <c r="D157" i="13"/>
  <c r="S78" i="12"/>
  <c r="T78" i="12" s="1"/>
  <c r="U78" i="12" s="1"/>
  <c r="S76" i="12"/>
  <c r="T76" i="12" s="1"/>
  <c r="U76" i="12" s="1"/>
  <c r="C158" i="13"/>
  <c r="D199" i="13"/>
  <c r="C152" i="13"/>
  <c r="C204" i="13"/>
  <c r="C17" i="13"/>
  <c r="C147" i="13"/>
  <c r="S84" i="12"/>
  <c r="T84" i="12" s="1"/>
  <c r="U84" i="12" s="1"/>
  <c r="D243" i="13"/>
  <c r="D155" i="13"/>
  <c r="S63" i="12"/>
  <c r="T63" i="12" s="1"/>
  <c r="U63" i="12" s="1"/>
  <c r="S230" i="12"/>
  <c r="T230" i="12" s="1"/>
  <c r="U230" i="12" s="1"/>
  <c r="C171" i="13"/>
  <c r="D88" i="13"/>
  <c r="S65" i="12"/>
  <c r="T65" i="12" s="1"/>
  <c r="U65" i="12" s="1"/>
  <c r="C92" i="13"/>
  <c r="C225" i="13"/>
  <c r="C272" i="13"/>
  <c r="S73" i="12"/>
  <c r="T73" i="12" s="1"/>
  <c r="U73" i="12" s="1"/>
  <c r="S60" i="12"/>
  <c r="T60" i="12" s="1"/>
  <c r="U60" i="12" s="1"/>
  <c r="D67" i="13"/>
  <c r="D169" i="13"/>
  <c r="D79" i="13"/>
  <c r="S83" i="12"/>
  <c r="T83" i="12" s="1"/>
  <c r="S219" i="12"/>
  <c r="T219" i="12" s="1"/>
  <c r="U219" i="12" s="1"/>
  <c r="C205" i="13"/>
  <c r="D64" i="13"/>
  <c r="S211" i="12"/>
  <c r="T211" i="12" s="1"/>
  <c r="U211" i="12" s="1"/>
  <c r="C231" i="13"/>
  <c r="C89" i="13"/>
  <c r="D122" i="13"/>
  <c r="S125" i="12"/>
  <c r="T125" i="12" s="1"/>
  <c r="U125" i="12" s="1"/>
  <c r="S98" i="12"/>
  <c r="T98" i="12" s="1"/>
  <c r="U98" i="12" s="1"/>
  <c r="D213" i="13"/>
  <c r="S200" i="12"/>
  <c r="T200" i="12" s="1"/>
  <c r="U200" i="12" s="1"/>
  <c r="C68" i="13"/>
  <c r="D15" i="13"/>
  <c r="S249" i="12"/>
  <c r="T249" i="12" s="1"/>
  <c r="U249" i="12" s="1"/>
  <c r="S81" i="12"/>
  <c r="T81" i="12" s="1"/>
  <c r="U81" i="12" s="1"/>
  <c r="S255" i="12"/>
  <c r="T255" i="12" s="1"/>
  <c r="U255" i="12" s="1"/>
  <c r="C19" i="13"/>
  <c r="D226" i="13"/>
  <c r="C234" i="13"/>
  <c r="S70" i="12"/>
  <c r="T70" i="12" s="1"/>
  <c r="U70" i="12" s="1"/>
  <c r="S108" i="12"/>
  <c r="T108" i="12" s="1"/>
  <c r="U108" i="12" s="1"/>
  <c r="S130" i="12"/>
  <c r="T130" i="12" s="1"/>
  <c r="U130" i="12" s="1"/>
  <c r="D109" i="13"/>
  <c r="C128" i="13"/>
  <c r="C99" i="13"/>
  <c r="C134" i="13"/>
  <c r="D269" i="13"/>
  <c r="S162" i="12"/>
  <c r="T162" i="12" s="1"/>
  <c r="U162" i="12" s="1"/>
  <c r="S102" i="12"/>
  <c r="T102" i="12" s="1"/>
  <c r="U102" i="12" s="1"/>
  <c r="D137" i="13"/>
  <c r="C216" i="13"/>
  <c r="S74" i="12"/>
  <c r="T74" i="12" s="1"/>
  <c r="U74" i="12" s="1"/>
  <c r="D251" i="13"/>
  <c r="C245" i="13"/>
  <c r="D181" i="13"/>
  <c r="D209" i="13"/>
  <c r="C215" i="13"/>
  <c r="C148" i="13"/>
  <c r="D91" i="13"/>
  <c r="C260" i="13"/>
  <c r="C138" i="13"/>
  <c r="D124" i="13"/>
  <c r="C265" i="13"/>
  <c r="C218" i="13"/>
  <c r="S151" i="12"/>
  <c r="T151" i="12" s="1"/>
  <c r="U151" i="12" s="1"/>
  <c r="S271" i="12"/>
  <c r="T271" i="12" s="1"/>
  <c r="U271" i="12" s="1"/>
  <c r="C182" i="13"/>
  <c r="D18" i="13"/>
  <c r="C85" i="13"/>
  <c r="C262" i="13"/>
  <c r="S258" i="12"/>
  <c r="T258" i="12" s="1"/>
  <c r="U258" i="12" s="1"/>
  <c r="C62" i="13"/>
  <c r="D237" i="13"/>
  <c r="D229" i="13"/>
  <c r="D174" i="13"/>
  <c r="D131" i="13"/>
  <c r="S77" i="12"/>
  <c r="T77" i="12" s="1"/>
  <c r="U77" i="12" s="1"/>
  <c r="D163" i="13"/>
  <c r="S268" i="12"/>
  <c r="T268" i="12" s="1"/>
  <c r="U268" i="12" s="1"/>
  <c r="S103" i="12"/>
  <c r="T103" i="12" s="1"/>
  <c r="U103" i="12" s="1"/>
  <c r="S72" i="12"/>
  <c r="T72" i="12" s="1"/>
  <c r="U72" i="12" s="1"/>
  <c r="S129" i="12"/>
  <c r="T129" i="12" s="1"/>
  <c r="U129" i="12" s="1"/>
  <c r="S132" i="12"/>
  <c r="T132" i="12" s="1"/>
  <c r="S238" i="12"/>
  <c r="T238" i="12" s="1"/>
  <c r="U238" i="12" s="1"/>
  <c r="D247" i="13"/>
  <c r="C16" i="13"/>
  <c r="S273" i="12"/>
  <c r="T273" i="12" s="1"/>
  <c r="U273" i="12" s="1"/>
  <c r="S210" i="12"/>
  <c r="T210" i="12" s="1"/>
  <c r="U210" i="12" s="1"/>
  <c r="S157" i="12"/>
  <c r="T157" i="12" s="1"/>
  <c r="U157" i="12" s="1"/>
  <c r="C78" i="13"/>
  <c r="S202" i="12"/>
  <c r="T202" i="12" s="1"/>
  <c r="U202" i="12" s="1"/>
  <c r="S80" i="12"/>
  <c r="T80" i="12" s="1"/>
  <c r="U80" i="12" s="1"/>
  <c r="D152" i="13"/>
  <c r="D150" i="13"/>
  <c r="D240" i="13"/>
  <c r="S17" i="12"/>
  <c r="T17" i="12" s="1"/>
  <c r="U17" i="12" s="1"/>
  <c r="D147" i="13"/>
  <c r="D84" i="13"/>
  <c r="C243" i="13"/>
  <c r="S155" i="12"/>
  <c r="T155" i="12" s="1"/>
  <c r="U155" i="12" s="1"/>
  <c r="D230" i="13"/>
  <c r="S88" i="12"/>
  <c r="T88" i="12" s="1"/>
  <c r="U88" i="12" s="1"/>
  <c r="C66" i="13"/>
  <c r="S92" i="12"/>
  <c r="T92" i="12" s="1"/>
  <c r="U92" i="12" s="1"/>
  <c r="D225" i="13"/>
  <c r="S259" i="12"/>
  <c r="T259" i="12" s="1"/>
  <c r="U259" i="12" s="1"/>
  <c r="C67" i="13"/>
  <c r="C169" i="13"/>
  <c r="S79" i="12"/>
  <c r="T79" i="12" s="1"/>
  <c r="U79" i="12" s="1"/>
  <c r="D219" i="13"/>
  <c r="S205" i="12"/>
  <c r="T205" i="12" s="1"/>
  <c r="U205" i="12" s="1"/>
  <c r="C164" i="13"/>
  <c r="S179" i="12"/>
  <c r="T179" i="12" s="1"/>
  <c r="U179" i="12" s="1"/>
  <c r="C192" i="13"/>
  <c r="C64" i="13"/>
  <c r="D89" i="13"/>
  <c r="C122" i="13"/>
  <c r="C143" i="13"/>
  <c r="S105" i="12"/>
  <c r="T105" i="12" s="1"/>
  <c r="U105" i="12" s="1"/>
  <c r="C213" i="13"/>
  <c r="D68" i="13"/>
  <c r="S15" i="12"/>
  <c r="T15" i="12" s="1"/>
  <c r="U15" i="12" s="1"/>
  <c r="D81" i="13"/>
  <c r="D255" i="13"/>
  <c r="D254" i="13"/>
  <c r="C257" i="13"/>
  <c r="S226" i="12"/>
  <c r="T226" i="12" s="1"/>
  <c r="U226" i="12" s="1"/>
  <c r="D234" i="13"/>
  <c r="D70" i="13"/>
  <c r="S61" i="12"/>
  <c r="T61" i="12" s="1"/>
  <c r="U61" i="12" s="1"/>
  <c r="D108" i="13"/>
  <c r="C142" i="13"/>
  <c r="S127" i="12"/>
  <c r="T127" i="12" s="1"/>
  <c r="U127" i="12" s="1"/>
  <c r="S114" i="12"/>
  <c r="T114" i="12" s="1"/>
  <c r="U114" i="12" s="1"/>
  <c r="S99" i="12"/>
  <c r="T99" i="12" s="1"/>
  <c r="U99" i="12" s="1"/>
  <c r="S134" i="12"/>
  <c r="T134" i="12" s="1"/>
  <c r="U134" i="12" s="1"/>
  <c r="S269" i="12"/>
  <c r="T269" i="12" s="1"/>
  <c r="U269" i="12" s="1"/>
  <c r="S137" i="12"/>
  <c r="T137" i="12" s="1"/>
  <c r="U137" i="12" s="1"/>
  <c r="D216" i="13"/>
  <c r="S146" i="12"/>
  <c r="T146" i="12" s="1"/>
  <c r="U146" i="12" s="1"/>
  <c r="C165" i="13"/>
  <c r="S223" i="12"/>
  <c r="T223" i="12" s="1"/>
  <c r="U223" i="12" s="1"/>
  <c r="S181" i="12"/>
  <c r="T181" i="12" s="1"/>
  <c r="S209" i="12"/>
  <c r="T209" i="12" s="1"/>
  <c r="U209" i="12" s="1"/>
  <c r="C203" i="13"/>
  <c r="D215" i="13"/>
  <c r="S212" i="12"/>
  <c r="T212" i="12" s="1"/>
  <c r="U212" i="12" s="1"/>
  <c r="S138" i="12"/>
  <c r="T138" i="12" s="1"/>
  <c r="U138" i="12" s="1"/>
  <c r="C124" i="13"/>
  <c r="D218" i="13"/>
  <c r="D151" i="13"/>
  <c r="S197" i="12"/>
  <c r="T197" i="12" s="1"/>
  <c r="U197" i="12" s="1"/>
  <c r="C167" i="13"/>
  <c r="D271" i="13"/>
  <c r="C233" i="13"/>
  <c r="C220" i="13"/>
  <c r="C18" i="13"/>
  <c r="C241" i="13"/>
  <c r="D262" i="13"/>
  <c r="S237" i="12"/>
  <c r="T237" i="12" s="1"/>
  <c r="U237" i="12" s="1"/>
  <c r="C229" i="13"/>
  <c r="S191" i="12"/>
  <c r="T191" i="12" s="1"/>
  <c r="U191" i="12" s="1"/>
  <c r="S174" i="12"/>
  <c r="T174" i="12" s="1"/>
  <c r="U174" i="12" s="1"/>
  <c r="S111" i="12"/>
  <c r="T111" i="12" s="1"/>
  <c r="U111" i="12" s="1"/>
  <c r="C95" i="13"/>
  <c r="C131" i="13"/>
  <c r="C77" i="13"/>
  <c r="C163" i="13"/>
  <c r="D136" i="13"/>
  <c r="C268" i="13"/>
  <c r="D103" i="13"/>
  <c r="C72" i="13"/>
  <c r="D106" i="13"/>
  <c r="S140" i="12"/>
  <c r="T140" i="12" s="1"/>
  <c r="U140" i="12" s="1"/>
  <c r="S97" i="12"/>
  <c r="T97" i="12" s="1"/>
  <c r="U97" i="12" s="1"/>
  <c r="S247" i="12"/>
  <c r="T247" i="12" s="1"/>
  <c r="U247" i="12" s="1"/>
  <c r="S16" i="12"/>
  <c r="T16" i="12" s="1"/>
  <c r="U16" i="12" s="1"/>
  <c r="C76" i="13"/>
  <c r="S158" i="12"/>
  <c r="T158" i="12" s="1"/>
  <c r="U158" i="12" s="1"/>
  <c r="C202" i="13"/>
  <c r="D80" i="13"/>
  <c r="C199" i="13"/>
  <c r="S150" i="12"/>
  <c r="T150" i="12" s="1"/>
  <c r="U150" i="12" s="1"/>
  <c r="C240" i="13"/>
  <c r="S204" i="12"/>
  <c r="T204" i="12" s="1"/>
  <c r="U204" i="12" s="1"/>
  <c r="S147" i="12"/>
  <c r="T147" i="12" s="1"/>
  <c r="U147" i="12" s="1"/>
  <c r="D63" i="13"/>
  <c r="D171" i="13"/>
  <c r="D65" i="13"/>
  <c r="D66" i="13"/>
  <c r="S225" i="12"/>
  <c r="T225" i="12" s="1"/>
  <c r="D272" i="13"/>
  <c r="C259" i="13"/>
  <c r="C73" i="13"/>
  <c r="D60" i="13"/>
  <c r="S67" i="12"/>
  <c r="T67" i="12" s="1"/>
  <c r="U67" i="12" s="1"/>
  <c r="D83" i="13"/>
  <c r="C219" i="13"/>
  <c r="D164" i="13"/>
  <c r="D179" i="13"/>
  <c r="D192" i="13"/>
  <c r="S64" i="12"/>
  <c r="T64" i="12" s="1"/>
  <c r="U64" i="12" s="1"/>
  <c r="D211" i="13"/>
  <c r="D231" i="13"/>
  <c r="S89" i="12"/>
  <c r="T89" i="12" s="1"/>
  <c r="U89" i="12" s="1"/>
  <c r="D125" i="13"/>
  <c r="S143" i="12"/>
  <c r="T143" i="12" s="1"/>
  <c r="U143" i="12" s="1"/>
  <c r="C105" i="13"/>
  <c r="D98" i="13"/>
  <c r="D200" i="13"/>
  <c r="C15" i="13"/>
  <c r="C249" i="13"/>
  <c r="C255" i="13"/>
  <c r="D19" i="13"/>
  <c r="S254" i="12"/>
  <c r="T254" i="12" s="1"/>
  <c r="U254" i="12" s="1"/>
  <c r="S257" i="12"/>
  <c r="T257" i="12" s="1"/>
  <c r="S234" i="12"/>
  <c r="T234" i="12" s="1"/>
  <c r="U234" i="12" s="1"/>
  <c r="C70" i="13"/>
  <c r="D61" i="13"/>
  <c r="C108" i="13"/>
  <c r="D142" i="13"/>
  <c r="C127" i="13"/>
  <c r="C130" i="13"/>
  <c r="S109" i="12"/>
  <c r="T109" i="12" s="1"/>
  <c r="U109" i="12" s="1"/>
  <c r="S128" i="12"/>
  <c r="T128" i="12" s="1"/>
  <c r="U128" i="12" s="1"/>
  <c r="C114" i="13"/>
  <c r="D162" i="13"/>
  <c r="C102" i="13"/>
  <c r="C137" i="13"/>
  <c r="C146" i="13"/>
  <c r="S165" i="12"/>
  <c r="T165" i="12" s="1"/>
  <c r="U165" i="12" s="1"/>
  <c r="C74" i="13"/>
  <c r="S251" i="12"/>
  <c r="T251" i="12" s="1"/>
  <c r="U251" i="12" s="1"/>
  <c r="S245" i="12"/>
  <c r="T245" i="12" s="1"/>
  <c r="U245" i="12" s="1"/>
  <c r="D223" i="13"/>
  <c r="C181" i="13"/>
  <c r="C209" i="13"/>
  <c r="D203" i="13"/>
  <c r="S215" i="12"/>
  <c r="T215" i="12" s="1"/>
  <c r="U215" i="12" s="1"/>
  <c r="D148" i="13"/>
  <c r="C212" i="13"/>
  <c r="S91" i="12"/>
  <c r="T91" i="12" s="1"/>
  <c r="U91" i="12" s="1"/>
  <c r="D260" i="13"/>
  <c r="S124" i="12"/>
  <c r="T124" i="12" s="1"/>
  <c r="U124" i="12" s="1"/>
  <c r="S265" i="12"/>
  <c r="T265" i="12" s="1"/>
  <c r="U265" i="12" s="1"/>
  <c r="C197" i="13"/>
  <c r="D167" i="13"/>
  <c r="D233" i="13"/>
  <c r="D182" i="13"/>
  <c r="D241" i="13"/>
  <c r="D85" i="13"/>
  <c r="S262" i="12"/>
  <c r="T262" i="12" s="1"/>
  <c r="U262" i="12" s="1"/>
  <c r="D258" i="13"/>
  <c r="D62" i="13"/>
  <c r="S229" i="12"/>
  <c r="T229" i="12" s="1"/>
  <c r="U229" i="12" s="1"/>
  <c r="C191" i="13"/>
  <c r="C111" i="13"/>
  <c r="D95" i="13"/>
  <c r="S131" i="12"/>
  <c r="T131" i="12" s="1"/>
  <c r="U131" i="12" s="1"/>
  <c r="D77" i="13"/>
  <c r="S136" i="12"/>
  <c r="T136" i="12" s="1"/>
  <c r="U136" i="12" s="1"/>
  <c r="D268" i="13"/>
  <c r="C103" i="13"/>
  <c r="D72" i="13"/>
  <c r="C129" i="13"/>
  <c r="C132" i="13"/>
  <c r="U132" i="12"/>
  <c r="C106" i="13"/>
  <c r="C140" i="13"/>
  <c r="D97" i="13"/>
  <c r="D238" i="13"/>
  <c r="C247" i="13"/>
  <c r="D16" i="13"/>
  <c r="D273" i="13"/>
  <c r="D210" i="13"/>
  <c r="C157" i="13"/>
  <c r="D78" i="13"/>
  <c r="D76" i="13"/>
  <c r="D158" i="13"/>
  <c r="D202" i="13"/>
  <c r="C80" i="13"/>
  <c r="S199" i="12"/>
  <c r="T199" i="12" s="1"/>
  <c r="U199" i="12" s="1"/>
  <c r="S152" i="12"/>
  <c r="T152" i="12" s="1"/>
  <c r="U152" i="12" s="1"/>
  <c r="C150" i="13"/>
  <c r="S240" i="12"/>
  <c r="T240" i="12" s="1"/>
  <c r="D204" i="13"/>
  <c r="D17" i="13"/>
  <c r="C84" i="13"/>
  <c r="S243" i="12"/>
  <c r="T243" i="12" s="1"/>
  <c r="U243" i="12" s="1"/>
  <c r="C155" i="13"/>
  <c r="C63" i="13"/>
  <c r="C230" i="13"/>
  <c r="S171" i="12"/>
  <c r="T171" i="12" s="1"/>
  <c r="U171" i="12" s="1"/>
  <c r="C88" i="13"/>
  <c r="C65" i="13"/>
  <c r="S66" i="12"/>
  <c r="T66" i="12" s="1"/>
  <c r="U66" i="12" s="1"/>
  <c r="D92" i="13"/>
  <c r="S272" i="12"/>
  <c r="T272" i="12" s="1"/>
  <c r="U272" i="12" s="1"/>
  <c r="D259" i="13"/>
  <c r="D73" i="13"/>
  <c r="C60" i="13"/>
  <c r="S169" i="12"/>
  <c r="T169" i="12" s="1"/>
  <c r="U169" i="12" s="1"/>
  <c r="C79" i="13"/>
  <c r="C83" i="13"/>
  <c r="D205" i="13"/>
  <c r="S164" i="12"/>
  <c r="T164" i="12" s="1"/>
  <c r="U164" i="12" s="1"/>
  <c r="C179" i="13"/>
  <c r="S192" i="12"/>
  <c r="T192" i="12" s="1"/>
  <c r="U192" i="12" s="1"/>
  <c r="C211" i="13"/>
  <c r="S231" i="12"/>
  <c r="T231" i="12" s="1"/>
  <c r="U231" i="12" s="1"/>
  <c r="S122" i="12"/>
  <c r="T122" i="12" s="1"/>
  <c r="U122" i="12" s="1"/>
  <c r="C125" i="13"/>
  <c r="D143" i="13"/>
  <c r="D105" i="13"/>
  <c r="C98" i="13"/>
  <c r="S213" i="12"/>
  <c r="T213" i="12" s="1"/>
  <c r="U213" i="12" s="1"/>
  <c r="C200" i="13"/>
  <c r="S68" i="12"/>
  <c r="T68" i="12" s="1"/>
  <c r="U68" i="12" s="1"/>
  <c r="D249" i="13"/>
  <c r="C81" i="13"/>
  <c r="S19" i="12"/>
  <c r="T19" i="12" s="1"/>
  <c r="U19" i="12" s="1"/>
  <c r="C254" i="13"/>
  <c r="D257" i="13"/>
  <c r="C226" i="13"/>
  <c r="C61" i="13"/>
  <c r="S142" i="12"/>
  <c r="T142" i="12" s="1"/>
  <c r="U142" i="12" s="1"/>
  <c r="D127" i="13"/>
  <c r="D130" i="13"/>
  <c r="C109" i="13"/>
  <c r="D128" i="13"/>
  <c r="D114" i="13"/>
  <c r="D99" i="13"/>
  <c r="D134" i="13"/>
  <c r="C269" i="13"/>
  <c r="C162" i="13"/>
  <c r="D102" i="13"/>
  <c r="S216" i="12"/>
  <c r="T216" i="12" s="1"/>
  <c r="U216" i="12" s="1"/>
  <c r="D146" i="13"/>
  <c r="D165" i="13"/>
  <c r="D74" i="13"/>
  <c r="C251" i="13"/>
  <c r="D245" i="13"/>
  <c r="C223" i="13"/>
  <c r="S203" i="12"/>
  <c r="T203" i="12" s="1"/>
  <c r="U203" i="12" s="1"/>
  <c r="S148" i="12"/>
  <c r="T148" i="12" s="1"/>
  <c r="U148" i="12" s="1"/>
  <c r="D212" i="13"/>
  <c r="C91" i="13"/>
  <c r="S260" i="12"/>
  <c r="T260" i="12" s="1"/>
  <c r="U260" i="12" s="1"/>
  <c r="D138" i="13"/>
  <c r="D265" i="13"/>
  <c r="S218" i="12"/>
  <c r="T218" i="12" s="1"/>
  <c r="U218" i="12" s="1"/>
  <c r="C151" i="13"/>
  <c r="D197" i="13"/>
  <c r="S167" i="12"/>
  <c r="T167" i="12" s="1"/>
  <c r="C271" i="13"/>
  <c r="S233" i="12"/>
  <c r="T233" i="12" s="1"/>
  <c r="U233" i="12" s="1"/>
  <c r="K274" i="12" l="1"/>
  <c r="B274" i="13" s="1"/>
  <c r="H13" i="12"/>
  <c r="B13" i="12" s="1"/>
  <c r="T224" i="12"/>
  <c r="T180" i="12"/>
  <c r="U180" i="12" s="1"/>
  <c r="T82" i="12"/>
  <c r="U82" i="12" s="1"/>
  <c r="T166" i="12"/>
  <c r="U166" i="12" s="1"/>
  <c r="U83" i="12"/>
  <c r="U181" i="12"/>
  <c r="T239" i="12"/>
  <c r="K86" i="11" s="1"/>
  <c r="N84" i="11" s="1"/>
  <c r="T12" i="12"/>
  <c r="N14" i="11" s="1"/>
  <c r="T14" i="12"/>
  <c r="T86" i="12"/>
  <c r="T59" i="12"/>
  <c r="K38" i="11" s="1"/>
  <c r="N36" i="11" s="1"/>
  <c r="U225" i="12"/>
  <c r="T75" i="12"/>
  <c r="T144" i="12"/>
  <c r="T256" i="12"/>
  <c r="K89" i="11" s="1"/>
  <c r="N87" i="11" s="1"/>
  <c r="U240" i="12"/>
  <c r="T270" i="12"/>
  <c r="K92" i="11" s="1"/>
  <c r="N90" i="11" s="1"/>
  <c r="T207" i="12"/>
  <c r="T193" i="12"/>
  <c r="U145" i="12"/>
  <c r="T228" i="12"/>
  <c r="K83" i="11" s="1"/>
  <c r="N81" i="11" s="1"/>
  <c r="U167" i="12"/>
  <c r="U257" i="12"/>
  <c r="T189" i="12"/>
  <c r="T118" i="12"/>
  <c r="AC83" i="11" l="1"/>
  <c r="Q83" i="11"/>
  <c r="P83" i="11"/>
  <c r="S83" i="11"/>
  <c r="T83" i="11"/>
  <c r="R83" i="11"/>
  <c r="U83" i="11"/>
  <c r="V83" i="11"/>
  <c r="W83" i="11"/>
  <c r="AC92" i="11"/>
  <c r="P92" i="11"/>
  <c r="Q92" i="11"/>
  <c r="S92" i="11"/>
  <c r="R92" i="11"/>
  <c r="T92" i="11"/>
  <c r="U92" i="11"/>
  <c r="V92" i="11"/>
  <c r="W92" i="11"/>
  <c r="U224" i="12"/>
  <c r="K80" i="11"/>
  <c r="N78" i="11" s="1"/>
  <c r="AC89" i="11"/>
  <c r="P89" i="11"/>
  <c r="Q89" i="11"/>
  <c r="R89" i="11"/>
  <c r="S89" i="11"/>
  <c r="T89" i="11"/>
  <c r="U89" i="11"/>
  <c r="V89" i="11"/>
  <c r="W89" i="11"/>
  <c r="AC86" i="11"/>
  <c r="P86" i="11"/>
  <c r="R86" i="11"/>
  <c r="Q86" i="11"/>
  <c r="S86" i="11"/>
  <c r="T86" i="11"/>
  <c r="U86" i="11"/>
  <c r="V86" i="11"/>
  <c r="W86" i="11"/>
  <c r="K65" i="11"/>
  <c r="N63" i="11" s="1"/>
  <c r="W65" i="11" s="1"/>
  <c r="K53" i="11"/>
  <c r="N51" i="11" s="1"/>
  <c r="P53" i="11" s="1"/>
  <c r="B12" i="12"/>
  <c r="T13" i="12"/>
  <c r="U13" i="12" s="1"/>
  <c r="K50" i="11"/>
  <c r="N48" i="11" s="1"/>
  <c r="P50" i="11" s="1"/>
  <c r="K44" i="11"/>
  <c r="N42" i="11" s="1"/>
  <c r="U118" i="12"/>
  <c r="U228" i="12"/>
  <c r="K68" i="11"/>
  <c r="N66" i="11" s="1"/>
  <c r="U270" i="12"/>
  <c r="K77" i="11"/>
  <c r="N75" i="11" s="1"/>
  <c r="V65" i="11"/>
  <c r="R65" i="11"/>
  <c r="U65" i="11"/>
  <c r="P65" i="11"/>
  <c r="AC65" i="11"/>
  <c r="K32" i="11"/>
  <c r="N30" i="11" s="1"/>
  <c r="U59" i="12"/>
  <c r="U14" i="12"/>
  <c r="K23" i="11"/>
  <c r="N21" i="11" s="1"/>
  <c r="U189" i="12"/>
  <c r="K56" i="11"/>
  <c r="N54" i="11" s="1"/>
  <c r="U144" i="12"/>
  <c r="K47" i="11"/>
  <c r="N45" i="11" s="1"/>
  <c r="U38" i="11"/>
  <c r="P38" i="11"/>
  <c r="S38" i="11"/>
  <c r="R38" i="11"/>
  <c r="T38" i="11"/>
  <c r="Q38" i="11"/>
  <c r="V38" i="11"/>
  <c r="W38" i="11"/>
  <c r="AC38" i="11"/>
  <c r="S53" i="11"/>
  <c r="U193" i="12"/>
  <c r="K59" i="11"/>
  <c r="N57" i="11" s="1"/>
  <c r="K74" i="11"/>
  <c r="N72" i="11" s="1"/>
  <c r="U256" i="12"/>
  <c r="K35" i="11"/>
  <c r="N33" i="11" s="1"/>
  <c r="U75" i="12"/>
  <c r="K62" i="11"/>
  <c r="N60" i="11" s="1"/>
  <c r="U207" i="12"/>
  <c r="K41" i="11"/>
  <c r="N39" i="11" s="1"/>
  <c r="U86" i="12"/>
  <c r="K71" i="11"/>
  <c r="N69" i="11" s="1"/>
  <c r="U239" i="12"/>
  <c r="AC53" i="11" l="1"/>
  <c r="V53" i="11"/>
  <c r="Q53" i="11"/>
  <c r="U53" i="11"/>
  <c r="R53" i="11"/>
  <c r="T53" i="11"/>
  <c r="P80" i="11"/>
  <c r="AC80" i="11"/>
  <c r="R80" i="11"/>
  <c r="Q80" i="11"/>
  <c r="S80" i="11"/>
  <c r="T80" i="11"/>
  <c r="U80" i="11"/>
  <c r="V80" i="11"/>
  <c r="W80" i="11"/>
  <c r="T65" i="11"/>
  <c r="Q65" i="11"/>
  <c r="W53" i="11"/>
  <c r="S65" i="11"/>
  <c r="Q50" i="11"/>
  <c r="R50" i="11"/>
  <c r="W50" i="11"/>
  <c r="K20" i="11"/>
  <c r="N18" i="11" s="1"/>
  <c r="U50" i="11"/>
  <c r="V50" i="11"/>
  <c r="S50" i="11"/>
  <c r="AC50" i="11"/>
  <c r="T50" i="11"/>
  <c r="T59" i="11"/>
  <c r="S59" i="11"/>
  <c r="U59" i="11"/>
  <c r="V59" i="11"/>
  <c r="Q59" i="11"/>
  <c r="P59" i="11"/>
  <c r="W59" i="11"/>
  <c r="AC59" i="11"/>
  <c r="R59" i="11"/>
  <c r="U47" i="11"/>
  <c r="Q47" i="11"/>
  <c r="V47" i="11"/>
  <c r="AC47" i="11"/>
  <c r="R47" i="11"/>
  <c r="W47" i="11"/>
  <c r="P47" i="11"/>
  <c r="S47" i="11"/>
  <c r="T47" i="11"/>
  <c r="U23" i="11"/>
  <c r="AC23" i="11"/>
  <c r="Q23" i="11"/>
  <c r="P23" i="11"/>
  <c r="R23" i="11"/>
  <c r="S23" i="11"/>
  <c r="T23" i="11"/>
  <c r="W23" i="11"/>
  <c r="V23" i="11"/>
  <c r="R68" i="11"/>
  <c r="Q68" i="11"/>
  <c r="W68" i="11"/>
  <c r="U68" i="11"/>
  <c r="AC68" i="11"/>
  <c r="T68" i="11"/>
  <c r="S68" i="11"/>
  <c r="P68" i="11"/>
  <c r="V68" i="11"/>
  <c r="R74" i="11"/>
  <c r="AC74" i="11"/>
  <c r="P74" i="11"/>
  <c r="V74" i="11"/>
  <c r="S74" i="11"/>
  <c r="T74" i="11"/>
  <c r="U74" i="11"/>
  <c r="W74" i="11"/>
  <c r="Q74" i="11"/>
  <c r="U5" i="12"/>
  <c r="R71" i="11"/>
  <c r="U71" i="11"/>
  <c r="AC71" i="11"/>
  <c r="S71" i="11"/>
  <c r="T71" i="11"/>
  <c r="Q71" i="11"/>
  <c r="P71" i="11"/>
  <c r="V71" i="11"/>
  <c r="W71" i="11"/>
  <c r="Q56" i="11"/>
  <c r="T56" i="11"/>
  <c r="U56" i="11"/>
  <c r="V56" i="11"/>
  <c r="W56" i="11"/>
  <c r="S56" i="11"/>
  <c r="R56" i="11"/>
  <c r="P56" i="11"/>
  <c r="AC56" i="11"/>
  <c r="V77" i="11"/>
  <c r="T77" i="11"/>
  <c r="Q77" i="11"/>
  <c r="AC77" i="11"/>
  <c r="U77" i="11"/>
  <c r="W77" i="11"/>
  <c r="R77" i="11"/>
  <c r="S77" i="11"/>
  <c r="P77" i="11"/>
  <c r="U62" i="11"/>
  <c r="W62" i="11"/>
  <c r="S62" i="11"/>
  <c r="Q62" i="11"/>
  <c r="AC62" i="11"/>
  <c r="R62" i="11"/>
  <c r="V62" i="11"/>
  <c r="P62" i="11"/>
  <c r="T62" i="11"/>
  <c r="Q41" i="11"/>
  <c r="V41" i="11"/>
  <c r="S41" i="11"/>
  <c r="AC41" i="11"/>
  <c r="R41" i="11"/>
  <c r="P41" i="11"/>
  <c r="U41" i="11"/>
  <c r="W41" i="11"/>
  <c r="T41" i="11"/>
  <c r="R35" i="11"/>
  <c r="P35" i="11"/>
  <c r="AC35" i="11"/>
  <c r="V35" i="11"/>
  <c r="S35" i="11"/>
  <c r="Q35" i="11"/>
  <c r="T35" i="11"/>
  <c r="W35" i="11"/>
  <c r="U35" i="11"/>
  <c r="P32" i="11"/>
  <c r="U32" i="11"/>
  <c r="S32" i="11"/>
  <c r="T32" i="11"/>
  <c r="AC32" i="11"/>
  <c r="V32" i="11"/>
  <c r="R32" i="11"/>
  <c r="Q32" i="11"/>
  <c r="W32" i="11"/>
  <c r="AC44" i="11"/>
  <c r="T44" i="11"/>
  <c r="S44" i="11"/>
  <c r="Q44" i="11"/>
  <c r="R44" i="11"/>
  <c r="U44" i="11"/>
  <c r="P44" i="11"/>
  <c r="W44" i="11"/>
  <c r="V44" i="11"/>
  <c r="P20" i="11" l="1"/>
  <c r="P19" i="11" s="1"/>
  <c r="P18" i="11" s="1"/>
  <c r="S20" i="11"/>
  <c r="AC20" i="11"/>
  <c r="V20" i="11"/>
  <c r="R20" i="11"/>
  <c r="U20" i="11"/>
  <c r="W20" i="11"/>
  <c r="T20" i="11"/>
  <c r="Q20" i="11"/>
  <c r="P17" i="11" l="1"/>
  <c r="P15" i="11" s="1"/>
  <c r="P14" i="11" s="1"/>
  <c r="Q19" i="11"/>
  <c r="Q18" i="11" s="1"/>
  <c r="Q17" i="11"/>
  <c r="R19" i="11"/>
  <c r="R17" i="11"/>
  <c r="T19" i="11"/>
  <c r="T17" i="11"/>
  <c r="V19" i="11"/>
  <c r="V17" i="11"/>
  <c r="W17" i="11"/>
  <c r="W19" i="11"/>
  <c r="AC19" i="11"/>
  <c r="AC18" i="11" s="1"/>
  <c r="AC17" i="11"/>
  <c r="U19" i="11"/>
  <c r="U18" i="11" s="1"/>
  <c r="U17" i="11"/>
  <c r="S19" i="11"/>
  <c r="S18" i="11" s="1"/>
  <c r="S17" i="11"/>
  <c r="R18" i="11" l="1"/>
  <c r="P16" i="11"/>
  <c r="W18" i="11"/>
  <c r="T18" i="11"/>
  <c r="W16" i="11"/>
  <c r="W15" i="11"/>
  <c r="W14" i="11" s="1"/>
  <c r="U15" i="11"/>
  <c r="U14" i="11" s="1"/>
  <c r="U16" i="11"/>
  <c r="T16" i="11"/>
  <c r="T15" i="11"/>
  <c r="T14" i="11" s="1"/>
  <c r="L8" i="11"/>
  <c r="AC15" i="11"/>
  <c r="AC14" i="11" s="1"/>
  <c r="AC16" i="11"/>
  <c r="V15" i="11"/>
  <c r="V14" i="11" s="1"/>
  <c r="V16" i="11"/>
  <c r="Q16" i="11"/>
  <c r="Q15" i="11"/>
  <c r="Q14" i="11" s="1"/>
  <c r="S16" i="11"/>
  <c r="S15" i="11"/>
  <c r="S14" i="11" s="1"/>
  <c r="R15" i="11"/>
  <c r="R14" i="11" s="1"/>
  <c r="R16" i="11"/>
  <c r="V18" i="11"/>
</calcChain>
</file>

<file path=xl/sharedStrings.xml><?xml version="1.0" encoding="utf-8"?>
<sst xmlns="http://schemas.openxmlformats.org/spreadsheetml/2006/main" count="1585" uniqueCount="475">
  <si>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</si>
  <si>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</si>
  <si>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</si>
  <si>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</si>
  <si>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</si>
  <si>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</si>
  <si>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</si>
  <si>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</si>
  <si>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</si>
  <si>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</si>
  <si>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</si>
  <si>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</si>
  <si>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</si>
  <si>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</si>
  <si>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</si>
  <si>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</si>
  <si>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</si>
  <si>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</si>
  <si>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</si>
  <si>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</si>
  <si>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</si>
  <si>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</si>
  <si>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</si>
  <si>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</si>
  <si>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</si>
  <si>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</si>
  <si>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</si>
  <si>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</si>
  <si>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</si>
  <si>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</si>
  <si>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</si>
  <si>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</si>
  <si>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</si>
  <si>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</si>
  <si>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</si>
  <si>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</si>
  <si>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</si>
  <si>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</si>
  <si>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</si>
  <si>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</si>
  <si>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</si>
  <si>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</si>
  <si>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</si>
  <si>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</si>
  <si>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</si>
  <si>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</si>
  <si>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</si>
  <si>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</si>
  <si>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</si>
  <si>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</si>
  <si>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</si>
  <si>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</si>
  <si>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</si>
  <si>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</si>
  <si>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</si>
  <si>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</si>
  <si>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</si>
  <si>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</si>
  <si>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</si>
  <si>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</si>
  <si>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</si>
  <si>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</si>
  <si>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</si>
  <si>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</si>
  <si>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</si>
  <si>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</si>
  <si>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</si>
  <si>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</si>
  <si>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</si>
  <si>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</si>
  <si>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</si>
  <si>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</si>
  <si>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</si>
  <si>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</si>
  <si>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</si>
  <si>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</si>
  <si>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</si>
  <si>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</si>
  <si>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</si>
  <si>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</si>
  <si>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</si>
  <si>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</si>
  <si>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</si>
  <si>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</si>
  <si>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</si>
  <si>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</si>
  <si>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</si>
  <si>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</si>
  <si>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</si>
  <si>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</si>
  <si>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</si>
  <si>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</si>
  <si>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</si>
  <si>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</si>
  <si>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</si>
  <si>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</si>
  <si>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</si>
  <si>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</si>
  <si>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</si>
  <si>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</si>
  <si>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</si>
  <si>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</si>
  <si>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</si>
  <si>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</si>
  <si>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</si>
  <si>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</si>
  <si>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</si>
  <si>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</si>
  <si>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</si>
  <si>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</si>
  <si>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</si>
  <si>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</si>
  <si>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</si>
  <si>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</si>
  <si>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</si>
  <si>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</si>
  <si>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</si>
  <si>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</si>
  <si>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</si>
  <si>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</si>
  <si>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</si>
  <si>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</si>
  <si>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</si>
  <si>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</si>
  <si>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</si>
  <si>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</si>
  <si>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</si>
  <si>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</si>
  <si>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</si>
  <si>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</si>
  <si>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</si>
  <si>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</si>
  <si>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</si>
  <si>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</si>
  <si>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</si>
  <si>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</si>
  <si>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</si>
  <si>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</si>
  <si>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</si>
  <si>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</si>
  <si>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</si>
  <si>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</si>
  <si>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</si>
  <si>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</si>
  <si>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</si>
  <si>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</si>
  <si>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</si>
  <si>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</si>
  <si>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</si>
  <si>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</si>
  <si>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</si>
  <si>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</si>
  <si>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</si>
  <si>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</si>
  <si>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</si>
  <si>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</si>
  <si>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</si>
  <si>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</si>
  <si>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</si>
  <si>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</si>
  <si>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</si>
  <si>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</si>
  <si>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</si>
  <si>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</si>
  <si>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</si>
  <si>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</si>
  <si>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</si>
  <si>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</si>
  <si>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</si>
  <si>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</si>
  <si>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</si>
  <si>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</si>
  <si>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</si>
  <si>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</si>
  <si>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</si>
  <si>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</si>
  <si>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</si>
  <si>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</si>
  <si>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</si>
  <si>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</si>
  <si>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</si>
  <si>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</si>
  <si>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</si>
  <si>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</si>
  <si>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</si>
  <si>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</si>
  <si>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</si>
  <si>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</si>
  <si>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</si>
  <si>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</si>
  <si>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</si>
  <si>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</si>
  <si>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</si>
  <si>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</si>
  <si>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</si>
  <si>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</si>
  <si>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</si>
  <si>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</si>
  <si>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</si>
  <si>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</si>
  <si>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</si>
  <si>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</si>
  <si>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</si>
  <si>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</si>
  <si>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</si>
  <si>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</si>
  <si>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</si>
  <si>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</si>
  <si>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</si>
  <si>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</si>
  <si>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</si>
  <si>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</si>
  <si>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</si>
  <si>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</si>
  <si>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</si>
  <si>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</si>
  <si>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</si>
  <si>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</si>
  <si>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</si>
  <si>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</si>
  <si>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</si>
  <si>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</si>
  <si>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</si>
  <si>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</si>
  <si>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</si>
  <si>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</si>
  <si>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</si>
  <si>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</si>
  <si>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</si>
  <si>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Única</t>
  </si>
  <si>
    <t>MUNICÍPIO DE FREDERICO WESTPHALEN</t>
  </si>
  <si>
    <t>FREDERICO WESTPHALEN/RS</t>
  </si>
  <si>
    <t>Sim</t>
  </si>
  <si>
    <t>NÃO</t>
  </si>
  <si>
    <t>JARDEL F. KONZEN</t>
  </si>
  <si>
    <t>ENGENHEIRO CIVIL</t>
  </si>
  <si>
    <t>233.385</t>
  </si>
  <si>
    <t>SINAPI</t>
  </si>
  <si>
    <t>COMPOSIÇÃO</t>
  </si>
  <si>
    <t>SERVIÇOS FINAIS</t>
  </si>
  <si>
    <t>97647</t>
  </si>
  <si>
    <t>100983</t>
  </si>
  <si>
    <t>BDI 2 - TRANSPORTES, CONFORME DNIT IN 62/2021.</t>
  </si>
  <si>
    <t>103330</t>
  </si>
  <si>
    <t>97650</t>
  </si>
  <si>
    <t>92759</t>
  </si>
  <si>
    <t>92558</t>
  </si>
  <si>
    <t>92543</t>
  </si>
  <si>
    <t>94227</t>
  </si>
  <si>
    <t>SINAPI-I</t>
  </si>
  <si>
    <t>12626</t>
  </si>
  <si>
    <t>87547</t>
  </si>
  <si>
    <t>87905</t>
  </si>
  <si>
    <t>87792</t>
  </si>
  <si>
    <t>94990</t>
  </si>
  <si>
    <t>104790</t>
  </si>
  <si>
    <t>88415</t>
  </si>
  <si>
    <t>COMP2</t>
  </si>
  <si>
    <t>102233</t>
  </si>
  <si>
    <t xml:space="preserve">FORRO </t>
  </si>
  <si>
    <t>96486</t>
  </si>
  <si>
    <t>96121</t>
  </si>
  <si>
    <t>99814</t>
  </si>
  <si>
    <t>ESQUADRIAS</t>
  </si>
  <si>
    <t>EMEF 21 DE ABRIL</t>
  </si>
  <si>
    <t>Prefeitura Municipal</t>
  </si>
  <si>
    <t>Prefeitura Municipal de Frederico W.</t>
  </si>
  <si>
    <t>97640</t>
  </si>
  <si>
    <t>99826</t>
  </si>
  <si>
    <t>97622</t>
  </si>
  <si>
    <t>INSTALAÇÕES ELÉTRICAS</t>
  </si>
  <si>
    <t>97665</t>
  </si>
  <si>
    <t>91927</t>
  </si>
  <si>
    <t>91928</t>
  </si>
  <si>
    <t>96986</t>
  </si>
  <si>
    <t>91834</t>
  </si>
  <si>
    <t>91993</t>
  </si>
  <si>
    <t>97599</t>
  </si>
  <si>
    <t>ORÇAMENTO DA REFORMA DA EMEF 21 DE ABRIL VISANDO CONSTRUÇÃO DE UMA NOVA COBERTURA, ENTENDO QUE A COBERTURA EXISTENTE APRESENTA VÁRIAS INFILTRAÇÕES E GRANDE DEPRECIAÇÃO PELO TEMPO. ESTÁ INCLUSO NESTE ORÇAMENTO OS REPAROS NO PISO PARQUET NA BIBLIOTECA E AS INSTALAÇÕES ELÉTRICAS.</t>
  </si>
  <si>
    <t>AMPLIAÇÃO, MODERNIZAÇÃO E REFORMA DA EMEF 21 DE ABRIL</t>
  </si>
  <si>
    <t>RS-591, LINHA 21 DE ABRIL, INTERIOR</t>
  </si>
  <si>
    <t>AMPLIAÇÃO, MODERNIZAÇÃO E REFORMA DE EDIFICAÇÃO</t>
  </si>
  <si>
    <t>99804</t>
  </si>
  <si>
    <t>99821</t>
  </si>
  <si>
    <t>99812</t>
  </si>
  <si>
    <t>98504</t>
  </si>
  <si>
    <t>PREVENÇÃO CONTRA INCÊNDIO</t>
  </si>
  <si>
    <t>101908</t>
  </si>
  <si>
    <t>88423</t>
  </si>
  <si>
    <t>PINTURAS EXTERNAS</t>
  </si>
  <si>
    <t>PINTURAS INTERNAS</t>
  </si>
  <si>
    <t>88485</t>
  </si>
  <si>
    <t>88489</t>
  </si>
  <si>
    <t>COMP11</t>
  </si>
  <si>
    <t>97633</t>
  </si>
  <si>
    <t>97627</t>
  </si>
  <si>
    <t>97645</t>
  </si>
  <si>
    <t>97644</t>
  </si>
  <si>
    <t>104793</t>
  </si>
  <si>
    <t>91931</t>
  </si>
  <si>
    <t>COMP14</t>
  </si>
  <si>
    <t>94231</t>
  </si>
  <si>
    <t>92559</t>
  </si>
  <si>
    <t>92561</t>
  </si>
  <si>
    <t>COMP13</t>
  </si>
  <si>
    <t xml:space="preserve">COBERTURA </t>
  </si>
  <si>
    <t>104596</t>
  </si>
  <si>
    <t>104597</t>
  </si>
  <si>
    <t>104598</t>
  </si>
  <si>
    <t>87263</t>
  </si>
  <si>
    <t>87273</t>
  </si>
  <si>
    <t>100323</t>
  </si>
  <si>
    <t>98562</t>
  </si>
  <si>
    <t>102189</t>
  </si>
  <si>
    <t>102185</t>
  </si>
  <si>
    <t>39624</t>
  </si>
  <si>
    <t>COMP15</t>
  </si>
  <si>
    <t>99861</t>
  </si>
  <si>
    <t>100701</t>
  </si>
  <si>
    <t>94569</t>
  </si>
  <si>
    <t>100702</t>
  </si>
  <si>
    <t>91338</t>
  </si>
  <si>
    <t>COMP17</t>
  </si>
  <si>
    <t>90790</t>
  </si>
  <si>
    <t>90789</t>
  </si>
  <si>
    <t>94573</t>
  </si>
  <si>
    <t>CENTRAL DE GLP</t>
  </si>
  <si>
    <t>97101</t>
  </si>
  <si>
    <t>97097</t>
  </si>
  <si>
    <t>89480</t>
  </si>
  <si>
    <t>98555</t>
  </si>
  <si>
    <t>101963</t>
  </si>
  <si>
    <t>103682</t>
  </si>
  <si>
    <t>103669</t>
  </si>
  <si>
    <t>92762</t>
  </si>
  <si>
    <t>100788</t>
  </si>
  <si>
    <t>92688</t>
  </si>
  <si>
    <t>92700</t>
  </si>
  <si>
    <t>103029</t>
  </si>
  <si>
    <t>93358</t>
  </si>
  <si>
    <t>94319</t>
  </si>
  <si>
    <t>102492</t>
  </si>
  <si>
    <t xml:space="preserve">REVESTIMENTOS CERÂMICA DE PISO E PAREDE E CALÇADAS </t>
  </si>
  <si>
    <t>COMP6</t>
  </si>
  <si>
    <t>LOUÇAS E METAIS</t>
  </si>
  <si>
    <t>100848</t>
  </si>
  <si>
    <t>86932</t>
  </si>
  <si>
    <t>100874</t>
  </si>
  <si>
    <t>100851</t>
  </si>
  <si>
    <t>86943</t>
  </si>
  <si>
    <t>100866</t>
  </si>
  <si>
    <t>95547</t>
  </si>
  <si>
    <t>COMP12</t>
  </si>
  <si>
    <t>86893</t>
  </si>
  <si>
    <t>86895</t>
  </si>
  <si>
    <t>102235</t>
  </si>
  <si>
    <t>95543</t>
  </si>
  <si>
    <t>11186</t>
  </si>
  <si>
    <t>100849</t>
  </si>
  <si>
    <t>INSTALAÇÕES HIDROSSANITÁRIAS</t>
  </si>
  <si>
    <t>102617</t>
  </si>
  <si>
    <t>94796</t>
  </si>
  <si>
    <t>86921</t>
  </si>
  <si>
    <t>COMP18</t>
  </si>
  <si>
    <t>COMP1</t>
  </si>
  <si>
    <t>104803</t>
  </si>
  <si>
    <t>100775</t>
  </si>
  <si>
    <t>100764</t>
  </si>
  <si>
    <t>92580</t>
  </si>
  <si>
    <t>88278</t>
  </si>
  <si>
    <t>37558</t>
  </si>
  <si>
    <t>37560</t>
  </si>
  <si>
    <t>103689</t>
  </si>
  <si>
    <t>10849</t>
  </si>
  <si>
    <t>103800</t>
  </si>
  <si>
    <t>34721</t>
  </si>
  <si>
    <t>COMP19</t>
  </si>
  <si>
    <t>100975</t>
  </si>
  <si>
    <t>97083</t>
  </si>
  <si>
    <t>ALVENARIAS</t>
  </si>
  <si>
    <t>95875</t>
  </si>
  <si>
    <t>101159</t>
  </si>
  <si>
    <t>103324</t>
  </si>
  <si>
    <t>105030</t>
  </si>
  <si>
    <t>105024</t>
  </si>
  <si>
    <t>100324</t>
  </si>
  <si>
    <t>97087</t>
  </si>
  <si>
    <t>104626</t>
  </si>
  <si>
    <t>94992</t>
  </si>
  <si>
    <t>101965</t>
  </si>
  <si>
    <t>IMPERMEABILIZAÇÃO</t>
  </si>
  <si>
    <t>98557</t>
  </si>
  <si>
    <t>98558</t>
  </si>
  <si>
    <t>101619</t>
  </si>
  <si>
    <t>COBERTURA DO ACESSO A ESCOLA E FACHADA</t>
  </si>
  <si>
    <t>98509</t>
  </si>
  <si>
    <t>98516</t>
  </si>
  <si>
    <t>98546</t>
  </si>
  <si>
    <t>37459</t>
  </si>
  <si>
    <t>101917</t>
  </si>
  <si>
    <t>92692</t>
  </si>
  <si>
    <t>92905</t>
  </si>
  <si>
    <t>COMP3</t>
  </si>
  <si>
    <t>COMP20</t>
  </si>
  <si>
    <t>98053</t>
  </si>
  <si>
    <t>98054</t>
  </si>
  <si>
    <t>98059</t>
  </si>
  <si>
    <t>98111</t>
  </si>
  <si>
    <t>101801</t>
  </si>
  <si>
    <t>97902</t>
  </si>
  <si>
    <t>98104</t>
  </si>
  <si>
    <t>41613</t>
  </si>
  <si>
    <t>89798</t>
  </si>
  <si>
    <t>89713</t>
  </si>
  <si>
    <t>89711</t>
  </si>
  <si>
    <t>89714</t>
  </si>
  <si>
    <t>103292</t>
  </si>
  <si>
    <t>103291</t>
  </si>
  <si>
    <t>COMP21</t>
  </si>
  <si>
    <t>103373</t>
  </si>
  <si>
    <t>103979</t>
  </si>
  <si>
    <t>104316</t>
  </si>
  <si>
    <t>89402</t>
  </si>
  <si>
    <t>98099</t>
  </si>
  <si>
    <t>98100</t>
  </si>
  <si>
    <t>91837</t>
  </si>
  <si>
    <t>COMP10</t>
  </si>
  <si>
    <t>92008</t>
  </si>
  <si>
    <t>97607</t>
  </si>
  <si>
    <t>92013</t>
  </si>
  <si>
    <t>92004</t>
  </si>
  <si>
    <t>COMP9</t>
  </si>
  <si>
    <t>COMP8</t>
  </si>
  <si>
    <t>COMP7</t>
  </si>
  <si>
    <t>101882</t>
  </si>
  <si>
    <t>90458</t>
  </si>
  <si>
    <t>97359</t>
  </si>
  <si>
    <t>103288</t>
  </si>
  <si>
    <t>90447</t>
  </si>
  <si>
    <t>104779</t>
  </si>
  <si>
    <t>97597</t>
  </si>
  <si>
    <t>93661</t>
  </si>
  <si>
    <t>93664</t>
  </si>
  <si>
    <t>93662</t>
  </si>
  <si>
    <t>13465638</t>
  </si>
  <si>
    <t>103268</t>
  </si>
  <si>
    <t>103270</t>
  </si>
  <si>
    <t>103249</t>
  </si>
  <si>
    <t>SAPATAS</t>
  </si>
  <si>
    <t>90082</t>
  </si>
  <si>
    <t>93379</t>
  </si>
  <si>
    <t>96558</t>
  </si>
  <si>
    <t>92802</t>
  </si>
  <si>
    <t>92803</t>
  </si>
  <si>
    <t>96535</t>
  </si>
  <si>
    <t>VIGAS BALDRAME</t>
  </si>
  <si>
    <t>96557</t>
  </si>
  <si>
    <t>92270</t>
  </si>
  <si>
    <t>94962</t>
  </si>
  <si>
    <t>92800</t>
  </si>
  <si>
    <t>PILARES</t>
  </si>
  <si>
    <t>88497</t>
  </si>
  <si>
    <t>LAJE RESERVATÓRIO E FACHADA</t>
  </si>
  <si>
    <t>3746</t>
  </si>
  <si>
    <t>99431</t>
  </si>
  <si>
    <t>37411</t>
  </si>
  <si>
    <t>92271</t>
  </si>
  <si>
    <t>DEMOLIÇÕES E REMOÇÕES</t>
  </si>
  <si>
    <t>SERVIÇOS INICIAIS</t>
  </si>
  <si>
    <t>VIGAS FORRO</t>
  </si>
  <si>
    <t>103672</t>
  </si>
  <si>
    <t>92269</t>
  </si>
  <si>
    <t>VIGAS OITÃO FRONTAL</t>
  </si>
  <si>
    <t>VIGAS OITÃO LATERAL E FUNDOS</t>
  </si>
  <si>
    <t>OBRA EMEF 21 DE ABRIL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</si>
</sst>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4"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
      <sz val="8"/>
      <color rgb="FF000000"/>
      <name val="Segoe UI"/>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
      <patternFill patternType="solid">
        <fgColor indexed="43"/>
        <bgColor indexed="26"/>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
      <left style="thin">
        <color indexed="8"/>
      </left>
      <right style="thin">
        <color indexed="8"/>
      </right>
      <top style="thin">
        <color indexed="8"/>
      </top>
      <bottom style="thin">
        <color indexed="8"/>
      </bottom>
      <diagonal/>
    </border>
  </borders>
  <cellStyleXfs count="87">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354">
    <xf numFmtId="0" fontId="0" fillId="0" borderId="0" xfId="0"/>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lignment horizontal="center"/>
    </xf>
    <xf numFmtId="0" fontId="0" fillId="0" borderId="0" xfId="0" applyAlignment="1">
      <alignment horizontal="left"/>
    </xf>
    <xf numFmtId="49" fontId="22" fillId="24" borderId="10" xfId="0" applyNumberFormat="1" applyFont="1" applyFill="1" applyBorder="1" applyAlignment="1">
      <alignment horizontal="center" vertical="center"/>
    </xf>
    <xf numFmtId="164" fontId="22" fillId="24" borderId="10" xfId="85" applyFont="1" applyFill="1" applyBorder="1" applyAlignment="1" applyProtection="1">
      <alignment horizontal="center" vertical="center"/>
    </xf>
    <xf numFmtId="10" fontId="22" fillId="24" borderId="10" xfId="74"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5" applyFont="1"/>
    <xf numFmtId="0" fontId="27" fillId="0" borderId="0" xfId="0" applyFont="1" applyAlignment="1">
      <alignment vertical="center"/>
    </xf>
    <xf numFmtId="0" fontId="1" fillId="0" borderId="0" xfId="0" applyFont="1" applyAlignment="1">
      <alignment horizontal="right"/>
    </xf>
    <xf numFmtId="0" fontId="22" fillId="0" borderId="0" xfId="0" applyFont="1" applyAlignment="1">
      <alignment horizontal="right"/>
    </xf>
    <xf numFmtId="0" fontId="1" fillId="0" borderId="0" xfId="0" applyFont="1" applyAlignment="1">
      <alignment wrapText="1"/>
    </xf>
    <xf numFmtId="0" fontId="0" fillId="0" borderId="0" xfId="0" applyAlignment="1">
      <alignment horizontal="left" wrapText="1"/>
    </xf>
    <xf numFmtId="0" fontId="1" fillId="0" borderId="0" xfId="0" applyFont="1" applyAlignment="1">
      <alignment horizontal="left" wrapText="1" indent="2"/>
    </xf>
    <xf numFmtId="0" fontId="0" fillId="0" borderId="0" xfId="0" applyAlignment="1">
      <alignment horizontal="center"/>
    </xf>
    <xf numFmtId="0" fontId="22" fillId="0" borderId="11" xfId="70" applyFont="1" applyBorder="1" applyAlignment="1">
      <alignment horizontal="left" vertical="top"/>
    </xf>
    <xf numFmtId="0" fontId="22" fillId="0" borderId="0" xfId="70" applyFont="1" applyAlignment="1">
      <alignment horizontal="left" vertical="top"/>
    </xf>
    <xf numFmtId="0" fontId="22" fillId="0" borderId="12" xfId="70" applyFont="1" applyBorder="1" applyAlignment="1">
      <alignment horizontal="left" vertical="top"/>
    </xf>
    <xf numFmtId="10" fontId="1" fillId="0" borderId="0" xfId="74" applyNumberFormat="1" applyFont="1" applyBorder="1" applyAlignment="1" applyProtection="1">
      <alignment horizontal="left"/>
    </xf>
    <xf numFmtId="0" fontId="0" fillId="0" borderId="0" xfId="0" applyAlignment="1">
      <alignment horizontal="left" indent="2"/>
    </xf>
    <xf numFmtId="14" fontId="28" fillId="0" borderId="0" xfId="0" applyNumberFormat="1" applyFont="1" applyAlignment="1">
      <alignment vertical="top" wrapText="1"/>
    </xf>
    <xf numFmtId="0" fontId="29" fillId="0" borderId="0" xfId="0" applyFont="1" applyAlignment="1">
      <alignment horizontal="center"/>
    </xf>
    <xf numFmtId="0" fontId="29" fillId="0" borderId="0" xfId="0" applyFont="1"/>
    <xf numFmtId="0" fontId="21" fillId="0" borderId="0" xfId="0" applyFont="1" applyAlignment="1">
      <alignment horizontal="left"/>
    </xf>
    <xf numFmtId="166" fontId="0" fillId="0" borderId="0" xfId="85"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1" fillId="0" borderId="0" xfId="0" applyFont="1" applyProtection="1">
      <protection hidden="1"/>
    </xf>
    <xf numFmtId="0" fontId="22" fillId="0" borderId="0" xfId="0" applyFont="1" applyAlignment="1" applyProtection="1">
      <alignment wrapText="1"/>
      <protection hidden="1"/>
    </xf>
    <xf numFmtId="0" fontId="22" fillId="0" borderId="0" xfId="0" applyFont="1" applyAlignment="1" applyProtection="1">
      <alignment horizontal="center" vertical="center"/>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Alignment="1">
      <alignment horizontal="left" wrapText="1"/>
    </xf>
    <xf numFmtId="0" fontId="1" fillId="0" borderId="0" xfId="0" applyFont="1" applyAlignment="1">
      <alignment horizontal="left" wrapText="1" indent="1"/>
    </xf>
    <xf numFmtId="0" fontId="22" fillId="0" borderId="0" xfId="0" applyFont="1" applyAlignment="1">
      <alignment horizontal="left" wrapText="1" indent="1"/>
    </xf>
    <xf numFmtId="0" fontId="22" fillId="0" borderId="0" xfId="0" applyFont="1" applyAlignment="1">
      <alignment horizontal="left" indent="1"/>
    </xf>
    <xf numFmtId="0" fontId="1" fillId="0" borderId="0" xfId="69"/>
    <xf numFmtId="0" fontId="22" fillId="0" borderId="0" xfId="69" applyFont="1" applyAlignment="1">
      <alignment horizontal="center"/>
    </xf>
    <xf numFmtId="0" fontId="22" fillId="0" borderId="14" xfId="69" applyFont="1" applyBorder="1" applyAlignment="1">
      <alignment horizontal="center"/>
    </xf>
    <xf numFmtId="10" fontId="31" fillId="0" borderId="14" xfId="69" applyNumberFormat="1" applyFont="1" applyBorder="1" applyAlignment="1">
      <alignment horizontal="center"/>
    </xf>
    <xf numFmtId="0" fontId="21" fillId="0" borderId="0" xfId="69" applyFont="1" applyAlignment="1">
      <alignment horizontal="center"/>
    </xf>
    <xf numFmtId="0" fontId="32" fillId="0" borderId="0" xfId="69" applyFont="1"/>
    <xf numFmtId="0" fontId="22" fillId="0" borderId="0" xfId="69" applyFont="1"/>
    <xf numFmtId="0" fontId="22" fillId="0" borderId="14" xfId="69" applyFont="1" applyBorder="1" applyAlignment="1">
      <alignment horizontal="center" vertical="center" wrapText="1"/>
    </xf>
    <xf numFmtId="0" fontId="30" fillId="0" borderId="14" xfId="69" applyFont="1" applyBorder="1" applyAlignment="1">
      <alignment horizontal="center" vertical="center"/>
    </xf>
    <xf numFmtId="4" fontId="26" fillId="0" borderId="14" xfId="69" applyNumberFormat="1" applyFont="1" applyBorder="1" applyAlignment="1">
      <alignment horizontal="center" vertical="center"/>
    </xf>
    <xf numFmtId="10" fontId="30" fillId="0" borderId="14" xfId="69" applyNumberFormat="1" applyFont="1" applyBorder="1" applyAlignment="1">
      <alignment horizontal="center" vertical="center"/>
    </xf>
    <xf numFmtId="10" fontId="30" fillId="0" borderId="14" xfId="69" applyNumberFormat="1" applyFont="1" applyBorder="1" applyAlignment="1">
      <alignment horizontal="center" vertical="center" wrapText="1"/>
    </xf>
    <xf numFmtId="0" fontId="30" fillId="0" borderId="14" xfId="69" applyFont="1" applyBorder="1" applyAlignment="1">
      <alignment horizontal="center" vertical="center" wrapText="1"/>
    </xf>
    <xf numFmtId="0" fontId="39" fillId="0" borderId="0" xfId="69" applyFont="1" applyAlignment="1">
      <alignment horizontal="center" vertical="center" wrapText="1"/>
    </xf>
    <xf numFmtId="10" fontId="39" fillId="0" borderId="0" xfId="69" applyNumberFormat="1" applyFont="1" applyAlignment="1">
      <alignment horizontal="center" vertical="center"/>
    </xf>
    <xf numFmtId="170" fontId="1" fillId="0" borderId="0" xfId="69" applyNumberFormat="1"/>
    <xf numFmtId="0" fontId="30" fillId="0" borderId="0" xfId="69" applyFont="1"/>
    <xf numFmtId="0" fontId="30" fillId="0" borderId="0" xfId="69" applyFont="1" applyAlignment="1">
      <alignment vertical="top"/>
    </xf>
    <xf numFmtId="0" fontId="34" fillId="0" borderId="0" xfId="69" applyFont="1" applyAlignment="1">
      <alignment horizontal="center" vertical="top"/>
    </xf>
    <xf numFmtId="0" fontId="22" fillId="0" borderId="14" xfId="0" applyFont="1" applyBorder="1" applyAlignment="1">
      <alignment horizontal="center" vertical="center" wrapText="1"/>
    </xf>
    <xf numFmtId="0" fontId="22" fillId="0" borderId="14" xfId="0" applyFont="1" applyBorder="1" applyAlignment="1">
      <alignment horizontal="center" vertical="center"/>
    </xf>
    <xf numFmtId="0" fontId="22" fillId="24" borderId="14" xfId="0" applyFont="1" applyFill="1" applyBorder="1" applyAlignment="1">
      <alignment horizontal="center" vertical="center"/>
    </xf>
    <xf numFmtId="0" fontId="1" fillId="0" borderId="15" xfId="0" applyFont="1" applyBorder="1" applyAlignment="1">
      <alignment horizontal="center"/>
    </xf>
    <xf numFmtId="0" fontId="22" fillId="0" borderId="16" xfId="0" applyFont="1" applyBorder="1" applyAlignment="1">
      <alignment horizontal="center"/>
    </xf>
    <xf numFmtId="0" fontId="36" fillId="0" borderId="0" xfId="0" applyFont="1" applyAlignment="1">
      <alignment vertical="center"/>
    </xf>
    <xf numFmtId="0" fontId="1" fillId="0" borderId="0" xfId="0" applyFont="1" applyAlignment="1">
      <alignment horizontal="center" vertical="top"/>
    </xf>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Protection="1">
      <protection locked="0"/>
    </xf>
    <xf numFmtId="0" fontId="22" fillId="24" borderId="10" xfId="0" applyFont="1" applyFill="1" applyBorder="1" applyAlignment="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lignment horizontal="left" vertical="center"/>
    </xf>
    <xf numFmtId="0" fontId="1" fillId="25" borderId="18" xfId="0" applyFont="1" applyFill="1" applyBorder="1" applyAlignment="1" applyProtection="1">
      <alignment vertical="top" wrapText="1"/>
      <protection locked="0"/>
    </xf>
    <xf numFmtId="0" fontId="22" fillId="0" borderId="11" xfId="70" applyFont="1" applyBorder="1" applyAlignment="1">
      <alignment vertical="top"/>
    </xf>
    <xf numFmtId="0" fontId="22" fillId="0" borderId="15" xfId="70" applyFont="1" applyBorder="1" applyAlignment="1">
      <alignment horizontal="center" vertical="top"/>
    </xf>
    <xf numFmtId="10" fontId="37" fillId="25" borderId="16" xfId="74" applyNumberFormat="1" applyFont="1" applyFill="1" applyBorder="1" applyAlignment="1" applyProtection="1">
      <alignment horizontal="center" vertical="top" wrapText="1"/>
    </xf>
    <xf numFmtId="10" fontId="0" fillId="0" borderId="16" xfId="74" applyNumberFormat="1" applyFont="1" applyFill="1" applyBorder="1" applyAlignment="1" applyProtection="1">
      <alignment horizontal="center" vertical="top" wrapText="1"/>
    </xf>
    <xf numFmtId="164" fontId="22" fillId="24" borderId="19" xfId="85" applyFont="1" applyFill="1" applyBorder="1" applyAlignment="1" applyProtection="1">
      <alignment horizontal="center" vertical="center" shrinkToFit="1"/>
    </xf>
    <xf numFmtId="164" fontId="1" fillId="0" borderId="20" xfId="85" applyFont="1" applyFill="1" applyBorder="1" applyAlignment="1">
      <alignment horizontal="center" vertical="center" shrinkToFit="1"/>
    </xf>
    <xf numFmtId="0" fontId="21" fillId="0" borderId="0" xfId="0" applyFont="1" applyAlignment="1">
      <alignment horizontal="left" vertical="center"/>
    </xf>
    <xf numFmtId="0" fontId="1" fillId="0" borderId="0" xfId="69" applyAlignment="1">
      <alignment horizontal="center" vertical="top"/>
    </xf>
    <xf numFmtId="0" fontId="38" fillId="0" borderId="0" xfId="70" applyFont="1" applyAlignment="1">
      <alignment horizontal="left" vertical="top"/>
    </xf>
    <xf numFmtId="0" fontId="35" fillId="0" borderId="0" xfId="0" applyFont="1" applyAlignment="1">
      <alignment horizontal="left" vertical="center"/>
    </xf>
    <xf numFmtId="3" fontId="0" fillId="26" borderId="21" xfId="0" applyNumberFormat="1" applyFill="1" applyBorder="1" applyAlignment="1">
      <alignment horizontal="left"/>
    </xf>
    <xf numFmtId="10" fontId="37" fillId="25" borderId="18" xfId="74" applyNumberFormat="1" applyFont="1" applyFill="1" applyBorder="1" applyAlignment="1" applyProtection="1">
      <alignment horizontal="left" vertical="top" wrapText="1"/>
      <protection locked="0"/>
    </xf>
    <xf numFmtId="0" fontId="1" fillId="26" borderId="18" xfId="0" applyFont="1" applyFill="1" applyBorder="1" applyAlignment="1">
      <alignment horizontal="left"/>
    </xf>
    <xf numFmtId="4" fontId="26" fillId="0" borderId="14" xfId="69" applyNumberFormat="1" applyFont="1" applyBorder="1" applyAlignment="1">
      <alignment horizontal="center" vertical="center" wrapText="1"/>
    </xf>
    <xf numFmtId="0" fontId="46" fillId="0" borderId="0" xfId="69" applyFont="1" applyAlignment="1">
      <alignment wrapText="1"/>
    </xf>
    <xf numFmtId="0" fontId="47" fillId="0" borderId="0" xfId="69" applyFont="1" applyAlignment="1">
      <alignment vertical="top" wrapText="1"/>
    </xf>
    <xf numFmtId="0" fontId="44" fillId="0" borderId="14" xfId="69" applyFont="1" applyBorder="1" applyAlignment="1">
      <alignment horizontal="center" vertical="center"/>
    </xf>
    <xf numFmtId="4" fontId="26" fillId="0" borderId="0" xfId="69" applyNumberFormat="1" applyFont="1" applyAlignment="1">
      <alignment horizontal="center" vertical="center" wrapText="1"/>
    </xf>
    <xf numFmtId="0" fontId="1" fillId="0" borderId="0" xfId="69" applyProtection="1">
      <protection locked="0"/>
    </xf>
    <xf numFmtId="0" fontId="22" fillId="0" borderId="0" xfId="0" applyFont="1"/>
    <xf numFmtId="0" fontId="22" fillId="0" borderId="0" xfId="0" applyFont="1" applyAlignment="1">
      <alignment horizontal="left"/>
    </xf>
    <xf numFmtId="0" fontId="22" fillId="0" borderId="22" xfId="0" applyFont="1" applyBorder="1" applyAlignment="1">
      <alignment horizontal="center" vertical="center" wrapText="1"/>
    </xf>
    <xf numFmtId="0" fontId="22" fillId="0" borderId="0" xfId="0" applyFont="1" applyAlignment="1">
      <alignment horizontal="center" vertical="center" wrapText="1"/>
    </xf>
    <xf numFmtId="0" fontId="23" fillId="0" borderId="16" xfId="0" applyFont="1" applyBorder="1" applyAlignment="1">
      <alignment horizontal="center"/>
    </xf>
    <xf numFmtId="0" fontId="2" fillId="25" borderId="23" xfId="0" applyFont="1" applyFill="1" applyBorder="1" applyAlignment="1" applyProtection="1">
      <alignment vertical="center" wrapText="1"/>
      <protection locked="0"/>
    </xf>
    <xf numFmtId="164" fontId="1" fillId="0" borderId="24" xfId="85"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lignment horizontal="center" vertical="center" wrapText="1"/>
    </xf>
    <xf numFmtId="0" fontId="22" fillId="0" borderId="15" xfId="0" applyFont="1" applyBorder="1" applyAlignment="1">
      <alignment horizontal="center" vertical="center"/>
    </xf>
    <xf numFmtId="0" fontId="27" fillId="0" borderId="26" xfId="0" applyFont="1" applyBorder="1" applyAlignment="1">
      <alignment horizontal="center" vertical="center"/>
    </xf>
    <xf numFmtId="0" fontId="2" fillId="0" borderId="27" xfId="0" applyFont="1" applyBorder="1" applyAlignment="1">
      <alignment vertical="center"/>
    </xf>
    <xf numFmtId="0" fontId="1" fillId="0" borderId="28" xfId="0" applyFont="1" applyBorder="1" applyAlignment="1">
      <alignment vertical="center" wrapText="1"/>
    </xf>
    <xf numFmtId="0" fontId="2" fillId="0" borderId="28" xfId="0" applyFont="1" applyBorder="1" applyAlignment="1">
      <alignment vertical="center"/>
    </xf>
    <xf numFmtId="0" fontId="1" fillId="0" borderId="28" xfId="0" applyFont="1" applyBorder="1" applyAlignment="1">
      <alignment horizontal="center" vertical="center" wrapText="1"/>
    </xf>
    <xf numFmtId="0" fontId="1" fillId="0" borderId="28" xfId="0" applyFont="1" applyBorder="1" applyAlignment="1">
      <alignment vertical="center" shrinkToFit="1"/>
    </xf>
    <xf numFmtId="10" fontId="1" fillId="0" borderId="24" xfId="85" applyNumberFormat="1" applyFont="1" applyFill="1" applyBorder="1" applyAlignment="1">
      <alignment vertical="center" shrinkToFit="1"/>
    </xf>
    <xf numFmtId="10" fontId="22" fillId="24" borderId="10" xfId="85" applyNumberFormat="1" applyFont="1" applyFill="1" applyBorder="1" applyAlignment="1" applyProtection="1">
      <alignment horizontal="center" vertical="center"/>
    </xf>
    <xf numFmtId="0" fontId="1" fillId="0" borderId="18" xfId="0" applyFont="1" applyBorder="1" applyAlignment="1">
      <alignment vertical="top" wrapText="1"/>
    </xf>
    <xf numFmtId="0" fontId="1" fillId="0" borderId="18" xfId="0" applyFont="1" applyBorder="1" applyAlignment="1">
      <alignment horizontal="left" vertical="top" wrapText="1"/>
    </xf>
    <xf numFmtId="10" fontId="37" fillId="0" borderId="16" xfId="74" applyNumberFormat="1" applyFont="1" applyFill="1" applyBorder="1" applyAlignment="1" applyProtection="1">
      <alignment horizontal="center" vertical="top" wrapText="1"/>
    </xf>
    <xf numFmtId="10" fontId="37" fillId="0" borderId="18" xfId="74"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69" applyFont="1" applyBorder="1" applyAlignment="1">
      <alignment horizontal="left"/>
    </xf>
    <xf numFmtId="0" fontId="1" fillId="0" borderId="17" xfId="69" applyBorder="1"/>
    <xf numFmtId="0" fontId="27" fillId="0" borderId="0" xfId="0" applyFont="1" applyAlignment="1">
      <alignment horizontal="center" vertical="center"/>
    </xf>
    <xf numFmtId="0" fontId="38" fillId="0" borderId="29" xfId="0" applyFont="1" applyBorder="1" applyAlignment="1">
      <alignment horizontal="center" vertical="center" wrapText="1"/>
    </xf>
    <xf numFmtId="0" fontId="29" fillId="0" borderId="0" xfId="0" applyFont="1" applyAlignment="1">
      <alignment horizontal="center" vertical="center" wrapText="1"/>
    </xf>
    <xf numFmtId="4" fontId="26" fillId="27" borderId="13" xfId="85" applyNumberFormat="1" applyFont="1" applyFill="1" applyBorder="1" applyAlignment="1" applyProtection="1">
      <alignment horizontal="center" vertical="center" shrinkToFit="1"/>
    </xf>
    <xf numFmtId="10" fontId="26" fillId="28" borderId="0" xfId="74" applyNumberFormat="1" applyFont="1" applyFill="1" applyBorder="1" applyAlignment="1" applyProtection="1">
      <alignment horizontal="center" vertical="center" shrinkToFit="1"/>
    </xf>
    <xf numFmtId="4" fontId="26" fillId="28" borderId="13" xfId="85" applyNumberFormat="1" applyFont="1" applyFill="1" applyBorder="1" applyAlignment="1" applyProtection="1">
      <alignment horizontal="center" vertical="center" shrinkToFit="1"/>
    </xf>
    <xf numFmtId="0" fontId="38" fillId="0" borderId="30" xfId="0" applyFont="1" applyBorder="1" applyAlignment="1">
      <alignment horizontal="center" vertical="center" wrapText="1"/>
    </xf>
    <xf numFmtId="0" fontId="1" fillId="0" borderId="17" xfId="0" applyFont="1" applyBorder="1" applyAlignment="1">
      <alignment horizontal="center"/>
    </xf>
    <xf numFmtId="0" fontId="22" fillId="27" borderId="18" xfId="0" applyFont="1" applyFill="1" applyBorder="1" applyAlignment="1">
      <alignment horizontal="center" vertical="center"/>
    </xf>
    <xf numFmtId="0" fontId="22" fillId="28" borderId="11" xfId="0" applyFont="1" applyFill="1" applyBorder="1" applyAlignment="1">
      <alignment horizontal="center" vertical="center"/>
    </xf>
    <xf numFmtId="0" fontId="22"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8" fillId="0" borderId="0" xfId="0" applyFont="1" applyAlignment="1">
      <alignment horizontal="center" wrapText="1"/>
    </xf>
    <xf numFmtId="0" fontId="50" fillId="0" borderId="0" xfId="0" applyFont="1"/>
    <xf numFmtId="0" fontId="1" fillId="0" borderId="31" xfId="0" applyFont="1" applyBorder="1" applyAlignment="1">
      <alignment vertical="center" wrapText="1" shrinkToFit="1"/>
    </xf>
    <xf numFmtId="0" fontId="40" fillId="24" borderId="32" xfId="0" applyFont="1" applyFill="1" applyBorder="1" applyAlignment="1">
      <alignment horizontal="center" vertical="center" wrapText="1"/>
    </xf>
    <xf numFmtId="0" fontId="2" fillId="28" borderId="23" xfId="0" applyFont="1" applyFill="1" applyBorder="1" applyAlignment="1">
      <alignment vertical="center" wrapText="1"/>
    </xf>
    <xf numFmtId="164" fontId="1" fillId="0" borderId="28" xfId="85"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lignment horizontal="center" vertical="center"/>
    </xf>
    <xf numFmtId="10" fontId="30" fillId="0" borderId="0" xfId="74" applyNumberFormat="1" applyFont="1" applyFill="1" applyBorder="1" applyAlignment="1" applyProtection="1">
      <alignment horizontal="center" vertical="center"/>
    </xf>
    <xf numFmtId="4" fontId="30" fillId="0" borderId="0" xfId="74" applyNumberFormat="1" applyFont="1" applyFill="1" applyBorder="1" applyAlignment="1" applyProtection="1">
      <alignment horizontal="center" vertical="center"/>
    </xf>
    <xf numFmtId="0" fontId="1" fillId="0" borderId="11" xfId="0" applyFont="1" applyBorder="1" applyAlignment="1">
      <alignment horizontal="center" vertical="center"/>
    </xf>
    <xf numFmtId="0" fontId="22" fillId="0" borderId="11" xfId="0" applyFont="1" applyBorder="1" applyAlignment="1">
      <alignment horizontal="center" vertical="center"/>
    </xf>
    <xf numFmtId="0" fontId="24" fillId="0" borderId="0" xfId="0" applyFont="1" applyAlignment="1">
      <alignment vertical="center"/>
    </xf>
    <xf numFmtId="0" fontId="21" fillId="0" borderId="0" xfId="0" applyFont="1" applyAlignment="1">
      <alignment horizontal="right" vertical="center"/>
    </xf>
    <xf numFmtId="0" fontId="0" fillId="0" borderId="0" xfId="0" applyAlignment="1">
      <alignment horizontal="center" vertical="top"/>
    </xf>
    <xf numFmtId="0" fontId="1" fillId="0" borderId="0" xfId="0" applyFont="1" applyAlignment="1">
      <alignment horizontal="center" wrapText="1"/>
    </xf>
    <xf numFmtId="0" fontId="48" fillId="0" borderId="0" xfId="0" applyFont="1" applyAlignment="1">
      <alignment wrapText="1"/>
    </xf>
    <xf numFmtId="0" fontId="22" fillId="0" borderId="0" xfId="0" applyFont="1" applyAlignment="1">
      <alignment horizontal="center" wrapText="1"/>
    </xf>
    <xf numFmtId="0" fontId="26" fillId="0" borderId="15" xfId="0" applyFont="1" applyBorder="1" applyAlignment="1">
      <alignment horizontal="center" vertical="center"/>
    </xf>
    <xf numFmtId="0" fontId="26" fillId="0" borderId="15" xfId="0" applyFont="1" applyBorder="1" applyAlignment="1">
      <alignment horizontal="center" vertical="center" wrapText="1"/>
    </xf>
    <xf numFmtId="0" fontId="26" fillId="0" borderId="30" xfId="0" applyFont="1" applyBorder="1" applyAlignment="1">
      <alignment horizontal="center" vertical="center" wrapText="1"/>
    </xf>
    <xf numFmtId="4" fontId="1" fillId="0" borderId="0" xfId="0" applyNumberFormat="1" applyFont="1" applyAlignment="1">
      <alignment horizontal="center" vertical="center"/>
    </xf>
    <xf numFmtId="0" fontId="2" fillId="0" borderId="0" xfId="0" applyFont="1"/>
    <xf numFmtId="0" fontId="1" fillId="0" borderId="0" xfId="0" applyFont="1" applyAlignment="1">
      <alignment vertical="top"/>
    </xf>
    <xf numFmtId="0" fontId="22" fillId="0" borderId="0" xfId="0" applyFont="1" applyAlignment="1">
      <alignment vertical="center"/>
    </xf>
    <xf numFmtId="4" fontId="2" fillId="0" borderId="0" xfId="0" applyNumberFormat="1" applyFont="1"/>
    <xf numFmtId="0" fontId="22" fillId="0" borderId="17" xfId="0" applyFont="1" applyBorder="1" applyAlignment="1">
      <alignment horizontal="left" vertical="center"/>
    </xf>
    <xf numFmtId="0" fontId="22" fillId="0" borderId="11" xfId="0" applyFont="1" applyBorder="1" applyAlignment="1">
      <alignment wrapText="1"/>
    </xf>
    <xf numFmtId="0" fontId="0" fillId="0" borderId="11" xfId="0" applyBorder="1"/>
    <xf numFmtId="0" fontId="0" fillId="0" borderId="11" xfId="0" quotePrefix="1" applyBorder="1"/>
    <xf numFmtId="10" fontId="30" fillId="0" borderId="11" xfId="74" applyNumberFormat="1" applyFont="1" applyFill="1" applyBorder="1" applyAlignment="1" applyProtection="1">
      <alignment horizontal="center" vertical="center"/>
    </xf>
    <xf numFmtId="4" fontId="30" fillId="0" borderId="11" xfId="74" applyNumberFormat="1" applyFont="1" applyFill="1" applyBorder="1" applyAlignment="1" applyProtection="1">
      <alignment horizontal="center" vertical="center"/>
    </xf>
    <xf numFmtId="4" fontId="26" fillId="27" borderId="18" xfId="85" applyNumberFormat="1" applyFont="1" applyFill="1" applyBorder="1" applyAlignment="1" applyProtection="1">
      <alignment horizontal="center" vertical="center" shrinkToFit="1"/>
    </xf>
    <xf numFmtId="10" fontId="26" fillId="28" borderId="11" xfId="74" applyNumberFormat="1" applyFont="1" applyFill="1" applyBorder="1" applyAlignment="1" applyProtection="1">
      <alignment horizontal="center" vertical="center" shrinkToFit="1"/>
    </xf>
    <xf numFmtId="4" fontId="26" fillId="28" borderId="18" xfId="85" applyNumberFormat="1" applyFont="1" applyFill="1" applyBorder="1" applyAlignment="1" applyProtection="1">
      <alignment horizontal="center" vertical="center" shrinkToFit="1"/>
    </xf>
    <xf numFmtId="0" fontId="1" fillId="0" borderId="15" xfId="0" applyFont="1" applyBorder="1" applyAlignment="1">
      <alignment horizontal="center" vertical="center"/>
    </xf>
    <xf numFmtId="0" fontId="1" fillId="0" borderId="33" xfId="0" applyFont="1" applyBorder="1" applyAlignment="1">
      <alignment horizontal="center" vertical="center"/>
    </xf>
    <xf numFmtId="10" fontId="26" fillId="27" borderId="11" xfId="74" applyNumberFormat="1" applyFont="1" applyFill="1" applyBorder="1" applyAlignment="1" applyProtection="1">
      <alignment horizontal="center" vertical="center" shrinkToFit="1"/>
    </xf>
    <xf numFmtId="10" fontId="26" fillId="27" borderId="0" xfId="74" applyNumberFormat="1" applyFont="1" applyFill="1" applyBorder="1" applyAlignment="1" applyProtection="1">
      <alignment horizontal="center" vertical="center" shrinkToFit="1"/>
    </xf>
    <xf numFmtId="4" fontId="30" fillId="0" borderId="12" xfId="74" applyNumberFormat="1" applyFont="1" applyFill="1" applyBorder="1" applyAlignment="1" applyProtection="1">
      <alignment horizontal="center" vertical="center"/>
    </xf>
    <xf numFmtId="10" fontId="0" fillId="0" borderId="14" xfId="0" applyNumberFormat="1" applyBorder="1"/>
    <xf numFmtId="49" fontId="1" fillId="25" borderId="24" xfId="0" applyNumberFormat="1" applyFont="1" applyFill="1" applyBorder="1" applyAlignment="1" applyProtection="1">
      <alignment horizontal="center" vertical="center" wrapText="1"/>
      <protection locked="0"/>
    </xf>
    <xf numFmtId="0" fontId="26" fillId="0" borderId="0" xfId="0" applyFont="1" applyAlignment="1">
      <alignment horizontal="center" vertical="center" wrapText="1"/>
    </xf>
    <xf numFmtId="0" fontId="1" fillId="0" borderId="14" xfId="0" applyFont="1" applyBorder="1"/>
    <xf numFmtId="0" fontId="0" fillId="0" borderId="0" xfId="0" quotePrefix="1"/>
    <xf numFmtId="0" fontId="30" fillId="0" borderId="0" xfId="0" applyFont="1" applyAlignment="1" applyProtection="1">
      <alignment horizontal="left" wrapText="1"/>
      <protection locked="0"/>
    </xf>
    <xf numFmtId="0" fontId="1" fillId="0" borderId="14" xfId="0" applyFont="1" applyBorder="1" applyProtection="1">
      <protection locked="0"/>
    </xf>
    <xf numFmtId="164" fontId="1" fillId="25" borderId="34" xfId="85" applyFont="1" applyFill="1" applyBorder="1" applyAlignment="1" applyProtection="1">
      <alignment vertical="center" shrinkToFit="1"/>
      <protection locked="0"/>
    </xf>
    <xf numFmtId="0" fontId="22" fillId="24" borderId="32" xfId="0" applyFont="1" applyFill="1" applyBorder="1" applyAlignment="1">
      <alignment horizontal="center" vertical="center" shrinkToFit="1"/>
    </xf>
    <xf numFmtId="0" fontId="22" fillId="24" borderId="25" xfId="0" applyFont="1" applyFill="1" applyBorder="1" applyAlignment="1">
      <alignment horizontal="center" vertical="center" shrinkToFit="1"/>
    </xf>
    <xf numFmtId="0" fontId="22" fillId="0" borderId="11" xfId="0" applyFont="1" applyBorder="1" applyAlignment="1">
      <alignment horizontal="center" vertical="center" wrapText="1" shrinkToFit="1"/>
    </xf>
    <xf numFmtId="14" fontId="26" fillId="0" borderId="11" xfId="0" applyNumberFormat="1" applyFont="1" applyBorder="1" applyAlignment="1">
      <alignment horizontal="center" vertical="center" wrapText="1"/>
    </xf>
    <xf numFmtId="0" fontId="1" fillId="0" borderId="28" xfId="0" applyFont="1" applyBorder="1" applyAlignment="1">
      <alignment horizontal="center" vertical="center"/>
    </xf>
    <xf numFmtId="10" fontId="30" fillId="25" borderId="35" xfId="74" applyNumberFormat="1" applyFont="1" applyFill="1" applyBorder="1" applyAlignment="1" applyProtection="1">
      <alignment horizontal="center" vertical="center"/>
      <protection locked="0" hidden="1"/>
    </xf>
    <xf numFmtId="0" fontId="26" fillId="0" borderId="12" xfId="0" applyFont="1" applyBorder="1" applyAlignment="1">
      <alignment horizontal="center" vertical="center" wrapText="1"/>
    </xf>
    <xf numFmtId="0" fontId="22" fillId="0" borderId="0" xfId="0" applyFont="1" applyAlignment="1">
      <alignment wrapText="1"/>
    </xf>
    <xf numFmtId="0" fontId="1" fillId="26" borderId="0" xfId="0" applyFont="1" applyFill="1"/>
    <xf numFmtId="10" fontId="30" fillId="25" borderId="36" xfId="74" applyNumberFormat="1" applyFont="1" applyFill="1" applyBorder="1" applyAlignment="1" applyProtection="1">
      <alignment horizontal="center" vertical="center"/>
      <protection locked="0"/>
    </xf>
    <xf numFmtId="10" fontId="30" fillId="25" borderId="35" xfId="74" applyNumberFormat="1" applyFont="1" applyFill="1" applyBorder="1" applyAlignment="1" applyProtection="1">
      <alignment horizontal="center" vertical="center"/>
      <protection locked="0"/>
    </xf>
    <xf numFmtId="10" fontId="30" fillId="25" borderId="37" xfId="74" applyNumberFormat="1" applyFont="1" applyFill="1" applyBorder="1" applyAlignment="1" applyProtection="1">
      <alignment horizontal="center" vertical="center"/>
      <protection locked="0"/>
    </xf>
    <xf numFmtId="164" fontId="1" fillId="31" borderId="24" xfId="85" applyFont="1" applyFill="1" applyBorder="1" applyAlignment="1" applyProtection="1">
      <alignment vertical="center" wrapText="1"/>
      <protection locked="0"/>
    </xf>
    <xf numFmtId="0" fontId="1" fillId="31" borderId="24" xfId="0" applyFont="1" applyFill="1" applyBorder="1" applyAlignment="1" applyProtection="1">
      <alignment horizontal="center" vertical="center" wrapText="1"/>
      <protection locked="0"/>
    </xf>
    <xf numFmtId="0" fontId="1" fillId="31" borderId="24" xfId="0" applyFont="1" applyFill="1" applyBorder="1" applyAlignment="1" applyProtection="1">
      <alignment vertical="center" wrapText="1"/>
      <protection locked="0"/>
    </xf>
    <xf numFmtId="10" fontId="1" fillId="31" borderId="24" xfId="74" applyNumberFormat="1" applyFont="1" applyFill="1" applyBorder="1" applyAlignment="1" applyProtection="1">
      <alignment horizontal="center" vertical="center" wrapText="1"/>
      <protection locked="0"/>
    </xf>
    <xf numFmtId="164" fontId="1" fillId="25" borderId="24" xfId="85" applyFont="1" applyFill="1" applyBorder="1" applyAlignment="1" applyProtection="1">
      <alignment vertical="center" shrinkToFit="1"/>
      <protection locked="0"/>
    </xf>
    <xf numFmtId="10" fontId="30" fillId="32" borderId="41" xfId="69" applyNumberFormat="1" applyFont="1" applyFill="1" applyBorder="1" applyAlignment="1" applyProtection="1">
      <alignment horizontal="center" vertical="center"/>
      <protection locked="0"/>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1" fillId="0" borderId="0" xfId="0" applyFont="1" applyAlignment="1">
      <alignment horizontal="left" wrapText="1" indent="3"/>
    </xf>
    <xf numFmtId="0" fontId="0" fillId="0" borderId="0" xfId="0" applyAlignment="1">
      <alignment horizontal="left" indent="3"/>
    </xf>
    <xf numFmtId="0" fontId="22" fillId="0" borderId="11" xfId="70" applyFont="1" applyBorder="1" applyAlignment="1">
      <alignment horizontal="left" vertical="top"/>
    </xf>
    <xf numFmtId="0" fontId="22" fillId="0" borderId="0" xfId="70" applyFont="1" applyAlignment="1">
      <alignment horizontal="left" vertical="top"/>
    </xf>
    <xf numFmtId="0" fontId="1" fillId="0" borderId="0" xfId="0" applyFont="1" applyAlignment="1">
      <alignment horizontal="left" wrapText="1" indent="2"/>
    </xf>
    <xf numFmtId="0" fontId="0" fillId="0" borderId="0" xfId="0" applyAlignment="1">
      <alignment horizontal="left" indent="2"/>
    </xf>
    <xf numFmtId="0" fontId="22" fillId="0" borderId="40" xfId="0" applyFont="1" applyBorder="1" applyAlignment="1">
      <alignment horizontal="left" wrapText="1"/>
    </xf>
    <xf numFmtId="0" fontId="22" fillId="0" borderId="0" xfId="0" applyFont="1" applyAlignment="1">
      <alignment horizontal="left" wrapText="1"/>
    </xf>
    <xf numFmtId="0" fontId="22" fillId="0" borderId="0" xfId="0" applyFont="1" applyAlignment="1">
      <alignment horizontal="left" wrapText="1" indent="1"/>
    </xf>
    <xf numFmtId="0" fontId="22" fillId="0" borderId="0" xfId="0" applyFont="1" applyAlignment="1">
      <alignment horizontal="left" indent="1"/>
    </xf>
    <xf numFmtId="0" fontId="22" fillId="0" borderId="12" xfId="70" applyFont="1" applyBorder="1" applyAlignment="1">
      <alignment horizontal="left" vertical="top"/>
    </xf>
    <xf numFmtId="0" fontId="0" fillId="25" borderId="18"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0" fontId="51" fillId="29" borderId="0" xfId="0" applyFont="1" applyFill="1" applyAlignment="1">
      <alignment horizontal="left" vertical="top" wrapText="1" indent="2"/>
    </xf>
    <xf numFmtId="0" fontId="52" fillId="29" borderId="0" xfId="0" applyFont="1" applyFill="1" applyAlignment="1">
      <alignment horizontal="left" vertical="top" wrapText="1" indent="2"/>
    </xf>
    <xf numFmtId="0" fontId="52" fillId="29" borderId="0" xfId="0" applyFont="1" applyFill="1" applyAlignment="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8" fillId="0" borderId="11" xfId="70" applyFont="1" applyBorder="1" applyAlignment="1">
      <alignment horizontal="left" vertical="top"/>
    </xf>
    <xf numFmtId="0" fontId="38" fillId="0" borderId="12" xfId="70" applyFont="1" applyBorder="1" applyAlignment="1">
      <alignment horizontal="left" vertical="top"/>
    </xf>
    <xf numFmtId="0" fontId="21" fillId="26" borderId="17" xfId="0" applyFont="1" applyFill="1" applyBorder="1" applyAlignment="1">
      <alignment horizontal="center" vertical="center" wrapText="1"/>
    </xf>
    <xf numFmtId="0" fontId="21" fillId="26" borderId="39" xfId="0" applyFont="1" applyFill="1" applyBorder="1" applyAlignment="1">
      <alignment horizontal="center" vertical="center" wrapText="1"/>
    </xf>
    <xf numFmtId="0" fontId="21" fillId="26" borderId="13" xfId="0" applyFont="1" applyFill="1" applyBorder="1" applyAlignment="1">
      <alignment horizontal="center" vertical="center" wrapText="1"/>
    </xf>
    <xf numFmtId="0" fontId="21" fillId="26" borderId="38" xfId="0" applyFont="1" applyFill="1" applyBorder="1" applyAlignment="1">
      <alignment horizontal="center" vertical="center" wrapText="1"/>
    </xf>
    <xf numFmtId="49" fontId="0" fillId="25" borderId="0" xfId="0" applyNumberFormat="1" applyFill="1" applyAlignment="1" applyProtection="1">
      <alignment horizontal="left"/>
      <protection locked="0"/>
    </xf>
    <xf numFmtId="14" fontId="1" fillId="25" borderId="18" xfId="74" applyNumberFormat="1" applyFont="1" applyFill="1" applyBorder="1" applyAlignment="1" applyProtection="1">
      <alignment horizontal="center" vertical="top" wrapText="1"/>
      <protection locked="0"/>
    </xf>
    <xf numFmtId="14" fontId="37" fillId="25" borderId="38" xfId="74" applyNumberFormat="1" applyFont="1" applyFill="1" applyBorder="1" applyAlignment="1" applyProtection="1">
      <alignment horizontal="center" vertical="top" wrapText="1"/>
      <protection locked="0"/>
    </xf>
    <xf numFmtId="49" fontId="1" fillId="25" borderId="18" xfId="74" applyNumberFormat="1" applyFont="1" applyFill="1" applyBorder="1" applyAlignment="1" applyProtection="1">
      <alignment horizontal="left" vertical="top" wrapText="1"/>
      <protection locked="0"/>
    </xf>
    <xf numFmtId="49" fontId="1" fillId="25" borderId="13" xfId="74" applyNumberFormat="1" applyFont="1" applyFill="1" applyBorder="1" applyAlignment="1" applyProtection="1">
      <alignment horizontal="left" vertical="top" wrapText="1"/>
      <protection locked="0"/>
    </xf>
    <xf numFmtId="49" fontId="37" fillId="25" borderId="13" xfId="74" applyNumberFormat="1" applyFont="1" applyFill="1" applyBorder="1" applyAlignment="1" applyProtection="1">
      <alignment horizontal="left" vertical="top" wrapText="1"/>
      <protection locked="0"/>
    </xf>
    <xf numFmtId="49" fontId="37" fillId="25" borderId="38" xfId="74" applyNumberFormat="1" applyFont="1" applyFill="1" applyBorder="1" applyAlignment="1" applyProtection="1">
      <alignment horizontal="left" vertical="top" wrapText="1"/>
      <protection locked="0"/>
    </xf>
    <xf numFmtId="14" fontId="1" fillId="25" borderId="38" xfId="74" applyNumberFormat="1" applyFont="1" applyFill="1" applyBorder="1" applyAlignment="1" applyProtection="1">
      <alignment horizontal="center" vertical="top" wrapText="1"/>
      <protection locked="0"/>
    </xf>
    <xf numFmtId="0" fontId="26" fillId="0" borderId="0" xfId="0" applyFont="1" applyAlignment="1">
      <alignment horizontal="center" vertical="center" wrapText="1"/>
    </xf>
    <xf numFmtId="0" fontId="1" fillId="0" borderId="40"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wrapText="1"/>
    </xf>
    <xf numFmtId="0" fontId="1" fillId="0" borderId="40" xfId="0" applyFont="1" applyBorder="1" applyAlignment="1">
      <alignment horizontal="left" wrapText="1"/>
    </xf>
    <xf numFmtId="0" fontId="1" fillId="0" borderId="0" xfId="0" applyFont="1" applyAlignment="1">
      <alignment horizontal="left" wrapText="1" indent="1"/>
    </xf>
    <xf numFmtId="49" fontId="1" fillId="25" borderId="0" xfId="0" applyNumberFormat="1" applyFont="1" applyFill="1" applyAlignment="1" applyProtection="1">
      <alignment horizontal="left"/>
      <protection locked="0"/>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0" fontId="1" fillId="0" borderId="18" xfId="0" applyFont="1" applyBorder="1" applyAlignment="1">
      <alignment horizontal="left" vertical="top" wrapText="1"/>
    </xf>
    <xf numFmtId="0" fontId="1" fillId="0" borderId="13" xfId="0" applyFont="1" applyBorder="1" applyAlignment="1">
      <alignment horizontal="left" vertical="top" wrapText="1"/>
    </xf>
    <xf numFmtId="0" fontId="1" fillId="0" borderId="38" xfId="0" applyFont="1" applyBorder="1" applyAlignment="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0" fillId="25" borderId="0" xfId="0" applyFill="1" applyAlignment="1" applyProtection="1">
      <alignment horizontal="left"/>
      <protection locked="0"/>
    </xf>
    <xf numFmtId="0" fontId="51" fillId="29" borderId="0" xfId="0" applyFont="1" applyFill="1" applyAlignment="1">
      <alignment horizontal="left" vertical="top" indent="2"/>
    </xf>
    <xf numFmtId="10" fontId="1" fillId="0" borderId="18" xfId="74" applyNumberFormat="1" applyFont="1" applyFill="1" applyBorder="1" applyAlignment="1" applyProtection="1">
      <alignment horizontal="left" vertical="top" wrapText="1"/>
    </xf>
    <xf numFmtId="10" fontId="1" fillId="0" borderId="13" xfId="74" applyNumberFormat="1" applyFont="1" applyFill="1" applyBorder="1" applyAlignment="1" applyProtection="1">
      <alignment horizontal="left" vertical="top" wrapText="1"/>
    </xf>
    <xf numFmtId="10" fontId="37" fillId="0" borderId="13" xfId="74" applyNumberFormat="1" applyFont="1" applyFill="1" applyBorder="1" applyAlignment="1" applyProtection="1">
      <alignment horizontal="left" vertical="top" wrapText="1"/>
    </xf>
    <xf numFmtId="10" fontId="37" fillId="0" borderId="38" xfId="74" applyNumberFormat="1" applyFont="1" applyFill="1" applyBorder="1" applyAlignment="1" applyProtection="1">
      <alignment horizontal="left" vertical="top" wrapText="1"/>
    </xf>
    <xf numFmtId="14" fontId="37" fillId="0" borderId="18" xfId="74" applyNumberFormat="1" applyFont="1" applyFill="1" applyBorder="1" applyAlignment="1" applyProtection="1">
      <alignment horizontal="center" vertical="top" wrapText="1"/>
    </xf>
    <xf numFmtId="14" fontId="37" fillId="0" borderId="38" xfId="74" applyNumberFormat="1" applyFont="1" applyFill="1" applyBorder="1" applyAlignment="1" applyProtection="1">
      <alignment horizontal="center" vertical="top" wrapText="1"/>
    </xf>
    <xf numFmtId="14" fontId="1" fillId="0" borderId="18" xfId="74" applyNumberFormat="1" applyFont="1" applyFill="1" applyBorder="1" applyAlignment="1" applyProtection="1">
      <alignment horizontal="center" vertical="top" wrapText="1"/>
    </xf>
    <xf numFmtId="14" fontId="1" fillId="0" borderId="38" xfId="74" applyNumberFormat="1" applyFont="1" applyFill="1" applyBorder="1" applyAlignment="1" applyProtection="1">
      <alignment horizontal="center" vertical="top" wrapText="1"/>
    </xf>
    <xf numFmtId="167" fontId="1" fillId="0" borderId="18" xfId="74" applyNumberFormat="1" applyFont="1" applyFill="1" applyBorder="1" applyAlignment="1" applyProtection="1">
      <alignment horizontal="left" vertical="top" wrapText="1"/>
    </xf>
    <xf numFmtId="167" fontId="1" fillId="0" borderId="13" xfId="74"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1" fillId="25" borderId="18" xfId="74" applyNumberFormat="1" applyFont="1" applyFill="1" applyBorder="1" applyAlignment="1" applyProtection="1">
      <alignment horizontal="left" vertical="top" wrapText="1"/>
      <protection locked="0"/>
    </xf>
    <xf numFmtId="10" fontId="37" fillId="25" borderId="13" xfId="74" applyNumberFormat="1" applyFont="1" applyFill="1" applyBorder="1" applyAlignment="1" applyProtection="1">
      <alignment horizontal="left" vertical="top" wrapText="1"/>
      <protection locked="0"/>
    </xf>
    <xf numFmtId="10" fontId="37" fillId="25" borderId="38" xfId="74" applyNumberFormat="1" applyFont="1" applyFill="1" applyBorder="1" applyAlignment="1" applyProtection="1">
      <alignment horizontal="left" vertical="top" wrapText="1"/>
      <protection locked="0"/>
    </xf>
    <xf numFmtId="171" fontId="1" fillId="0" borderId="0" xfId="69" applyNumberFormat="1" applyAlignment="1">
      <alignment horizontal="left"/>
    </xf>
    <xf numFmtId="0" fontId="45" fillId="0" borderId="0" xfId="69" applyFont="1" applyAlignment="1">
      <alignment horizontal="left" vertical="center" indent="1"/>
    </xf>
    <xf numFmtId="0" fontId="1" fillId="0" borderId="14" xfId="69" applyBorder="1" applyAlignment="1">
      <alignment horizontal="left" vertical="center" wrapText="1"/>
    </xf>
    <xf numFmtId="0" fontId="39" fillId="0" borderId="0" xfId="69" applyFont="1" applyAlignment="1">
      <alignment horizontal="left" vertical="center" wrapText="1"/>
    </xf>
    <xf numFmtId="2" fontId="33" fillId="0" borderId="17" xfId="69" applyNumberFormat="1" applyFont="1" applyBorder="1" applyAlignment="1">
      <alignment horizontal="center" vertical="center"/>
    </xf>
    <xf numFmtId="0" fontId="26" fillId="0" borderId="0" xfId="69" applyFont="1" applyAlignment="1">
      <alignment horizontal="left" vertical="center"/>
    </xf>
    <xf numFmtId="0" fontId="1" fillId="0" borderId="0" xfId="69" applyAlignment="1">
      <alignment horizontal="center" vertical="center"/>
    </xf>
    <xf numFmtId="0" fontId="35" fillId="0" borderId="14" xfId="69" applyFont="1" applyBorder="1" applyAlignment="1">
      <alignment horizontal="center" vertical="center" wrapText="1"/>
    </xf>
    <xf numFmtId="168" fontId="1" fillId="0" borderId="13" xfId="69" applyNumberFormat="1" applyBorder="1" applyAlignment="1">
      <alignment horizontal="left"/>
    </xf>
    <xf numFmtId="49" fontId="1" fillId="25" borderId="32" xfId="69" applyNumberFormat="1" applyFill="1" applyBorder="1" applyAlignment="1" applyProtection="1">
      <alignment horizontal="left" vertical="top" wrapText="1"/>
      <protection locked="0"/>
    </xf>
    <xf numFmtId="49" fontId="1" fillId="25" borderId="10" xfId="69" applyNumberFormat="1" applyFill="1" applyBorder="1" applyAlignment="1" applyProtection="1">
      <alignment horizontal="left" vertical="top" wrapText="1"/>
      <protection locked="0"/>
    </xf>
    <xf numFmtId="49" fontId="1" fillId="25" borderId="19" xfId="69" applyNumberFormat="1" applyFill="1" applyBorder="1" applyAlignment="1" applyProtection="1">
      <alignment horizontal="left" vertical="top" wrapText="1"/>
      <protection locked="0"/>
    </xf>
    <xf numFmtId="0" fontId="1" fillId="0" borderId="17" xfId="69" applyBorder="1" applyAlignment="1">
      <alignment horizontal="center" vertical="center"/>
    </xf>
    <xf numFmtId="49" fontId="1" fillId="0" borderId="0" xfId="69" applyNumberFormat="1" applyAlignment="1" applyProtection="1">
      <alignment horizontal="left"/>
      <protection locked="0"/>
    </xf>
    <xf numFmtId="0" fontId="47" fillId="0" borderId="0" xfId="69" applyFont="1" applyAlignment="1">
      <alignment horizontal="center" vertical="top" wrapText="1"/>
    </xf>
    <xf numFmtId="171" fontId="1" fillId="0" borderId="13" xfId="69" applyNumberFormat="1" applyBorder="1" applyAlignment="1">
      <alignment horizontal="left"/>
    </xf>
    <xf numFmtId="0" fontId="1" fillId="0" borderId="14" xfId="69" applyBorder="1" applyAlignment="1">
      <alignment horizontal="left" vertical="center"/>
    </xf>
    <xf numFmtId="0" fontId="22" fillId="0" borderId="14" xfId="69" applyFont="1" applyBorder="1" applyAlignment="1">
      <alignment horizontal="center" vertical="center"/>
    </xf>
    <xf numFmtId="0" fontId="41" fillId="0" borderId="0" xfId="0" quotePrefix="1" applyFont="1" applyAlignment="1">
      <alignment horizontal="left" vertical="center"/>
    </xf>
    <xf numFmtId="0" fontId="41" fillId="0" borderId="0" xfId="0" applyFont="1" applyAlignment="1">
      <alignment horizontal="left" vertical="center"/>
    </xf>
    <xf numFmtId="0" fontId="42" fillId="0" borderId="0" xfId="0" applyFont="1" applyAlignment="1">
      <alignment horizontal="center"/>
    </xf>
    <xf numFmtId="0" fontId="41" fillId="0" borderId="0" xfId="0" applyFont="1" applyAlignment="1">
      <alignment horizontal="center" vertical="top"/>
    </xf>
    <xf numFmtId="0" fontId="41" fillId="0" borderId="0" xfId="0" applyFont="1" applyAlignment="1">
      <alignment horizontal="right" vertical="center"/>
    </xf>
    <xf numFmtId="169" fontId="2" fillId="25" borderId="18" xfId="67" applyFont="1" applyFill="1" applyBorder="1" applyAlignment="1" applyProtection="1">
      <alignment horizontal="left"/>
      <protection locked="0"/>
    </xf>
    <xf numFmtId="169" fontId="2" fillId="25" borderId="13" xfId="67" applyFont="1" applyFill="1" applyBorder="1" applyAlignment="1" applyProtection="1">
      <alignment horizontal="left"/>
      <protection locked="0"/>
    </xf>
    <xf numFmtId="169" fontId="2" fillId="25" borderId="38" xfId="67" applyFont="1" applyFill="1" applyBorder="1" applyAlignment="1" applyProtection="1">
      <alignment horizontal="left"/>
      <protection locked="0"/>
    </xf>
    <xf numFmtId="0" fontId="1" fillId="0" borderId="18" xfId="69" applyBorder="1" applyAlignment="1">
      <alignment horizontal="center" vertical="top" wrapText="1"/>
    </xf>
    <xf numFmtId="0" fontId="1" fillId="0" borderId="38" xfId="69" applyBorder="1" applyAlignment="1">
      <alignment horizontal="center" vertical="top" wrapText="1"/>
    </xf>
    <xf numFmtId="0" fontId="1" fillId="0" borderId="18" xfId="69" applyBorder="1" applyAlignment="1">
      <alignment horizontal="left" vertical="top" wrapText="1"/>
    </xf>
    <xf numFmtId="0" fontId="1" fillId="0" borderId="38" xfId="69" applyBorder="1" applyAlignment="1">
      <alignment horizontal="left" vertical="top" wrapText="1"/>
    </xf>
    <xf numFmtId="49" fontId="1" fillId="0" borderId="18" xfId="69" applyNumberFormat="1" applyBorder="1" applyAlignment="1">
      <alignment horizontal="left" vertical="top" wrapText="1"/>
    </xf>
    <xf numFmtId="0" fontId="1" fillId="0" borderId="13" xfId="69" applyBorder="1" applyAlignment="1">
      <alignment horizontal="left" vertical="top" wrapText="1"/>
    </xf>
    <xf numFmtId="0" fontId="2" fillId="0" borderId="16" xfId="67" applyNumberFormat="1" applyFont="1" applyFill="1" applyBorder="1" applyAlignment="1" applyProtection="1">
      <alignment horizontal="left" wrapText="1"/>
    </xf>
    <xf numFmtId="0" fontId="22" fillId="0" borderId="0" xfId="69" applyFont="1" applyAlignment="1">
      <alignment horizontal="left" vertical="center"/>
    </xf>
    <xf numFmtId="10" fontId="2" fillId="25" borderId="14" xfId="69" applyNumberFormat="1" applyFont="1" applyFill="1" applyBorder="1" applyAlignment="1" applyProtection="1">
      <alignment horizontal="center"/>
      <protection locked="0"/>
    </xf>
    <xf numFmtId="0" fontId="2" fillId="0" borderId="14" xfId="69" applyFont="1" applyBorder="1" applyAlignment="1">
      <alignment horizontal="left"/>
    </xf>
    <xf numFmtId="0" fontId="26" fillId="0" borderId="14" xfId="69" applyFont="1" applyBorder="1" applyAlignment="1">
      <alignment horizontal="center" vertical="center"/>
    </xf>
    <xf numFmtId="0" fontId="2" fillId="0" borderId="14" xfId="69" applyFont="1" applyBorder="1" applyAlignment="1">
      <alignment horizontal="left" wrapText="1"/>
    </xf>
    <xf numFmtId="4" fontId="26" fillId="0" borderId="14" xfId="69" applyNumberFormat="1" applyFont="1" applyBorder="1" applyAlignment="1">
      <alignment horizontal="center" vertical="center" wrapText="1"/>
    </xf>
    <xf numFmtId="0" fontId="1" fillId="0" borderId="14" xfId="0" applyFont="1" applyBorder="1" applyAlignment="1">
      <alignment horizontal="center"/>
    </xf>
    <xf numFmtId="0" fontId="26" fillId="0" borderId="32" xfId="0" applyFont="1" applyBorder="1" applyAlignment="1">
      <alignment horizontal="left" wrapText="1"/>
    </xf>
    <xf numFmtId="0" fontId="26" fillId="0" borderId="10" xfId="0" applyFont="1" applyBorder="1" applyAlignment="1">
      <alignment horizontal="left" wrapText="1"/>
    </xf>
    <xf numFmtId="0" fontId="26" fillId="0" borderId="19" xfId="0" applyFont="1" applyBorder="1" applyAlignment="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lignment horizontal="left"/>
    </xf>
    <xf numFmtId="170" fontId="1" fillId="0" borderId="13" xfId="0" applyNumberFormat="1" applyFont="1" applyBorder="1" applyAlignment="1">
      <alignment horizontal="left"/>
    </xf>
    <xf numFmtId="0" fontId="30" fillId="30" borderId="36" xfId="0" applyFont="1" applyFill="1" applyBorder="1" applyAlignment="1">
      <alignment horizontal="center" vertical="center" shrinkToFit="1"/>
    </xf>
    <xf numFmtId="0" fontId="30" fillId="30" borderId="11" xfId="0" applyFont="1" applyFill="1" applyBorder="1" applyAlignment="1">
      <alignment horizontal="center" vertical="center" shrinkToFit="1"/>
    </xf>
    <xf numFmtId="0" fontId="30" fillId="30" borderId="37" xfId="0" applyFont="1" applyFill="1" applyBorder="1" applyAlignment="1">
      <alignment horizontal="center" vertical="center" wrapText="1"/>
    </xf>
    <xf numFmtId="0" fontId="30" fillId="30" borderId="12" xfId="0" applyFont="1" applyFill="1" applyBorder="1" applyAlignment="1">
      <alignment horizontal="center" vertical="center" wrapText="1"/>
    </xf>
    <xf numFmtId="4" fontId="30" fillId="30" borderId="28" xfId="0" applyNumberFormat="1" applyFont="1" applyFill="1" applyBorder="1" applyAlignment="1">
      <alignment horizontal="center" vertical="center"/>
    </xf>
    <xf numFmtId="4" fontId="30" fillId="30" borderId="15" xfId="0" applyNumberFormat="1" applyFont="1" applyFill="1" applyBorder="1" applyAlignment="1">
      <alignment horizontal="center" vertical="center"/>
    </xf>
    <xf numFmtId="0" fontId="49" fillId="0" borderId="0" xfId="0" applyFont="1" applyAlignment="1">
      <alignment horizontal="center" vertical="top" wrapText="1"/>
    </xf>
    <xf numFmtId="168" fontId="1" fillId="0" borderId="0" xfId="0" applyNumberFormat="1" applyFont="1" applyAlignment="1">
      <alignment horizontal="left"/>
    </xf>
    <xf numFmtId="49" fontId="1" fillId="0" borderId="0" xfId="0" applyNumberFormat="1" applyFont="1" applyAlignment="1">
      <alignment horizontal="left"/>
    </xf>
    <xf numFmtId="0" fontId="1" fillId="0" borderId="0" xfId="0" applyFont="1" applyAlignment="1">
      <alignment horizontal="left"/>
    </xf>
    <xf numFmtId="171" fontId="1" fillId="0" borderId="13" xfId="0" applyNumberFormat="1" applyFont="1" applyBorder="1" applyAlignment="1">
      <alignment horizontal="left" vertical="center"/>
    </xf>
    <xf numFmtId="170" fontId="1" fillId="0" borderId="13" xfId="0" applyNumberFormat="1" applyFont="1" applyBorder="1" applyAlignment="1">
      <alignment horizontal="left" vertical="center"/>
    </xf>
    <xf numFmtId="0" fontId="26" fillId="24" borderId="21" xfId="0" applyFont="1" applyFill="1" applyBorder="1" applyAlignment="1">
      <alignment horizontal="center" vertical="center" wrapText="1"/>
    </xf>
    <xf numFmtId="0" fontId="26" fillId="24" borderId="39" xfId="0"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12"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24" borderId="38" xfId="0" applyFont="1" applyFill="1" applyBorder="1" applyAlignment="1">
      <alignment horizontal="center" vertical="center" wrapText="1"/>
    </xf>
    <xf numFmtId="4" fontId="26" fillId="24" borderId="30" xfId="0" applyNumberFormat="1" applyFont="1" applyFill="1" applyBorder="1" applyAlignment="1">
      <alignment horizontal="center" vertical="center" shrinkToFit="1"/>
    </xf>
    <xf numFmtId="4" fontId="26" fillId="24" borderId="15" xfId="0" applyNumberFormat="1" applyFont="1" applyFill="1" applyBorder="1" applyAlignment="1">
      <alignment horizontal="center" vertical="center" shrinkToFit="1"/>
    </xf>
    <xf numFmtId="4" fontId="26" fillId="24" borderId="16" xfId="0" applyNumberFormat="1" applyFont="1" applyFill="1" applyBorder="1" applyAlignment="1">
      <alignment horizontal="center" vertical="center" shrinkToFit="1"/>
    </xf>
  </cellXfs>
  <cellStyles count="87">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xr:uid="{00000000-0005-0000-0000-000018000000}"/>
    <cellStyle name="60% - Accent2" xfId="26" xr:uid="{00000000-0005-0000-0000-000019000000}"/>
    <cellStyle name="60% - Accent3" xfId="27" xr:uid="{00000000-0005-0000-0000-00001A000000}"/>
    <cellStyle name="60% - Accent4" xfId="28" xr:uid="{00000000-0005-0000-0000-00001B000000}"/>
    <cellStyle name="60% - Accent5" xfId="29" xr:uid="{00000000-0005-0000-0000-00001C000000}"/>
    <cellStyle name="60% - Accent6" xfId="30" xr:uid="{00000000-0005-0000-0000-00001D00000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Bad" xfId="43" xr:uid="{00000000-0005-0000-0000-00002A000000}"/>
    <cellStyle name="Bom" xfId="44" builtinId="26" customBuiltin="1"/>
    <cellStyle name="Calculation" xfId="45" xr:uid="{00000000-0005-0000-0000-00002C000000}"/>
    <cellStyle name="Cálculo" xfId="46" builtinId="22" customBuiltin="1"/>
    <cellStyle name="Célula de Verificação" xfId="47" builtinId="23" customBuiltin="1"/>
    <cellStyle name="Célula Vinculada" xfId="48" builtinId="24" customBuiltin="1"/>
    <cellStyle name="Check Cell" xfId="49" xr:uid="{00000000-0005-0000-0000-000030000000}"/>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xr:uid="{00000000-0005-0000-0000-000038000000}"/>
    <cellStyle name="Explanatory Text" xfId="58" xr:uid="{00000000-0005-0000-0000-000039000000}"/>
    <cellStyle name="Good" xfId="59" xr:uid="{00000000-0005-0000-0000-00003A000000}"/>
    <cellStyle name="Heading 1" xfId="60" xr:uid="{00000000-0005-0000-0000-00003B000000}"/>
    <cellStyle name="Heading 2" xfId="61" xr:uid="{00000000-0005-0000-0000-00003C000000}"/>
    <cellStyle name="Heading 3" xfId="62" xr:uid="{00000000-0005-0000-0000-00003D000000}"/>
    <cellStyle name="Heading 4" xfId="63" xr:uid="{00000000-0005-0000-0000-00003E000000}"/>
    <cellStyle name="Input" xfId="64" xr:uid="{00000000-0005-0000-0000-00003F000000}"/>
    <cellStyle name="Linked Cell" xfId="65" xr:uid="{00000000-0005-0000-0000-000040000000}"/>
    <cellStyle name="Moeda 2" xfId="66" xr:uid="{00000000-0005-0000-0000-000041000000}"/>
    <cellStyle name="Moeda_Composicao BDI v2.1" xfId="67" xr:uid="{00000000-0005-0000-0000-000042000000}"/>
    <cellStyle name="Neutral" xfId="68" xr:uid="{00000000-0005-0000-0000-000043000000}"/>
    <cellStyle name="Normal" xfId="0" builtinId="0"/>
    <cellStyle name="Normal 2" xfId="69" xr:uid="{00000000-0005-0000-0000-000045000000}"/>
    <cellStyle name="Normal_FICHA DE VERIFICAÇÃO PRELIMINAR - Plano R" xfId="70" xr:uid="{00000000-0005-0000-0000-000046000000}"/>
    <cellStyle name="Nota" xfId="71" builtinId="10" customBuiltin="1"/>
    <cellStyle name="Note" xfId="72" xr:uid="{00000000-0005-0000-0000-000048000000}"/>
    <cellStyle name="Output" xfId="73" xr:uid="{00000000-0005-0000-0000-000049000000}"/>
    <cellStyle name="Porcentagem" xfId="74" builtinId="5"/>
    <cellStyle name="Saída" xfId="75" builtinId="21" customBuiltin="1"/>
    <cellStyle name="Texto de Aviso" xfId="76" builtinId="11" customBuiltin="1"/>
    <cellStyle name="Texto Explicativo" xfId="77" builtinId="53" customBuiltin="1"/>
    <cellStyle name="Title" xfId="78" xr:uid="{00000000-0005-0000-0000-00004E000000}"/>
    <cellStyle name="Título" xfId="79" builtinId="15" customBuiltin="1"/>
    <cellStyle name="Título 1" xfId="80" builtinId="16" customBuiltin="1"/>
    <cellStyle name="Título 2" xfId="81" builtinId="17" customBuiltin="1"/>
    <cellStyle name="Título 3" xfId="82" builtinId="18" customBuiltin="1"/>
    <cellStyle name="Título 4" xfId="83" builtinId="19" customBuiltin="1"/>
    <cellStyle name="Total" xfId="84" builtinId="25" customBuiltin="1"/>
    <cellStyle name="Vírgula" xfId="85" builtinId="3"/>
    <cellStyle name="Warning Text" xfId="86" xr:uid="{00000000-0005-0000-0000-000056000000}"/>
  </cellStyles>
  <dxfs count="737">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CheckBox" checked="Checked" fmlaLink="$X$3" noThreeD="1"/>
</file>

<file path=xl/ctrlProps/ctrlProp4.xml><?xml version="1.0" encoding="utf-8"?>
<formControlPr xmlns="http://schemas.microsoft.com/office/spreadsheetml/2009/9/main" objectType="CheckBox" checked="Checked" fmlaLink="$X$4" noThreeD="1"/>
</file>

<file path=xl/ctrlProps/ctrlProp5.xml><?xml version="1.0" encoding="utf-8"?>
<formControlPr xmlns="http://schemas.microsoft.com/office/spreadsheetml/2009/9/main" objectType="CheckBox" checked="Checked" fmlaLink="$X$5" noThreeD="1"/>
</file>

<file path=xl/ctrlProps/ctrlProp6.xml><?xml version="1.0" encoding="utf-8"?>
<formControlPr xmlns="http://schemas.microsoft.com/office/spreadsheetml/2009/9/main" objectType="CheckBox" checked="Checked" fmlaLink="$X$6" noThreeD="1"/>
</file>

<file path=xl/ctrlProps/ctrlProp7.xml><?xml version="1.0" encoding="utf-8"?>
<formControlPr xmlns="http://schemas.microsoft.com/office/spreadsheetml/2009/9/main" objectType="CheckBox" checked="Checked" fmlaLink="$X$7" noThreeD="1"/>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5.x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4.emf"/><Relationship Id="rId1" Type="http://schemas.openxmlformats.org/officeDocument/2006/relationships/image" Target="../media/image8.emf"/><Relationship Id="rId5" Type="http://schemas.openxmlformats.org/officeDocument/2006/relationships/image" Target="../media/image2.emf"/><Relationship Id="rId4" Type="http://schemas.openxmlformats.org/officeDocument/2006/relationships/image" Target="../media/image1.emf"/></Relationships>
</file>

<file path=xl/drawings/_rels/drawing6.xml.rels><?xml version="1.0" encoding="UTF-8" standalone="yes"?>
<Relationships xmlns="http://schemas.openxmlformats.org/package/2006/relationships"><Relationship Id="rId3" Type="http://schemas.openxmlformats.org/officeDocument/2006/relationships/image" Target="../media/image1.emf"/><Relationship Id="rId7" Type="http://schemas.openxmlformats.org/officeDocument/2006/relationships/image" Target="../media/image2.emf"/><Relationship Id="rId2" Type="http://schemas.openxmlformats.org/officeDocument/2006/relationships/image" Target="../media/image9.emf"/><Relationship Id="rId1" Type="http://schemas.openxmlformats.org/officeDocument/2006/relationships/image" Target="../media/image4.emf"/><Relationship Id="rId6" Type="http://schemas.openxmlformats.org/officeDocument/2006/relationships/image" Target="../media/image13.emf"/><Relationship Id="rId5" Type="http://schemas.openxmlformats.org/officeDocument/2006/relationships/image" Target="../media/image12.emf"/><Relationship Id="rId4" Type="http://schemas.openxmlformats.org/officeDocument/2006/relationships/image" Target="../media/image5.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6.emf"/><Relationship Id="rId1" Type="http://schemas.openxmlformats.org/officeDocument/2006/relationships/image" Target="../media/image10.emf"/><Relationship Id="rId4"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11.emf"/><Relationship Id="rId1" Type="http://schemas.openxmlformats.org/officeDocument/2006/relationships/image" Target="../media/image6.emf"/><Relationship Id="rId6" Type="http://schemas.openxmlformats.org/officeDocument/2006/relationships/image" Target="../media/image15.emf"/><Relationship Id="rId5" Type="http://schemas.openxmlformats.org/officeDocument/2006/relationships/image" Target="../media/image14.emf"/><Relationship Id="rId4"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oneCell">
    <xdr:from>
      <xdr:col>12</xdr:col>
      <xdr:colOff>495300</xdr:colOff>
      <xdr:row>12</xdr:row>
      <xdr:rowOff>85725</xdr:rowOff>
    </xdr:from>
    <xdr:to>
      <xdr:col>15</xdr:col>
      <xdr:colOff>466725</xdr:colOff>
      <xdr:row>15</xdr:row>
      <xdr:rowOff>57150</xdr:rowOff>
    </xdr:to>
    <xdr:sp macro="[0]!Importar" textlink="">
      <xdr:nvSpPr>
        <xdr:cNvPr id="2" name="ImportButton">
          <a:extLst>
            <a:ext uri="{FF2B5EF4-FFF2-40B4-BE49-F238E27FC236}">
              <a16:creationId xmlns:a16="http://schemas.microsoft.com/office/drawing/2014/main" id="{00000000-0008-0000-0000-000002000000}"/>
            </a:ext>
          </a:extLst>
        </xdr:cNvPr>
        <xdr:cNvSpPr>
          <a:spLocks noChangeArrowheads="1"/>
        </xdr:cNvSpPr>
      </xdr:nvSpPr>
      <xdr:spPr bwMode="auto">
        <a:xfrm>
          <a:off x="8077200" y="1847850"/>
          <a:ext cx="1714500" cy="457200"/>
        </a:xfrm>
        <a:prstGeom prst="rect">
          <a:avLst/>
        </a:prstGeom>
        <a:solidFill>
          <a:srgbClr val="D0CECE"/>
        </a:solidFill>
        <a:ln w="6350" algn="ctr">
          <a:solidFill>
            <a:srgbClr val="41719C"/>
          </a:solidFill>
          <a:miter lim="800000"/>
          <a:headEnd/>
          <a:tailEnd/>
        </a:ln>
        <a:effectLst>
          <a:outerShdw dist="63500" dir="2700000" algn="tl" rotWithShape="0">
            <a:srgbClr val="000000"/>
          </a:outerShdw>
        </a:effectLst>
      </xdr:spPr>
      <xdr:txBody>
        <a:bodyPr vertOverflow="clip" wrap="square" lIns="27432" tIns="27432" rIns="27432" bIns="27432" anchor="ctr" upright="1"/>
        <a:lstStyle/>
        <a:p>
          <a:pPr algn="ctr" rtl="0">
            <a:defRPr sz="1000"/>
          </a:pPr>
          <a:r>
            <a:rPr lang="pt-BR" sz="1050" b="0" i="0" u="none" strike="noStrike" baseline="0">
              <a:solidFill>
                <a:srgbClr val="000000"/>
              </a:solidFill>
              <a:latin typeface="Calibri"/>
            </a:rPr>
            <a:t>Importar PO</a:t>
          </a:r>
        </a:p>
        <a:p>
          <a:pPr algn="ctr" rtl="0">
            <a:defRPr sz="1000"/>
          </a:pPr>
          <a:r>
            <a:rPr lang="pt-BR" sz="1050" b="0" i="0" u="none" strike="noStrike" baseline="0">
              <a:solidFill>
                <a:srgbClr val="000000"/>
              </a:solidFill>
              <a:latin typeface="Calibri"/>
            </a:rPr>
            <a:t>(MO27476)</a:t>
          </a:r>
        </a:p>
      </xdr:txBody>
    </xdr:sp>
    <xdr:clientData fPrintsWithSheet="0"/>
  </xdr:twoCellAnchor>
  <mc:AlternateContent xmlns:mc="http://schemas.openxmlformats.org/markup-compatibility/2006">
    <mc:Choice xmlns:a14="http://schemas.microsoft.com/office/drawing/2010/main" Requires="a14">
      <xdr:twoCellAnchor editAs="oneCell">
        <xdr:from>
          <xdr:col>0</xdr:col>
          <xdr:colOff>381000</xdr:colOff>
          <xdr:row>18</xdr:row>
          <xdr:rowOff>85725</xdr:rowOff>
        </xdr:from>
        <xdr:to>
          <xdr:col>5</xdr:col>
          <xdr:colOff>228600</xdr:colOff>
          <xdr:row>20</xdr:row>
          <xdr:rowOff>47625</xdr:rowOff>
        </xdr:to>
        <xdr:sp macro="" textlink="">
          <xdr:nvSpPr>
            <xdr:cNvPr id="34202" name="OptionPLQ-ON" descr="Parcela 1" hidden="1">
              <a:extLst>
                <a:ext uri="{63B3BB69-23CF-44E3-9099-C40C66FF867C}">
                  <a14:compatExt spid="_x0000_s34202"/>
                </a:ext>
                <a:ext uri="{FF2B5EF4-FFF2-40B4-BE49-F238E27FC236}">
                  <a16:creationId xmlns:a16="http://schemas.microsoft.com/office/drawing/2014/main" id="{00000000-0008-0000-0000-00009A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MÚLTIPLAS FRENTES (PREENCHIMENTO NA PLQ)</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18</xdr:row>
          <xdr:rowOff>85725</xdr:rowOff>
        </xdr:from>
        <xdr:to>
          <xdr:col>11</xdr:col>
          <xdr:colOff>142875</xdr:colOff>
          <xdr:row>20</xdr:row>
          <xdr:rowOff>47625</xdr:rowOff>
        </xdr:to>
        <xdr:sp macro="" textlink="">
          <xdr:nvSpPr>
            <xdr:cNvPr id="34203" name="OptionPLQ-OFF" descr="Parcela 1" hidden="1">
              <a:extLst>
                <a:ext uri="{63B3BB69-23CF-44E3-9099-C40C66FF867C}">
                  <a14:compatExt spid="_x0000_s34203"/>
                </a:ext>
                <a:ext uri="{FF2B5EF4-FFF2-40B4-BE49-F238E27FC236}">
                  <a16:creationId xmlns:a16="http://schemas.microsoft.com/office/drawing/2014/main" id="{00000000-0008-0000-0000-00009B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FRENTE ÚNICA (PREENCHIMENTO DIRETAMENTE NA PO)</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6569" name="SigiloPic">
              <a:extLst>
                <a:ext uri="{FF2B5EF4-FFF2-40B4-BE49-F238E27FC236}">
                  <a16:creationId xmlns:a16="http://schemas.microsoft.com/office/drawing/2014/main" id="{00000000-0008-0000-0100-000099630200}"/>
                </a:ext>
              </a:extLst>
            </xdr:cNvPr>
            <xdr:cNvPicPr>
              <a:picLocks noChangeArrowheads="1"/>
              <a:extLst>
                <a:ext uri="{84589F7E-364E-4C9E-8A38-B11213B215E9}">
                  <a14:cameraTool cellRange="PO!$T$1:$T$2" spid="_x0000_s210033"/>
                </a:ext>
              </a:extLst>
            </xdr:cNvPicPr>
          </xdr:nvPicPr>
          <xdr:blipFill>
            <a:blip xmlns:r="http://schemas.openxmlformats.org/officeDocument/2006/relationships" r:embed="rId1"/>
            <a:srcRect/>
            <a:stretch>
              <a:fillRect/>
            </a:stretch>
          </xdr:blipFill>
          <xdr:spPr bwMode="auto">
            <a:xfrm>
              <a:off x="6172200" y="285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2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1" hidden="1">
          <a:extLst>
            <a:ext uri="{63B3BB69-23CF-44E3-9099-C40C66FF867C}">
              <a14:compatExt xmlns:a14="http://schemas.microsoft.com/office/drawing/2010/main" spid="_x0000_s202753"/>
            </a:ext>
            <a:ext uri="{FF2B5EF4-FFF2-40B4-BE49-F238E27FC236}">
              <a16:creationId xmlns:a16="http://schemas.microsoft.com/office/drawing/2014/main" id="{00000000-0008-0000-0200-0000030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656359</xdr:colOff>
          <xdr:row>1</xdr:row>
          <xdr:rowOff>149802</xdr:rowOff>
        </xdr:to>
        <xdr:pic>
          <xdr:nvPicPr>
            <xdr:cNvPr id="4" name="SigiloPic">
              <a:extLst>
                <a:ext uri="{FF2B5EF4-FFF2-40B4-BE49-F238E27FC236}">
                  <a16:creationId xmlns:a16="http://schemas.microsoft.com/office/drawing/2014/main" id="{00000000-0008-0000-0200-000004000000}"/>
                </a:ext>
              </a:extLst>
            </xdr:cNvPr>
            <xdr:cNvPicPr>
              <a:picLocks noChangeArrowheads="1"/>
              <a:extLst>
                <a:ext uri="{84589F7E-364E-4C9E-8A38-B11213B215E9}">
                  <a14:cameraTool cellRange="PO!$T$1:$T$2" spid="_x0000_s202949"/>
                </a:ext>
              </a:extLst>
            </xdr:cNvPicPr>
          </xdr:nvPicPr>
          <xdr:blipFill>
            <a:blip xmlns:r="http://schemas.openxmlformats.org/officeDocument/2006/relationships" r:embed="rId1"/>
            <a:srcRect/>
            <a:stretch>
              <a:fillRect/>
            </a:stretch>
          </xdr:blipFill>
          <xdr:spPr bwMode="auto">
            <a:xfrm>
              <a:off x="6172200" y="28575"/>
              <a:ext cx="1056409" cy="311727"/>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202753" name="Picture 1">
          <a:extLst>
            <a:ext uri="{FF2B5EF4-FFF2-40B4-BE49-F238E27FC236}">
              <a16:creationId xmlns:a16="http://schemas.microsoft.com/office/drawing/2014/main" id="{00000000-0008-0000-0200-0000011803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585" name="Picture 482">
              <a:extLst>
                <a:ext uri="{FF2B5EF4-FFF2-40B4-BE49-F238E27FC236}">
                  <a16:creationId xmlns:a16="http://schemas.microsoft.com/office/drawing/2014/main" id="{00000000-0008-0000-0300-0000B9070300}"/>
                </a:ext>
              </a:extLst>
            </xdr:cNvPr>
            <xdr:cNvPicPr>
              <a:picLocks noChangeArrowheads="1"/>
              <a:extLst>
                <a:ext uri="{84589F7E-364E-4C9E-8A38-B11213B215E9}">
                  <a14:cameraTool cellRange="DADOS!$A$220:$X$230" spid="_x0000_s202192"/>
                </a:ext>
              </a:extLst>
            </xdr:cNvPicPr>
          </xdr:nvPicPr>
          <xdr:blipFill>
            <a:blip xmlns:r="http://schemas.openxmlformats.org/officeDocument/2006/relationships" r:embed="rId1"/>
            <a:srcRect/>
            <a:stretch>
              <a:fillRect/>
            </a:stretch>
          </xdr:blipFill>
          <xdr:spPr bwMode="auto">
            <a:xfrm>
              <a:off x="581025" y="485775"/>
              <a:ext cx="13820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300-00002BD6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142874</xdr:colOff>
      <xdr:row>7</xdr:row>
      <xdr:rowOff>166687</xdr:rowOff>
    </xdr:from>
    <xdr:to>
      <xdr:col>13</xdr:col>
      <xdr:colOff>1619249</xdr:colOff>
      <xdr:row>7</xdr:row>
      <xdr:rowOff>347662</xdr:rowOff>
    </xdr:to>
    <xdr:sp macro="[0]!EditarPlan" textlink="">
      <xdr:nvSpPr>
        <xdr:cNvPr id="5" name="EditarButton">
          <a:extLst>
            <a:ext uri="{FF2B5EF4-FFF2-40B4-BE49-F238E27FC236}">
              <a16:creationId xmlns:a16="http://schemas.microsoft.com/office/drawing/2014/main" id="{00000000-0008-0000-0300-000005000000}"/>
            </a:ext>
          </a:extLst>
        </xdr:cNvPr>
        <xdr:cNvSpPr txBox="1">
          <a:spLocks noChangeArrowheads="1"/>
        </xdr:cNvSpPr>
      </xdr:nvSpPr>
      <xdr:spPr bwMode="auto">
        <a:xfrm>
          <a:off x="3667124" y="1905000"/>
          <a:ext cx="1476375" cy="180975"/>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PLANILHA</a:t>
          </a:r>
        </a:p>
      </xdr:txBody>
    </xdr:sp>
    <xdr:clientData fPrintsWithSheet="0"/>
  </xdr:twoCellAnchor>
  <xdr:twoCellAnchor>
    <xdr:from>
      <xdr:col>13</xdr:col>
      <xdr:colOff>3762375</xdr:colOff>
      <xdr:row>7</xdr:row>
      <xdr:rowOff>166687</xdr:rowOff>
    </xdr:from>
    <xdr:to>
      <xdr:col>13</xdr:col>
      <xdr:colOff>5076826</xdr:colOff>
      <xdr:row>9</xdr:row>
      <xdr:rowOff>154779</xdr:rowOff>
    </xdr:to>
    <xdr:sp macro="[0]!licitacaouserform" textlink="">
      <xdr:nvSpPr>
        <xdr:cNvPr id="6" name="LicitButton">
          <a:extLst>
            <a:ext uri="{FF2B5EF4-FFF2-40B4-BE49-F238E27FC236}">
              <a16:creationId xmlns:a16="http://schemas.microsoft.com/office/drawing/2014/main" id="{00000000-0008-0000-0300-000006000000}"/>
            </a:ext>
          </a:extLst>
        </xdr:cNvPr>
        <xdr:cNvSpPr txBox="1">
          <a:spLocks noChangeArrowheads="1"/>
        </xdr:cNvSpPr>
      </xdr:nvSpPr>
      <xdr:spPr bwMode="auto">
        <a:xfrm>
          <a:off x="7286625" y="1905000"/>
          <a:ext cx="1314451" cy="369092"/>
        </a:xfrm>
        <a:prstGeom prst="rect">
          <a:avLst/>
        </a:prstGeom>
        <a:solidFill>
          <a:srgbClr xmlns:mc="http://schemas.openxmlformats.org/markup-compatibility/2006" xmlns:a14="http://schemas.microsoft.com/office/drawing/2010/main" val="33CCCC" mc:Ignorable="a14" a14:legacySpreadsheetColorIndex="4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LICITAR / REPROGRAMAR</a:t>
          </a:r>
        </a:p>
      </xdr:txBody>
    </xdr:sp>
    <xdr:clientData fPrintsWithSheet="0"/>
  </xdr:twoCellAnchor>
  <mc:AlternateContent xmlns:mc="http://schemas.openxmlformats.org/markup-compatibility/2006">
    <mc:Choice xmlns:a14="http://schemas.microsoft.com/office/drawing/2010/main" Requires="a14">
      <xdr:twoCellAnchor>
        <xdr:from>
          <xdr:col>13</xdr:col>
          <xdr:colOff>3686175</xdr:colOff>
          <xdr:row>285</xdr:row>
          <xdr:rowOff>0</xdr:rowOff>
        </xdr:from>
        <xdr:to>
          <xdr:col>19</xdr:col>
          <xdr:colOff>114300</xdr:colOff>
          <xdr:row>290</xdr:row>
          <xdr:rowOff>9525</xdr:rowOff>
        </xdr:to>
        <xdr:pic>
          <xdr:nvPicPr>
            <xdr:cNvPr id="198588" name="Picture 483">
              <a:extLst>
                <a:ext uri="{FF2B5EF4-FFF2-40B4-BE49-F238E27FC236}">
                  <a16:creationId xmlns:a16="http://schemas.microsoft.com/office/drawing/2014/main" id="{00000000-0008-0000-0300-0000BC070300}"/>
                </a:ext>
              </a:extLst>
            </xdr:cNvPr>
            <xdr:cNvPicPr>
              <a:picLocks noChangeArrowheads="1"/>
              <a:extLst>
                <a:ext uri="{84589F7E-364E-4C9E-8A38-B11213B215E9}">
                  <a14:cameraTool cellRange="DADOS!$A$53:$K$57" spid="_x0000_s202193"/>
                </a:ext>
              </a:extLst>
            </xdr:cNvPicPr>
          </xdr:nvPicPr>
          <xdr:blipFill>
            <a:blip xmlns:r="http://schemas.openxmlformats.org/officeDocument/2006/relationships" r:embed="rId2"/>
            <a:srcRect/>
            <a:stretch>
              <a:fillRect/>
            </a:stretch>
          </xdr:blipFill>
          <xdr:spPr bwMode="auto">
            <a:xfrm>
              <a:off x="7210425" y="7553325"/>
              <a:ext cx="6381750" cy="8191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13</xdr:col>
      <xdr:colOff>1976437</xdr:colOff>
      <xdr:row>7</xdr:row>
      <xdr:rowOff>166686</xdr:rowOff>
    </xdr:from>
    <xdr:to>
      <xdr:col>13</xdr:col>
      <xdr:colOff>3452812</xdr:colOff>
      <xdr:row>7</xdr:row>
      <xdr:rowOff>346686</xdr:rowOff>
    </xdr:to>
    <xdr:sp macro="[0]!fixarReferencias" textlink="">
      <xdr:nvSpPr>
        <xdr:cNvPr id="7" name="FixarButton">
          <a:extLst>
            <a:ext uri="{FF2B5EF4-FFF2-40B4-BE49-F238E27FC236}">
              <a16:creationId xmlns:a16="http://schemas.microsoft.com/office/drawing/2014/main" id="{00000000-0008-0000-0300-000007000000}"/>
            </a:ext>
          </a:extLst>
        </xdr:cNvPr>
        <xdr:cNvSpPr txBox="1">
          <a:spLocks noChangeArrowheads="1"/>
        </xdr:cNvSpPr>
      </xdr:nvSpPr>
      <xdr:spPr bwMode="auto">
        <a:xfrm>
          <a:off x="5500687" y="1904999"/>
          <a:ext cx="1476375" cy="1800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FIXAR DESCRICOES</a:t>
          </a:r>
        </a:p>
      </xdr:txBody>
    </xdr:sp>
    <xdr:clientData fPrintsWithSheet="0"/>
  </xdr:twoCellAnchor>
  <xdr:twoCellAnchor>
    <xdr:from>
      <xdr:col>11</xdr:col>
      <xdr:colOff>378619</xdr:colOff>
      <xdr:row>7</xdr:row>
      <xdr:rowOff>164306</xdr:rowOff>
    </xdr:from>
    <xdr:to>
      <xdr:col>12</xdr:col>
      <xdr:colOff>807244</xdr:colOff>
      <xdr:row>7</xdr:row>
      <xdr:rowOff>345281</xdr:rowOff>
    </xdr:to>
    <xdr:sp macro="[0]!buscaCodigo" textlink="">
      <xdr:nvSpPr>
        <xdr:cNvPr id="8" name="BuscarButton">
          <a:extLst>
            <a:ext uri="{FF2B5EF4-FFF2-40B4-BE49-F238E27FC236}">
              <a16:creationId xmlns:a16="http://schemas.microsoft.com/office/drawing/2014/main" id="{00000000-0008-0000-0300-000008000000}"/>
            </a:ext>
          </a:extLst>
        </xdr:cNvPr>
        <xdr:cNvSpPr txBox="1">
          <a:spLocks noChangeArrowheads="1"/>
        </xdr:cNvSpPr>
      </xdr:nvSpPr>
      <xdr:spPr bwMode="auto">
        <a:xfrm>
          <a:off x="1807369" y="1902619"/>
          <a:ext cx="1476375" cy="180975"/>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BUSCAR CÓDIGO</a:t>
          </a:r>
        </a:p>
      </xdr:txBody>
    </xdr:sp>
    <xdr:clientData fPrintsWithSheet="0"/>
  </xdr:twoCellAnchor>
  <xdr:twoCellAnchor editAs="oneCell">
    <xdr:from>
      <xdr:col>14</xdr:col>
      <xdr:colOff>714374</xdr:colOff>
      <xdr:row>6</xdr:row>
      <xdr:rowOff>285748</xdr:rowOff>
    </xdr:from>
    <xdr:to>
      <xdr:col>19</xdr:col>
      <xdr:colOff>1047748</xdr:colOff>
      <xdr:row>7</xdr:row>
      <xdr:rowOff>330852</xdr:rowOff>
    </xdr:to>
    <xdr:sp macro="" textlink="">
      <xdr:nvSpPr>
        <xdr:cNvPr id="9" name="TextBoxArred">
          <a:extLst>
            <a:ext uri="{FF2B5EF4-FFF2-40B4-BE49-F238E27FC236}">
              <a16:creationId xmlns:a16="http://schemas.microsoft.com/office/drawing/2014/main" id="{00000000-0008-0000-0300-000009000000}"/>
            </a:ext>
          </a:extLst>
        </xdr:cNvPr>
        <xdr:cNvSpPr txBox="1">
          <a:spLocks noChangeArrowheads="1"/>
        </xdr:cNvSpPr>
      </xdr:nvSpPr>
      <xdr:spPr bwMode="auto">
        <a:xfrm flipH="1">
          <a:off x="9620249" y="1714498"/>
          <a:ext cx="4905374" cy="354667"/>
        </a:xfrm>
        <a:prstGeom prst="rect">
          <a:avLst/>
        </a:prstGeom>
        <a:noFill/>
        <a:ln w="635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27432" tIns="22860" rIns="27432" bIns="0" anchor="t" upright="1"/>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editAs="oneCell">
        <xdr:from>
          <xdr:col>15</xdr:col>
          <xdr:colOff>428625</xdr:colOff>
          <xdr:row>7</xdr:row>
          <xdr:rowOff>114300</xdr:rowOff>
        </xdr:from>
        <xdr:to>
          <xdr:col>15</xdr:col>
          <xdr:colOff>847725</xdr:colOff>
          <xdr:row>7</xdr:row>
          <xdr:rowOff>342900</xdr:rowOff>
        </xdr:to>
        <xdr:sp macro="" textlink="">
          <xdr:nvSpPr>
            <xdr:cNvPr id="197642" name="CaixaArredQuant" hidden="1">
              <a:extLst>
                <a:ext uri="{63B3BB69-23CF-44E3-9099-C40C66FF867C}">
                  <a14:compatExt spid="_x0000_s197642"/>
                </a:ext>
                <a:ext uri="{FF2B5EF4-FFF2-40B4-BE49-F238E27FC236}">
                  <a16:creationId xmlns:a16="http://schemas.microsoft.com/office/drawing/2014/main" id="{00000000-0008-0000-0300-00000A0403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7</xdr:row>
          <xdr:rowOff>114300</xdr:rowOff>
        </xdr:from>
        <xdr:to>
          <xdr:col>16</xdr:col>
          <xdr:colOff>838200</xdr:colOff>
          <xdr:row>7</xdr:row>
          <xdr:rowOff>342900</xdr:rowOff>
        </xdr:to>
        <xdr:sp macro="" textlink="">
          <xdr:nvSpPr>
            <xdr:cNvPr id="197650" name="CaixaArredCustoUnit" hidden="1">
              <a:extLst>
                <a:ext uri="{63B3BB69-23CF-44E3-9099-C40C66FF867C}">
                  <a14:compatExt spid="_x0000_s197650"/>
                </a:ext>
                <a:ext uri="{FF2B5EF4-FFF2-40B4-BE49-F238E27FC236}">
                  <a16:creationId xmlns:a16="http://schemas.microsoft.com/office/drawing/2014/main" id="{00000000-0008-0000-0300-0000120403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257175</xdr:colOff>
          <xdr:row>7</xdr:row>
          <xdr:rowOff>114300</xdr:rowOff>
        </xdr:from>
        <xdr:to>
          <xdr:col>17</xdr:col>
          <xdr:colOff>676275</xdr:colOff>
          <xdr:row>7</xdr:row>
          <xdr:rowOff>342900</xdr:rowOff>
        </xdr:to>
        <xdr:sp macro="" textlink="">
          <xdr:nvSpPr>
            <xdr:cNvPr id="197651" name="CaixaArredBDI" hidden="1">
              <a:extLst>
                <a:ext uri="{63B3BB69-23CF-44E3-9099-C40C66FF867C}">
                  <a14:compatExt spid="_x0000_s197651"/>
                </a:ext>
                <a:ext uri="{FF2B5EF4-FFF2-40B4-BE49-F238E27FC236}">
                  <a16:creationId xmlns:a16="http://schemas.microsoft.com/office/drawing/2014/main" id="{00000000-0008-0000-0300-0000130403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333375</xdr:colOff>
          <xdr:row>7</xdr:row>
          <xdr:rowOff>114300</xdr:rowOff>
        </xdr:from>
        <xdr:to>
          <xdr:col>18</xdr:col>
          <xdr:colOff>752475</xdr:colOff>
          <xdr:row>7</xdr:row>
          <xdr:rowOff>342900</xdr:rowOff>
        </xdr:to>
        <xdr:sp macro="" textlink="">
          <xdr:nvSpPr>
            <xdr:cNvPr id="197652" name="CaixaArredPrecoUnit" hidden="1">
              <a:extLst>
                <a:ext uri="{63B3BB69-23CF-44E3-9099-C40C66FF867C}">
                  <a14:compatExt spid="_x0000_s197652"/>
                </a:ext>
                <a:ext uri="{FF2B5EF4-FFF2-40B4-BE49-F238E27FC236}">
                  <a16:creationId xmlns:a16="http://schemas.microsoft.com/office/drawing/2014/main" id="{00000000-0008-0000-0300-0000140403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419100</xdr:colOff>
          <xdr:row>7</xdr:row>
          <xdr:rowOff>104775</xdr:rowOff>
        </xdr:from>
        <xdr:to>
          <xdr:col>19</xdr:col>
          <xdr:colOff>838200</xdr:colOff>
          <xdr:row>7</xdr:row>
          <xdr:rowOff>333375</xdr:rowOff>
        </xdr:to>
        <xdr:sp macro="" textlink="">
          <xdr:nvSpPr>
            <xdr:cNvPr id="197660" name="CaixaArredPrecoTotal" hidden="1">
              <a:extLst>
                <a:ext uri="{63B3BB69-23CF-44E3-9099-C40C66FF867C}">
                  <a14:compatExt spid="_x0000_s197660"/>
                </a:ext>
                <a:ext uri="{FF2B5EF4-FFF2-40B4-BE49-F238E27FC236}">
                  <a16:creationId xmlns:a16="http://schemas.microsoft.com/office/drawing/2014/main" id="{00000000-0008-0000-0300-00001C0403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400-0000A0F4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199394" name="PIC1">
              <a:extLst>
                <a:ext uri="{FF2B5EF4-FFF2-40B4-BE49-F238E27FC236}">
                  <a16:creationId xmlns:a16="http://schemas.microsoft.com/office/drawing/2014/main" id="{00000000-0008-0000-0400-0000E20A0300}"/>
                </a:ext>
              </a:extLst>
            </xdr:cNvPr>
            <xdr:cNvPicPr>
              <a:picLocks noChangeArrowheads="1"/>
              <a:extLst>
                <a:ext uri="{84589F7E-364E-4C9E-8A38-B11213B215E9}">
                  <a14:cameraTool cellRange="DADOS!$A$220:$X$230" spid="_x0000_s207414"/>
                </a:ext>
              </a:extLst>
            </xdr:cNvPicPr>
          </xdr:nvPicPr>
          <xdr:blipFill>
            <a:blip xmlns:r="http://schemas.openxmlformats.org/officeDocument/2006/relationships" r:embed="rId1"/>
            <a:srcRect r="56371"/>
            <a:stretch>
              <a:fillRect/>
            </a:stretch>
          </xdr:blipFill>
          <xdr:spPr bwMode="auto">
            <a:xfrm>
              <a:off x="847725" y="581025"/>
              <a:ext cx="6076950"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199395" name="PIC2">
              <a:extLst>
                <a:ext uri="{FF2B5EF4-FFF2-40B4-BE49-F238E27FC236}">
                  <a16:creationId xmlns:a16="http://schemas.microsoft.com/office/drawing/2014/main" id="{00000000-0008-0000-0400-0000E30A0300}"/>
                </a:ext>
              </a:extLst>
            </xdr:cNvPr>
            <xdr:cNvPicPr>
              <a:picLocks noChangeArrowheads="1"/>
              <a:extLst>
                <a:ext uri="{84589F7E-364E-4C9E-8A38-B11213B215E9}">
                  <a14:cameraTool cellRange="DADOS!$A$220:$X$230" spid="_x0000_s207415"/>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4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2</xdr:col>
      <xdr:colOff>676275</xdr:colOff>
      <xdr:row>8</xdr:row>
      <xdr:rowOff>104775</xdr:rowOff>
    </xdr:from>
    <xdr:to>
      <xdr:col>2</xdr:col>
      <xdr:colOff>1704975</xdr:colOff>
      <xdr:row>8</xdr:row>
      <xdr:rowOff>485775</xdr:rowOff>
    </xdr:to>
    <xdr:sp macro="[0]!IncluirPLQ" textlink="">
      <xdr:nvSpPr>
        <xdr:cNvPr id="6" name="AddPLQ">
          <a:extLst>
            <a:ext uri="{FF2B5EF4-FFF2-40B4-BE49-F238E27FC236}">
              <a16:creationId xmlns:a16="http://schemas.microsoft.com/office/drawing/2014/main" id="{00000000-0008-0000-0400-000006000000}"/>
            </a:ext>
          </a:extLst>
        </xdr:cNvPr>
        <xdr:cNvSpPr txBox="1">
          <a:spLocks noChangeArrowheads="1"/>
        </xdr:cNvSpPr>
      </xdr:nvSpPr>
      <xdr:spPr bwMode="auto">
        <a:xfrm>
          <a:off x="2238375" y="2076450"/>
          <a:ext cx="1028700" cy="3810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10 FRENTES</a:t>
          </a:r>
        </a:p>
      </xdr:txBody>
    </xdr:sp>
    <xdr:clientData fPrintsWithSheet="0"/>
  </xdr:twoCellAnchor>
  <xdr:twoCellAnchor editAs="oneCell">
    <xdr:from>
      <xdr:col>2</xdr:col>
      <xdr:colOff>1971675</xdr:colOff>
      <xdr:row>8</xdr:row>
      <xdr:rowOff>104775</xdr:rowOff>
    </xdr:from>
    <xdr:to>
      <xdr:col>2</xdr:col>
      <xdr:colOff>3000375</xdr:colOff>
      <xdr:row>8</xdr:row>
      <xdr:rowOff>485775</xdr:rowOff>
    </xdr:to>
    <xdr:sp macro="[0]!ExcluirPLQ" textlink="">
      <xdr:nvSpPr>
        <xdr:cNvPr id="7" name="RemovePLQ">
          <a:extLst>
            <a:ext uri="{FF2B5EF4-FFF2-40B4-BE49-F238E27FC236}">
              <a16:creationId xmlns:a16="http://schemas.microsoft.com/office/drawing/2014/main" id="{00000000-0008-0000-0400-000007000000}"/>
            </a:ext>
          </a:extLst>
        </xdr:cNvPr>
        <xdr:cNvSpPr txBox="1">
          <a:spLocks noChangeArrowheads="1"/>
        </xdr:cNvSpPr>
      </xdr:nvSpPr>
      <xdr:spPr bwMode="auto">
        <a:xfrm>
          <a:off x="3533775" y="2076450"/>
          <a:ext cx="1028700" cy="381000"/>
        </a:xfrm>
        <a:prstGeom prst="rect">
          <a:avLst/>
        </a:prstGeom>
        <a:solidFill>
          <a:srgbClr xmlns:mc="http://schemas.openxmlformats.org/markup-compatibility/2006" xmlns:a14="http://schemas.microsoft.com/office/drawing/2010/main" val="993366" mc:Ignorable="a14" a14:legacySpreadsheetColorIndex="61"/>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FFFFFF"/>
              </a:solidFill>
              <a:latin typeface="Arial"/>
              <a:cs typeface="Arial"/>
            </a:rPr>
            <a:t>EXCLUIR 10 FRENTES</a:t>
          </a:r>
        </a:p>
      </xdr:txBody>
    </xdr:sp>
    <xdr:clientData fPrintsWithSheet="0"/>
  </xdr:twoCellAnchor>
  <mc:AlternateContent xmlns:mc="http://schemas.openxmlformats.org/markup-compatibility/2006">
    <mc:Choice xmlns:a14="http://schemas.microsoft.com/office/drawing/2010/main" Requires="a14">
      <xdr:twoCellAnchor>
        <xdr:from>
          <xdr:col>5</xdr:col>
          <xdr:colOff>704850</xdr:colOff>
          <xdr:row>276</xdr:row>
          <xdr:rowOff>9525</xdr:rowOff>
        </xdr:from>
        <xdr:to>
          <xdr:col>14</xdr:col>
          <xdr:colOff>28575</xdr:colOff>
          <xdr:row>280</xdr:row>
          <xdr:rowOff>152400</xdr:rowOff>
        </xdr:to>
        <xdr:pic>
          <xdr:nvPicPr>
            <xdr:cNvPr id="199399" name="Picture 483">
              <a:extLst>
                <a:ext uri="{FF2B5EF4-FFF2-40B4-BE49-F238E27FC236}">
                  <a16:creationId xmlns:a16="http://schemas.microsoft.com/office/drawing/2014/main" id="{00000000-0008-0000-0400-0000E70A0300}"/>
                </a:ext>
              </a:extLst>
            </xdr:cNvPr>
            <xdr:cNvPicPr>
              <a:picLocks noChangeArrowheads="1"/>
              <a:extLst>
                <a:ext uri="{84589F7E-364E-4C9E-8A38-B11213B215E9}">
                  <a14:cameraTool cellRange="DADOS!$A$53:$K$57" spid="_x0000_s207416"/>
                </a:ext>
              </a:extLst>
            </xdr:cNvPicPr>
          </xdr:nvPicPr>
          <xdr:blipFill>
            <a:blip xmlns:r="http://schemas.openxmlformats.org/officeDocument/2006/relationships" r:embed="rId3"/>
            <a:srcRect/>
            <a:stretch>
              <a:fillRect/>
            </a:stretch>
          </xdr:blipFill>
          <xdr:spPr bwMode="auto">
            <a:xfrm>
              <a:off x="7667625" y="6524625"/>
              <a:ext cx="63531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199400" name="SigiloPic">
              <a:extLst>
                <a:ext uri="{FF2B5EF4-FFF2-40B4-BE49-F238E27FC236}">
                  <a16:creationId xmlns:a16="http://schemas.microsoft.com/office/drawing/2014/main" id="{00000000-0008-0000-0400-0000E80A0300}"/>
                </a:ext>
              </a:extLst>
            </xdr:cNvPr>
            <xdr:cNvPicPr>
              <a:picLocks noChangeArrowheads="1"/>
              <a:extLst>
                <a:ext uri="{84589F7E-364E-4C9E-8A38-B11213B215E9}">
                  <a14:cameraTool cellRange="PO!$T$1:$T$2" spid="_x0000_s207417"/>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500-0000C2F3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5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0672" name="PIC2">
              <a:extLst>
                <a:ext uri="{FF2B5EF4-FFF2-40B4-BE49-F238E27FC236}">
                  <a16:creationId xmlns:a16="http://schemas.microsoft.com/office/drawing/2014/main" id="{00000000-0008-0000-0500-0000E00F0300}"/>
                </a:ext>
              </a:extLst>
            </xdr:cNvPr>
            <xdr:cNvPicPr>
              <a:picLocks noChangeArrowheads="1"/>
              <a:extLst>
                <a:ext uri="{84589F7E-364E-4C9E-8A38-B11213B215E9}">
                  <a14:cameraTool cellRange="DADOS!$A$220:$X$230" spid="_x0000_s215789"/>
                </a:ext>
              </a:extLst>
            </xdr:cNvPicPr>
          </xdr:nvPicPr>
          <xdr:blipFill>
            <a:blip xmlns:r="http://schemas.openxmlformats.org/officeDocument/2006/relationships" r:embed="rId1"/>
            <a:srcRect l="39473"/>
            <a:stretch>
              <a:fillRect/>
            </a:stretch>
          </xdr:blipFill>
          <xdr:spPr bwMode="auto">
            <a:xfrm>
              <a:off x="5619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0673" name="PIC1">
              <a:extLst>
                <a:ext uri="{FF2B5EF4-FFF2-40B4-BE49-F238E27FC236}">
                  <a16:creationId xmlns:a16="http://schemas.microsoft.com/office/drawing/2014/main" id="{00000000-0008-0000-0500-0000E10F0300}"/>
                </a:ext>
              </a:extLst>
            </xdr:cNvPr>
            <xdr:cNvPicPr>
              <a:picLocks noChangeArrowheads="1"/>
              <a:extLst>
                <a:ext uri="{84589F7E-364E-4C9E-8A38-B11213B215E9}">
                  <a14:cameraTool cellRange="DADOS!$A$220:$X$230" spid="_x0000_s215790"/>
                </a:ext>
              </a:extLst>
            </xdr:cNvPicPr>
          </xdr:nvPicPr>
          <xdr:blipFill>
            <a:blip xmlns:r="http://schemas.openxmlformats.org/officeDocument/2006/relationships" r:embed="rId1"/>
            <a:srcRect r="60628"/>
            <a:stretch>
              <a:fillRect/>
            </a:stretch>
          </xdr:blipFill>
          <xdr:spPr bwMode="auto">
            <a:xfrm>
              <a:off x="152400" y="485775"/>
              <a:ext cx="5438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94</xdr:row>
          <xdr:rowOff>0</xdr:rowOff>
        </xdr:from>
        <xdr:to>
          <xdr:col>22</xdr:col>
          <xdr:colOff>28575</xdr:colOff>
          <xdr:row>98</xdr:row>
          <xdr:rowOff>142875</xdr:rowOff>
        </xdr:to>
        <xdr:pic>
          <xdr:nvPicPr>
            <xdr:cNvPr id="200674" name="Picture 483">
              <a:extLst>
                <a:ext uri="{FF2B5EF4-FFF2-40B4-BE49-F238E27FC236}">
                  <a16:creationId xmlns:a16="http://schemas.microsoft.com/office/drawing/2014/main" id="{00000000-0008-0000-0500-0000E20F0300}"/>
                </a:ext>
              </a:extLst>
            </xdr:cNvPr>
            <xdr:cNvPicPr>
              <a:picLocks noChangeArrowheads="1"/>
              <a:extLst>
                <a:ext uri="{84589F7E-364E-4C9E-8A38-B11213B215E9}">
                  <a14:cameraTool cellRange="DADOS!$A$53:$K$57" spid="_x0000_s215791"/>
                </a:ext>
              </a:extLst>
            </xdr:cNvPicPr>
          </xdr:nvPicPr>
          <xdr:blipFill>
            <a:blip xmlns:r="http://schemas.openxmlformats.org/officeDocument/2006/relationships" r:embed="rId2"/>
            <a:srcRect/>
            <a:stretch>
              <a:fillRect/>
            </a:stretch>
          </xdr:blipFill>
          <xdr:spPr bwMode="auto">
            <a:xfrm>
              <a:off x="6591300" y="4143375"/>
              <a:ext cx="63912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0675" name="SigiloPic">
              <a:extLst>
                <a:ext uri="{FF2B5EF4-FFF2-40B4-BE49-F238E27FC236}">
                  <a16:creationId xmlns:a16="http://schemas.microsoft.com/office/drawing/2014/main" id="{00000000-0008-0000-0500-0000E30F0300}"/>
                </a:ext>
              </a:extLst>
            </xdr:cNvPr>
            <xdr:cNvPicPr>
              <a:picLocks noChangeArrowheads="1"/>
              <a:extLst>
                <a:ext uri="{84589F7E-364E-4C9E-8A38-B11213B215E9}">
                  <a14:cameraTool cellRange="PO!$T$1:$T$2" spid="_x0000_s215792"/>
                </a:ext>
              </a:extLst>
            </xdr:cNvPicPr>
          </xdr:nvPicPr>
          <xdr:blipFill>
            <a:blip xmlns:r="http://schemas.openxmlformats.org/officeDocument/2006/relationships" r:embed="rId3"/>
            <a:srcRect/>
            <a:stretch>
              <a:fillRect/>
            </a:stretch>
          </xdr:blipFill>
          <xdr:spPr bwMode="auto">
            <a:xfrm>
              <a:off x="12820650" y="666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94</xdr:row>
          <xdr:rowOff>0</xdr:rowOff>
        </xdr:from>
        <xdr:to>
          <xdr:col>23</xdr:col>
          <xdr:colOff>0</xdr:colOff>
          <xdr:row>98</xdr:row>
          <xdr:rowOff>142875</xdr:rowOff>
        </xdr:to>
        <xdr:pic>
          <xdr:nvPicPr>
            <xdr:cNvPr id="200676" name="Picture 483">
              <a:extLst>
                <a:ext uri="{FF2B5EF4-FFF2-40B4-BE49-F238E27FC236}">
                  <a16:creationId xmlns:a16="http://schemas.microsoft.com/office/drawing/2014/main" id="{00000000-0008-0000-0500-0000E40F0300}"/>
                </a:ext>
              </a:extLst>
            </xdr:cNvPr>
            <xdr:cNvPicPr>
              <a:picLocks noChangeArrowheads="1"/>
              <a:extLst>
                <a:ext uri="{84589F7E-364E-4C9E-8A38-B11213B215E9}">
                  <a14:cameraTool cellRange="DADOS!$A$53:$K$57" spid="_x0000_s215793"/>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7" name="SigiloPic">
              <a:extLst>
                <a:ext uri="{FF2B5EF4-FFF2-40B4-BE49-F238E27FC236}">
                  <a16:creationId xmlns:a16="http://schemas.microsoft.com/office/drawing/2014/main" id="{00000000-0008-0000-0500-0000E50F0300}"/>
                </a:ext>
              </a:extLst>
            </xdr:cNvPr>
            <xdr:cNvPicPr>
              <a:picLocks noChangeArrowheads="1"/>
              <a:extLst>
                <a:ext uri="{84589F7E-364E-4C9E-8A38-B11213B215E9}">
                  <a14:cameraTool cellRange="PO!$T$1:$T$2" spid="_x0000_s215794"/>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94</xdr:row>
          <xdr:rowOff>0</xdr:rowOff>
        </xdr:from>
        <xdr:to>
          <xdr:col>23</xdr:col>
          <xdr:colOff>0</xdr:colOff>
          <xdr:row>98</xdr:row>
          <xdr:rowOff>142875</xdr:rowOff>
        </xdr:to>
        <xdr:pic>
          <xdr:nvPicPr>
            <xdr:cNvPr id="200678" name="Picture 483">
              <a:extLst>
                <a:ext uri="{FF2B5EF4-FFF2-40B4-BE49-F238E27FC236}">
                  <a16:creationId xmlns:a16="http://schemas.microsoft.com/office/drawing/2014/main" id="{00000000-0008-0000-0500-0000E60F0300}"/>
                </a:ext>
              </a:extLst>
            </xdr:cNvPr>
            <xdr:cNvPicPr>
              <a:picLocks noChangeArrowheads="1"/>
              <a:extLst>
                <a:ext uri="{84589F7E-364E-4C9E-8A38-B11213B215E9}">
                  <a14:cameraTool cellRange="DADOS!$A$53:$K$57" spid="_x0000_s215795"/>
                </a:ext>
              </a:extLst>
            </xdr:cNvPicPr>
          </xdr:nvPicPr>
          <xdr:blipFill>
            <a:blip xmlns:r="http://schemas.openxmlformats.org/officeDocument/2006/relationships" r:embed="rId5"/>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9" name="SigiloPic">
              <a:extLst>
                <a:ext uri="{FF2B5EF4-FFF2-40B4-BE49-F238E27FC236}">
                  <a16:creationId xmlns:a16="http://schemas.microsoft.com/office/drawing/2014/main" id="{00000000-0008-0000-0500-0000E70F0300}"/>
                </a:ext>
              </a:extLst>
            </xdr:cNvPr>
            <xdr:cNvPicPr>
              <a:picLocks noChangeArrowheads="1"/>
              <a:extLst>
                <a:ext uri="{84589F7E-364E-4C9E-8A38-B11213B215E9}">
                  <a14:cameraTool cellRange="PO!$T$1:$T$2" spid="_x0000_s215796"/>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94</xdr:row>
          <xdr:rowOff>0</xdr:rowOff>
        </xdr:from>
        <xdr:to>
          <xdr:col>23</xdr:col>
          <xdr:colOff>0</xdr:colOff>
          <xdr:row>98</xdr:row>
          <xdr:rowOff>142875</xdr:rowOff>
        </xdr:to>
        <xdr:pic>
          <xdr:nvPicPr>
            <xdr:cNvPr id="200680" name="Picture 483">
              <a:extLst>
                <a:ext uri="{FF2B5EF4-FFF2-40B4-BE49-F238E27FC236}">
                  <a16:creationId xmlns:a16="http://schemas.microsoft.com/office/drawing/2014/main" id="{00000000-0008-0000-0500-0000E80F0300}"/>
                </a:ext>
              </a:extLst>
            </xdr:cNvPr>
            <xdr:cNvPicPr>
              <a:picLocks noChangeArrowheads="1"/>
              <a:extLst>
                <a:ext uri="{84589F7E-364E-4C9E-8A38-B11213B215E9}">
                  <a14:cameraTool cellRange="DADOS!$A$53:$K$57" spid="_x0000_s215797"/>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1" name="SigiloPic">
              <a:extLst>
                <a:ext uri="{FF2B5EF4-FFF2-40B4-BE49-F238E27FC236}">
                  <a16:creationId xmlns:a16="http://schemas.microsoft.com/office/drawing/2014/main" id="{00000000-0008-0000-0500-0000E90F0300}"/>
                </a:ext>
              </a:extLst>
            </xdr:cNvPr>
            <xdr:cNvPicPr>
              <a:picLocks noChangeArrowheads="1"/>
              <a:extLst>
                <a:ext uri="{84589F7E-364E-4C9E-8A38-B11213B215E9}">
                  <a14:cameraTool cellRange="PO!$T$1:$T$2" spid="_x0000_s215798"/>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94</xdr:row>
          <xdr:rowOff>0</xdr:rowOff>
        </xdr:from>
        <xdr:to>
          <xdr:col>23</xdr:col>
          <xdr:colOff>0</xdr:colOff>
          <xdr:row>98</xdr:row>
          <xdr:rowOff>142875</xdr:rowOff>
        </xdr:to>
        <xdr:pic>
          <xdr:nvPicPr>
            <xdr:cNvPr id="200682" name="Picture 483">
              <a:extLst>
                <a:ext uri="{FF2B5EF4-FFF2-40B4-BE49-F238E27FC236}">
                  <a16:creationId xmlns:a16="http://schemas.microsoft.com/office/drawing/2014/main" id="{00000000-0008-0000-0500-0000EA0F0300}"/>
                </a:ext>
              </a:extLst>
            </xdr:cNvPr>
            <xdr:cNvPicPr>
              <a:picLocks noChangeArrowheads="1"/>
              <a:extLst>
                <a:ext uri="{84589F7E-364E-4C9E-8A38-B11213B215E9}">
                  <a14:cameraTool cellRange="DADOS!$A$53:$K$57" spid="_x0000_s215799"/>
                </a:ext>
              </a:extLst>
            </xdr:cNvPicPr>
          </xdr:nvPicPr>
          <xdr:blipFill>
            <a:blip xmlns:r="http://schemas.openxmlformats.org/officeDocument/2006/relationships" r:embed="rId6"/>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3" name="SigiloPic">
              <a:extLst>
                <a:ext uri="{FF2B5EF4-FFF2-40B4-BE49-F238E27FC236}">
                  <a16:creationId xmlns:a16="http://schemas.microsoft.com/office/drawing/2014/main" id="{00000000-0008-0000-0500-0000EB0F0300}"/>
                </a:ext>
              </a:extLst>
            </xdr:cNvPr>
            <xdr:cNvPicPr>
              <a:picLocks noChangeArrowheads="1"/>
              <a:extLst>
                <a:ext uri="{84589F7E-364E-4C9E-8A38-B11213B215E9}">
                  <a14:cameraTool cellRange="PO!$T$1:$T$2" spid="_x0000_s215800"/>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94</xdr:row>
          <xdr:rowOff>0</xdr:rowOff>
        </xdr:from>
        <xdr:to>
          <xdr:col>23</xdr:col>
          <xdr:colOff>0</xdr:colOff>
          <xdr:row>98</xdr:row>
          <xdr:rowOff>142875</xdr:rowOff>
        </xdr:to>
        <xdr:pic>
          <xdr:nvPicPr>
            <xdr:cNvPr id="200684" name="Picture 483">
              <a:extLst>
                <a:ext uri="{FF2B5EF4-FFF2-40B4-BE49-F238E27FC236}">
                  <a16:creationId xmlns:a16="http://schemas.microsoft.com/office/drawing/2014/main" id="{00000000-0008-0000-0500-0000EC0F0300}"/>
                </a:ext>
              </a:extLst>
            </xdr:cNvPr>
            <xdr:cNvPicPr>
              <a:picLocks noChangeArrowheads="1"/>
              <a:extLst>
                <a:ext uri="{84589F7E-364E-4C9E-8A38-B11213B215E9}">
                  <a14:cameraTool cellRange="DADOS!$A$53:$K$57" spid="_x0000_s215801"/>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5" name="SigiloPic">
              <a:extLst>
                <a:ext uri="{FF2B5EF4-FFF2-40B4-BE49-F238E27FC236}">
                  <a16:creationId xmlns:a16="http://schemas.microsoft.com/office/drawing/2014/main" id="{00000000-0008-0000-0500-0000ED0F0300}"/>
                </a:ext>
              </a:extLst>
            </xdr:cNvPr>
            <xdr:cNvPicPr>
              <a:picLocks noChangeArrowheads="1"/>
              <a:extLst>
                <a:ext uri="{84589F7E-364E-4C9E-8A38-B11213B215E9}">
                  <a14:cameraTool cellRange="PO!$T$1:$T$2" spid="_x0000_s215802"/>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4.vml"/><Relationship Id="rId7" Type="http://schemas.openxmlformats.org/officeDocument/2006/relationships/ctrlProp" Target="../ctrlProps/ctrlProp6.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tabColor rgb="FFFFC000"/>
    <pageSetUpPr fitToPage="1"/>
  </sheetPr>
  <dimension ref="A1:Y257"/>
  <sheetViews>
    <sheetView showGridLines="0" topLeftCell="A27" zoomScale="70" zoomScaleNormal="70" zoomScaleSheetLayoutView="100" workbookViewId="0">
      <selection activeCell="H47" sqref="H47"/>
    </sheetView>
  </sheetViews>
  <sheetFormatPr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7">
        <v>27476</v>
      </c>
      <c r="B1" s="224" t="s">
        <v>2</v>
      </c>
      <c r="C1" s="224"/>
      <c r="D1" s="224"/>
      <c r="E1" s="224"/>
      <c r="F1" s="224"/>
      <c r="G1" s="224"/>
      <c r="H1" s="224"/>
      <c r="I1" s="224"/>
      <c r="J1" s="224"/>
      <c r="K1" s="224"/>
      <c r="L1" s="224"/>
      <c r="M1" s="224"/>
      <c r="N1" s="224"/>
      <c r="O1" s="224"/>
      <c r="P1" s="224"/>
      <c r="Q1" s="224"/>
      <c r="R1" s="224"/>
      <c r="S1" s="224"/>
      <c r="T1" s="224"/>
      <c r="U1" s="224"/>
      <c r="V1" s="224"/>
      <c r="W1" s="224"/>
      <c r="X1" s="225"/>
    </row>
    <row r="2" spans="1:25" ht="13.5" customHeight="1" x14ac:dyDescent="0.2">
      <c r="A2" s="89" t="s">
        <v>228</v>
      </c>
      <c r="B2" s="226"/>
      <c r="C2" s="226"/>
      <c r="D2" s="226"/>
      <c r="E2" s="226"/>
      <c r="F2" s="226"/>
      <c r="G2" s="226"/>
      <c r="H2" s="226"/>
      <c r="I2" s="226"/>
      <c r="J2" s="226"/>
      <c r="K2" s="226"/>
      <c r="L2" s="226"/>
      <c r="M2" s="226"/>
      <c r="N2" s="226"/>
      <c r="O2" s="226"/>
      <c r="P2" s="226"/>
      <c r="Q2" s="226"/>
      <c r="R2" s="226"/>
      <c r="S2" s="226"/>
      <c r="T2" s="226"/>
      <c r="U2" s="226"/>
      <c r="V2" s="226"/>
      <c r="W2" s="226"/>
      <c r="X2" s="227"/>
    </row>
    <row r="3" spans="1:25" ht="13.5" customHeight="1" x14ac:dyDescent="0.2">
      <c r="A3"/>
      <c r="B3"/>
      <c r="F3"/>
      <c r="G3"/>
      <c r="H3"/>
    </row>
    <row r="4" spans="1:25" ht="12.75" customHeight="1" x14ac:dyDescent="0.2">
      <c r="A4" s="236" t="s">
        <v>168</v>
      </c>
      <c r="B4" s="236"/>
      <c r="C4" s="236"/>
      <c r="D4" s="236"/>
      <c r="E4" s="236"/>
      <c r="F4" s="236"/>
      <c r="G4" s="236"/>
      <c r="H4" s="236"/>
      <c r="I4" s="236"/>
      <c r="J4" s="236"/>
      <c r="K4" s="236"/>
      <c r="L4" s="236"/>
      <c r="M4" s="236"/>
      <c r="N4" s="236"/>
      <c r="O4" s="236"/>
      <c r="P4" s="236"/>
      <c r="Q4" s="236"/>
      <c r="R4" s="236"/>
      <c r="S4" s="236"/>
      <c r="T4" s="236"/>
      <c r="U4" s="236"/>
      <c r="V4" s="236"/>
      <c r="W4" s="236"/>
      <c r="X4" s="236"/>
    </row>
    <row r="6" spans="1:25" s="5" customFormat="1" ht="24.95" customHeight="1" x14ac:dyDescent="0.2">
      <c r="A6" s="237" t="s">
        <v>179</v>
      </c>
      <c r="B6" s="238"/>
      <c r="C6" s="238"/>
      <c r="D6" s="238"/>
      <c r="E6" s="238"/>
      <c r="F6" s="238"/>
      <c r="G6" s="238"/>
      <c r="H6" s="238"/>
      <c r="I6" s="238"/>
      <c r="J6" s="238"/>
      <c r="K6" s="238"/>
      <c r="L6" s="238"/>
      <c r="M6" s="238"/>
      <c r="N6" s="238"/>
      <c r="O6" s="238"/>
      <c r="P6" s="238"/>
      <c r="Q6" s="238"/>
      <c r="R6" s="238"/>
      <c r="S6" s="238"/>
      <c r="T6" s="238"/>
      <c r="U6" s="238"/>
      <c r="V6" s="238"/>
      <c r="W6" s="238"/>
      <c r="X6" s="238"/>
    </row>
    <row r="7" spans="1:25" ht="12.75" customHeight="1" x14ac:dyDescent="0.2"/>
    <row r="8" spans="1:25" ht="12.75" customHeight="1" x14ac:dyDescent="0.2">
      <c r="A8" s="239" t="s">
        <v>23</v>
      </c>
      <c r="B8" s="239"/>
      <c r="C8" s="239"/>
      <c r="D8" s="239"/>
      <c r="E8" s="239"/>
      <c r="F8" s="239"/>
      <c r="G8" s="239"/>
      <c r="H8" s="239"/>
      <c r="I8" s="239"/>
      <c r="J8" s="239"/>
      <c r="K8" s="239"/>
      <c r="L8" s="239"/>
      <c r="M8" s="239"/>
      <c r="N8" s="239"/>
      <c r="O8" s="239"/>
      <c r="P8" s="239"/>
      <c r="Q8" s="239"/>
      <c r="R8" s="239"/>
      <c r="S8" s="239"/>
      <c r="T8" s="239"/>
      <c r="U8" s="239"/>
      <c r="V8" s="239"/>
      <c r="W8" s="239"/>
      <c r="X8" s="239"/>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41" t="s">
        <v>169</v>
      </c>
      <c r="B10" s="241"/>
      <c r="C10" s="241"/>
      <c r="D10" s="241"/>
      <c r="E10" s="241"/>
      <c r="F10" s="241"/>
      <c r="G10" s="241"/>
      <c r="H10" s="241"/>
      <c r="I10" s="241"/>
      <c r="J10" s="241"/>
      <c r="K10" s="241"/>
      <c r="L10" s="241"/>
      <c r="M10" s="241"/>
      <c r="N10" s="241"/>
      <c r="O10" s="241"/>
      <c r="P10" s="241"/>
      <c r="Q10" s="241"/>
      <c r="R10" s="241"/>
      <c r="S10" s="241"/>
      <c r="T10" s="241"/>
      <c r="U10" s="241"/>
      <c r="V10" s="241"/>
      <c r="W10" s="241"/>
      <c r="X10" s="241"/>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41" t="s">
        <v>1</v>
      </c>
      <c r="B12" s="241"/>
      <c r="C12" s="241"/>
      <c r="D12" s="241"/>
      <c r="E12" s="241"/>
      <c r="F12" s="241"/>
      <c r="G12" s="241"/>
      <c r="H12" s="241"/>
      <c r="I12" s="241"/>
      <c r="J12" s="241"/>
      <c r="K12" s="241"/>
      <c r="L12" s="241"/>
      <c r="M12" s="241"/>
      <c r="N12" s="241"/>
      <c r="O12" s="241"/>
      <c r="P12" s="241"/>
      <c r="Q12" s="241"/>
      <c r="R12" s="241"/>
      <c r="S12" s="241"/>
      <c r="T12" s="241"/>
      <c r="U12" s="241"/>
      <c r="V12" s="241"/>
      <c r="W12" s="241"/>
      <c r="X12" s="241"/>
    </row>
    <row r="14" spans="1:25" x14ac:dyDescent="0.2">
      <c r="A14" s="240" t="s">
        <v>24</v>
      </c>
      <c r="B14" s="239"/>
      <c r="C14" s="239"/>
      <c r="D14" s="239"/>
      <c r="E14" s="239"/>
      <c r="F14" s="239"/>
      <c r="G14" s="239"/>
      <c r="H14" s="239"/>
      <c r="I14" s="239"/>
      <c r="J14" s="239"/>
      <c r="K14" s="239"/>
      <c r="L14" s="239"/>
      <c r="M14" s="239"/>
      <c r="N14" s="239"/>
      <c r="O14" s="239"/>
      <c r="P14" s="239"/>
      <c r="Q14" s="239"/>
      <c r="R14" s="239"/>
      <c r="S14" s="239"/>
      <c r="T14" s="239"/>
      <c r="U14" s="239"/>
      <c r="V14" s="239"/>
      <c r="W14" s="239"/>
      <c r="X14" s="239"/>
    </row>
    <row r="16" spans="1:25" x14ac:dyDescent="0.2">
      <c r="A16" s="210" t="s">
        <v>186</v>
      </c>
      <c r="B16" s="211"/>
      <c r="C16" s="211"/>
      <c r="D16" s="211"/>
      <c r="E16" s="211"/>
      <c r="F16" s="211"/>
      <c r="G16" s="211"/>
      <c r="H16" s="211"/>
      <c r="I16" s="211"/>
      <c r="J16" s="211"/>
      <c r="K16" s="211"/>
      <c r="L16" s="211"/>
      <c r="M16" s="211"/>
      <c r="N16" s="211"/>
      <c r="O16" s="211"/>
      <c r="P16" s="211"/>
      <c r="Q16" s="211"/>
      <c r="R16" s="211"/>
      <c r="S16" s="211"/>
      <c r="T16" s="211"/>
      <c r="U16" s="211"/>
      <c r="V16" s="211"/>
      <c r="W16" s="211"/>
      <c r="X16" s="211"/>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12" t="s">
        <v>187</v>
      </c>
      <c r="B18" s="212"/>
      <c r="C18" s="213"/>
      <c r="D18" s="213"/>
      <c r="E18" s="213"/>
      <c r="F18" s="213"/>
      <c r="G18" s="213"/>
      <c r="H18" s="213"/>
      <c r="I18" s="213"/>
      <c r="J18" s="213"/>
      <c r="K18" s="213"/>
      <c r="L18" s="213"/>
      <c r="M18" s="213"/>
      <c r="N18" s="213"/>
      <c r="O18" s="213"/>
      <c r="P18" s="213"/>
      <c r="Q18" s="213"/>
      <c r="R18" s="213"/>
      <c r="S18" s="213"/>
      <c r="T18" s="213"/>
      <c r="U18" s="213"/>
      <c r="V18" s="213"/>
      <c r="W18" s="213"/>
      <c r="X18" s="213"/>
    </row>
    <row r="21" spans="1:25" x14ac:dyDescent="0.2">
      <c r="A21"/>
    </row>
    <row r="22" spans="1:25" ht="12.75" customHeight="1" x14ac:dyDescent="0.2">
      <c r="A22" s="210" t="s">
        <v>189</v>
      </c>
      <c r="B22" s="211"/>
      <c r="C22" s="211"/>
      <c r="D22" s="211"/>
      <c r="E22" s="211"/>
      <c r="F22" s="211"/>
      <c r="G22" s="211"/>
      <c r="H22" s="211"/>
      <c r="I22" s="211"/>
      <c r="J22" s="190"/>
      <c r="K22" s="190"/>
      <c r="L22" s="190"/>
      <c r="M22" s="190"/>
      <c r="N22" s="190"/>
      <c r="O22" s="190"/>
      <c r="P22" s="190"/>
      <c r="Q22" s="190"/>
      <c r="R22" s="190"/>
      <c r="S22" s="190"/>
      <c r="T22" s="190"/>
      <c r="U22" s="190"/>
      <c r="V22" s="190"/>
      <c r="W22" s="190"/>
      <c r="X22" s="190"/>
      <c r="Y22" s="190"/>
    </row>
    <row r="23" spans="1:25" ht="6" customHeight="1" x14ac:dyDescent="0.2">
      <c r="A23" s="38"/>
      <c r="B23"/>
      <c r="F23"/>
      <c r="G23"/>
      <c r="H23"/>
    </row>
    <row r="24" spans="1:25" ht="12.75" customHeight="1" x14ac:dyDescent="0.2">
      <c r="A24" s="212" t="s">
        <v>190</v>
      </c>
      <c r="B24" s="212"/>
      <c r="C24" s="213"/>
      <c r="D24" s="213"/>
      <c r="E24" s="213"/>
      <c r="F24" s="213"/>
      <c r="G24" s="213"/>
      <c r="H24" s="213"/>
      <c r="I24" s="213"/>
      <c r="J24" s="213"/>
      <c r="K24" s="213"/>
      <c r="L24" s="213"/>
      <c r="M24" s="213"/>
      <c r="N24" s="213"/>
      <c r="O24" s="213"/>
      <c r="P24" s="213"/>
      <c r="Q24" s="213"/>
      <c r="R24" s="213"/>
      <c r="S24" s="213"/>
      <c r="T24" s="213"/>
      <c r="U24" s="213"/>
      <c r="V24" s="213"/>
      <c r="W24" s="213"/>
      <c r="X24" s="213"/>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08" t="s">
        <v>191</v>
      </c>
      <c r="B26" s="208"/>
      <c r="C26" s="209"/>
      <c r="D26" s="209"/>
      <c r="E26" s="209"/>
      <c r="F26" s="209"/>
      <c r="G26" s="209"/>
      <c r="H26" s="209"/>
      <c r="I26" s="209"/>
      <c r="J26" s="209"/>
      <c r="K26" s="209"/>
      <c r="L26" s="209"/>
      <c r="M26" s="209"/>
      <c r="N26" s="209"/>
      <c r="O26" s="209"/>
      <c r="P26" s="209"/>
      <c r="Q26" s="209"/>
      <c r="R26" s="209"/>
      <c r="S26" s="209"/>
      <c r="T26" s="209"/>
      <c r="U26" s="209"/>
      <c r="V26" s="209"/>
      <c r="W26" s="209"/>
      <c r="X26" s="209"/>
    </row>
    <row r="27" spans="1:25" ht="6" customHeight="1" x14ac:dyDescent="0.2">
      <c r="A27" s="17"/>
      <c r="B27" s="17"/>
    </row>
    <row r="28" spans="1:25" ht="12.75" customHeight="1" x14ac:dyDescent="0.2">
      <c r="A28" s="206" t="s">
        <v>177</v>
      </c>
      <c r="B28" s="214"/>
      <c r="C28" s="206" t="s">
        <v>170</v>
      </c>
      <c r="D28" s="207"/>
      <c r="E28" s="214"/>
      <c r="F28" s="206" t="s">
        <v>171</v>
      </c>
      <c r="G28" s="207"/>
      <c r="H28" s="207"/>
      <c r="I28" s="214"/>
      <c r="J28" s="206" t="s">
        <v>172</v>
      </c>
      <c r="K28" s="207"/>
      <c r="L28" s="207"/>
      <c r="M28" s="207"/>
      <c r="N28" s="207"/>
      <c r="O28" s="214"/>
      <c r="P28" s="206" t="s">
        <v>0</v>
      </c>
      <c r="Q28" s="207"/>
      <c r="R28" s="207"/>
      <c r="S28" s="207"/>
      <c r="T28" s="207"/>
      <c r="U28" s="207"/>
      <c r="V28" s="207"/>
      <c r="W28" s="207"/>
      <c r="X28" s="214"/>
    </row>
    <row r="29" spans="1:25" ht="12.75" customHeight="1" x14ac:dyDescent="0.2">
      <c r="A29" s="215"/>
      <c r="B29" s="216"/>
      <c r="C29" s="201"/>
      <c r="D29" s="202"/>
      <c r="E29" s="203"/>
      <c r="F29" s="215"/>
      <c r="G29" s="270"/>
      <c r="H29" s="270"/>
      <c r="I29" s="216"/>
      <c r="J29" s="201" t="s">
        <v>281</v>
      </c>
      <c r="K29" s="270"/>
      <c r="L29" s="270"/>
      <c r="M29" s="270"/>
      <c r="N29" s="270"/>
      <c r="O29" s="216"/>
      <c r="P29" s="201" t="s">
        <v>279</v>
      </c>
      <c r="Q29" s="270"/>
      <c r="R29" s="270"/>
      <c r="S29" s="270"/>
      <c r="T29" s="270"/>
      <c r="U29" s="270"/>
      <c r="V29" s="270"/>
      <c r="W29" s="270"/>
      <c r="X29" s="216"/>
    </row>
    <row r="30" spans="1:25" ht="6" customHeight="1" x14ac:dyDescent="0.2">
      <c r="A30"/>
      <c r="B30"/>
      <c r="F30"/>
      <c r="G30"/>
      <c r="H30"/>
    </row>
    <row r="31" spans="1:25" x14ac:dyDescent="0.2">
      <c r="A31" s="206" t="s">
        <v>173</v>
      </c>
      <c r="B31" s="207"/>
      <c r="C31" s="207"/>
      <c r="D31" s="207"/>
      <c r="E31" s="207"/>
      <c r="F31" s="214"/>
      <c r="G31" s="206" t="s">
        <v>174</v>
      </c>
      <c r="H31" s="207"/>
      <c r="I31" s="207"/>
      <c r="J31" s="214"/>
      <c r="K31" s="206" t="s">
        <v>175</v>
      </c>
      <c r="L31" s="207"/>
      <c r="M31" s="207"/>
      <c r="N31" s="207"/>
      <c r="O31" s="207"/>
      <c r="P31" s="214"/>
      <c r="Q31" s="206" t="s">
        <v>180</v>
      </c>
      <c r="R31" s="207"/>
      <c r="S31" s="207"/>
      <c r="T31" s="207"/>
      <c r="U31" s="207"/>
      <c r="V31" s="207"/>
      <c r="W31" s="207"/>
      <c r="X31" s="214"/>
    </row>
    <row r="32" spans="1:25" x14ac:dyDescent="0.2">
      <c r="A32" s="271" t="s">
        <v>230</v>
      </c>
      <c r="B32" s="272"/>
      <c r="C32" s="272"/>
      <c r="D32" s="272"/>
      <c r="E32" s="272"/>
      <c r="F32" s="273"/>
      <c r="G32" s="201" t="s">
        <v>231</v>
      </c>
      <c r="H32" s="202"/>
      <c r="I32" s="202"/>
      <c r="J32" s="203"/>
      <c r="K32" s="201" t="s">
        <v>280</v>
      </c>
      <c r="L32" s="270"/>
      <c r="M32" s="270"/>
      <c r="N32" s="270"/>
      <c r="O32" s="270"/>
      <c r="P32" s="216"/>
      <c r="Q32" s="201" t="s">
        <v>264</v>
      </c>
      <c r="R32" s="270"/>
      <c r="S32" s="270"/>
      <c r="T32" s="270"/>
      <c r="U32" s="270"/>
      <c r="V32" s="270"/>
      <c r="W32" s="270"/>
      <c r="X32" s="216"/>
    </row>
    <row r="33" spans="1:24" ht="9" customHeight="1" x14ac:dyDescent="0.2"/>
    <row r="34" spans="1:24" s="19" customFormat="1" x14ac:dyDescent="0.2"/>
    <row r="35" spans="1:24" ht="12.75" customHeight="1" x14ac:dyDescent="0.2">
      <c r="A35" s="208" t="s">
        <v>192</v>
      </c>
      <c r="B35" s="208"/>
      <c r="C35" s="209"/>
      <c r="D35" s="209"/>
      <c r="E35" s="209"/>
      <c r="F35" s="209"/>
      <c r="G35" s="209"/>
      <c r="H35" s="209"/>
      <c r="I35" s="209"/>
      <c r="J35" s="209"/>
      <c r="K35" s="209"/>
      <c r="L35" s="209"/>
      <c r="M35" s="209"/>
      <c r="N35" s="209"/>
      <c r="O35" s="209"/>
      <c r="P35" s="209"/>
      <c r="Q35" s="209"/>
      <c r="R35" s="209"/>
      <c r="S35" s="209"/>
      <c r="T35" s="209"/>
      <c r="U35" s="209"/>
      <c r="V35" s="209"/>
      <c r="W35" s="209"/>
      <c r="X35" s="209"/>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06" t="s">
        <v>16</v>
      </c>
      <c r="B37" s="214"/>
      <c r="C37" s="77" t="s">
        <v>91</v>
      </c>
      <c r="D37" s="206" t="s">
        <v>14</v>
      </c>
      <c r="E37" s="207"/>
      <c r="F37" s="214"/>
      <c r="G37" s="206" t="s">
        <v>12</v>
      </c>
      <c r="H37" s="207"/>
      <c r="I37" s="207"/>
      <c r="J37" s="207"/>
      <c r="K37" s="207"/>
      <c r="L37" s="207"/>
      <c r="M37" s="207"/>
      <c r="N37" s="207"/>
      <c r="O37" s="207"/>
      <c r="P37" s="207"/>
      <c r="Q37" s="207"/>
      <c r="R37" s="207"/>
      <c r="S37" s="214"/>
      <c r="T37" s="78" t="s">
        <v>7</v>
      </c>
      <c r="U37" s="78" t="s">
        <v>8</v>
      </c>
      <c r="V37" s="78" t="s">
        <v>9</v>
      </c>
      <c r="W37" s="78" t="s">
        <v>10</v>
      </c>
      <c r="X37" s="78" t="s">
        <v>11</v>
      </c>
    </row>
    <row r="38" spans="1:24" ht="12.75" customHeight="1" x14ac:dyDescent="0.2">
      <c r="A38" s="220">
        <v>45536</v>
      </c>
      <c r="B38" s="221"/>
      <c r="C38" s="76" t="s">
        <v>232</v>
      </c>
      <c r="D38" s="201" t="s">
        <v>78</v>
      </c>
      <c r="E38" s="202"/>
      <c r="F38" s="203"/>
      <c r="G38" s="201" t="s">
        <v>279</v>
      </c>
      <c r="H38" s="202"/>
      <c r="I38" s="202"/>
      <c r="J38" s="202"/>
      <c r="K38" s="202"/>
      <c r="L38" s="202"/>
      <c r="M38" s="202"/>
      <c r="N38" s="202"/>
      <c r="O38" s="202"/>
      <c r="P38" s="202"/>
      <c r="Q38" s="202"/>
      <c r="R38" s="202"/>
      <c r="S38" s="203"/>
      <c r="T38" s="79">
        <f ca="1">IF(ISERROR(INDIRECT("'BDI ("&amp;RIGHT(T37,1)&amp;")'!N27")),"",INDIRECT("'BDI ("&amp;RIGHT(T37,1)&amp;")'!N27"))</f>
        <v>0.26379999999999998</v>
      </c>
      <c r="U38" s="80">
        <f ca="1">IF(ISERROR(INDIRECT("'BDI ("&amp;RIGHT(U37,1)&amp;")'!N27")),"",INDIRECT("'BDI ("&amp;RIGHT(U37,1)&amp;")'!N27"))</f>
        <v>0.1525</v>
      </c>
      <c r="V38" s="80" t="str">
        <f ca="1">IF(ISERROR(INDIRECT("'BDI ("&amp;RIGHT(V37,1)&amp;")'!N27")),"",INDIRECT("'BDI ("&amp;RIGHT(V37,1)&amp;")'!N27"))</f>
        <v/>
      </c>
      <c r="W38" s="80" t="str">
        <f ca="1">IF(ISERROR(INDIRECT("'BDI ("&amp;RIGHT(W37,1)&amp;")'!N27")),"",INDIRECT("'BDI ("&amp;RIGHT(W37,1)&amp;")'!N27"))</f>
        <v/>
      </c>
      <c r="X38" s="80"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08" t="s">
        <v>162</v>
      </c>
      <c r="B40" s="208"/>
      <c r="C40" s="209"/>
      <c r="D40" s="209"/>
      <c r="E40" s="209"/>
      <c r="F40" s="209"/>
      <c r="G40" s="209"/>
      <c r="H40" s="209"/>
      <c r="I40" s="209"/>
      <c r="J40" s="209"/>
      <c r="K40" s="209"/>
      <c r="L40" s="209"/>
      <c r="M40" s="209"/>
      <c r="N40" s="209"/>
      <c r="O40" s="209"/>
      <c r="P40" s="209"/>
      <c r="Q40" s="209"/>
      <c r="R40" s="209"/>
      <c r="S40" s="209"/>
      <c r="T40" s="209"/>
      <c r="U40" s="209"/>
      <c r="V40" s="209"/>
      <c r="W40" s="209"/>
      <c r="X40" s="209"/>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06" t="s">
        <v>87</v>
      </c>
      <c r="B42" s="214"/>
      <c r="C42" s="206" t="s">
        <v>111</v>
      </c>
      <c r="D42" s="207"/>
      <c r="E42" s="207"/>
      <c r="F42" s="207"/>
      <c r="G42" s="207"/>
      <c r="H42" s="206" t="s">
        <v>16</v>
      </c>
      <c r="I42" s="207"/>
      <c r="J42" s="20" t="s">
        <v>91</v>
      </c>
      <c r="K42" s="206" t="s">
        <v>88</v>
      </c>
      <c r="L42" s="207"/>
      <c r="M42" s="214"/>
      <c r="N42" s="20" t="s">
        <v>92</v>
      </c>
      <c r="O42" s="206" t="s">
        <v>93</v>
      </c>
      <c r="P42" s="207"/>
      <c r="Q42" s="207"/>
      <c r="R42" s="207"/>
      <c r="S42" s="207"/>
      <c r="T42" s="214"/>
      <c r="U42" s="222" t="s">
        <v>89</v>
      </c>
      <c r="V42" s="223"/>
      <c r="W42" s="222" t="s">
        <v>90</v>
      </c>
      <c r="X42" s="223"/>
    </row>
    <row r="43" spans="1:24" ht="12.75" customHeight="1" x14ac:dyDescent="0.2">
      <c r="A43" s="243"/>
      <c r="B43" s="244"/>
      <c r="C43" s="201"/>
      <c r="D43" s="202"/>
      <c r="E43" s="202"/>
      <c r="F43" s="202"/>
      <c r="G43" s="202"/>
      <c r="H43" s="220"/>
      <c r="I43" s="221"/>
      <c r="J43" s="73"/>
      <c r="K43" s="274"/>
      <c r="L43" s="275"/>
      <c r="M43" s="276"/>
      <c r="N43" s="88"/>
      <c r="O43" s="231"/>
      <c r="P43" s="232"/>
      <c r="Q43" s="232"/>
      <c r="R43" s="233"/>
      <c r="S43" s="233"/>
      <c r="T43" s="234"/>
      <c r="U43" s="229"/>
      <c r="V43" s="235"/>
      <c r="W43" s="229"/>
      <c r="X43" s="230"/>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08" t="s">
        <v>193</v>
      </c>
      <c r="B45" s="208"/>
      <c r="C45" s="209"/>
      <c r="D45" s="209"/>
      <c r="E45" s="209"/>
      <c r="F45" s="209"/>
      <c r="G45" s="209"/>
      <c r="H45" s="209"/>
      <c r="I45" s="209"/>
      <c r="J45" s="209"/>
      <c r="K45" s="209"/>
      <c r="L45" s="209"/>
      <c r="M45" s="209"/>
      <c r="N45" s="209"/>
      <c r="O45" s="209"/>
      <c r="P45" s="209"/>
      <c r="Q45" s="209"/>
      <c r="R45" s="209"/>
      <c r="S45" s="209"/>
      <c r="T45" s="209"/>
      <c r="U45" s="209"/>
      <c r="V45" s="209"/>
      <c r="W45" s="209"/>
      <c r="X45" s="209"/>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55">
        <v>45641</v>
      </c>
      <c r="B48" s="256"/>
      <c r="C48" s="257"/>
      <c r="E48" s="29"/>
      <c r="F48"/>
      <c r="G48"/>
      <c r="H48"/>
    </row>
    <row r="49" spans="1:24" x14ac:dyDescent="0.2">
      <c r="F49" s="25"/>
      <c r="G49" s="26"/>
      <c r="H49" s="27"/>
    </row>
    <row r="50" spans="1:24" x14ac:dyDescent="0.2">
      <c r="A50" s="208" t="s">
        <v>194</v>
      </c>
      <c r="B50" s="208"/>
      <c r="C50" s="209"/>
      <c r="D50" s="209"/>
      <c r="E50" s="209"/>
      <c r="F50" s="209"/>
      <c r="G50" s="209"/>
      <c r="H50" s="209"/>
      <c r="I50" s="209"/>
      <c r="J50" s="209"/>
      <c r="K50" s="209"/>
      <c r="L50" s="209"/>
      <c r="M50" s="209"/>
      <c r="N50" s="209"/>
      <c r="O50" s="209"/>
      <c r="P50" s="209"/>
      <c r="Q50" s="209"/>
      <c r="R50" s="209"/>
      <c r="S50" s="209"/>
      <c r="T50" s="209"/>
      <c r="U50" s="209"/>
      <c r="V50" s="209"/>
      <c r="W50" s="209"/>
      <c r="X50" s="209"/>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1" t="s">
        <v>233</v>
      </c>
      <c r="L52" s="24"/>
    </row>
    <row r="53" spans="1:24" x14ac:dyDescent="0.2">
      <c r="A53" s="30"/>
      <c r="B53" s="30"/>
      <c r="C53" s="31"/>
      <c r="D53" s="31"/>
      <c r="E53" s="31"/>
      <c r="F53" s="25"/>
      <c r="G53" s="30"/>
      <c r="H53" s="30"/>
      <c r="I53" s="31"/>
      <c r="J53" s="31"/>
      <c r="K53" s="31"/>
    </row>
    <row r="54" spans="1:24" x14ac:dyDescent="0.2">
      <c r="A54" s="85" t="s">
        <v>140</v>
      </c>
      <c r="B54" s="258" t="s">
        <v>234</v>
      </c>
      <c r="C54" s="258"/>
      <c r="D54" s="258"/>
      <c r="E54" s="258"/>
      <c r="F54" s="25"/>
      <c r="G54" s="85" t="s">
        <v>140</v>
      </c>
      <c r="H54" s="258"/>
      <c r="I54" s="258"/>
      <c r="J54" s="258"/>
      <c r="K54" s="258"/>
    </row>
    <row r="55" spans="1:24" x14ac:dyDescent="0.2">
      <c r="A55" s="85" t="str">
        <f>IF(OR(TipoOrçamento="BASE",TipoOrçamento="REPROGRAMADONPL"),"Título:","Cargo:")</f>
        <v>Título:</v>
      </c>
      <c r="B55" s="258" t="s">
        <v>235</v>
      </c>
      <c r="C55" s="258"/>
      <c r="D55" s="258"/>
      <c r="E55" s="258"/>
      <c r="F55" s="25"/>
      <c r="G55" s="85" t="str">
        <f>A55</f>
        <v>Título:</v>
      </c>
      <c r="H55" s="258"/>
      <c r="I55" s="258"/>
      <c r="J55" s="258"/>
      <c r="K55" s="258"/>
    </row>
    <row r="56" spans="1:24" x14ac:dyDescent="0.2">
      <c r="A56" s="85" t="str">
        <f>IF(OR(TipoOrçamento="BASE",TipoOrçamento="REPROGRAMADONPL"),"CREA/CAU:","Empresa:")</f>
        <v>CREA/CAU:</v>
      </c>
      <c r="B56" s="242" t="s">
        <v>236</v>
      </c>
      <c r="C56" s="228"/>
      <c r="D56" s="228"/>
      <c r="E56" s="228"/>
      <c r="F56" s="25"/>
      <c r="G56" s="85" t="str">
        <f>A56</f>
        <v>CREA/CAU:</v>
      </c>
      <c r="H56" s="228"/>
      <c r="I56" s="228"/>
      <c r="J56" s="228"/>
      <c r="K56" s="228"/>
    </row>
    <row r="57" spans="1:24" x14ac:dyDescent="0.2">
      <c r="A57" s="85" t="str">
        <f>IF(OR(TipoOrçamento="BASE",TipoOrçamento="REPROGRAMADONPL"),"ART/RRT:","CNPJ:")</f>
        <v>ART/RRT:</v>
      </c>
      <c r="B57" s="242" t="s">
        <v>444</v>
      </c>
      <c r="C57" s="228"/>
      <c r="D57" s="228"/>
      <c r="E57" s="228"/>
      <c r="F57" s="25"/>
      <c r="G57" s="85" t="str">
        <f>A57</f>
        <v>ART/RRT:</v>
      </c>
      <c r="H57" s="228"/>
      <c r="I57" s="228"/>
      <c r="J57" s="228"/>
      <c r="K57" s="228"/>
    </row>
    <row r="58" spans="1:24" x14ac:dyDescent="0.2">
      <c r="F58" s="25"/>
      <c r="G58" s="26"/>
      <c r="H58" s="27"/>
    </row>
    <row r="59" spans="1:24" x14ac:dyDescent="0.2">
      <c r="F59" s="25"/>
      <c r="G59" s="26"/>
      <c r="H59" s="27"/>
    </row>
    <row r="60" spans="1:24" ht="12.75" customHeight="1" x14ac:dyDescent="0.2">
      <c r="A60" s="212" t="s">
        <v>195</v>
      </c>
      <c r="B60" s="212"/>
      <c r="C60" s="213"/>
      <c r="D60" s="213"/>
      <c r="E60" s="213"/>
      <c r="F60" s="213"/>
      <c r="G60" s="213"/>
      <c r="H60" s="213"/>
      <c r="I60" s="213"/>
      <c r="J60" s="213"/>
      <c r="K60" s="213"/>
      <c r="L60" s="213"/>
      <c r="M60" s="213"/>
      <c r="N60" s="213"/>
      <c r="O60" s="213"/>
      <c r="P60" s="213"/>
      <c r="Q60" s="213"/>
      <c r="R60" s="213"/>
      <c r="S60" s="213"/>
      <c r="T60" s="213"/>
      <c r="U60" s="213"/>
      <c r="V60" s="213"/>
      <c r="W60" s="213"/>
      <c r="X60" s="213"/>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6" customFormat="1" ht="12.75" customHeight="1" x14ac:dyDescent="0.2">
      <c r="A62" s="217" t="s">
        <v>196</v>
      </c>
      <c r="B62" s="218"/>
      <c r="C62" s="219"/>
      <c r="D62" s="219"/>
      <c r="E62" s="219"/>
      <c r="F62" s="219"/>
      <c r="G62" s="219"/>
      <c r="H62" s="219"/>
      <c r="I62" s="219"/>
      <c r="J62" s="219"/>
      <c r="K62" s="219"/>
      <c r="L62" s="219"/>
      <c r="M62" s="219"/>
      <c r="N62" s="219"/>
      <c r="O62" s="219"/>
      <c r="P62" s="219"/>
      <c r="Q62" s="219"/>
      <c r="R62" s="219"/>
      <c r="S62" s="219"/>
      <c r="T62" s="219"/>
      <c r="U62" s="219"/>
      <c r="V62" s="219"/>
      <c r="W62" s="219"/>
      <c r="X62" s="219"/>
    </row>
    <row r="63" spans="1:24" ht="30" customHeight="1" x14ac:dyDescent="0.2">
      <c r="A63" s="217" t="s">
        <v>197</v>
      </c>
      <c r="B63" s="217"/>
      <c r="C63" s="259"/>
      <c r="D63" s="259"/>
      <c r="E63" s="259"/>
      <c r="F63" s="259"/>
      <c r="G63" s="259"/>
      <c r="H63" s="259"/>
      <c r="I63" s="259"/>
      <c r="J63" s="259"/>
      <c r="K63" s="259"/>
      <c r="L63" s="259"/>
      <c r="M63" s="259"/>
      <c r="N63" s="259"/>
      <c r="O63" s="259"/>
      <c r="P63" s="259"/>
      <c r="Q63" s="259"/>
      <c r="R63" s="259"/>
      <c r="S63" s="259"/>
      <c r="T63" s="259"/>
      <c r="U63" s="259"/>
      <c r="V63" s="259"/>
      <c r="W63" s="259"/>
      <c r="X63" s="259"/>
    </row>
    <row r="64" spans="1:24" x14ac:dyDescent="0.2">
      <c r="F64" s="25"/>
      <c r="G64" s="26"/>
      <c r="H64" s="27"/>
    </row>
    <row r="65" spans="1:24" ht="12.75" customHeight="1" x14ac:dyDescent="0.2">
      <c r="A65" s="212" t="s">
        <v>198</v>
      </c>
      <c r="B65" s="212"/>
      <c r="C65" s="213"/>
      <c r="D65" s="213"/>
      <c r="E65" s="213"/>
      <c r="F65" s="213"/>
      <c r="G65" s="213"/>
      <c r="H65" s="213"/>
      <c r="I65" s="213"/>
      <c r="J65" s="213"/>
      <c r="K65" s="213"/>
      <c r="L65" s="213"/>
      <c r="M65" s="213"/>
      <c r="N65" s="213"/>
      <c r="O65" s="213"/>
      <c r="P65" s="213"/>
      <c r="Q65" s="213"/>
      <c r="R65" s="213"/>
      <c r="S65" s="213"/>
      <c r="T65" s="213"/>
      <c r="U65" s="213"/>
      <c r="V65" s="213"/>
      <c r="W65" s="213"/>
      <c r="X65" s="213"/>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08" t="s">
        <v>199</v>
      </c>
      <c r="B67" s="208"/>
      <c r="C67" s="209"/>
      <c r="D67" s="209"/>
      <c r="E67" s="209"/>
      <c r="F67" s="209"/>
      <c r="G67" s="209"/>
      <c r="H67" s="209"/>
      <c r="I67" s="209"/>
      <c r="J67" s="209"/>
      <c r="K67" s="209"/>
      <c r="L67" s="209"/>
      <c r="M67" s="209"/>
      <c r="N67" s="209"/>
      <c r="O67" s="209"/>
      <c r="P67" s="209"/>
      <c r="Q67" s="209"/>
      <c r="R67" s="209"/>
      <c r="S67" s="209"/>
      <c r="T67" s="209"/>
      <c r="U67" s="209"/>
      <c r="V67" s="209"/>
      <c r="W67" s="209"/>
      <c r="X67" s="209"/>
    </row>
    <row r="68" spans="1:24" x14ac:dyDescent="0.2">
      <c r="A68" s="208" t="s">
        <v>200</v>
      </c>
      <c r="B68" s="208"/>
      <c r="C68" s="209"/>
      <c r="D68" s="209"/>
      <c r="E68" s="209"/>
      <c r="F68" s="209"/>
      <c r="G68" s="209"/>
      <c r="H68" s="209"/>
      <c r="I68" s="209"/>
      <c r="J68" s="209"/>
      <c r="K68" s="209"/>
      <c r="L68" s="209"/>
      <c r="M68" s="209"/>
      <c r="N68" s="209"/>
      <c r="O68" s="209"/>
      <c r="P68" s="209"/>
      <c r="Q68" s="209"/>
      <c r="R68" s="209"/>
      <c r="S68" s="209"/>
      <c r="T68" s="209"/>
      <c r="U68" s="209"/>
      <c r="V68" s="209"/>
      <c r="W68" s="209"/>
      <c r="X68" s="209"/>
    </row>
    <row r="69" spans="1:24" ht="12.75" customHeight="1" x14ac:dyDescent="0.2">
      <c r="A69" s="208" t="s">
        <v>201</v>
      </c>
      <c r="B69" s="208"/>
      <c r="C69" s="209"/>
      <c r="D69" s="209"/>
      <c r="E69" s="209"/>
      <c r="F69" s="209"/>
      <c r="G69" s="209"/>
      <c r="H69" s="209"/>
      <c r="I69" s="209"/>
      <c r="J69" s="209"/>
      <c r="K69" s="209"/>
      <c r="L69" s="209"/>
      <c r="M69" s="209"/>
      <c r="N69" s="209"/>
      <c r="O69" s="209"/>
      <c r="P69" s="209"/>
      <c r="Q69" s="209"/>
      <c r="R69" s="209"/>
      <c r="S69" s="209"/>
      <c r="T69" s="209"/>
      <c r="U69" s="209"/>
      <c r="V69" s="209"/>
      <c r="W69" s="209"/>
      <c r="X69" s="209"/>
    </row>
    <row r="70" spans="1:24" ht="12.75" customHeight="1" x14ac:dyDescent="0.2">
      <c r="A70" s="208" t="s">
        <v>202</v>
      </c>
      <c r="B70" s="208"/>
      <c r="C70" s="209"/>
      <c r="D70" s="209"/>
      <c r="E70" s="209"/>
      <c r="F70" s="209"/>
      <c r="G70" s="209"/>
      <c r="H70" s="209"/>
      <c r="I70" s="209"/>
      <c r="J70" s="209"/>
      <c r="K70" s="209"/>
      <c r="L70" s="209"/>
      <c r="M70" s="209"/>
      <c r="N70" s="209"/>
      <c r="O70" s="209"/>
      <c r="P70" s="209"/>
      <c r="Q70" s="209"/>
      <c r="R70" s="209"/>
      <c r="S70" s="209"/>
      <c r="T70" s="209"/>
      <c r="U70" s="209"/>
      <c r="V70" s="209"/>
      <c r="W70" s="209"/>
      <c r="X70" s="209"/>
    </row>
    <row r="71" spans="1:24" ht="12.75" customHeight="1" x14ac:dyDescent="0.2">
      <c r="A71" s="208" t="s">
        <v>203</v>
      </c>
      <c r="B71" s="208"/>
      <c r="C71" s="209"/>
      <c r="D71" s="209"/>
      <c r="E71" s="209"/>
      <c r="F71" s="209"/>
      <c r="G71" s="209"/>
      <c r="H71" s="209"/>
      <c r="I71" s="209"/>
      <c r="J71" s="209"/>
      <c r="K71" s="209"/>
      <c r="L71" s="209"/>
      <c r="M71" s="209"/>
      <c r="N71" s="209"/>
      <c r="O71" s="209"/>
      <c r="P71" s="209"/>
      <c r="Q71" s="209"/>
      <c r="R71" s="209"/>
      <c r="S71" s="209"/>
      <c r="T71" s="209"/>
      <c r="U71" s="209"/>
      <c r="V71" s="209"/>
      <c r="W71" s="209"/>
      <c r="X71" s="209"/>
    </row>
    <row r="72" spans="1:24" ht="12.75" customHeight="1" x14ac:dyDescent="0.2">
      <c r="A72" s="208" t="s">
        <v>204</v>
      </c>
      <c r="B72" s="208"/>
      <c r="C72" s="209"/>
      <c r="D72" s="209"/>
      <c r="E72" s="209"/>
      <c r="F72" s="209"/>
      <c r="G72" s="209"/>
      <c r="H72" s="209"/>
      <c r="I72" s="209"/>
      <c r="J72" s="209"/>
      <c r="K72" s="209"/>
      <c r="L72" s="209"/>
      <c r="M72" s="209"/>
      <c r="N72" s="209"/>
      <c r="O72" s="209"/>
      <c r="P72" s="209"/>
      <c r="Q72" s="209"/>
      <c r="R72" s="209"/>
      <c r="S72" s="209"/>
      <c r="T72" s="209"/>
      <c r="U72" s="209"/>
      <c r="V72" s="209"/>
      <c r="W72" s="209"/>
      <c r="X72" s="209"/>
    </row>
    <row r="73" spans="1:24" x14ac:dyDescent="0.2">
      <c r="F73" s="25"/>
      <c r="G73" s="26"/>
      <c r="H73" s="27"/>
    </row>
    <row r="74" spans="1:24" ht="12.75" customHeight="1" x14ac:dyDescent="0.2">
      <c r="A74" s="212" t="s">
        <v>205</v>
      </c>
      <c r="B74" s="212"/>
      <c r="C74" s="213"/>
      <c r="D74" s="213"/>
      <c r="E74" s="213"/>
      <c r="F74" s="213"/>
      <c r="G74" s="213"/>
      <c r="H74" s="213"/>
      <c r="I74" s="213"/>
      <c r="J74" s="213"/>
      <c r="K74" s="213"/>
      <c r="L74" s="213"/>
      <c r="M74" s="213"/>
      <c r="N74" s="213"/>
      <c r="O74" s="213"/>
      <c r="P74" s="213"/>
      <c r="Q74" s="213"/>
      <c r="R74" s="213"/>
      <c r="S74" s="213"/>
      <c r="T74" s="213"/>
      <c r="U74" s="213"/>
      <c r="V74" s="213"/>
      <c r="W74" s="213"/>
      <c r="X74" s="213"/>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08" t="s">
        <v>206</v>
      </c>
      <c r="B76" s="208"/>
      <c r="C76" s="209"/>
      <c r="D76" s="209"/>
      <c r="E76" s="209"/>
      <c r="F76" s="209"/>
      <c r="G76" s="209"/>
      <c r="H76" s="209"/>
      <c r="I76" s="209"/>
      <c r="J76" s="209"/>
      <c r="K76" s="209"/>
      <c r="L76" s="209"/>
      <c r="M76" s="209"/>
      <c r="N76" s="209"/>
      <c r="O76" s="209"/>
      <c r="P76" s="209"/>
      <c r="Q76" s="209"/>
      <c r="R76" s="209"/>
      <c r="S76" s="209"/>
      <c r="T76" s="209"/>
      <c r="U76" s="209"/>
      <c r="V76" s="209"/>
      <c r="W76" s="209"/>
      <c r="X76" s="209"/>
    </row>
    <row r="77" spans="1:24" ht="26.1" customHeight="1" x14ac:dyDescent="0.2">
      <c r="A77" s="204" t="s">
        <v>207</v>
      </c>
      <c r="B77" s="204"/>
      <c r="C77" s="205"/>
      <c r="D77" s="205"/>
      <c r="E77" s="205"/>
      <c r="F77" s="205"/>
      <c r="G77" s="205"/>
      <c r="H77" s="205"/>
      <c r="I77" s="205"/>
      <c r="J77" s="205"/>
      <c r="K77" s="205"/>
      <c r="L77" s="205"/>
      <c r="M77" s="205"/>
      <c r="N77" s="205"/>
      <c r="O77" s="205"/>
      <c r="P77" s="205"/>
      <c r="Q77" s="205"/>
      <c r="R77" s="205"/>
      <c r="S77" s="205"/>
      <c r="T77" s="205"/>
      <c r="U77" s="205"/>
      <c r="V77" s="205"/>
      <c r="W77" s="205"/>
      <c r="X77" s="205"/>
    </row>
    <row r="78" spans="1:24" ht="12.75" customHeight="1" x14ac:dyDescent="0.2">
      <c r="A78" s="208" t="s">
        <v>208</v>
      </c>
      <c r="B78" s="208"/>
      <c r="C78" s="209"/>
      <c r="D78" s="209"/>
      <c r="E78" s="209"/>
      <c r="F78" s="209"/>
      <c r="G78" s="209"/>
      <c r="H78" s="209"/>
      <c r="I78" s="209"/>
      <c r="J78" s="209"/>
      <c r="K78" s="209"/>
      <c r="L78" s="209"/>
      <c r="M78" s="209"/>
      <c r="N78" s="209"/>
      <c r="O78" s="209"/>
      <c r="P78" s="209"/>
      <c r="Q78" s="209"/>
      <c r="R78" s="209"/>
      <c r="S78" s="209"/>
      <c r="T78" s="209"/>
      <c r="U78" s="209"/>
      <c r="V78" s="209"/>
      <c r="W78" s="209"/>
      <c r="X78" s="209"/>
    </row>
    <row r="79" spans="1:24" ht="25.5" customHeight="1" x14ac:dyDescent="0.2">
      <c r="A79" s="208" t="s">
        <v>209</v>
      </c>
      <c r="B79" s="208"/>
      <c r="C79" s="209"/>
      <c r="D79" s="209"/>
      <c r="E79" s="209"/>
      <c r="F79" s="209"/>
      <c r="G79" s="209"/>
      <c r="H79" s="209"/>
      <c r="I79" s="209"/>
      <c r="J79" s="209"/>
      <c r="K79" s="209"/>
      <c r="L79" s="209"/>
      <c r="M79" s="209"/>
      <c r="N79" s="209"/>
      <c r="O79" s="209"/>
      <c r="P79" s="209"/>
      <c r="Q79" s="209"/>
      <c r="R79" s="209"/>
      <c r="S79" s="209"/>
      <c r="T79" s="209"/>
      <c r="U79" s="209"/>
      <c r="V79" s="209"/>
      <c r="W79" s="209"/>
      <c r="X79" s="209"/>
    </row>
    <row r="80" spans="1:24" x14ac:dyDescent="0.2">
      <c r="A80" s="204" t="s">
        <v>210</v>
      </c>
      <c r="B80" s="204"/>
      <c r="C80" s="205"/>
      <c r="D80" s="205"/>
      <c r="E80" s="205"/>
      <c r="F80" s="205"/>
      <c r="G80" s="205"/>
      <c r="H80" s="205"/>
      <c r="I80" s="205"/>
      <c r="J80" s="205"/>
      <c r="K80" s="205"/>
      <c r="L80" s="205"/>
      <c r="M80" s="205"/>
      <c r="N80" s="205"/>
      <c r="O80" s="205"/>
      <c r="P80" s="205"/>
      <c r="Q80" s="205"/>
      <c r="R80" s="205"/>
      <c r="S80" s="205"/>
      <c r="T80" s="205"/>
      <c r="U80" s="205"/>
      <c r="V80" s="205"/>
      <c r="W80" s="205"/>
      <c r="X80" s="205"/>
    </row>
    <row r="81" spans="1:24" ht="12.75" customHeight="1" x14ac:dyDescent="0.2">
      <c r="A81" s="208" t="s">
        <v>211</v>
      </c>
      <c r="B81" s="208"/>
      <c r="C81" s="209"/>
      <c r="D81" s="209"/>
      <c r="E81" s="209"/>
      <c r="F81" s="209"/>
      <c r="G81" s="209"/>
      <c r="H81" s="209"/>
      <c r="I81" s="209"/>
      <c r="J81" s="209"/>
      <c r="K81" s="209"/>
      <c r="L81" s="209"/>
      <c r="M81" s="209"/>
      <c r="N81" s="209"/>
      <c r="O81" s="209"/>
      <c r="P81" s="209"/>
      <c r="Q81" s="209"/>
      <c r="R81" s="209"/>
      <c r="S81" s="209"/>
      <c r="T81" s="209"/>
      <c r="U81" s="209"/>
      <c r="V81" s="209"/>
      <c r="W81" s="209"/>
      <c r="X81" s="209"/>
    </row>
    <row r="82" spans="1:24" ht="26.1" customHeight="1" x14ac:dyDescent="0.2">
      <c r="A82" s="208" t="s">
        <v>212</v>
      </c>
      <c r="B82" s="208"/>
      <c r="C82" s="209"/>
      <c r="D82" s="209"/>
      <c r="E82" s="209"/>
      <c r="F82" s="209"/>
      <c r="G82" s="209"/>
      <c r="H82" s="209"/>
      <c r="I82" s="209"/>
      <c r="J82" s="209"/>
      <c r="K82" s="209"/>
      <c r="L82" s="209"/>
      <c r="M82" s="209"/>
      <c r="N82" s="209"/>
      <c r="O82" s="209"/>
      <c r="P82" s="209"/>
      <c r="Q82" s="209"/>
      <c r="R82" s="209"/>
      <c r="S82" s="209"/>
      <c r="T82" s="209"/>
      <c r="U82" s="209"/>
      <c r="V82" s="209"/>
      <c r="W82" s="209"/>
      <c r="X82" s="209"/>
    </row>
    <row r="83" spans="1:24" ht="26.1" customHeight="1" x14ac:dyDescent="0.2">
      <c r="A83" s="208" t="s">
        <v>213</v>
      </c>
      <c r="B83" s="208"/>
      <c r="C83" s="209"/>
      <c r="D83" s="209"/>
      <c r="E83" s="209"/>
      <c r="F83" s="209"/>
      <c r="G83" s="209"/>
      <c r="H83" s="209"/>
      <c r="I83" s="209"/>
      <c r="J83" s="209"/>
      <c r="K83" s="209"/>
      <c r="L83" s="209"/>
      <c r="M83" s="209"/>
      <c r="N83" s="209"/>
      <c r="O83" s="209"/>
      <c r="P83" s="209"/>
      <c r="Q83" s="209"/>
      <c r="R83" s="209"/>
      <c r="S83" s="209"/>
      <c r="T83" s="209"/>
      <c r="U83" s="209"/>
      <c r="V83" s="209"/>
      <c r="W83" s="209"/>
      <c r="X83" s="209"/>
    </row>
    <row r="84" spans="1:24" ht="12.75" customHeight="1" x14ac:dyDescent="0.2">
      <c r="A84" s="208" t="s">
        <v>214</v>
      </c>
      <c r="B84" s="208"/>
      <c r="C84" s="209"/>
      <c r="D84" s="209"/>
      <c r="E84" s="209"/>
      <c r="F84" s="209"/>
      <c r="G84" s="209"/>
      <c r="H84" s="209"/>
      <c r="I84" s="209"/>
      <c r="J84" s="209"/>
      <c r="K84" s="209"/>
      <c r="L84" s="209"/>
      <c r="M84" s="209"/>
      <c r="N84" s="209"/>
      <c r="O84" s="209"/>
      <c r="P84" s="209"/>
      <c r="Q84" s="209"/>
      <c r="R84" s="209"/>
      <c r="S84" s="209"/>
      <c r="T84" s="209"/>
      <c r="U84" s="209"/>
      <c r="V84" s="209"/>
      <c r="W84" s="209"/>
      <c r="X84" s="209"/>
    </row>
    <row r="85" spans="1:24" x14ac:dyDescent="0.2">
      <c r="A85" s="208" t="s">
        <v>215</v>
      </c>
      <c r="B85" s="208"/>
      <c r="C85" s="209"/>
      <c r="D85" s="209"/>
      <c r="E85" s="209"/>
      <c r="F85" s="209"/>
      <c r="G85" s="209"/>
      <c r="H85" s="209"/>
      <c r="I85" s="209"/>
      <c r="J85" s="209"/>
      <c r="K85" s="209"/>
      <c r="L85" s="209"/>
      <c r="M85" s="209"/>
      <c r="N85" s="209"/>
      <c r="O85" s="209"/>
      <c r="P85" s="209"/>
      <c r="Q85" s="209"/>
      <c r="R85" s="209"/>
      <c r="S85" s="209"/>
      <c r="T85" s="209"/>
      <c r="U85" s="209"/>
      <c r="V85" s="209"/>
      <c r="W85" s="209"/>
      <c r="X85" s="209"/>
    </row>
    <row r="86" spans="1:24" ht="12.75" customHeight="1" x14ac:dyDescent="0.2">
      <c r="A86" s="204" t="s">
        <v>216</v>
      </c>
      <c r="B86" s="204"/>
      <c r="C86" s="205"/>
      <c r="D86" s="205"/>
      <c r="E86" s="205"/>
      <c r="F86" s="205"/>
      <c r="G86" s="205"/>
      <c r="H86" s="205"/>
      <c r="I86" s="205"/>
      <c r="J86" s="205"/>
      <c r="K86" s="205"/>
      <c r="L86" s="205"/>
      <c r="M86" s="205"/>
      <c r="N86" s="205"/>
      <c r="O86" s="205"/>
      <c r="P86" s="205"/>
      <c r="Q86" s="205"/>
      <c r="R86" s="205"/>
      <c r="S86" s="205"/>
      <c r="T86" s="205"/>
      <c r="U86" s="205"/>
      <c r="V86" s="205"/>
      <c r="W86" s="205"/>
      <c r="X86" s="205"/>
    </row>
    <row r="87" spans="1:24" x14ac:dyDescent="0.2">
      <c r="A87" s="208" t="s">
        <v>217</v>
      </c>
      <c r="B87" s="208"/>
      <c r="C87" s="209"/>
      <c r="D87" s="209"/>
      <c r="E87" s="209"/>
      <c r="F87" s="209"/>
      <c r="G87" s="209"/>
      <c r="H87" s="209"/>
      <c r="I87" s="209"/>
      <c r="J87" s="209"/>
      <c r="K87" s="209"/>
      <c r="L87" s="209"/>
      <c r="M87" s="209"/>
      <c r="N87" s="209"/>
      <c r="O87" s="209"/>
      <c r="P87" s="209"/>
      <c r="Q87" s="209"/>
      <c r="R87" s="209"/>
      <c r="S87" s="209"/>
      <c r="T87" s="209"/>
      <c r="U87" s="209"/>
      <c r="V87" s="209"/>
      <c r="W87" s="209"/>
      <c r="X87" s="209"/>
    </row>
    <row r="88" spans="1:24" x14ac:dyDescent="0.2">
      <c r="A88" s="208" t="s">
        <v>218</v>
      </c>
      <c r="B88" s="208"/>
      <c r="C88" s="209"/>
      <c r="D88" s="209"/>
      <c r="E88" s="209"/>
      <c r="F88" s="209"/>
      <c r="G88" s="209"/>
      <c r="H88" s="209"/>
      <c r="I88" s="209"/>
      <c r="J88" s="209"/>
      <c r="K88" s="209"/>
      <c r="L88" s="209"/>
      <c r="M88" s="209"/>
      <c r="N88" s="209"/>
      <c r="O88" s="209"/>
      <c r="P88" s="209"/>
      <c r="Q88" s="209"/>
      <c r="R88" s="209"/>
      <c r="S88" s="209"/>
      <c r="T88" s="209"/>
      <c r="U88" s="209"/>
      <c r="V88" s="209"/>
      <c r="W88" s="209"/>
      <c r="X88" s="209"/>
    </row>
    <row r="90" spans="1:24" x14ac:dyDescent="0.2">
      <c r="A90" s="212" t="s">
        <v>219</v>
      </c>
      <c r="B90" s="212"/>
      <c r="C90" s="213"/>
      <c r="D90" s="213"/>
      <c r="E90" s="213"/>
      <c r="F90" s="213"/>
      <c r="G90" s="213"/>
      <c r="H90" s="213"/>
      <c r="I90" s="213"/>
      <c r="J90" s="213"/>
      <c r="K90" s="213"/>
      <c r="L90" s="213"/>
      <c r="M90" s="213"/>
      <c r="N90" s="213"/>
      <c r="O90" s="213"/>
      <c r="P90" s="213"/>
      <c r="Q90" s="213"/>
      <c r="R90" s="213"/>
      <c r="S90" s="213"/>
      <c r="T90" s="213"/>
      <c r="U90" s="213"/>
      <c r="V90" s="213"/>
      <c r="W90" s="213"/>
      <c r="X90" s="213"/>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08" t="s">
        <v>220</v>
      </c>
      <c r="B92" s="208"/>
      <c r="C92" s="209"/>
      <c r="D92" s="209"/>
      <c r="E92" s="209"/>
      <c r="F92" s="209"/>
      <c r="G92" s="209"/>
      <c r="H92" s="209"/>
      <c r="I92" s="209"/>
      <c r="J92" s="209"/>
      <c r="K92" s="209"/>
      <c r="L92" s="209"/>
      <c r="M92" s="209"/>
      <c r="N92" s="209"/>
      <c r="O92" s="209"/>
      <c r="P92" s="209"/>
      <c r="Q92" s="209"/>
      <c r="R92" s="209"/>
      <c r="S92" s="209"/>
      <c r="T92" s="209"/>
      <c r="U92" s="209"/>
      <c r="V92" s="209"/>
      <c r="W92" s="209"/>
      <c r="X92" s="209"/>
    </row>
    <row r="93" spans="1:24" ht="12.75" customHeight="1" x14ac:dyDescent="0.2">
      <c r="A93" s="204" t="s">
        <v>221</v>
      </c>
      <c r="B93" s="204"/>
      <c r="C93" s="205"/>
      <c r="D93" s="205"/>
      <c r="E93" s="205"/>
      <c r="F93" s="205"/>
      <c r="G93" s="205"/>
      <c r="H93" s="205"/>
      <c r="I93" s="205"/>
      <c r="J93" s="205"/>
      <c r="K93" s="205"/>
      <c r="L93" s="205"/>
      <c r="M93" s="205"/>
      <c r="N93" s="205"/>
      <c r="O93" s="205"/>
      <c r="P93" s="205"/>
      <c r="Q93" s="205"/>
      <c r="R93" s="205"/>
      <c r="S93" s="205"/>
      <c r="T93" s="205"/>
      <c r="U93" s="205"/>
      <c r="V93" s="205"/>
      <c r="W93" s="205"/>
      <c r="X93" s="205"/>
    </row>
    <row r="94" spans="1:24" ht="12.75" customHeight="1" x14ac:dyDescent="0.2">
      <c r="A94" s="208" t="s">
        <v>222</v>
      </c>
      <c r="B94" s="208"/>
      <c r="C94" s="209"/>
      <c r="D94" s="209"/>
      <c r="E94" s="209"/>
      <c r="F94" s="209"/>
      <c r="G94" s="209"/>
      <c r="H94" s="209"/>
      <c r="I94" s="209"/>
      <c r="J94" s="209"/>
      <c r="K94" s="209"/>
      <c r="L94" s="209"/>
      <c r="M94" s="209"/>
      <c r="N94" s="209"/>
      <c r="O94" s="209"/>
      <c r="P94" s="209"/>
      <c r="Q94" s="209"/>
      <c r="R94" s="209"/>
      <c r="S94" s="209"/>
      <c r="T94" s="209"/>
      <c r="U94" s="209"/>
      <c r="V94" s="209"/>
      <c r="W94" s="209"/>
      <c r="X94" s="209"/>
    </row>
    <row r="95" spans="1:24" x14ac:dyDescent="0.2">
      <c r="A95" s="208" t="s">
        <v>223</v>
      </c>
      <c r="B95" s="208"/>
      <c r="C95" s="209"/>
      <c r="D95" s="209"/>
      <c r="E95" s="209"/>
      <c r="F95" s="209"/>
      <c r="G95" s="209"/>
      <c r="H95" s="209"/>
      <c r="I95" s="209"/>
      <c r="J95" s="209"/>
      <c r="K95" s="209"/>
      <c r="L95" s="209"/>
      <c r="M95" s="209"/>
      <c r="N95" s="209"/>
      <c r="O95" s="209"/>
      <c r="P95" s="209"/>
      <c r="Q95" s="209"/>
      <c r="R95" s="209"/>
      <c r="S95" s="209"/>
      <c r="T95" s="209"/>
      <c r="U95" s="209"/>
      <c r="V95" s="209"/>
      <c r="W95" s="209"/>
      <c r="X95" s="209"/>
    </row>
    <row r="96" spans="1:24" ht="12.75" customHeight="1" x14ac:dyDescent="0.2">
      <c r="A96" s="204"/>
      <c r="B96" s="204"/>
      <c r="C96" s="205"/>
      <c r="D96" s="205"/>
      <c r="E96" s="205"/>
      <c r="F96" s="205"/>
      <c r="G96" s="205"/>
      <c r="H96" s="205"/>
      <c r="I96" s="205"/>
      <c r="J96" s="205"/>
      <c r="K96" s="205"/>
      <c r="L96" s="205"/>
      <c r="M96" s="205"/>
      <c r="N96" s="205"/>
      <c r="O96" s="205"/>
      <c r="P96" s="205"/>
      <c r="Q96" s="205"/>
      <c r="R96" s="205"/>
      <c r="S96" s="205"/>
      <c r="T96" s="205"/>
      <c r="U96" s="205"/>
      <c r="V96" s="205"/>
      <c r="W96" s="205"/>
      <c r="X96" s="205"/>
    </row>
    <row r="97" spans="1:24" x14ac:dyDescent="0.2">
      <c r="A97" s="212" t="s">
        <v>224</v>
      </c>
      <c r="B97" s="212"/>
      <c r="C97" s="213"/>
      <c r="D97" s="213"/>
      <c r="E97" s="213"/>
      <c r="F97" s="213"/>
      <c r="G97" s="213"/>
      <c r="H97" s="213"/>
      <c r="I97" s="213"/>
      <c r="J97" s="213"/>
      <c r="K97" s="213"/>
      <c r="L97" s="213"/>
      <c r="M97" s="213"/>
      <c r="N97" s="213"/>
      <c r="O97" s="213"/>
      <c r="P97" s="213"/>
      <c r="Q97" s="213"/>
      <c r="R97" s="213"/>
      <c r="S97" s="213"/>
      <c r="T97" s="213"/>
      <c r="U97" s="213"/>
      <c r="V97" s="213"/>
      <c r="W97" s="213"/>
      <c r="X97" s="213"/>
    </row>
    <row r="98" spans="1:24" ht="12.75" customHeight="1" x14ac:dyDescent="0.2">
      <c r="A98" s="204"/>
      <c r="B98" s="204"/>
      <c r="C98" s="205"/>
      <c r="D98" s="205"/>
      <c r="E98" s="205"/>
      <c r="F98" s="205"/>
      <c r="G98" s="205"/>
      <c r="H98" s="205"/>
      <c r="I98" s="205"/>
      <c r="J98" s="205"/>
      <c r="K98" s="205"/>
      <c r="L98" s="205"/>
      <c r="M98" s="205"/>
      <c r="N98" s="205"/>
      <c r="O98" s="205"/>
      <c r="P98" s="205"/>
      <c r="Q98" s="205"/>
      <c r="R98" s="205"/>
      <c r="S98" s="205"/>
      <c r="T98" s="205"/>
      <c r="U98" s="205"/>
      <c r="V98" s="205"/>
      <c r="W98" s="205"/>
      <c r="X98" s="205"/>
    </row>
    <row r="99" spans="1:24" ht="12.75" customHeight="1" x14ac:dyDescent="0.2">
      <c r="A99" s="208" t="s">
        <v>225</v>
      </c>
      <c r="B99" s="208"/>
      <c r="C99" s="209"/>
      <c r="D99" s="209"/>
      <c r="E99" s="209"/>
      <c r="F99" s="209"/>
      <c r="G99" s="209"/>
      <c r="H99" s="209"/>
      <c r="I99" s="209"/>
      <c r="J99" s="209"/>
      <c r="K99" s="209"/>
      <c r="L99" s="209"/>
      <c r="M99" s="209"/>
      <c r="N99" s="209"/>
      <c r="O99" s="209"/>
      <c r="P99" s="209"/>
      <c r="Q99" s="209"/>
      <c r="R99" s="209"/>
      <c r="S99" s="209"/>
      <c r="T99" s="209"/>
      <c r="U99" s="209"/>
      <c r="V99" s="209"/>
      <c r="W99" s="209"/>
      <c r="X99" s="209"/>
    </row>
    <row r="100" spans="1:24" ht="12.75" customHeight="1" x14ac:dyDescent="0.2">
      <c r="A100" s="208" t="s">
        <v>226</v>
      </c>
      <c r="B100" s="208"/>
      <c r="C100" s="209"/>
      <c r="D100" s="209"/>
      <c r="E100" s="209"/>
      <c r="F100" s="209"/>
      <c r="G100" s="209"/>
      <c r="H100" s="209"/>
      <c r="I100" s="209"/>
      <c r="J100" s="209"/>
      <c r="K100" s="209"/>
      <c r="L100" s="209"/>
      <c r="M100" s="209"/>
      <c r="N100" s="209"/>
      <c r="O100" s="209"/>
      <c r="P100" s="209"/>
      <c r="Q100" s="209"/>
      <c r="R100" s="209"/>
      <c r="S100" s="209"/>
      <c r="T100" s="209"/>
      <c r="U100" s="209"/>
      <c r="V100" s="209"/>
      <c r="W100" s="209"/>
      <c r="X100" s="209"/>
    </row>
    <row r="101" spans="1:24" x14ac:dyDescent="0.2">
      <c r="A101" s="208" t="s">
        <v>227</v>
      </c>
      <c r="B101" s="208"/>
      <c r="C101" s="209"/>
      <c r="D101" s="209"/>
      <c r="E101" s="209"/>
      <c r="F101" s="209"/>
      <c r="G101" s="209"/>
      <c r="H101" s="209"/>
      <c r="I101" s="209"/>
      <c r="J101" s="209"/>
      <c r="K101" s="209"/>
      <c r="L101" s="209"/>
      <c r="M101" s="209"/>
      <c r="N101" s="209"/>
      <c r="O101" s="209"/>
      <c r="P101" s="209"/>
      <c r="Q101" s="209"/>
      <c r="R101" s="209"/>
      <c r="S101" s="209"/>
      <c r="T101" s="209"/>
      <c r="U101" s="209"/>
      <c r="V101" s="209"/>
      <c r="W101" s="209"/>
      <c r="X101" s="209"/>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5">
        <f ca="1">T38</f>
        <v>0.26379999999999998</v>
      </c>
    </row>
    <row r="109" spans="1:24" x14ac:dyDescent="0.2">
      <c r="A109"/>
      <c r="F109"/>
      <c r="G109" s="23"/>
      <c r="H109" s="23"/>
      <c r="L109" s="1" t="s">
        <v>133</v>
      </c>
      <c r="P109" s="23"/>
      <c r="S109" s="175">
        <f ca="1">U38</f>
        <v>0.1525</v>
      </c>
    </row>
    <row r="110" spans="1:24" ht="12.75" customHeight="1" x14ac:dyDescent="0.2">
      <c r="A110"/>
      <c r="F110"/>
      <c r="G110" s="23"/>
      <c r="H110" s="23"/>
      <c r="L110" s="1" t="s">
        <v>134</v>
      </c>
      <c r="P110" s="23"/>
      <c r="S110" s="175" t="str">
        <f ca="1">V38</f>
        <v/>
      </c>
    </row>
    <row r="111" spans="1:24" x14ac:dyDescent="0.2">
      <c r="A111"/>
      <c r="F111"/>
      <c r="G111" s="23"/>
      <c r="H111" s="23"/>
      <c r="L111" s="1" t="s">
        <v>135</v>
      </c>
      <c r="P111" s="23"/>
      <c r="S111" s="175" t="str">
        <f ca="1">W38</f>
        <v/>
      </c>
    </row>
    <row r="112" spans="1:24" ht="12.75" customHeight="1" x14ac:dyDescent="0.2">
      <c r="A112"/>
      <c r="F112"/>
      <c r="G112" s="23"/>
      <c r="H112" s="23"/>
      <c r="L112" s="1" t="s">
        <v>136</v>
      </c>
      <c r="P112" s="23"/>
      <c r="S112" s="175"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06" t="str">
        <f>A28</f>
        <v>Nº OPERAÇÃO</v>
      </c>
      <c r="B220" s="214"/>
      <c r="C220" s="206" t="str">
        <f>C28</f>
        <v>GESTOR</v>
      </c>
      <c r="D220" s="207"/>
      <c r="E220" s="214"/>
      <c r="F220" s="206" t="str">
        <f>F28</f>
        <v>PROGRAMA</v>
      </c>
      <c r="G220" s="207"/>
      <c r="H220" s="207"/>
      <c r="I220" s="214"/>
      <c r="J220" s="206" t="str">
        <f>J28</f>
        <v>AÇÃO / MODALIDADE</v>
      </c>
      <c r="K220" s="207"/>
      <c r="L220" s="207"/>
      <c r="M220" s="207"/>
      <c r="N220" s="207"/>
      <c r="O220" s="214"/>
      <c r="P220" s="206" t="str">
        <f>P28</f>
        <v>OBJETO</v>
      </c>
      <c r="Q220" s="207"/>
      <c r="R220" s="207"/>
      <c r="S220" s="207"/>
      <c r="T220" s="207"/>
      <c r="U220" s="207"/>
      <c r="V220" s="207"/>
      <c r="W220" s="207"/>
      <c r="X220" s="214"/>
    </row>
    <row r="221" spans="1:24" ht="12.75" customHeight="1" x14ac:dyDescent="0.2">
      <c r="A221" s="247" t="str">
        <f>IF(A29="","",A29)</f>
        <v/>
      </c>
      <c r="B221" s="249"/>
      <c r="C221" s="247" t="str">
        <f>IF(C29="","",C29)</f>
        <v/>
      </c>
      <c r="D221" s="248"/>
      <c r="E221" s="249"/>
      <c r="F221" s="247" t="str">
        <f>IF(F29="","",F29)</f>
        <v/>
      </c>
      <c r="G221" s="248"/>
      <c r="H221" s="248"/>
      <c r="I221" s="249"/>
      <c r="J221" s="247" t="str">
        <f>IF(J29="","",J29)</f>
        <v>AMPLIAÇÃO, MODERNIZAÇÃO E REFORMA DE EDIFICAÇÃO</v>
      </c>
      <c r="K221" s="248"/>
      <c r="L221" s="248" t="e">
        <f>IF(#REF!="","",#REF!)</f>
        <v>#REF!</v>
      </c>
      <c r="M221" s="248"/>
      <c r="N221" s="248" t="e">
        <f>IF(#REF!="","",#REF!)</f>
        <v>#REF!</v>
      </c>
      <c r="O221" s="249"/>
      <c r="P221" s="247" t="str">
        <f>IF(P29="","",P29)</f>
        <v>AMPLIAÇÃO, MODERNIZAÇÃO E REFORMA DA EMEF 21 DE ABRIL</v>
      </c>
      <c r="Q221" s="248"/>
      <c r="R221" s="248"/>
      <c r="S221" s="248"/>
      <c r="T221" s="248"/>
      <c r="U221" s="248"/>
      <c r="V221" s="248"/>
      <c r="W221" s="248"/>
      <c r="X221" s="249"/>
    </row>
    <row r="222" spans="1:24" ht="6" customHeight="1" x14ac:dyDescent="0.2">
      <c r="A222"/>
      <c r="B222"/>
      <c r="F222"/>
      <c r="G222"/>
      <c r="H222"/>
    </row>
    <row r="223" spans="1:24" x14ac:dyDescent="0.2">
      <c r="A223" s="206" t="str">
        <f>A31</f>
        <v>PROPONENTE / TOMADOR</v>
      </c>
      <c r="B223" s="207"/>
      <c r="C223" s="207"/>
      <c r="D223" s="207"/>
      <c r="E223" s="207"/>
      <c r="F223" s="207"/>
      <c r="G223" s="206" t="str">
        <f>G31</f>
        <v>MUNICÍPIO / UF</v>
      </c>
      <c r="H223" s="207"/>
      <c r="I223" s="207"/>
      <c r="J223" s="214"/>
      <c r="K223" s="206" t="str">
        <f>K31</f>
        <v>LOCALIDADE / ENDEREÇO</v>
      </c>
      <c r="L223" s="207"/>
      <c r="M223" s="207"/>
      <c r="N223" s="207"/>
      <c r="O223" s="207"/>
      <c r="P223" s="214"/>
      <c r="Q223" s="206" t="str">
        <f>Q31</f>
        <v>APELIDO DO EMPREENDIMENTO</v>
      </c>
      <c r="R223" s="207"/>
      <c r="S223" s="207"/>
      <c r="T223" s="207"/>
      <c r="U223" s="207"/>
      <c r="V223" s="207"/>
      <c r="W223" s="207"/>
      <c r="X223" s="214"/>
    </row>
    <row r="224" spans="1:24" ht="12.75" customHeight="1" x14ac:dyDescent="0.2">
      <c r="A224" s="245" t="str">
        <f>IF(A32="","",A32)</f>
        <v>MUNICÍPIO DE FREDERICO WESTPHALEN</v>
      </c>
      <c r="B224" s="246"/>
      <c r="C224" s="246"/>
      <c r="D224" s="246"/>
      <c r="E224" s="246"/>
      <c r="F224" s="246"/>
      <c r="G224" s="247" t="str">
        <f>IF(G32="","",G32)</f>
        <v>FREDERICO WESTPHALEN/RS</v>
      </c>
      <c r="H224" s="248" t="str">
        <f>IF(I32="","",I32)</f>
        <v/>
      </c>
      <c r="I224" s="248"/>
      <c r="J224" s="249" t="e">
        <f>IF(#REF!="","",#REF!)</f>
        <v>#REF!</v>
      </c>
      <c r="K224" s="247" t="str">
        <f>IF(K32="","",K32)</f>
        <v>RS-591, LINHA 21 DE ABRIL, INTERIOR</v>
      </c>
      <c r="L224" s="248"/>
      <c r="M224" s="248"/>
      <c r="N224" s="248"/>
      <c r="O224" s="248"/>
      <c r="P224" s="249"/>
      <c r="Q224" s="247" t="str">
        <f>IF(Q32="","",Q32)</f>
        <v>EMEF 21 DE ABRIL</v>
      </c>
      <c r="R224" s="248"/>
      <c r="S224" s="248"/>
      <c r="T224" s="248"/>
      <c r="U224" s="248"/>
      <c r="V224" s="248"/>
      <c r="W224" s="248"/>
      <c r="X224" s="249"/>
    </row>
    <row r="225" spans="1:24" ht="6" customHeight="1" x14ac:dyDescent="0.2">
      <c r="A225"/>
      <c r="B225"/>
      <c r="F225"/>
      <c r="G225"/>
      <c r="H225"/>
    </row>
    <row r="226" spans="1:24" x14ac:dyDescent="0.2">
      <c r="A226" s="206" t="str">
        <f>A37</f>
        <v>DATA BASE</v>
      </c>
      <c r="B226" s="214"/>
      <c r="C226" s="77" t="str">
        <f>C37</f>
        <v>DESON.</v>
      </c>
      <c r="D226" s="206" t="str">
        <f>D37</f>
        <v>LOCALIDADE DO SINAPI</v>
      </c>
      <c r="E226" s="207"/>
      <c r="F226" s="214"/>
      <c r="G226" s="206" t="str">
        <f>G37</f>
        <v>DESCRIÇÃO DO LOTE</v>
      </c>
      <c r="H226" s="207"/>
      <c r="I226" s="207"/>
      <c r="J226" s="207"/>
      <c r="K226" s="207"/>
      <c r="L226" s="207"/>
      <c r="M226" s="207"/>
      <c r="N226" s="207"/>
      <c r="O226" s="207"/>
      <c r="P226" s="207"/>
      <c r="Q226" s="207"/>
      <c r="R226" s="207"/>
      <c r="S226" s="214"/>
      <c r="T226" s="78" t="str">
        <f>T37</f>
        <v>BDI 1</v>
      </c>
      <c r="U226" s="78" t="str">
        <f>U37</f>
        <v>BDI 2</v>
      </c>
      <c r="V226" s="78" t="str">
        <f>V37</f>
        <v>BDI 3</v>
      </c>
      <c r="W226" s="78" t="str">
        <f>W37</f>
        <v>BDI 4</v>
      </c>
      <c r="X226" s="78" t="str">
        <f>X37</f>
        <v>BDI 5</v>
      </c>
    </row>
    <row r="227" spans="1:24" ht="12.75" customHeight="1" x14ac:dyDescent="0.2">
      <c r="A227" s="250">
        <f>IF(A38="","",A38)</f>
        <v>45536</v>
      </c>
      <c r="B227" s="251"/>
      <c r="C227" s="114" t="str">
        <f t="shared" ref="C227:X227" si="0">IF(C38="","",C38)</f>
        <v>Sim</v>
      </c>
      <c r="D227" s="252" t="str">
        <f t="shared" si="0"/>
        <v>Porto Alegre / RS</v>
      </c>
      <c r="E227" s="253" t="str">
        <f t="shared" si="0"/>
        <v/>
      </c>
      <c r="F227" s="254" t="str">
        <f t="shared" si="0"/>
        <v/>
      </c>
      <c r="G227" s="252" t="str">
        <f t="shared" si="0"/>
        <v>AMPLIAÇÃO, MODERNIZAÇÃO E REFORMA DA EMEF 21 DE ABRIL</v>
      </c>
      <c r="H227" s="253" t="str">
        <f t="shared" si="0"/>
        <v/>
      </c>
      <c r="I227" s="253" t="str">
        <f t="shared" si="0"/>
        <v/>
      </c>
      <c r="J227" s="253" t="str">
        <f t="shared" si="0"/>
        <v/>
      </c>
      <c r="K227" s="253" t="str">
        <f t="shared" si="0"/>
        <v/>
      </c>
      <c r="L227" s="253" t="str">
        <f t="shared" si="0"/>
        <v/>
      </c>
      <c r="M227" s="253" t="str">
        <f t="shared" si="0"/>
        <v/>
      </c>
      <c r="N227" s="253" t="str">
        <f t="shared" si="0"/>
        <v/>
      </c>
      <c r="O227" s="253" t="str">
        <f t="shared" si="0"/>
        <v/>
      </c>
      <c r="P227" s="253" t="str">
        <f t="shared" si="0"/>
        <v/>
      </c>
      <c r="Q227" s="253" t="str">
        <f t="shared" si="0"/>
        <v/>
      </c>
      <c r="R227" s="253" t="str">
        <f t="shared" si="0"/>
        <v/>
      </c>
      <c r="S227" s="254" t="str">
        <f t="shared" si="0"/>
        <v/>
      </c>
      <c r="T227" s="116">
        <f t="shared" ca="1" si="0"/>
        <v>0.26379999999999998</v>
      </c>
      <c r="U227" s="80">
        <f t="shared" ca="1" si="0"/>
        <v>0.1525</v>
      </c>
      <c r="V227" s="80" t="str">
        <f t="shared" ca="1" si="0"/>
        <v/>
      </c>
      <c r="W227" s="80" t="str">
        <f t="shared" ca="1" si="0"/>
        <v/>
      </c>
      <c r="X227" s="80" t="str">
        <f t="shared" ca="1" si="0"/>
        <v/>
      </c>
    </row>
    <row r="228" spans="1:24" ht="6" hidden="1" customHeight="1" x14ac:dyDescent="0.2">
      <c r="A228"/>
      <c r="B228"/>
      <c r="F228"/>
      <c r="G228"/>
      <c r="H228"/>
    </row>
    <row r="229" spans="1:24" ht="12.75" hidden="1" customHeight="1" x14ac:dyDescent="0.2">
      <c r="A229" s="206" t="s">
        <v>87</v>
      </c>
      <c r="B229" s="214"/>
      <c r="C229" s="206" t="s">
        <v>163</v>
      </c>
      <c r="D229" s="207"/>
      <c r="E229" s="207"/>
      <c r="F229" s="207"/>
      <c r="G229" s="207"/>
      <c r="H229" s="206" t="s">
        <v>16</v>
      </c>
      <c r="I229" s="207"/>
      <c r="J229" s="20" t="s">
        <v>91</v>
      </c>
      <c r="K229" s="206" t="s">
        <v>88</v>
      </c>
      <c r="L229" s="207"/>
      <c r="M229" s="214"/>
      <c r="N229" s="20" t="s">
        <v>92</v>
      </c>
      <c r="O229" s="206" t="s">
        <v>93</v>
      </c>
      <c r="P229" s="207"/>
      <c r="Q229" s="207"/>
      <c r="R229" s="207"/>
      <c r="S229" s="207"/>
      <c r="T229" s="214"/>
      <c r="U229" s="222" t="s">
        <v>89</v>
      </c>
      <c r="V229" s="223"/>
      <c r="W229" s="222" t="s">
        <v>90</v>
      </c>
      <c r="X229" s="223"/>
    </row>
    <row r="230" spans="1:24" ht="12.75" hidden="1" customHeight="1" x14ac:dyDescent="0.2">
      <c r="A230" s="252" t="str">
        <f>IF(A43="","",A43)</f>
        <v/>
      </c>
      <c r="B230" s="254"/>
      <c r="C230" s="252" t="str">
        <f>IF(C43="","",C43)</f>
        <v/>
      </c>
      <c r="D230" s="253"/>
      <c r="E230" s="253" t="str">
        <f>IF(E43="","",E43)</f>
        <v/>
      </c>
      <c r="F230" s="253"/>
      <c r="G230" s="253" t="str">
        <f>IF(G43="","",G43)</f>
        <v/>
      </c>
      <c r="H230" s="268" t="str">
        <f>IF(H43="","",H43)</f>
        <v/>
      </c>
      <c r="I230" s="269" t="str">
        <f>IF(I43="","",I43)</f>
        <v/>
      </c>
      <c r="J230" s="115" t="str">
        <f>IF(J43="","",J43)</f>
        <v/>
      </c>
      <c r="K230" s="260" t="str">
        <f>IF(K43="","",K43)</f>
        <v/>
      </c>
      <c r="L230" s="262"/>
      <c r="M230" s="263" t="str">
        <f>IF(M43="","",M43)</f>
        <v/>
      </c>
      <c r="N230" s="117" t="str">
        <f>IF(N43="","",N43)</f>
        <v/>
      </c>
      <c r="O230" s="260" t="str">
        <f>IF(O43="","",O43)</f>
        <v/>
      </c>
      <c r="P230" s="261"/>
      <c r="Q230" s="261" t="str">
        <f>IF(Q43="","",Q43)</f>
        <v/>
      </c>
      <c r="R230" s="262"/>
      <c r="S230" s="262" t="str">
        <f>IF(S43="","",S43)</f>
        <v/>
      </c>
      <c r="T230" s="263"/>
      <c r="U230" s="266" t="str">
        <f>IF(U43="","",U43)</f>
        <v/>
      </c>
      <c r="V230" s="267"/>
      <c r="W230" s="264" t="str">
        <f>IF(W43="","",W43)</f>
        <v/>
      </c>
      <c r="X230" s="265"/>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password="C95B"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5" type="noConversion"/>
  <conditionalFormatting sqref="B54:E55 B56 B57:E57">
    <cfRule type="expression" dxfId="736" priority="42" stopIfTrue="1">
      <formula>$B54&lt;&gt;""</formula>
    </cfRule>
  </conditionalFormatting>
  <conditionalFormatting sqref="A48 H54:K54 H55:H56 H57:K57 A29:C29 J29 F29 A32 P29 G32 K32">
    <cfRule type="expression" dxfId="735" priority="48" stopIfTrue="1">
      <formula>A29&lt;&gt;""</formula>
    </cfRule>
  </conditionalFormatting>
  <conditionalFormatting sqref="G53:K54 G55:H56 G57:K57">
    <cfRule type="expression" dxfId="734" priority="43" stopIfTrue="1">
      <formula>$K$52&lt;&gt;"SIM"</formula>
    </cfRule>
  </conditionalFormatting>
  <conditionalFormatting sqref="A40:X43">
    <cfRule type="expression" dxfId="733" priority="56" stopIfTrue="1">
      <formula>OR(TipoOrçamento="BASE",TipoOrçamento="REPROGRAMADONPL")</formula>
    </cfRule>
    <cfRule type="expression" dxfId="732" priority="57" stopIfTrue="1">
      <formula>A40&lt;&gt;""</formula>
    </cfRule>
  </conditionalFormatting>
  <conditionalFormatting sqref="A35:X38">
    <cfRule type="expression" dxfId="731" priority="58" stopIfTrue="1">
      <formula>OR(TipoOrçamento="LICITADO",TipoOrçamento="REPROGRAMADOAC")</formula>
    </cfRule>
    <cfRule type="expression" dxfId="730" priority="59" stopIfTrue="1">
      <formula>A35&lt;&gt;""</formula>
    </cfRule>
  </conditionalFormatting>
  <conditionalFormatting sqref="Q32">
    <cfRule type="expression" dxfId="729" priority="1" stopIfTrue="1">
      <formula>Q32&lt;&gt;""</formula>
    </cfRule>
  </conditionalFormatting>
  <dataValidations count="7">
    <dataValidation type="list" allowBlank="1" showInputMessage="1" showErrorMessage="1" sqref="C227 J43 C38" xr:uid="{00000000-0002-0000-0000-000000000000}">
      <formula1>"Sim,Não"</formula1>
    </dataValidation>
    <dataValidation type="list" allowBlank="1" showInputMessage="1" showErrorMessage="1" sqref="K52" xr:uid="{00000000-0002-0000-0000-000001000000}">
      <formula1>"SIM,NÃO"</formula1>
    </dataValidation>
    <dataValidation type="list" allowBlank="1" showInputMessage="1" showErrorMessage="1" sqref="D38:F38" xr:uid="{00000000-0002-0000-0000-000002000000}">
      <formula1>Dados.Lista.Localidade</formula1>
    </dataValidation>
    <dataValidation type="list" allowBlank="1" showInputMessage="1" showErrorMessage="1" sqref="K43:M43" xr:uid="{00000000-0002-0000-0000-000003000000}">
      <formula1>Dados.Lista.RegimeExecução</formula1>
    </dataValidation>
    <dataValidation type="list" allowBlank="1" showInputMessage="1" showErrorMessage="1" sqref="N43" xr:uid="{00000000-0002-0000-0000-000004000000}">
      <formula1>Dados.Lista.Acompanhamento</formula1>
    </dataValidation>
    <dataValidation type="date" operator="greaterThan" allowBlank="1" showInputMessage="1" showErrorMessage="1" errorTitle="Erro de valor" error="Digite somente datas." sqref="A38:B38 H43:I43 A48:C48" xr:uid="{00000000-0002-0000-0000-000005000000}">
      <formula1>36526</formula1>
    </dataValidation>
    <dataValidation allowBlank="1" showInputMessage="1" showErrorMessage="1" promptTitle="Nº OPERAÇÃO:" prompt="nº do Contrato de Repasse ou Termo de Compromisso, firmado com a CAIXA._x000a_Formato 0.000.000-00/0000." sqref="A29:B29" xr:uid="{00000000-0002-0000-0000-000006000000}"/>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4202" r:id="rId4" name="OptionPLQ-ON">
              <controlPr defaultSize="0" print="0" autoFill="0" autoLine="0" autoPict="0" macro="[0]!ShowPLQ" altText="Parcela 1">
                <anchor moveWithCells="1">
                  <from>
                    <xdr:col>0</xdr:col>
                    <xdr:colOff>381000</xdr:colOff>
                    <xdr:row>18</xdr:row>
                    <xdr:rowOff>85725</xdr:rowOff>
                  </from>
                  <to>
                    <xdr:col>5</xdr:col>
                    <xdr:colOff>228600</xdr:colOff>
                    <xdr:row>20</xdr:row>
                    <xdr:rowOff>47625</xdr:rowOff>
                  </to>
                </anchor>
              </controlPr>
            </control>
          </mc:Choice>
        </mc:AlternateContent>
        <mc:AlternateContent xmlns:mc="http://schemas.openxmlformats.org/markup-compatibility/2006">
          <mc:Choice Requires="x14">
            <control shapeId="34203" r:id="rId5" name="OptionPLQ-OFF">
              <controlPr defaultSize="0" print="0" autoFill="0" autoLine="0" autoPict="0" macro="[0]!HidePLQ" altText="Parcela 1">
                <anchor moveWithCells="1">
                  <from>
                    <xdr:col>5</xdr:col>
                    <xdr:colOff>228600</xdr:colOff>
                    <xdr:row>18</xdr:row>
                    <xdr:rowOff>85725</xdr:rowOff>
                  </from>
                  <to>
                    <xdr:col>11</xdr:col>
                    <xdr:colOff>142875</xdr:colOff>
                    <xdr:row>20</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4">
    <tabColor rgb="FFFFFF00"/>
    <pageSetUpPr fitToPage="1"/>
  </sheetPr>
  <dimension ref="A1:AE60"/>
  <sheetViews>
    <sheetView showGridLines="0" topLeftCell="I1" zoomScaleNormal="100" zoomScaleSheetLayoutView="100" zoomScalePageLayoutView="70" workbookViewId="0">
      <selection activeCell="I8" sqref="I8:R8"/>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6" t="s">
        <v>150</v>
      </c>
      <c r="J4" s="214"/>
      <c r="K4" s="206" t="s">
        <v>173</v>
      </c>
      <c r="L4" s="207"/>
      <c r="M4" s="207"/>
      <c r="N4" s="207"/>
      <c r="O4" s="207"/>
      <c r="P4" s="207"/>
      <c r="Q4" s="207"/>
      <c r="R4" s="214"/>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05">
        <f>DADOS!A29</f>
        <v>0</v>
      </c>
      <c r="J5" s="306"/>
      <c r="K5" s="307" t="str">
        <f>DADOS!A32</f>
        <v>MUNICÍPIO DE FREDERICO WESTPHALEN</v>
      </c>
      <c r="L5" s="308"/>
      <c r="M5" s="308"/>
      <c r="N5" s="308"/>
      <c r="O5" s="308"/>
      <c r="P5" s="308"/>
      <c r="Q5" s="308"/>
      <c r="R5" s="306"/>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6" t="s">
        <v>0</v>
      </c>
      <c r="J7" s="207"/>
      <c r="K7" s="207"/>
      <c r="L7" s="207"/>
      <c r="M7" s="207"/>
      <c r="N7" s="207"/>
      <c r="O7" s="207"/>
      <c r="P7" s="207"/>
      <c r="Q7" s="207"/>
      <c r="R7" s="214"/>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09" t="str">
        <f>DADOS!P29</f>
        <v>AMPLIAÇÃO, MODERNIZAÇÃO E REFORMA DA EMEF 21 DE ABRIL</v>
      </c>
      <c r="J8" s="309"/>
      <c r="K8" s="309"/>
      <c r="L8" s="309"/>
      <c r="M8" s="309"/>
      <c r="N8" s="309"/>
      <c r="O8" s="309"/>
      <c r="P8" s="309"/>
      <c r="Q8" s="309"/>
      <c r="R8" s="309"/>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6" t="s">
        <v>35</v>
      </c>
      <c r="J10" s="207"/>
      <c r="K10" s="207"/>
      <c r="L10" s="207"/>
      <c r="M10" s="207"/>
      <c r="N10" s="207"/>
      <c r="O10" s="207"/>
      <c r="P10" s="207"/>
      <c r="Q10" s="206" t="s">
        <v>13</v>
      </c>
      <c r="R10" s="214"/>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300" t="s">
        <v>28</v>
      </c>
      <c r="J11" s="301"/>
      <c r="K11" s="301"/>
      <c r="L11" s="301"/>
      <c r="M11" s="301"/>
      <c r="N11" s="301"/>
      <c r="O11" s="301"/>
      <c r="P11" s="302"/>
      <c r="Q11" s="303" t="str">
        <f>DADOS!$C$38</f>
        <v>Sim</v>
      </c>
      <c r="R11" s="304"/>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14" t="s">
        <v>36</v>
      </c>
      <c r="J13" s="314"/>
      <c r="K13" s="314"/>
      <c r="L13" s="314"/>
      <c r="M13" s="314"/>
      <c r="N13" s="314"/>
      <c r="O13" s="314"/>
      <c r="P13" s="314"/>
      <c r="Q13" s="311">
        <v>0.3</v>
      </c>
      <c r="R13" s="311"/>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12" t="s">
        <v>38</v>
      </c>
      <c r="J14" s="312"/>
      <c r="K14" s="312"/>
      <c r="L14" s="312"/>
      <c r="M14" s="312"/>
      <c r="N14" s="312"/>
      <c r="O14" s="312"/>
      <c r="P14" s="312"/>
      <c r="Q14" s="311">
        <v>0.02</v>
      </c>
      <c r="R14" s="311"/>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13" t="s">
        <v>39</v>
      </c>
      <c r="J16" s="313"/>
      <c r="K16" s="313"/>
      <c r="L16" s="313"/>
      <c r="M16" s="313" t="s">
        <v>40</v>
      </c>
      <c r="N16" s="315" t="s">
        <v>41</v>
      </c>
      <c r="O16" s="315" t="s">
        <v>42</v>
      </c>
      <c r="P16" s="313" t="s">
        <v>43</v>
      </c>
      <c r="Q16" s="313" t="s">
        <v>44</v>
      </c>
      <c r="R16" s="294" t="s">
        <v>45</v>
      </c>
      <c r="T16" s="291" t="str">
        <f>IF(V27,"Para BDI fora do intervalo estatístico, deve ser apresentado Relatório Técnico Circunstanciado justificando a adoção do percentual de cada parcela do BDI.","")</f>
        <v/>
      </c>
      <c r="U16" s="291"/>
      <c r="V16" s="92"/>
      <c r="W16" s="92"/>
      <c r="X16" s="92"/>
      <c r="Y16" s="92"/>
      <c r="Z16" s="92"/>
      <c r="AA16" s="92"/>
      <c r="AB16" s="92"/>
      <c r="AC16" s="92"/>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13"/>
      <c r="J17" s="313"/>
      <c r="K17" s="313"/>
      <c r="L17" s="313"/>
      <c r="M17" s="313"/>
      <c r="N17" s="315"/>
      <c r="O17" s="315"/>
      <c r="P17" s="313"/>
      <c r="Q17" s="313"/>
      <c r="R17" s="294"/>
      <c r="T17" s="291"/>
      <c r="U17" s="291"/>
      <c r="V17" s="92"/>
      <c r="W17" s="92"/>
      <c r="X17" s="92"/>
      <c r="Y17" s="92"/>
      <c r="Z17" s="92"/>
      <c r="AA17" s="92"/>
      <c r="AB17" s="92"/>
      <c r="AC17" s="92"/>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79" t="str">
        <f>IF($I$11=$A$59,"Encargos Sociais incidentes sobre a mão de obra","Administração Central")</f>
        <v>Administração Central</v>
      </c>
      <c r="J18" s="279"/>
      <c r="K18" s="279"/>
      <c r="L18" s="279"/>
      <c r="M18" s="50" t="str">
        <f>IF($I$11=$A$59,"K1","AC")</f>
        <v>AC</v>
      </c>
      <c r="N18" s="200">
        <v>0.04</v>
      </c>
      <c r="O18" s="51" t="s">
        <v>46</v>
      </c>
      <c r="P18" s="52">
        <f>VLOOKUP(CONCATENATE(I$11,"-",M18),$C$2:$G$49,3,FALSE)</f>
        <v>0.03</v>
      </c>
      <c r="Q18" s="52">
        <f>VLOOKUP(CONCATENATE(I$11,"-",M18),$C$2:$G$49,4,FALSE)</f>
        <v>0.04</v>
      </c>
      <c r="R18" s="52">
        <f>VLOOKUP(CONCATENATE(I$11,"-",M18),$C$2:$G$49,5,FALSE)</f>
        <v>5.5E-2</v>
      </c>
      <c r="T18" s="291"/>
      <c r="U18" s="291"/>
      <c r="V18" s="92"/>
      <c r="W18" s="92"/>
      <c r="X18" s="92"/>
      <c r="Y18" s="92"/>
      <c r="Z18" s="92"/>
      <c r="AA18" s="92"/>
      <c r="AB18" s="92"/>
      <c r="AC18" s="92"/>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79" t="str">
        <f>IF($I$11=$A$59,"Administração Central da empresa ou consultoria - overhead","Seguro e Garantia")</f>
        <v>Seguro e Garantia</v>
      </c>
      <c r="J19" s="279"/>
      <c r="K19" s="279"/>
      <c r="L19" s="279"/>
      <c r="M19" s="50" t="str">
        <f>IF($I$11=$A$59,"K2","SG")</f>
        <v>SG</v>
      </c>
      <c r="N19" s="200">
        <v>8.0000000000000002E-3</v>
      </c>
      <c r="O19" s="51" t="s">
        <v>46</v>
      </c>
      <c r="P19" s="52">
        <f>VLOOKUP(CONCATENATE(I$11,"-",M19),$C$2:$G$49,3,FALSE)</f>
        <v>8.0000000000000002E-3</v>
      </c>
      <c r="Q19" s="52">
        <f>VLOOKUP(CONCATENATE(I$11,"-",M19),$C$2:$G$49,4,FALSE)</f>
        <v>8.0000000000000002E-3</v>
      </c>
      <c r="R19" s="52">
        <f>VLOOKUP(CONCATENATE(I$11,"-",M19),$C$2:$G$49,5,FALSE)</f>
        <v>0.01</v>
      </c>
      <c r="T19" s="291"/>
      <c r="U19" s="291"/>
      <c r="V19" s="92"/>
      <c r="W19" s="92"/>
      <c r="X19" s="92"/>
      <c r="Y19" s="92"/>
      <c r="Z19" s="92"/>
      <c r="AA19" s="92"/>
      <c r="AB19" s="92"/>
      <c r="AC19" s="92"/>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79" t="str">
        <f>IF($I$11=$A$59,"","Risco")</f>
        <v>Risco</v>
      </c>
      <c r="J20" s="279"/>
      <c r="K20" s="279"/>
      <c r="L20" s="279"/>
      <c r="M20" s="50" t="str">
        <f>IF($I$11=$A$59,"","R")</f>
        <v>R</v>
      </c>
      <c r="N20" s="200">
        <v>1.2699999999999999E-2</v>
      </c>
      <c r="O20" s="51" t="s">
        <v>46</v>
      </c>
      <c r="P20" s="52">
        <f>VLOOKUP(CONCATENATE(I$11,"-",M20),$C$2:$G$49,3,FALSE)</f>
        <v>9.7000000000000003E-3</v>
      </c>
      <c r="Q20" s="52">
        <f>VLOOKUP(CONCATENATE(I$11,"-",M20),$C$2:$G$49,4,FALSE)</f>
        <v>1.2699999999999999E-2</v>
      </c>
      <c r="R20" s="52">
        <f>VLOOKUP(CONCATENATE(I$11,"-",M20),$C$2:$G$49,5,FALSE)</f>
        <v>1.2699999999999999E-2</v>
      </c>
      <c r="T20" s="291"/>
      <c r="U20" s="291"/>
      <c r="V20" s="92"/>
      <c r="W20" s="92"/>
      <c r="X20" s="92"/>
      <c r="Y20" s="92"/>
      <c r="Z20" s="92"/>
      <c r="AA20" s="92"/>
      <c r="AB20" s="92"/>
      <c r="AC20" s="92"/>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79" t="str">
        <f>IF($I$11=$A$59,"","Despesas Financeiras")</f>
        <v>Despesas Financeiras</v>
      </c>
      <c r="J21" s="279"/>
      <c r="K21" s="279"/>
      <c r="L21" s="279"/>
      <c r="M21" s="50" t="str">
        <f>IF($I$11=$A$59,"","DF")</f>
        <v>DF</v>
      </c>
      <c r="N21" s="200">
        <v>1.23E-2</v>
      </c>
      <c r="O21" s="51" t="s">
        <v>46</v>
      </c>
      <c r="P21" s="52">
        <f>VLOOKUP(CONCATENATE(I$11,"-",M21),$C$2:$G$49,3,FALSE)</f>
        <v>5.8999999999999999E-3</v>
      </c>
      <c r="Q21" s="52">
        <f>VLOOKUP(CONCATENATE(I$11,"-",M21),$C$2:$G$49,4,FALSE)</f>
        <v>1.23E-2</v>
      </c>
      <c r="R21" s="52">
        <f>VLOOKUP(CONCATENATE(I$11,"-",M21),$C$2:$G$49,5,FALSE)</f>
        <v>1.3899999999999999E-2</v>
      </c>
      <c r="T21" s="291"/>
      <c r="U21" s="291"/>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79" t="str">
        <f>IF($I$11=$A$59,"Margem bruta da empresa de consultoria","Lucro")</f>
        <v>Lucro</v>
      </c>
      <c r="J22" s="279"/>
      <c r="K22" s="279"/>
      <c r="L22" s="279"/>
      <c r="M22" s="50" t="str">
        <f>IF($I$11=$A$59,"K3","L")</f>
        <v>L</v>
      </c>
      <c r="N22" s="200">
        <v>7.3999999999999996E-2</v>
      </c>
      <c r="O22" s="51" t="s">
        <v>46</v>
      </c>
      <c r="P22" s="52">
        <f>VLOOKUP(CONCATENATE(I$11,"-",M22),$C$2:$G$49,3,FALSE)</f>
        <v>6.1600000000000002E-2</v>
      </c>
      <c r="Q22" s="52">
        <f>VLOOKUP(CONCATENATE(I$11,"-",M22),$C$2:$G$49,4,FALSE)</f>
        <v>7.400000000000001E-2</v>
      </c>
      <c r="R22" s="52">
        <f>VLOOKUP(CONCATENATE(I$11,"-",M22),$C$2:$G$49,5,FALSE)</f>
        <v>8.9600000000000013E-2</v>
      </c>
      <c r="T22" s="291"/>
      <c r="U22" s="291"/>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3" t="s">
        <v>48</v>
      </c>
      <c r="J23" s="293"/>
      <c r="K23" s="293"/>
      <c r="L23" s="293"/>
      <c r="M23" s="50" t="s">
        <v>49</v>
      </c>
      <c r="N23" s="200">
        <v>3.6499999999999998E-2</v>
      </c>
      <c r="O23" s="51" t="s">
        <v>46</v>
      </c>
      <c r="P23" s="52">
        <v>3.6499999999999998E-2</v>
      </c>
      <c r="Q23" s="52">
        <v>3.6499999999999998E-2</v>
      </c>
      <c r="R23" s="52">
        <v>3.6499999999999998E-2</v>
      </c>
      <c r="T23" s="291"/>
      <c r="U23" s="291"/>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79" t="s">
        <v>50</v>
      </c>
      <c r="J24" s="279"/>
      <c r="K24" s="279"/>
      <c r="L24" s="279"/>
      <c r="M24" s="50" t="s">
        <v>51</v>
      </c>
      <c r="N24" s="52">
        <f>IF($I$11&lt;&gt;$A$58,Q14*Q13,0)</f>
        <v>6.0000000000000001E-3</v>
      </c>
      <c r="O24" s="51" t="s">
        <v>46</v>
      </c>
      <c r="P24" s="52">
        <v>0</v>
      </c>
      <c r="Q24" s="52">
        <v>2.5000000000000001E-2</v>
      </c>
      <c r="R24" s="52">
        <v>0.05</v>
      </c>
      <c r="T24" s="291"/>
      <c r="U24" s="291"/>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79" t="s">
        <v>116</v>
      </c>
      <c r="J25" s="279"/>
      <c r="K25" s="279"/>
      <c r="L25" s="279"/>
      <c r="M25" s="50" t="s">
        <v>52</v>
      </c>
      <c r="N25" s="52">
        <f>IF(AND($I$11&lt;&gt;$A$58,Q11="Sim"),4.5%,0%)</f>
        <v>4.4999999999999998E-2</v>
      </c>
      <c r="O25" s="51" t="str">
        <f>IF(AND(N25&gt;=P25, N25&lt;=R25), "OK", "Não OK")</f>
        <v>OK</v>
      </c>
      <c r="P25" s="53">
        <v>0</v>
      </c>
      <c r="Q25" s="53">
        <v>4.4999999999999998E-2</v>
      </c>
      <c r="R25" s="53">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79" t="s">
        <v>53</v>
      </c>
      <c r="J26" s="279"/>
      <c r="K26" s="279"/>
      <c r="L26" s="279"/>
      <c r="M26" s="54" t="s">
        <v>33</v>
      </c>
      <c r="N26" s="52">
        <f>IF($I$11=$A$58,0,ROUND((((1+N18+N19+N20)*(1+N21)*(1+N22)/(1-(N23+N24)))-1),4))</f>
        <v>0.2044</v>
      </c>
      <c r="O26" s="90" t="str">
        <f>IF(OR($I$11=$A$59,$I$11=$A$58,AND(N26&gt;=P26, N26&lt;=R26)), "OK", "FORA DO INTERVALO")</f>
        <v>OK</v>
      </c>
      <c r="P26" s="52">
        <f>IF($I$11=$A$58,0,VLOOKUP(CONCATENATE($I$11,"-",$M26),$C$2:$G$49,3,FALSE))</f>
        <v>0.2034</v>
      </c>
      <c r="Q26" s="52">
        <f>IF($I$11=$A$58,0,VLOOKUP(CONCATENATE($I$11,"-",$M26),$C$2:$G$49,4,FALSE))</f>
        <v>0.22120000000000001</v>
      </c>
      <c r="R26" s="52">
        <f>IF($I$11=$A$58,0,VLOOKUP(CONCATENATE($I$11,"-",$M26),$C$2:$G$49,5,FALSE))</f>
        <v>0.25</v>
      </c>
      <c r="T26" s="91"/>
      <c r="V26" s="92"/>
      <c r="W26" s="92"/>
      <c r="X26" s="92"/>
      <c r="Y26" s="92"/>
      <c r="Z26" s="92"/>
      <c r="AA26" s="92"/>
      <c r="AB26" s="92"/>
      <c r="AC26" s="92"/>
      <c r="AD26" s="92"/>
      <c r="AE26" s="92"/>
    </row>
    <row r="27" spans="1:31" ht="30" customHeight="1" x14ac:dyDescent="0.25">
      <c r="A27" s="42" t="s">
        <v>54</v>
      </c>
      <c r="B27" s="44" t="s">
        <v>29</v>
      </c>
      <c r="C27" s="42" t="str">
        <f t="shared" si="0"/>
        <v>Obras Portuárias, Marítimas e Fluviais-AC</v>
      </c>
      <c r="E27" s="45">
        <v>0.04</v>
      </c>
      <c r="F27" s="45">
        <v>5.5199999999999999E-2</v>
      </c>
      <c r="G27" s="45">
        <v>7.85E-2</v>
      </c>
      <c r="I27" s="280" t="s">
        <v>55</v>
      </c>
      <c r="J27" s="280"/>
      <c r="K27" s="280"/>
      <c r="L27" s="280"/>
      <c r="M27" s="55" t="s">
        <v>56</v>
      </c>
      <c r="N27" s="56">
        <f>IF($I$11=$A$58,0,ROUND((((1+N18+N19+N20)*(1+N21)*(1+N22)/(1-(N23+N24+N25)))-1),4))</f>
        <v>0.26379999999999998</v>
      </c>
      <c r="O27" s="94" t="str">
        <f>IF(Q11&lt;&gt;"Sim","",O26)</f>
        <v>OK</v>
      </c>
      <c r="P27" s="281"/>
      <c r="Q27" s="281"/>
      <c r="R27" s="281"/>
      <c r="T27" s="91"/>
      <c r="V27" s="95"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5"/>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3" t="str">
        <f>IF(V29,"X","")</f>
        <v/>
      </c>
      <c r="J29" s="278" t="s">
        <v>117</v>
      </c>
      <c r="K29" s="278"/>
      <c r="L29" s="278"/>
      <c r="M29" s="278"/>
      <c r="N29" s="278"/>
      <c r="O29" s="278"/>
      <c r="P29" s="278"/>
      <c r="Q29" s="278"/>
      <c r="R29" s="278"/>
      <c r="V29" s="95" t="b">
        <v>0</v>
      </c>
      <c r="W29" s="42" t="s">
        <v>119</v>
      </c>
    </row>
    <row r="30" spans="1:31" ht="7.5" customHeight="1" x14ac:dyDescent="0.2">
      <c r="B30" s="44"/>
      <c r="E30" s="45"/>
      <c r="F30" s="45"/>
      <c r="G30" s="45"/>
      <c r="V30" s="95"/>
    </row>
    <row r="31" spans="1:31" ht="18.75" customHeight="1" x14ac:dyDescent="0.2">
      <c r="B31" s="44"/>
      <c r="E31" s="45"/>
      <c r="F31" s="45"/>
      <c r="G31" s="45"/>
      <c r="I31" s="283" t="s">
        <v>61</v>
      </c>
      <c r="J31" s="283"/>
      <c r="K31" s="283"/>
      <c r="L31" s="283"/>
      <c r="M31" s="283"/>
      <c r="N31" s="283"/>
      <c r="O31" s="283"/>
      <c r="P31" s="283"/>
      <c r="Q31" s="283"/>
      <c r="R31" s="283"/>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4"/>
      <c r="J32" s="84"/>
      <c r="K32" s="84"/>
      <c r="L32" s="299" t="str">
        <f>IF(Q11="Sim","BDI.DES =","BDI.PAD =")</f>
        <v>BDI.DES =</v>
      </c>
      <c r="M32" s="297" t="str">
        <f>IF($I$11=$A$59,"(1+K1+K2)*(1+K3)","(1+AC + S + R + G)*(1 + DF)*(1+L)")</f>
        <v>(1+AC + S + R + G)*(1 + DF)*(1+L)</v>
      </c>
      <c r="N32" s="297"/>
      <c r="O32" s="297"/>
      <c r="P32" s="295" t="s">
        <v>108</v>
      </c>
      <c r="Q32" s="84"/>
      <c r="R32" s="84"/>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4"/>
      <c r="J33" s="84"/>
      <c r="K33" s="84"/>
      <c r="L33" s="299"/>
      <c r="M33" s="298" t="str">
        <f>IF(Q11="Sim","(1-CP-ISS-CRPB)","(1-CP-ISS)")</f>
        <v>(1-CP-ISS-CRPB)</v>
      </c>
      <c r="N33" s="298"/>
      <c r="O33" s="298"/>
      <c r="P33" s="296"/>
      <c r="Q33" s="84"/>
      <c r="R33" s="84"/>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0"/>
      <c r="J34" s="60"/>
      <c r="K34" s="60"/>
      <c r="L34" s="60"/>
      <c r="M34" s="60"/>
      <c r="N34" s="60"/>
      <c r="O34" s="60"/>
      <c r="P34" s="60"/>
      <c r="Q34" s="60"/>
      <c r="R34" s="60"/>
    </row>
    <row r="35" spans="1:18" ht="45" customHeight="1" x14ac:dyDescent="0.2">
      <c r="B35" s="49"/>
      <c r="E35" s="45"/>
      <c r="F35" s="45"/>
      <c r="G35" s="45"/>
      <c r="I35" s="284"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30%, com a respectiva alíquota de 2%.</v>
      </c>
      <c r="J35" s="284"/>
      <c r="K35" s="284"/>
      <c r="L35" s="284"/>
      <c r="M35" s="284"/>
      <c r="N35" s="284"/>
      <c r="O35" s="284"/>
      <c r="P35" s="284"/>
      <c r="Q35" s="284"/>
      <c r="R35" s="284"/>
    </row>
    <row r="36" spans="1:18" ht="11.25" customHeight="1" x14ac:dyDescent="0.2">
      <c r="B36" s="49"/>
      <c r="E36" s="45"/>
      <c r="F36" s="45"/>
      <c r="G36" s="45"/>
    </row>
    <row r="37" spans="1:18" ht="52.5" customHeight="1" x14ac:dyDescent="0.2">
      <c r="B37" s="49"/>
      <c r="E37" s="45"/>
      <c r="F37" s="45"/>
      <c r="G37" s="45"/>
      <c r="I37" s="284"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J37" s="284"/>
      <c r="K37" s="284"/>
      <c r="L37" s="284"/>
      <c r="M37" s="284"/>
      <c r="N37" s="284"/>
      <c r="O37" s="284"/>
      <c r="P37" s="284"/>
      <c r="Q37" s="284"/>
      <c r="R37" s="284"/>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86"/>
      <c r="J40" s="287"/>
      <c r="K40" s="287"/>
      <c r="L40" s="287"/>
      <c r="M40" s="287"/>
      <c r="N40" s="287"/>
      <c r="O40" s="287"/>
      <c r="P40" s="287"/>
      <c r="Q40" s="287"/>
      <c r="R40" s="288"/>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2" t="str">
        <f>PO!K286</f>
        <v>FREDERICO WESTPHALEN/RS</v>
      </c>
      <c r="J42" s="292"/>
      <c r="K42" s="292"/>
      <c r="L42" s="292"/>
      <c r="O42" s="285">
        <f ca="1">PO!K289</f>
        <v>45604</v>
      </c>
      <c r="P42" s="285"/>
      <c r="Q42" s="285"/>
      <c r="R42" s="285"/>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10" t="s">
        <v>120</v>
      </c>
      <c r="J43" s="310"/>
      <c r="K43" s="310"/>
      <c r="L43" s="310"/>
      <c r="N43" s="57"/>
      <c r="O43" s="121" t="s">
        <v>121</v>
      </c>
      <c r="P43" s="122"/>
      <c r="Q43" s="122"/>
      <c r="R43" s="122"/>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82"/>
      <c r="J45" s="282"/>
      <c r="K45" s="282"/>
      <c r="L45" s="282"/>
      <c r="M45" s="58"/>
      <c r="N45" s="58"/>
      <c r="O45" s="282"/>
      <c r="P45" s="282"/>
      <c r="Q45" s="282"/>
      <c r="R45" s="282"/>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289" t="s">
        <v>57</v>
      </c>
      <c r="J46" s="289"/>
      <c r="K46" s="289"/>
      <c r="L46" s="289"/>
      <c r="O46" s="289" t="s">
        <v>58</v>
      </c>
      <c r="P46" s="289"/>
      <c r="Q46" s="289"/>
      <c r="R46" s="289"/>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277" t="str">
        <f>DADOS!B54</f>
        <v>JARDEL F. KONZEN</v>
      </c>
      <c r="K47" s="277"/>
      <c r="L47" s="277"/>
      <c r="M47" s="58"/>
      <c r="N47" s="58"/>
      <c r="O47" s="21" t="s">
        <v>140</v>
      </c>
      <c r="P47" s="290"/>
      <c r="Q47" s="290"/>
      <c r="R47" s="290"/>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277" t="str">
        <f>DADOS!B55</f>
        <v>ENGENHEIRO CIVIL</v>
      </c>
      <c r="K48" s="277"/>
      <c r="L48" s="277"/>
      <c r="M48" s="58"/>
      <c r="N48" s="58"/>
      <c r="O48" s="21" t="s">
        <v>60</v>
      </c>
      <c r="P48" s="290" t="s">
        <v>266</v>
      </c>
      <c r="Q48" s="290"/>
      <c r="R48" s="290"/>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CREA/CAU:</v>
      </c>
      <c r="J49" s="277" t="str">
        <f>DADOS!B56</f>
        <v>233.385</v>
      </c>
      <c r="K49" s="277"/>
      <c r="L49" s="277"/>
      <c r="M49" s="58"/>
      <c r="N49" s="58"/>
      <c r="O49" s="58"/>
      <c r="P49" s="58"/>
      <c r="Q49" s="58"/>
      <c r="R49" s="58"/>
    </row>
    <row r="50" spans="1:18" x14ac:dyDescent="0.2">
      <c r="I50" s="21" t="str">
        <f>DADOS!A57</f>
        <v>ART/RRT:</v>
      </c>
      <c r="J50" s="277" t="str">
        <f>DADOS!B57</f>
        <v>13465638</v>
      </c>
      <c r="K50" s="277"/>
      <c r="L50" s="277"/>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59"/>
      <c r="B60" s="58"/>
      <c r="C60" s="58"/>
      <c r="D60" s="58"/>
      <c r="E60" s="58"/>
      <c r="F60" s="58"/>
      <c r="G60" s="58"/>
    </row>
  </sheetData>
  <sheetProtection password="C95B"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3" type="noConversion"/>
  <conditionalFormatting sqref="O42">
    <cfRule type="expression" dxfId="728" priority="6" stopIfTrue="1">
      <formula>$O$42=""</formula>
    </cfRule>
  </conditionalFormatting>
  <conditionalFormatting sqref="O18:O27">
    <cfRule type="expression" dxfId="727" priority="11" stopIfTrue="1">
      <formula>AND(O18&lt;&gt;"OK",O18&lt;&gt;"-",O18&lt;&gt;"")</formula>
    </cfRule>
    <cfRule type="cellIs" dxfId="726" priority="12" stopIfTrue="1" operator="equal">
      <formula>"OK"</formula>
    </cfRule>
  </conditionalFormatting>
  <conditionalFormatting sqref="I26:N26">
    <cfRule type="expression" dxfId="725" priority="10" stopIfTrue="1">
      <formula>$Q$11="Não"</formula>
    </cfRule>
  </conditionalFormatting>
  <conditionalFormatting sqref="I27:N27">
    <cfRule type="expression" dxfId="724" priority="9" stopIfTrue="1">
      <formula>$Q$11="sim"</formula>
    </cfRule>
  </conditionalFormatting>
  <conditionalFormatting sqref="P27:R27">
    <cfRule type="expression" dxfId="723" priority="8" stopIfTrue="1">
      <formula>$Q$11="sim"</formula>
    </cfRule>
  </conditionalFormatting>
  <conditionalFormatting sqref="P47:R48">
    <cfRule type="expression" dxfId="722" priority="7" stopIfTrue="1">
      <formula>P47=""</formula>
    </cfRule>
  </conditionalFormatting>
  <conditionalFormatting sqref="I29:R29">
    <cfRule type="expression" dxfId="721" priority="3" stopIfTrue="1">
      <formula>AND(NOT($V$27),NOT($V$29))</formula>
    </cfRule>
  </conditionalFormatting>
  <conditionalFormatting sqref="P18:R26">
    <cfRule type="expression" dxfId="720" priority="2" stopIfTrue="1">
      <formula>$I$11=$A$58</formula>
    </cfRule>
  </conditionalFormatting>
  <dataValidations disablePrompts="1" count="6">
    <dataValidation type="list" allowBlank="1" showInputMessage="1" showErrorMessage="1" sqref="I11:P11" xr:uid="{00000000-0002-0000-0100-000000000000}">
      <formula1>$A$52:$A$59</formula1>
    </dataValidation>
    <dataValidation operator="greaterThanOrEqual" allowBlank="1" showInputMessage="1" showErrorMessage="1" errorTitle="Erro de valores" error="Digite um valor igual a 0% ou 2%." sqref="N25" xr:uid="{00000000-0002-0000-0100-000001000000}"/>
    <dataValidation type="decimal" allowBlank="1" showInputMessage="1" showErrorMessage="1" errorTitle="Erro de valores" error="Digite um valor maior do que 0." sqref="N24" xr:uid="{00000000-0002-0000-0100-000002000000}">
      <formula1>0</formula1>
      <formula2>1</formula2>
    </dataValidation>
    <dataValidation type="decimal" allowBlank="1" showInputMessage="1" showErrorMessage="1" errorTitle="Valor não permitido" error="Digite um percentual entre 0% e 100%." promptTitle="Valores admissíveis:" prompt="Insira valores entre 0 e 100%." sqref="Q13:R13" xr:uid="{00000000-0002-0000-0100-000003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100-000004000000}">
      <formula1>0</formula1>
    </dataValidation>
    <dataValidation type="decimal" allowBlank="1" showInputMessage="1" showErrorMessage="1" errorTitle="Erro de valores" error="Digite um valor entre 0% e 100%" sqref="N18:N23" xr:uid="{00000000-0002-0000-0100-000005000000}">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5">
    <tabColor rgb="FFFFFF00"/>
    <pageSetUpPr fitToPage="1"/>
  </sheetPr>
  <dimension ref="A1:AE60"/>
  <sheetViews>
    <sheetView showGridLines="0" topLeftCell="I4" zoomScale="85" zoomScaleNormal="85" zoomScaleSheetLayoutView="100" zoomScalePageLayoutView="70" workbookViewId="0">
      <selection activeCell="T16" sqref="T16:U24"/>
    </sheetView>
  </sheetViews>
  <sheetFormatPr defaultColWidth="0" defaultRowHeight="12.75" customHeight="1"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2</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6" t="s">
        <v>150</v>
      </c>
      <c r="J4" s="214"/>
      <c r="K4" s="206" t="s">
        <v>173</v>
      </c>
      <c r="L4" s="207"/>
      <c r="M4" s="207"/>
      <c r="N4" s="207"/>
      <c r="O4" s="207"/>
      <c r="P4" s="207"/>
      <c r="Q4" s="207"/>
      <c r="R4" s="214"/>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05">
        <f>DADOS!A29</f>
        <v>0</v>
      </c>
      <c r="J5" s="306"/>
      <c r="K5" s="307" t="str">
        <f>DADOS!A32</f>
        <v>MUNICÍPIO DE FREDERICO WESTPHALEN</v>
      </c>
      <c r="L5" s="308"/>
      <c r="M5" s="308"/>
      <c r="N5" s="308"/>
      <c r="O5" s="308"/>
      <c r="P5" s="308"/>
      <c r="Q5" s="308"/>
      <c r="R5" s="306"/>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6" t="s">
        <v>0</v>
      </c>
      <c r="J7" s="207"/>
      <c r="K7" s="207"/>
      <c r="L7" s="207"/>
      <c r="M7" s="207"/>
      <c r="N7" s="207"/>
      <c r="O7" s="207"/>
      <c r="P7" s="207"/>
      <c r="Q7" s="207"/>
      <c r="R7" s="214"/>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09" t="str">
        <f>DADOS!P29</f>
        <v>AMPLIAÇÃO, MODERNIZAÇÃO E REFORMA DA EMEF 21 DE ABRIL</v>
      </c>
      <c r="J8" s="309"/>
      <c r="K8" s="309"/>
      <c r="L8" s="309"/>
      <c r="M8" s="309"/>
      <c r="N8" s="309"/>
      <c r="O8" s="309"/>
      <c r="P8" s="309"/>
      <c r="Q8" s="309"/>
      <c r="R8" s="309"/>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6" t="s">
        <v>35</v>
      </c>
      <c r="J10" s="207"/>
      <c r="K10" s="207"/>
      <c r="L10" s="207"/>
      <c r="M10" s="207"/>
      <c r="N10" s="207"/>
      <c r="O10" s="207"/>
      <c r="P10" s="207"/>
      <c r="Q10" s="206" t="s">
        <v>13</v>
      </c>
      <c r="R10" s="214"/>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300" t="s">
        <v>28</v>
      </c>
      <c r="J11" s="301"/>
      <c r="K11" s="301"/>
      <c r="L11" s="301"/>
      <c r="M11" s="301"/>
      <c r="N11" s="301"/>
      <c r="O11" s="301"/>
      <c r="P11" s="302"/>
      <c r="Q11" s="303" t="str">
        <f>DADOS!$C$38</f>
        <v>Sim</v>
      </c>
      <c r="R11" s="304"/>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14" t="s">
        <v>36</v>
      </c>
      <c r="J13" s="314"/>
      <c r="K13" s="314"/>
      <c r="L13" s="314"/>
      <c r="M13" s="314"/>
      <c r="N13" s="314"/>
      <c r="O13" s="314"/>
      <c r="P13" s="314"/>
      <c r="Q13" s="311">
        <v>1</v>
      </c>
      <c r="R13" s="311"/>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12" t="s">
        <v>38</v>
      </c>
      <c r="J14" s="312"/>
      <c r="K14" s="312"/>
      <c r="L14" s="312"/>
      <c r="M14" s="312"/>
      <c r="N14" s="312"/>
      <c r="O14" s="312"/>
      <c r="P14" s="312"/>
      <c r="Q14" s="311">
        <v>0.02</v>
      </c>
      <c r="R14" s="311"/>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13" t="s">
        <v>39</v>
      </c>
      <c r="J16" s="313"/>
      <c r="K16" s="313"/>
      <c r="L16" s="313"/>
      <c r="M16" s="313" t="s">
        <v>40</v>
      </c>
      <c r="N16" s="315" t="s">
        <v>41</v>
      </c>
      <c r="O16" s="315" t="s">
        <v>42</v>
      </c>
      <c r="P16" s="313" t="s">
        <v>43</v>
      </c>
      <c r="Q16" s="313" t="s">
        <v>44</v>
      </c>
      <c r="R16" s="294" t="s">
        <v>45</v>
      </c>
      <c r="T16" s="291" t="str">
        <f>IF(V27,"Para BDI fora do intervalo estatístico, deve ser apresentado Relatório Técnico Circunstanciado justificando a adoção do percentual de cada parcela do BDI.","")</f>
        <v>Para BDI fora do intervalo estatístico, deve ser apresentado Relatório Técnico Circunstanciado justificando a adoção do percentual de cada parcela do BDI.</v>
      </c>
      <c r="U16" s="291"/>
      <c r="V16" s="92"/>
      <c r="W16" s="92"/>
      <c r="X16" s="92"/>
      <c r="Y16" s="92"/>
      <c r="Z16" s="92"/>
      <c r="AA16" s="92"/>
      <c r="AB16" s="92"/>
      <c r="AC16" s="92"/>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13"/>
      <c r="J17" s="313"/>
      <c r="K17" s="313"/>
      <c r="L17" s="313"/>
      <c r="M17" s="313"/>
      <c r="N17" s="315"/>
      <c r="O17" s="315"/>
      <c r="P17" s="313"/>
      <c r="Q17" s="313"/>
      <c r="R17" s="294"/>
      <c r="T17" s="291"/>
      <c r="U17" s="291"/>
      <c r="V17" s="92"/>
      <c r="W17" s="92"/>
      <c r="X17" s="92"/>
      <c r="Y17" s="92"/>
      <c r="Z17" s="92"/>
      <c r="AA17" s="92"/>
      <c r="AB17" s="92"/>
      <c r="AC17" s="92"/>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79" t="str">
        <f>IF($I$11=$A$59,"Encargos Sociais incidentes sobre a mão de obra","Administração Central")</f>
        <v>Administração Central</v>
      </c>
      <c r="J18" s="279"/>
      <c r="K18" s="279"/>
      <c r="L18" s="279"/>
      <c r="M18" s="50" t="str">
        <f>IF($I$11=$A$59,"K1","AC")</f>
        <v>AC</v>
      </c>
      <c r="N18" s="200">
        <v>5.0000000000000001E-3</v>
      </c>
      <c r="O18" s="51" t="s">
        <v>46</v>
      </c>
      <c r="P18" s="52">
        <f>VLOOKUP(CONCATENATE(I$11,"-",M18),$C$2:$G$49,3,FALSE)</f>
        <v>0.03</v>
      </c>
      <c r="Q18" s="52">
        <f>VLOOKUP(CONCATENATE(I$11,"-",M18),$C$2:$G$49,4,FALSE)</f>
        <v>0.04</v>
      </c>
      <c r="R18" s="52">
        <f>VLOOKUP(CONCATENATE(I$11,"-",M18),$C$2:$G$49,5,FALSE)</f>
        <v>5.5E-2</v>
      </c>
      <c r="T18" s="291"/>
      <c r="U18" s="291"/>
      <c r="V18" s="92"/>
      <c r="W18" s="92"/>
      <c r="X18" s="92"/>
      <c r="Y18" s="92"/>
      <c r="Z18" s="92"/>
      <c r="AA18" s="92"/>
      <c r="AB18" s="92"/>
      <c r="AC18" s="92"/>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79" t="str">
        <f>IF($I$11=$A$59,"Administração Central da empresa ou consultoria - overhead","Seguro e Garantia")</f>
        <v>Seguro e Garantia</v>
      </c>
      <c r="J19" s="279"/>
      <c r="K19" s="279"/>
      <c r="L19" s="279"/>
      <c r="M19" s="50" t="str">
        <f>IF($I$11=$A$59,"K2","SG")</f>
        <v>SG</v>
      </c>
      <c r="N19" s="200">
        <v>3.0000000000000001E-3</v>
      </c>
      <c r="O19" s="51" t="s">
        <v>46</v>
      </c>
      <c r="P19" s="52">
        <f>VLOOKUP(CONCATENATE(I$11,"-",M19),$C$2:$G$49,3,FALSE)</f>
        <v>8.0000000000000002E-3</v>
      </c>
      <c r="Q19" s="52">
        <f>VLOOKUP(CONCATENATE(I$11,"-",M19),$C$2:$G$49,4,FALSE)</f>
        <v>8.0000000000000002E-3</v>
      </c>
      <c r="R19" s="52">
        <f>VLOOKUP(CONCATENATE(I$11,"-",M19),$C$2:$G$49,5,FALSE)</f>
        <v>0.01</v>
      </c>
      <c r="T19" s="291"/>
      <c r="U19" s="291"/>
      <c r="V19" s="92"/>
      <c r="W19" s="92"/>
      <c r="X19" s="92"/>
      <c r="Y19" s="92"/>
      <c r="Z19" s="92"/>
      <c r="AA19" s="92"/>
      <c r="AB19" s="92"/>
      <c r="AC19" s="92"/>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79" t="str">
        <f>IF($I$11=$A$59,"","Risco")</f>
        <v>Risco</v>
      </c>
      <c r="J20" s="279"/>
      <c r="K20" s="279"/>
      <c r="L20" s="279"/>
      <c r="M20" s="50" t="str">
        <f>IF($I$11=$A$59,"","R")</f>
        <v>R</v>
      </c>
      <c r="N20" s="200">
        <v>5.5999999999999999E-3</v>
      </c>
      <c r="O20" s="51" t="s">
        <v>46</v>
      </c>
      <c r="P20" s="52">
        <f>VLOOKUP(CONCATENATE(I$11,"-",M20),$C$2:$G$49,3,FALSE)</f>
        <v>9.7000000000000003E-3</v>
      </c>
      <c r="Q20" s="52">
        <f>VLOOKUP(CONCATENATE(I$11,"-",M20),$C$2:$G$49,4,FALSE)</f>
        <v>1.2699999999999999E-2</v>
      </c>
      <c r="R20" s="52">
        <f>VLOOKUP(CONCATENATE(I$11,"-",M20),$C$2:$G$49,5,FALSE)</f>
        <v>1.2699999999999999E-2</v>
      </c>
      <c r="T20" s="291"/>
      <c r="U20" s="291"/>
      <c r="V20" s="92"/>
      <c r="W20" s="92"/>
      <c r="X20" s="92"/>
      <c r="Y20" s="92"/>
      <c r="Z20" s="92"/>
      <c r="AA20" s="92"/>
      <c r="AB20" s="92"/>
      <c r="AC20" s="92"/>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79" t="str">
        <f>IF($I$11=$A$59,"","Despesas Financeiras")</f>
        <v>Despesas Financeiras</v>
      </c>
      <c r="J21" s="279"/>
      <c r="K21" s="279"/>
      <c r="L21" s="279"/>
      <c r="M21" s="50" t="str">
        <f>IF($I$11=$A$59,"","DF")</f>
        <v>DF</v>
      </c>
      <c r="N21" s="200">
        <v>3.8999999999999998E-3</v>
      </c>
      <c r="O21" s="51" t="s">
        <v>46</v>
      </c>
      <c r="P21" s="52">
        <f>VLOOKUP(CONCATENATE(I$11,"-",M21),$C$2:$G$49,3,FALSE)</f>
        <v>5.8999999999999999E-3</v>
      </c>
      <c r="Q21" s="52">
        <f>VLOOKUP(CONCATENATE(I$11,"-",M21),$C$2:$G$49,4,FALSE)</f>
        <v>1.23E-2</v>
      </c>
      <c r="R21" s="52">
        <f>VLOOKUP(CONCATENATE(I$11,"-",M21),$C$2:$G$49,5,FALSE)</f>
        <v>1.3899999999999999E-2</v>
      </c>
      <c r="T21" s="291"/>
      <c r="U21" s="291"/>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79" t="str">
        <f>IF($I$11=$A$59,"Margem bruta da empresa de consultoria","Lucro")</f>
        <v>Lucro</v>
      </c>
      <c r="J22" s="279"/>
      <c r="K22" s="279"/>
      <c r="L22" s="279"/>
      <c r="M22" s="50" t="str">
        <f>IF($I$11=$A$59,"K3","L")</f>
        <v>L</v>
      </c>
      <c r="N22" s="200">
        <v>2.5000000000000001E-2</v>
      </c>
      <c r="O22" s="51" t="s">
        <v>46</v>
      </c>
      <c r="P22" s="52">
        <f>VLOOKUP(CONCATENATE(I$11,"-",M22),$C$2:$G$49,3,FALSE)</f>
        <v>6.1600000000000002E-2</v>
      </c>
      <c r="Q22" s="52">
        <f>VLOOKUP(CONCATENATE(I$11,"-",M22),$C$2:$G$49,4,FALSE)</f>
        <v>7.400000000000001E-2</v>
      </c>
      <c r="R22" s="52">
        <f>VLOOKUP(CONCATENATE(I$11,"-",M22),$C$2:$G$49,5,FALSE)</f>
        <v>8.9600000000000013E-2</v>
      </c>
      <c r="T22" s="291"/>
      <c r="U22" s="291"/>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3" t="s">
        <v>48</v>
      </c>
      <c r="J23" s="293"/>
      <c r="K23" s="293"/>
      <c r="L23" s="293"/>
      <c r="M23" s="50" t="s">
        <v>49</v>
      </c>
      <c r="N23" s="200">
        <v>0.03</v>
      </c>
      <c r="O23" s="51" t="s">
        <v>46</v>
      </c>
      <c r="P23" s="52">
        <v>3.6499999999999998E-2</v>
      </c>
      <c r="Q23" s="52">
        <v>3.6499999999999998E-2</v>
      </c>
      <c r="R23" s="52">
        <v>3.6499999999999998E-2</v>
      </c>
      <c r="T23" s="291"/>
      <c r="U23" s="291"/>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79" t="s">
        <v>50</v>
      </c>
      <c r="J24" s="279"/>
      <c r="K24" s="279"/>
      <c r="L24" s="279"/>
      <c r="M24" s="50" t="s">
        <v>51</v>
      </c>
      <c r="N24" s="52">
        <f>IF($I$11&lt;&gt;$A$58,Q14*Q13,0)</f>
        <v>0.02</v>
      </c>
      <c r="O24" s="51" t="s">
        <v>46</v>
      </c>
      <c r="P24" s="52">
        <v>0</v>
      </c>
      <c r="Q24" s="52">
        <v>2.5000000000000001E-2</v>
      </c>
      <c r="R24" s="52">
        <v>0.05</v>
      </c>
      <c r="T24" s="291"/>
      <c r="U24" s="291"/>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79" t="s">
        <v>116</v>
      </c>
      <c r="J25" s="279"/>
      <c r="K25" s="279"/>
      <c r="L25" s="279"/>
      <c r="M25" s="50" t="s">
        <v>52</v>
      </c>
      <c r="N25" s="52">
        <f>IF(AND($I$11&lt;&gt;$A$58,Q11="Sim"),4.5%,0%)</f>
        <v>4.4999999999999998E-2</v>
      </c>
      <c r="O25" s="51" t="str">
        <f>IF(AND(N25&gt;=P25, N25&lt;=R25), "OK", "Não OK")</f>
        <v>OK</v>
      </c>
      <c r="P25" s="53">
        <v>0</v>
      </c>
      <c r="Q25" s="53">
        <v>4.4999999999999998E-2</v>
      </c>
      <c r="R25" s="53">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79" t="s">
        <v>53</v>
      </c>
      <c r="J26" s="279"/>
      <c r="K26" s="279"/>
      <c r="L26" s="279"/>
      <c r="M26" s="54" t="s">
        <v>33</v>
      </c>
      <c r="N26" s="52">
        <f>IF($I$11=$A$58,0,ROUND((((1+N18+N19+N20)*(1+N21)*(1+N22)/(1-(N23+N24)))-1),4))</f>
        <v>9.7900000000000001E-2</v>
      </c>
      <c r="O26" s="90" t="str">
        <f>IF(OR($I$11=$A$59,$I$11=$A$58,AND(N26&gt;=P26, N26&lt;=R26)), "OK", "FORA DO INTERVALO")</f>
        <v>FORA DO INTERVALO</v>
      </c>
      <c r="P26" s="52">
        <f>IF($I$11=$A$58,0,VLOOKUP(CONCATENATE($I$11,"-",$M26),$C$2:$G$49,3,FALSE))</f>
        <v>0.2034</v>
      </c>
      <c r="Q26" s="52">
        <f>IF($I$11=$A$58,0,VLOOKUP(CONCATENATE($I$11,"-",$M26),$C$2:$G$49,4,FALSE))</f>
        <v>0.22120000000000001</v>
      </c>
      <c r="R26" s="52">
        <f>IF($I$11=$A$58,0,VLOOKUP(CONCATENATE($I$11,"-",$M26),$C$2:$G$49,5,FALSE))</f>
        <v>0.25</v>
      </c>
      <c r="T26" s="91"/>
      <c r="V26" s="92"/>
      <c r="W26" s="92"/>
      <c r="X26" s="92"/>
      <c r="Y26" s="92"/>
      <c r="Z26" s="92"/>
      <c r="AA26" s="92"/>
      <c r="AB26" s="92"/>
      <c r="AC26" s="92"/>
      <c r="AD26" s="92"/>
      <c r="AE26" s="92"/>
    </row>
    <row r="27" spans="1:31" ht="30" customHeight="1" x14ac:dyDescent="0.25">
      <c r="A27" s="42" t="s">
        <v>54</v>
      </c>
      <c r="B27" s="44" t="s">
        <v>29</v>
      </c>
      <c r="C27" s="42" t="str">
        <f t="shared" si="0"/>
        <v>Obras Portuárias, Marítimas e Fluviais-AC</v>
      </c>
      <c r="E27" s="45">
        <v>0.04</v>
      </c>
      <c r="F27" s="45">
        <v>5.5199999999999999E-2</v>
      </c>
      <c r="G27" s="45">
        <v>7.85E-2</v>
      </c>
      <c r="I27" s="280" t="s">
        <v>55</v>
      </c>
      <c r="J27" s="280"/>
      <c r="K27" s="280"/>
      <c r="L27" s="280"/>
      <c r="M27" s="55" t="s">
        <v>56</v>
      </c>
      <c r="N27" s="56">
        <f>IF($I$11=$A$58,0,ROUND((((1+N18+N19+N20)*(1+N21)*(1+N22)/(1-(N23+N24+N25)))-1),4))</f>
        <v>0.1525</v>
      </c>
      <c r="O27" s="94" t="str">
        <f>IF(Q11&lt;&gt;"Sim","",O26)</f>
        <v>FORA DO INTERVALO</v>
      </c>
      <c r="P27" s="281"/>
      <c r="Q27" s="281"/>
      <c r="R27" s="281"/>
      <c r="T27" s="91"/>
      <c r="V27" s="95" t="b">
        <f>AND(COUNTA(N18:N23)=6,O26&lt;&gt;"ok",NOT(V29))</f>
        <v>1</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5"/>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3" t="str">
        <f>IF(V29,"X","")</f>
        <v/>
      </c>
      <c r="J29" s="278" t="s">
        <v>117</v>
      </c>
      <c r="K29" s="278"/>
      <c r="L29" s="278"/>
      <c r="M29" s="278"/>
      <c r="N29" s="278"/>
      <c r="O29" s="278"/>
      <c r="P29" s="278"/>
      <c r="Q29" s="278"/>
      <c r="R29" s="278"/>
      <c r="V29" s="95" t="b">
        <v>0</v>
      </c>
      <c r="W29" s="42" t="s">
        <v>119</v>
      </c>
    </row>
    <row r="30" spans="1:31" ht="7.5" customHeight="1" x14ac:dyDescent="0.2">
      <c r="B30" s="44"/>
      <c r="E30" s="45"/>
      <c r="F30" s="45"/>
      <c r="G30" s="45"/>
      <c r="V30" s="95"/>
    </row>
    <row r="31" spans="1:31" ht="18.75" customHeight="1" x14ac:dyDescent="0.2">
      <c r="B31" s="44"/>
      <c r="E31" s="45"/>
      <c r="F31" s="45"/>
      <c r="G31" s="45"/>
      <c r="I31" s="283" t="s">
        <v>61</v>
      </c>
      <c r="J31" s="283"/>
      <c r="K31" s="283"/>
      <c r="L31" s="283"/>
      <c r="M31" s="283"/>
      <c r="N31" s="283"/>
      <c r="O31" s="283"/>
      <c r="P31" s="283"/>
      <c r="Q31" s="283"/>
      <c r="R31" s="283"/>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4"/>
      <c r="J32" s="84"/>
      <c r="K32" s="84"/>
      <c r="L32" s="299" t="str">
        <f>IF(Q11="Sim","BDI.DES =","BDI.PAD =")</f>
        <v>BDI.DES =</v>
      </c>
      <c r="M32" s="297" t="str">
        <f>IF($I$11=$A$59,"(1+K1+K2)*(1+K3)","(1+AC + S + R + G)*(1 + DF)*(1+L)")</f>
        <v>(1+AC + S + R + G)*(1 + DF)*(1+L)</v>
      </c>
      <c r="N32" s="297"/>
      <c r="O32" s="297"/>
      <c r="P32" s="295" t="s">
        <v>108</v>
      </c>
      <c r="Q32" s="84"/>
      <c r="R32" s="84"/>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4"/>
      <c r="J33" s="84"/>
      <c r="K33" s="84"/>
      <c r="L33" s="299"/>
      <c r="M33" s="298" t="str">
        <f>IF(Q11="Sim","(1-CP-ISS-CRPB)","(1-CP-ISS)")</f>
        <v>(1-CP-ISS-CRPB)</v>
      </c>
      <c r="N33" s="298"/>
      <c r="O33" s="298"/>
      <c r="P33" s="296"/>
      <c r="Q33" s="84"/>
      <c r="R33" s="84"/>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0"/>
      <c r="J34" s="60"/>
      <c r="K34" s="60"/>
      <c r="L34" s="60"/>
      <c r="M34" s="60"/>
      <c r="N34" s="60"/>
      <c r="O34" s="60"/>
      <c r="P34" s="60"/>
      <c r="Q34" s="60"/>
      <c r="R34" s="60"/>
    </row>
    <row r="35" spans="1:18" ht="45" customHeight="1" x14ac:dyDescent="0.2">
      <c r="B35" s="49"/>
      <c r="E35" s="45"/>
      <c r="F35" s="45"/>
      <c r="G35" s="45"/>
      <c r="I35" s="284"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100%, com a respectiva alíquota de 2%.</v>
      </c>
      <c r="J35" s="284"/>
      <c r="K35" s="284"/>
      <c r="L35" s="284"/>
      <c r="M35" s="284"/>
      <c r="N35" s="284"/>
      <c r="O35" s="284"/>
      <c r="P35" s="284"/>
      <c r="Q35" s="284"/>
      <c r="R35" s="284"/>
    </row>
    <row r="36" spans="1:18" ht="11.25" customHeight="1" x14ac:dyDescent="0.2">
      <c r="B36" s="49"/>
      <c r="E36" s="45"/>
      <c r="F36" s="45"/>
      <c r="G36" s="45"/>
    </row>
    <row r="37" spans="1:18" ht="52.5" customHeight="1" x14ac:dyDescent="0.2">
      <c r="B37" s="49"/>
      <c r="E37" s="45"/>
      <c r="F37" s="45"/>
      <c r="G37" s="45"/>
      <c r="I37" s="284"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J37" s="284"/>
      <c r="K37" s="284"/>
      <c r="L37" s="284"/>
      <c r="M37" s="284"/>
      <c r="N37" s="284"/>
      <c r="O37" s="284"/>
      <c r="P37" s="284"/>
      <c r="Q37" s="284"/>
      <c r="R37" s="284"/>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86" t="s">
        <v>242</v>
      </c>
      <c r="J40" s="287"/>
      <c r="K40" s="287"/>
      <c r="L40" s="287"/>
      <c r="M40" s="287"/>
      <c r="N40" s="287"/>
      <c r="O40" s="287"/>
      <c r="P40" s="287"/>
      <c r="Q40" s="287"/>
      <c r="R40" s="288"/>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2" t="str">
        <f>PO!K286</f>
        <v>FREDERICO WESTPHALEN/RS</v>
      </c>
      <c r="J42" s="292"/>
      <c r="K42" s="292"/>
      <c r="L42" s="292"/>
      <c r="O42" s="285">
        <f ca="1">PO!K289</f>
        <v>45604</v>
      </c>
      <c r="P42" s="285"/>
      <c r="Q42" s="285"/>
      <c r="R42" s="285"/>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10" t="s">
        <v>120</v>
      </c>
      <c r="J43" s="310"/>
      <c r="K43" s="310"/>
      <c r="L43" s="310"/>
      <c r="N43" s="57"/>
      <c r="O43" s="121" t="s">
        <v>121</v>
      </c>
      <c r="P43" s="122"/>
      <c r="Q43" s="122"/>
      <c r="R43" s="122"/>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82"/>
      <c r="J45" s="282"/>
      <c r="K45" s="282"/>
      <c r="L45" s="282"/>
      <c r="M45" s="58"/>
      <c r="N45" s="58"/>
      <c r="O45" s="282"/>
      <c r="P45" s="282"/>
      <c r="Q45" s="282"/>
      <c r="R45" s="282"/>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289" t="s">
        <v>57</v>
      </c>
      <c r="J46" s="289"/>
      <c r="K46" s="289"/>
      <c r="L46" s="289"/>
      <c r="O46" s="289" t="s">
        <v>58</v>
      </c>
      <c r="P46" s="289"/>
      <c r="Q46" s="289"/>
      <c r="R46" s="289"/>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277" t="str">
        <f>DADOS!B54</f>
        <v>JARDEL F. KONZEN</v>
      </c>
      <c r="K47" s="277"/>
      <c r="L47" s="277"/>
      <c r="M47" s="58"/>
      <c r="N47" s="58"/>
      <c r="O47" s="21" t="s">
        <v>140</v>
      </c>
      <c r="P47" s="290"/>
      <c r="Q47" s="290"/>
      <c r="R47" s="290"/>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277" t="str">
        <f>DADOS!B55</f>
        <v>ENGENHEIRO CIVIL</v>
      </c>
      <c r="K48" s="277"/>
      <c r="L48" s="277"/>
      <c r="M48" s="58"/>
      <c r="N48" s="58"/>
      <c r="O48" s="21" t="s">
        <v>60</v>
      </c>
      <c r="P48" s="290" t="s">
        <v>265</v>
      </c>
      <c r="Q48" s="290"/>
      <c r="R48" s="290"/>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CREA/CAU:</v>
      </c>
      <c r="J49" s="277" t="str">
        <f>DADOS!B56</f>
        <v>233.385</v>
      </c>
      <c r="K49" s="277"/>
      <c r="L49" s="277"/>
      <c r="M49" s="58"/>
      <c r="N49" s="58"/>
      <c r="O49" s="58"/>
      <c r="P49" s="58"/>
      <c r="Q49" s="58"/>
      <c r="R49" s="58"/>
    </row>
    <row r="50" spans="1:18" x14ac:dyDescent="0.2">
      <c r="I50" s="21" t="str">
        <f>DADOS!A57</f>
        <v>ART/RRT:</v>
      </c>
      <c r="J50" s="277" t="str">
        <f>DADOS!B57</f>
        <v>13465638</v>
      </c>
      <c r="K50" s="277"/>
      <c r="L50" s="277"/>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59"/>
      <c r="B60" s="58"/>
      <c r="C60" s="58"/>
      <c r="D60" s="58"/>
      <c r="E60" s="58"/>
      <c r="F60" s="58"/>
      <c r="G60" s="58"/>
    </row>
  </sheetData>
  <sheetProtection password="C95B" sheet="1" objects="1" scenarios="1"/>
  <mergeCells count="55">
    <mergeCell ref="J49:L49"/>
    <mergeCell ref="J50:L50"/>
    <mergeCell ref="I46:L46"/>
    <mergeCell ref="O46:R46"/>
    <mergeCell ref="J47:L47"/>
    <mergeCell ref="P47:R47"/>
    <mergeCell ref="J48:L48"/>
    <mergeCell ref="P48:R48"/>
    <mergeCell ref="I40:R40"/>
    <mergeCell ref="I42:L42"/>
    <mergeCell ref="O42:R42"/>
    <mergeCell ref="I43:L43"/>
    <mergeCell ref="I45:L45"/>
    <mergeCell ref="O45:R45"/>
    <mergeCell ref="I37:R37"/>
    <mergeCell ref="I25:L25"/>
    <mergeCell ref="I26:L26"/>
    <mergeCell ref="I27:L27"/>
    <mergeCell ref="P27:R27"/>
    <mergeCell ref="J29:R29"/>
    <mergeCell ref="I31:R31"/>
    <mergeCell ref="L32:L33"/>
    <mergeCell ref="M32:O32"/>
    <mergeCell ref="P32:P33"/>
    <mergeCell ref="M33:O33"/>
    <mergeCell ref="I35:R35"/>
    <mergeCell ref="T16:U24"/>
    <mergeCell ref="I18:L18"/>
    <mergeCell ref="I19:L19"/>
    <mergeCell ref="I20:L20"/>
    <mergeCell ref="I21:L21"/>
    <mergeCell ref="I22:L22"/>
    <mergeCell ref="I23:L23"/>
    <mergeCell ref="I24:L24"/>
    <mergeCell ref="I14:P14"/>
    <mergeCell ref="Q14:R14"/>
    <mergeCell ref="I16:L17"/>
    <mergeCell ref="M16:M17"/>
    <mergeCell ref="N16:N17"/>
    <mergeCell ref="O16:O17"/>
    <mergeCell ref="P16:P17"/>
    <mergeCell ref="Q16:Q17"/>
    <mergeCell ref="R16:R17"/>
    <mergeCell ref="I10:P10"/>
    <mergeCell ref="Q10:R10"/>
    <mergeCell ref="I11:P11"/>
    <mergeCell ref="Q11:R11"/>
    <mergeCell ref="I13:P13"/>
    <mergeCell ref="Q13:R13"/>
    <mergeCell ref="I8:R8"/>
    <mergeCell ref="I4:J4"/>
    <mergeCell ref="K4:R4"/>
    <mergeCell ref="I5:J5"/>
    <mergeCell ref="K5:R5"/>
    <mergeCell ref="I7:R7"/>
  </mergeCells>
  <conditionalFormatting sqref="O42">
    <cfRule type="expression" dxfId="719" priority="3" stopIfTrue="1">
      <formula>$O$42=""</formula>
    </cfRule>
  </conditionalFormatting>
  <conditionalFormatting sqref="O18:O27">
    <cfRule type="expression" dxfId="718" priority="8" stopIfTrue="1">
      <formula>AND(O18&lt;&gt;"OK",O18&lt;&gt;"-",O18&lt;&gt;"")</formula>
    </cfRule>
    <cfRule type="cellIs" dxfId="717" priority="9" stopIfTrue="1" operator="equal">
      <formula>"OK"</formula>
    </cfRule>
  </conditionalFormatting>
  <conditionalFormatting sqref="I26:N26">
    <cfRule type="expression" dxfId="716" priority="7" stopIfTrue="1">
      <formula>$Q$11="Não"</formula>
    </cfRule>
  </conditionalFormatting>
  <conditionalFormatting sqref="I27:N27">
    <cfRule type="expression" dxfId="715" priority="6" stopIfTrue="1">
      <formula>$Q$11="sim"</formula>
    </cfRule>
  </conditionalFormatting>
  <conditionalFormatting sqref="P27:R27">
    <cfRule type="expression" dxfId="714" priority="5" stopIfTrue="1">
      <formula>$Q$11="sim"</formula>
    </cfRule>
  </conditionalFormatting>
  <conditionalFormatting sqref="P47:R48">
    <cfRule type="expression" dxfId="713" priority="4" stopIfTrue="1">
      <formula>P47=""</formula>
    </cfRule>
  </conditionalFormatting>
  <conditionalFormatting sqref="I29:R29">
    <cfRule type="expression" dxfId="712" priority="2" stopIfTrue="1">
      <formula>AND(NOT($V$27),NOT($V$29))</formula>
    </cfRule>
  </conditionalFormatting>
  <conditionalFormatting sqref="P18:R26">
    <cfRule type="expression" dxfId="711" priority="1" stopIfTrue="1">
      <formula>$I$11=$A$58</formula>
    </cfRule>
  </conditionalFormatting>
  <dataValidations disablePrompts="1" count="6">
    <dataValidation type="decimal" allowBlank="1" showInputMessage="1" showErrorMessage="1" errorTitle="Erro de valores" error="Digite um valor entre 0% e 100%" sqref="N18:N23" xr:uid="{00000000-0002-0000-0200-000000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200-000001000000}">
      <formula1>0</formula1>
    </dataValidation>
    <dataValidation type="decimal" allowBlank="1" showInputMessage="1" showErrorMessage="1" errorTitle="Valor não permitido" error="Digite um percentual entre 0% e 100%." promptTitle="Valores admissíveis:" prompt="Insira valores entre 0 e 100%." sqref="Q13:R13" xr:uid="{00000000-0002-0000-0200-000002000000}">
      <formula1>0</formula1>
      <formula2>1</formula2>
    </dataValidation>
    <dataValidation type="decimal" allowBlank="1" showInputMessage="1" showErrorMessage="1" errorTitle="Erro de valores" error="Digite um valor maior do que 0." sqref="N24" xr:uid="{00000000-0002-0000-0200-000003000000}">
      <formula1>0</formula1>
      <formula2>1</formula2>
    </dataValidation>
    <dataValidation operator="greaterThanOrEqual" allowBlank="1" showInputMessage="1" showErrorMessage="1" errorTitle="Erro de valores" error="Digite um valor igual a 0% ou 2%." sqref="N25" xr:uid="{00000000-0002-0000-0200-000004000000}"/>
    <dataValidation type="list" allowBlank="1" showInputMessage="1" showErrorMessage="1" sqref="I11:P11" xr:uid="{00000000-0002-0000-0200-000005000000}">
      <formula1>$A$52:$A$59</formula1>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1">
    <tabColor rgb="FFFFFF00"/>
    <pageSetUpPr fitToPage="1"/>
  </sheetPr>
  <dimension ref="A1:AA290"/>
  <sheetViews>
    <sheetView showGridLines="0" topLeftCell="J1" zoomScale="70" zoomScaleNormal="70" zoomScaleSheetLayoutView="100" workbookViewId="0">
      <pane ySplit="12" topLeftCell="A13" activePane="bottomLeft" state="frozen"/>
      <selection pane="bottomLeft" activeCell="N16" sqref="N16"/>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80.7109375" customWidth="1"/>
    <col min="15" max="15" width="10.7109375" customWidth="1"/>
    <col min="16" max="17" width="15.7109375" customWidth="1"/>
    <col min="18" max="18" width="10.7109375" customWidth="1"/>
    <col min="19"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6"/>
      <c r="K1" s="1"/>
      <c r="L1" s="1"/>
      <c r="M1" s="1"/>
      <c r="N1" s="83" t="s">
        <v>167</v>
      </c>
      <c r="O1" s="1"/>
      <c r="P1" s="67"/>
      <c r="Q1" s="1"/>
      <c r="R1" s="1"/>
      <c r="S1" s="1"/>
      <c r="T1" s="64"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6" t="str">
        <f>CHOOSE(1+LOG(1+2*(TipoOrçamento="BASE")+4*(TipoOrçamento="LICITADO")+8*(TipoOrçamento="REPROGRAMADOAC")+16*(TipoOrçamento="REPROGRAMADONPL"),2),"nada","Orçamento Base para Licitação","Orçamento Licitado","Orçamento Licitado Reprogramado","Orçamento Base para Licitação - Reprogramado")</f>
        <v>Orçamento Base para Licitação</v>
      </c>
      <c r="O2" s="1"/>
      <c r="P2" s="1"/>
      <c r="Q2" s="1"/>
      <c r="R2" s="1"/>
      <c r="S2" s="1"/>
      <c r="T2" s="65" t="s">
        <v>166</v>
      </c>
      <c r="U2" s="1"/>
      <c r="V2" s="1"/>
      <c r="W2" s="316" t="s">
        <v>181</v>
      </c>
      <c r="X2" s="316"/>
      <c r="Y2" s="1"/>
      <c r="Z2" s="1"/>
      <c r="AA2" s="1"/>
    </row>
    <row r="3" spans="1:27" ht="12.75" customHeight="1" x14ac:dyDescent="0.2">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x14ac:dyDescent="0.2">
      <c r="A4" s="1" t="s">
        <v>126</v>
      </c>
      <c r="B4" s="1"/>
      <c r="F4" s="2"/>
      <c r="G4" s="1"/>
      <c r="H4" s="1"/>
      <c r="I4" s="1"/>
      <c r="J4" s="1"/>
      <c r="K4" s="1"/>
      <c r="L4" s="1"/>
      <c r="M4" s="1"/>
      <c r="N4" s="1"/>
      <c r="O4" s="1"/>
      <c r="P4" s="1"/>
      <c r="Q4" s="1"/>
      <c r="R4" s="1"/>
      <c r="S4" s="1"/>
      <c r="T4" s="1"/>
      <c r="U4" s="129" t="s">
        <v>188</v>
      </c>
      <c r="W4" s="178" t="s">
        <v>182</v>
      </c>
      <c r="X4" s="181" t="b">
        <v>1</v>
      </c>
      <c r="Y4" s="1"/>
      <c r="Z4" s="1"/>
      <c r="AA4" s="1"/>
    </row>
    <row r="5" spans="1:27" ht="24.95" customHeight="1" x14ac:dyDescent="0.2">
      <c r="A5" s="4">
        <f>MAX($A$12:$A$275)</f>
        <v>2</v>
      </c>
      <c r="B5" s="1"/>
      <c r="F5" s="2"/>
      <c r="G5" s="1"/>
      <c r="H5" s="1"/>
      <c r="I5" s="1"/>
      <c r="J5" s="1"/>
      <c r="K5" s="1"/>
      <c r="L5" s="1"/>
      <c r="M5" s="1"/>
      <c r="N5" s="1"/>
      <c r="O5" s="1"/>
      <c r="P5" s="1"/>
      <c r="Q5" s="1"/>
      <c r="R5" s="1"/>
      <c r="S5" s="1"/>
      <c r="T5" s="1"/>
      <c r="U5" s="100" t="str">
        <f ca="1">IF(COUNTIF($U$12:OFFSET($U$275,-1,0),"DESCRIÇÃO")+COUNTIF($U$12:OFFSET($U$275,-1,0),"UNIDADE")+COUNTIF($U$12:OFFSET($U$275,-1,0),"SEM VALOR")&gt;0,"NÃO OK","OK")</f>
        <v>OK</v>
      </c>
      <c r="V5" s="179" t="s">
        <v>106</v>
      </c>
      <c r="W5" s="178" t="s">
        <v>183</v>
      </c>
      <c r="X5" s="181" t="b">
        <v>1</v>
      </c>
      <c r="Y5" s="1"/>
      <c r="Z5" s="1"/>
      <c r="AA5" s="1"/>
    </row>
    <row r="6" spans="1:27" ht="24.95" customHeight="1" x14ac:dyDescent="0.2">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
      <c r="A10" s="61" t="s">
        <v>3</v>
      </c>
      <c r="B10" s="61" t="s">
        <v>123</v>
      </c>
      <c r="C10" s="61" t="s">
        <v>152</v>
      </c>
      <c r="D10" s="61" t="s">
        <v>153</v>
      </c>
      <c r="E10" s="61" t="s">
        <v>154</v>
      </c>
      <c r="F10" s="61" t="s">
        <v>155</v>
      </c>
      <c r="G10" s="61" t="s">
        <v>156</v>
      </c>
      <c r="H10" s="61" t="s">
        <v>124</v>
      </c>
      <c r="I10" s="61" t="s">
        <v>125</v>
      </c>
      <c r="J10" s="61" t="s">
        <v>3</v>
      </c>
      <c r="K10" s="61" t="s">
        <v>147</v>
      </c>
      <c r="L10" s="61" t="s">
        <v>146</v>
      </c>
      <c r="M10" s="61" t="s">
        <v>4</v>
      </c>
      <c r="N10" s="61" t="s">
        <v>142</v>
      </c>
      <c r="O10" s="62" t="s">
        <v>149</v>
      </c>
      <c r="P10" s="61" t="s">
        <v>148</v>
      </c>
      <c r="Q10" s="61" t="str">
        <f>IF(OR(TipoOrçamento="LICITADO",TipoOrçamento="REPROGRAMADOAC"),"Preço Unitário (R$)","Custo Unitário (R$)")</f>
        <v>Custo Unitário (R$)</v>
      </c>
      <c r="R10" s="61" t="s">
        <v>5</v>
      </c>
      <c r="S10" s="61" t="s">
        <v>151</v>
      </c>
      <c r="T10" s="61" t="s">
        <v>6</v>
      </c>
      <c r="U10" s="61" t="s">
        <v>159</v>
      </c>
      <c r="V10" s="99" t="s">
        <v>161</v>
      </c>
      <c r="W10" s="99" t="s">
        <v>122</v>
      </c>
      <c r="X10" s="99" t="s">
        <v>130</v>
      </c>
      <c r="Y10" s="98" t="str">
        <f>IF(TipoOrçamento="LICITADO","Preço Unitário Edital (R$)","Custo Unitário Referência (R$)")</f>
        <v>Custo Unitário Referência (R$)</v>
      </c>
      <c r="Z10" s="124" t="str">
        <f>IF(TipoOrçamento="LICITADO","Valor BDI Edital","Valor BDI")</f>
        <v>Valor BDI</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IF(OR($A11="S",$A11=0),0,MATCH(0,OFFSET($B11,1,$A11,ROW($A$275)-ROW($A11)),0))</f>
        <v>0</v>
      </c>
      <c r="I11">
        <f ca="1">IF(OR($A11="S",$A11=0),0,MATCH(OFFSET($B11,0,$A11)+1,OFFSET($B11,1,$A11,ROW($A$275)-ROW($A11)),0))</f>
        <v>0</v>
      </c>
      <c r="J11" s="101" t="s">
        <v>103</v>
      </c>
      <c r="K11" s="137"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2">
        <f ca="1">IF($A11="S",IF($Q$10="Preço Unitário (R$)",PO.CustoUnitario,ROUND(PO.CustoUnitario*(1+$Z11),15-13*$X$6)),0)</f>
        <v>0</v>
      </c>
      <c r="T11" s="82">
        <f ca="1">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2">
        <f ca="1">IF(Import.Desoneracao="sim",Referencia.Desonerado,Referencia.NaoDesonerado)</f>
        <v>0</v>
      </c>
      <c r="Z11" s="112">
        <f ca="1">ROUND(IF(ISNUMBER(R11),R11,IF(LEFT(R11,3)="BDI",HLOOKUP(R11,DADOS!$T$37:$X$38,2,FALSE),0)),15-11*$X$5)</f>
        <v>0.26379999999999998</v>
      </c>
      <c r="AA11" s="1"/>
    </row>
    <row r="12" spans="1:27" x14ac:dyDescent="0.2">
      <c r="A12">
        <v>0</v>
      </c>
      <c r="B12">
        <f ca="1">COUNTA(OFFSET(B12,1,0):B$275)</f>
        <v>262</v>
      </c>
      <c r="J12" s="63" t="str">
        <f>IF(OR(TipoOrçamento="LICITADO",TipoOrçamento="REPROGRAMADOAC"),"CTEF","LOTE")</f>
        <v>LOTE</v>
      </c>
      <c r="K12" s="138">
        <v>0</v>
      </c>
      <c r="L12" s="6"/>
      <c r="M12" s="6"/>
      <c r="N12" s="72" t="str">
        <f>IF(TipoOrçamento="LICITADO",DADOS!O43,DADOS!G38)</f>
        <v>AMPLIAÇÃO, MODERNIZAÇÃO E REFORMA DA EMEF 21 DE ABRIL</v>
      </c>
      <c r="O12" s="6"/>
      <c r="P12" s="7"/>
      <c r="Q12" s="7"/>
      <c r="R12" s="8"/>
      <c r="S12" s="7"/>
      <c r="T12" s="81">
        <f ca="1">SUMIF(OFFSET($J12,1,0,ROW(T275)-ROW(T12)-1),"Serviço",OFFSET(T12,1,0,ROW(T275)-ROW(T12)-1))</f>
        <v>1247735.9999999993</v>
      </c>
      <c r="U12" s="9" t="str">
        <f>IF($N12=0,"DESCRIÇÃO","")</f>
        <v/>
      </c>
      <c r="V12" s="1">
        <v>0</v>
      </c>
      <c r="W12" s="1"/>
      <c r="X12" s="1"/>
      <c r="Y12" s="7"/>
      <c r="Z12" s="113"/>
      <c r="AA12" s="1"/>
    </row>
    <row r="13" spans="1:27" x14ac:dyDescent="0.2">
      <c r="A13">
        <f t="shared" ref="A13:A267" si="0">CHOOSE(1+LOG(1+2*(J13="Meta")+4*(J13="Nível 2")+8*(J13="Nível 3")+16*(J13="Nível 4")+32*(J13="Serviço"),2),0,1,2,3,4,"S")</f>
        <v>1</v>
      </c>
      <c r="B13">
        <f t="shared" ref="B13:B267" ca="1" si="1">IF(OR(A13="S",A13=0),0,IF(ISERROR(I13),H13,SMALL(H13:I13,1)))</f>
        <v>262</v>
      </c>
      <c r="C13">
        <f t="shared" ref="C13:C267" ca="1" si="2">IF($A13=1,OFFSET(C13,-1,0)+1,OFFSET(C13,-1,0))</f>
        <v>1</v>
      </c>
      <c r="D13">
        <f t="shared" ref="D13:D267" ca="1" si="3">IF($A13=1,0,IF($A13=2,OFFSET(D13,-1,0)+1,OFFSET(D13,-1,0)))</f>
        <v>0</v>
      </c>
      <c r="E13">
        <f t="shared" ref="E13:E267" ca="1" si="4">IF(AND($A13&lt;=2,$A13&lt;&gt;0),0,IF($A13=3,OFFSET(E13,-1,0)+1,OFFSET(E13,-1,0)))</f>
        <v>0</v>
      </c>
      <c r="F13">
        <f t="shared" ref="F13:F267" ca="1" si="5">IF(AND($A13&lt;=3,$A13&lt;&gt;0),0,IF($A13=4,OFFSET(F13,-1,0)+1,OFFSET(F13,-1,0)))</f>
        <v>0</v>
      </c>
      <c r="G13">
        <f t="shared" ref="G13:G267" ca="1" si="6">IF(AND($A13&lt;=4,$A13&lt;&gt;0),0,IF($A13="S",OFFSET(G13,-1,0)+1,OFFSET(G13,-1,0)))</f>
        <v>0</v>
      </c>
      <c r="H13">
        <f ca="1">IF(OR($A13="S",$A13=0),0,MATCH(0,OFFSET($B13,1,$A13,ROW($A$275)-ROW($A13)),0))</f>
        <v>262</v>
      </c>
      <c r="I13" t="e">
        <f ca="1">IF(OR($A13="S",$A13=0),0,MATCH(OFFSET($B13,0,$A13)+1,OFFSET($B13,1,$A13,ROW($A$275)-ROW($A13)),0))</f>
        <v>#N/A</v>
      </c>
      <c r="J13" s="139" t="s">
        <v>99</v>
      </c>
      <c r="K13" s="137" t="str">
        <f t="shared" ref="K13:K267" ca="1" si="7">IF($A13=0,"-",CONCATENATE(C13&amp;".",IF(AND($A$5&gt;=2,$A13&gt;=2),D13&amp;".",""),IF(AND($A$5&gt;=3,$A13&gt;=3),E13&amp;".",""),IF(AND($A$5&gt;=4,$A13&gt;=4),F13&amp;".",""),IF($A13="S",G13&amp;".","")))</f>
        <v>1.</v>
      </c>
      <c r="L13" s="176"/>
      <c r="M13" s="176"/>
      <c r="N13" s="197" t="s">
        <v>474</v>
      </c>
      <c r="O13" s="196" t="s">
        <v>106</v>
      </c>
      <c r="P13" s="199">
        <v>0</v>
      </c>
      <c r="Q13" s="195"/>
      <c r="R13" s="198" t="s">
        <v>7</v>
      </c>
      <c r="S13" s="102">
        <f t="shared" ref="S13:S267" si="8">IF($A13="S",IF($Q$10="Preço Unitário (R$)",PO.CustoUnitario,ROUND(PO.CustoUnitario*(1+$Z13),15-13*$X$6)),0)</f>
        <v>0</v>
      </c>
      <c r="T13" s="82">
        <f t="shared" ref="T13:T267" ca="1" si="9">IF($A13="S",VTOTAL1,IF($A13=0,0,ROUND(SomaAgrup,15-13*$X$7)))</f>
        <v>1247736</v>
      </c>
      <c r="U13" s="9" t="str">
        <f t="shared" ref="U13:U267" ca="1" si="10">IF($J13="","",IF($N13="","DESCRIÇÃO",IF(AND($J13="Serviço",$O13=""),"UNIDADE",IF($T13&lt;=0,"SEM VALOR",IF(AND($Y13&lt;&gt;"",$Q13&gt;$Y13),"ACIMA REF.","")))))</f>
        <v/>
      </c>
      <c r="V13" s="1">
        <f ca="1">IF(OR($A13=0,$A13="S",$A13&gt;CFF!$A$9),"",MAX(V$12:OFFSET(V13,-1,0))+1)</f>
        <v>1</v>
      </c>
      <c r="W13" s="4" t="b">
        <f t="shared" ref="W13:W267" si="11">IF(AND($J13="Serviço",$M13&lt;&gt;""),IF($L13="",$M13,CONCATENATE($L13,"-",$M13)))</f>
        <v>0</v>
      </c>
      <c r="X13" s="1" t="str">
        <f t="shared" ref="X13:X267" ca="1" si="12">IF(AND(Fonte&lt;&gt;"",Código&lt;&gt;""),MATCH(Fonte&amp;" "&amp;IF(Fonte="sinapi",SUBSTITUTE(SUBSTITUTE(Código,"/00","/"),"/0","/"),Código),INDIRECT("'[Referência "&amp;_xlnm.Database&amp;".xls]Banco'!$a:$a"),0),"X")</f>
        <v>X</v>
      </c>
      <c r="Y13" s="102">
        <f t="shared" ref="Y13:Y267" ca="1" si="13">IF(Import.Desoneracao="sim",Referencia.Desonerado,Referencia.NaoDesonerado)</f>
        <v>0</v>
      </c>
      <c r="Z13" s="112">
        <f ca="1">ROUND(IF(ISNUMBER(R13),R13,IF(LEFT(R13,3)="BDI",HLOOKUP(R13,DADOS!$T$37:$X$38,2,FALSE),0)),15-11*$X$5)</f>
        <v>0.26379999999999998</v>
      </c>
      <c r="AA13" s="1"/>
    </row>
    <row r="14" spans="1:27" x14ac:dyDescent="0.2">
      <c r="A14">
        <f t="shared" si="0"/>
        <v>2</v>
      </c>
      <c r="B14">
        <f t="shared" ca="1" si="1"/>
        <v>6</v>
      </c>
      <c r="C14">
        <f t="shared" ca="1" si="2"/>
        <v>1</v>
      </c>
      <c r="D14">
        <f t="shared" ca="1" si="3"/>
        <v>1</v>
      </c>
      <c r="E14">
        <f t="shared" ca="1" si="4"/>
        <v>0</v>
      </c>
      <c r="F14">
        <f t="shared" ca="1" si="5"/>
        <v>0</v>
      </c>
      <c r="G14">
        <f t="shared" ca="1" si="6"/>
        <v>0</v>
      </c>
      <c r="H14">
        <f ca="1">IF(OR($A14="S",$A14=0),0,MATCH(0,OFFSET($B14,1,$A14,ROW($A$275)-ROW($A14)),0))</f>
        <v>261</v>
      </c>
      <c r="I14">
        <f ca="1">IF(OR($A14="S",$A14=0),0,MATCH(OFFSET($B14,0,$A14)+1,OFFSET($B14,1,$A14,ROW($A$275)-ROW($A14)),0))</f>
        <v>6</v>
      </c>
      <c r="J14" s="101" t="s">
        <v>100</v>
      </c>
      <c r="K14" s="137" t="str">
        <f t="shared" ca="1" si="7"/>
        <v>1.1.</v>
      </c>
      <c r="L14" s="176"/>
      <c r="M14" s="176"/>
      <c r="N14" s="197" t="s">
        <v>468</v>
      </c>
      <c r="O14" s="196" t="str">
        <f ca="1">Referencia.Unidade</f>
        <v/>
      </c>
      <c r="P14" s="199">
        <v>0</v>
      </c>
      <c r="Q14" s="195"/>
      <c r="R14" s="198" t="s">
        <v>7</v>
      </c>
      <c r="S14" s="102">
        <f t="shared" si="8"/>
        <v>0</v>
      </c>
      <c r="T14" s="82">
        <f t="shared" ca="1" si="9"/>
        <v>6051.19</v>
      </c>
      <c r="U14" s="9" t="str">
        <f t="shared" ca="1" si="10"/>
        <v/>
      </c>
      <c r="V14" s="1">
        <f ca="1">IF(OR($A14=0,$A14="S",$A14&gt;CFF!$A$9),"",MAX(V$12:OFFSET(V14,-1,0))+1)</f>
        <v>2</v>
      </c>
      <c r="W14" s="4" t="b">
        <f t="shared" si="11"/>
        <v>0</v>
      </c>
      <c r="X14" s="1" t="str">
        <f t="shared" ca="1" si="12"/>
        <v>X</v>
      </c>
      <c r="Y14" s="102">
        <f t="shared" ca="1" si="13"/>
        <v>0</v>
      </c>
      <c r="Z14" s="112">
        <f ca="1">ROUND(IF(ISNUMBER(R14),R14,IF(LEFT(R14,3)="BDI",HLOOKUP(R14,DADOS!$T$37:$X$38,2,FALSE),0)),15-11*$X$5)</f>
        <v>0.26379999999999998</v>
      </c>
      <c r="AA14" s="1"/>
    </row>
    <row r="15" spans="1:27" ht="25.5" x14ac:dyDescent="0.2">
      <c r="A15" t="str">
        <f t="shared" si="0"/>
        <v>S</v>
      </c>
      <c r="B15">
        <f t="shared" si="1"/>
        <v>0</v>
      </c>
      <c r="C15">
        <f t="shared" ca="1" si="2"/>
        <v>1</v>
      </c>
      <c r="D15">
        <f t="shared" ca="1" si="3"/>
        <v>1</v>
      </c>
      <c r="E15">
        <f t="shared" ca="1" si="4"/>
        <v>0</v>
      </c>
      <c r="F15">
        <f t="shared" ca="1" si="5"/>
        <v>0</v>
      </c>
      <c r="G15">
        <f t="shared" ca="1" si="6"/>
        <v>1</v>
      </c>
      <c r="H15">
        <f ca="1">IF(OR($A15="S",$A15=0),0,MATCH(0,OFFSET($B15,1,$A15,ROW($A$275)-ROW($A15)),0))</f>
        <v>0</v>
      </c>
      <c r="I15">
        <f ca="1">IF(OR($A15="S",$A15=0),0,MATCH(OFFSET($B15,0,$A15)+1,OFFSET($B15,1,$A15,ROW($A$275)-ROW($A15)),0))</f>
        <v>0</v>
      </c>
      <c r="J15" s="101" t="s">
        <v>103</v>
      </c>
      <c r="K15" s="137" t="str">
        <f t="shared" ca="1" si="7"/>
        <v>1.1.1.</v>
      </c>
      <c r="L15" s="176" t="s">
        <v>237</v>
      </c>
      <c r="M15" s="176" t="s">
        <v>372</v>
      </c>
      <c r="N15" s="197" t="str">
        <f ca="1">IF($A15="S",Referencia.Descricao,"(digite a descrição aqui)")</f>
        <v>FORNECIMENTO E INSTALAÇÃO DE PLACA DE OBRA COM CHAPA GALVANIZADA E ESTRUTURA DE MADEIRA. AF_03/2022_PS</v>
      </c>
      <c r="O15" s="196" t="str">
        <f ca="1">Referencia.Unidade</f>
        <v>M2</v>
      </c>
      <c r="P15" s="199">
        <f>2*1</f>
        <v>2</v>
      </c>
      <c r="Q15" s="195">
        <f t="shared" ref="Q15:Q72" ca="1" si="14">IF(Import.Desoneracao="sim",Referencia.Desonerado,Referencia.NaoDesonerado)</f>
        <v>455.47</v>
      </c>
      <c r="R15" s="198" t="s">
        <v>7</v>
      </c>
      <c r="S15" s="102">
        <f t="shared" ca="1" si="8"/>
        <v>575.62</v>
      </c>
      <c r="T15" s="82">
        <f t="shared" ca="1" si="9"/>
        <v>1151.24</v>
      </c>
      <c r="U15" s="9" t="str">
        <f t="shared" ca="1" si="10"/>
        <v/>
      </c>
      <c r="V15" s="1" t="str">
        <f ca="1">IF(OR($A15=0,$A15="S",$A15&gt;CFF!$A$9),"",MAX(V$12:OFFSET(V15,-1,0))+1)</f>
        <v/>
      </c>
      <c r="W15" s="4" t="str">
        <f t="shared" si="11"/>
        <v>SINAPI-103689</v>
      </c>
      <c r="X15" s="1">
        <f t="shared" ca="1" si="12"/>
        <v>6267</v>
      </c>
      <c r="Y15" s="102">
        <f t="shared" ca="1" si="13"/>
        <v>455.47</v>
      </c>
      <c r="Z15" s="112">
        <f ca="1">ROUND(IF(ISNUMBER(R15),R15,IF(LEFT(R15,3)="BDI",HLOOKUP(R15,DADOS!$T$37:$X$38,2,FALSE),0)),15-11*$X$5)</f>
        <v>0.26379999999999998</v>
      </c>
      <c r="AA15" s="1"/>
    </row>
    <row r="16" spans="1:27" ht="25.5" x14ac:dyDescent="0.2">
      <c r="A16" t="str">
        <f t="shared" si="0"/>
        <v>S</v>
      </c>
      <c r="B16">
        <f t="shared" si="1"/>
        <v>0</v>
      </c>
      <c r="C16">
        <f t="shared" ca="1" si="2"/>
        <v>1</v>
      </c>
      <c r="D16">
        <f t="shared" ca="1" si="3"/>
        <v>1</v>
      </c>
      <c r="E16">
        <f t="shared" ca="1" si="4"/>
        <v>0</v>
      </c>
      <c r="F16">
        <f t="shared" ca="1" si="5"/>
        <v>0</v>
      </c>
      <c r="G16">
        <f t="shared" ca="1" si="6"/>
        <v>2</v>
      </c>
      <c r="H16">
        <f ca="1">IF(OR($A16="S",$A16=0),0,MATCH(0,OFFSET($B16,1,$A16,ROW($A$275)-ROW($A16)),0))</f>
        <v>0</v>
      </c>
      <c r="I16">
        <f ca="1">IF(OR($A16="S",$A16=0),0,MATCH(OFFSET($B16,0,$A16)+1,OFFSET($B16,1,$A16,ROW($A$275)-ROW($A16)),0))</f>
        <v>0</v>
      </c>
      <c r="J16" s="101" t="s">
        <v>103</v>
      </c>
      <c r="K16" s="137" t="str">
        <f t="shared" ca="1" si="7"/>
        <v>1.1.2.</v>
      </c>
      <c r="L16" s="176" t="s">
        <v>249</v>
      </c>
      <c r="M16" s="176" t="s">
        <v>375</v>
      </c>
      <c r="N16" s="197" t="str">
        <f ca="1">IF($A16="S",Referencia.Descricao,"(digite a descrição aqui)")</f>
        <v xml:space="preserve">PLACA DE SINALIZACAO EM CHAPA DE ALUMINIO COM PINTURA REFLETIVA, E = 2 MM                                                                                                                                                                                                                                                                                                                                                                                                                                 </v>
      </c>
      <c r="O16" s="196" t="str">
        <f ca="1">Referencia.Unidade</f>
        <v xml:space="preserve">M2    </v>
      </c>
      <c r="P16" s="199">
        <f>0.3*0.6</f>
        <v>0.18</v>
      </c>
      <c r="Q16" s="195">
        <f t="shared" ca="1" si="14"/>
        <v>1152.01</v>
      </c>
      <c r="R16" s="198" t="s">
        <v>7</v>
      </c>
      <c r="S16" s="102">
        <f t="shared" ca="1" si="8"/>
        <v>1455.91</v>
      </c>
      <c r="T16" s="82">
        <f t="shared" ca="1" si="9"/>
        <v>262.06</v>
      </c>
      <c r="U16" s="9" t="str">
        <f t="shared" ca="1" si="10"/>
        <v/>
      </c>
      <c r="V16" s="1" t="str">
        <f ca="1">IF(OR($A16=0,$A16="S",$A16&gt;CFF!$A$9),"",MAX(V$12:OFFSET(V16,-1,0))+1)</f>
        <v/>
      </c>
      <c r="W16" s="4" t="str">
        <f t="shared" si="11"/>
        <v>SINAPI-I-34721</v>
      </c>
      <c r="X16" s="1">
        <f t="shared" ca="1" si="12"/>
        <v>11135</v>
      </c>
      <c r="Y16" s="102">
        <f t="shared" ca="1" si="13"/>
        <v>1152.01</v>
      </c>
      <c r="Z16" s="112">
        <f ca="1">ROUND(IF(ISNUMBER(R16),R16,IF(LEFT(R16,3)="BDI",HLOOKUP(R16,DADOS!$T$37:$X$38,2,FALSE),0)),15-11*$X$5)</f>
        <v>0.26379999999999998</v>
      </c>
      <c r="AA16" s="1"/>
    </row>
    <row r="17" spans="1:27" ht="38.25" x14ac:dyDescent="0.2">
      <c r="A17" t="str">
        <f t="shared" si="0"/>
        <v>S</v>
      </c>
      <c r="B17">
        <f t="shared" si="1"/>
        <v>0</v>
      </c>
      <c r="C17">
        <f t="shared" ca="1" si="2"/>
        <v>1</v>
      </c>
      <c r="D17">
        <f t="shared" ca="1" si="3"/>
        <v>1</v>
      </c>
      <c r="E17">
        <f t="shared" ca="1" si="4"/>
        <v>0</v>
      </c>
      <c r="F17">
        <f t="shared" ca="1" si="5"/>
        <v>0</v>
      </c>
      <c r="G17">
        <f t="shared" ca="1" si="6"/>
        <v>3</v>
      </c>
      <c r="H17">
        <f ca="1">IF(OR($A17="S",$A17=0),0,MATCH(0,OFFSET($B17,1,$A17,ROW($A$275)-ROW($A17)),0))</f>
        <v>0</v>
      </c>
      <c r="I17">
        <f ca="1">IF(OR($A17="S",$A17=0),0,MATCH(OFFSET($B17,0,$A17)+1,OFFSET($B17,1,$A17,ROW($A$275)-ROW($A17)),0))</f>
        <v>0</v>
      </c>
      <c r="J17" s="101" t="s">
        <v>103</v>
      </c>
      <c r="K17" s="137" t="str">
        <f t="shared" ca="1" si="7"/>
        <v>1.1.3.</v>
      </c>
      <c r="L17" s="176" t="s">
        <v>237</v>
      </c>
      <c r="M17" s="176" t="s">
        <v>377</v>
      </c>
      <c r="N17" s="197" t="str">
        <f ca="1">IF($A17="S",Referencia.Descricao,"(digite a descrição aqui)")</f>
        <v>CARGA, MANOBRA E DESCARGA DE SOLOS E MATERIAIS GRANULARES EM CAMINHÃO BASCULANTE 14 M³ - CARGA COM PÁ CARREGADEIRA (CAÇAMBA DE 1,7 A 2,8 M³ / 128 HP) E DESCARGA LIVRE (UNIDADE: M3). AF_07/2020</v>
      </c>
      <c r="O17" s="196" t="str">
        <f ca="1">Referencia.Unidade</f>
        <v>M3</v>
      </c>
      <c r="P17" s="199">
        <v>100</v>
      </c>
      <c r="Q17" s="195">
        <f t="shared" ca="1" si="14"/>
        <v>9.19</v>
      </c>
      <c r="R17" s="198" t="s">
        <v>8</v>
      </c>
      <c r="S17" s="102">
        <f t="shared" ca="1" si="8"/>
        <v>10.59</v>
      </c>
      <c r="T17" s="82">
        <f t="shared" ca="1" si="9"/>
        <v>1059</v>
      </c>
      <c r="U17" s="9" t="str">
        <f t="shared" ca="1" si="10"/>
        <v/>
      </c>
      <c r="V17" s="1" t="str">
        <f ca="1">IF(OR($A17=0,$A17="S",$A17&gt;CFF!$A$9),"",MAX(V$12:OFFSET(V17,-1,0))+1)</f>
        <v/>
      </c>
      <c r="W17" s="4" t="str">
        <f t="shared" si="11"/>
        <v>SINAPI-100975</v>
      </c>
      <c r="X17" s="1">
        <f t="shared" ca="1" si="12"/>
        <v>7251</v>
      </c>
      <c r="Y17" s="102">
        <f t="shared" ca="1" si="13"/>
        <v>9.19</v>
      </c>
      <c r="Z17" s="112">
        <f ca="1">ROUND(IF(ISNUMBER(R17),R17,IF(LEFT(R17,3)="BDI",HLOOKUP(R17,DADOS!$T$37:$X$38,2,FALSE),0)),15-11*$X$5)</f>
        <v>0.1525</v>
      </c>
      <c r="AA17" s="1"/>
    </row>
    <row r="18" spans="1:27" ht="25.5" x14ac:dyDescent="0.2">
      <c r="A18" t="str">
        <f t="shared" si="0"/>
        <v>S</v>
      </c>
      <c r="B18">
        <f t="shared" si="1"/>
        <v>0</v>
      </c>
      <c r="C18">
        <f t="shared" ca="1" si="2"/>
        <v>1</v>
      </c>
      <c r="D18">
        <f t="shared" ca="1" si="3"/>
        <v>1</v>
      </c>
      <c r="E18">
        <f t="shared" ca="1" si="4"/>
        <v>0</v>
      </c>
      <c r="F18">
        <f t="shared" ca="1" si="5"/>
        <v>0</v>
      </c>
      <c r="G18">
        <f t="shared" ca="1" si="6"/>
        <v>4</v>
      </c>
      <c r="H18">
        <f ca="1">IF(OR($A18="S",$A18=0),0,MATCH(0,OFFSET($B18,1,$A18,ROW($A$275)-ROW($A18)),0))</f>
        <v>0</v>
      </c>
      <c r="I18">
        <f ca="1">IF(OR($A18="S",$A18=0),0,MATCH(OFFSET($B18,0,$A18)+1,OFFSET($B18,1,$A18,ROW($A$275)-ROW($A18)),0))</f>
        <v>0</v>
      </c>
      <c r="J18" s="101" t="s">
        <v>103</v>
      </c>
      <c r="K18" s="137" t="str">
        <f t="shared" ca="1" si="7"/>
        <v>1.1.4.</v>
      </c>
      <c r="L18" s="176" t="s">
        <v>237</v>
      </c>
      <c r="M18" s="176" t="s">
        <v>380</v>
      </c>
      <c r="N18" s="197" t="str">
        <f ca="1">IF($A18="S",Referencia.Descricao,"(digite a descrição aqui)")</f>
        <v>TRANSPORTE COM CAMINHÃO BASCULANTE DE 10 M³, EM VIA URBANA PAVIMENTADA, DMT ATÉ 30 KM (UNIDADE: M3XKM). AF_07/2020</v>
      </c>
      <c r="O18" s="196" t="str">
        <f ca="1">Referencia.Unidade</f>
        <v>M3XKM</v>
      </c>
      <c r="P18" s="199">
        <f>P17*8</f>
        <v>800</v>
      </c>
      <c r="Q18" s="195">
        <f t="shared" ca="1" si="14"/>
        <v>2.5299999999999998</v>
      </c>
      <c r="R18" s="198" t="s">
        <v>8</v>
      </c>
      <c r="S18" s="102">
        <f t="shared" ca="1" si="8"/>
        <v>2.92</v>
      </c>
      <c r="T18" s="82">
        <f t="shared" ca="1" si="9"/>
        <v>2336</v>
      </c>
      <c r="U18" s="9" t="str">
        <f t="shared" ca="1" si="10"/>
        <v/>
      </c>
      <c r="V18" s="1" t="str">
        <f ca="1">IF(OR($A18=0,$A18="S",$A18&gt;CFF!$A$9),"",MAX(V$12:OFFSET(V18,-1,0))+1)</f>
        <v/>
      </c>
      <c r="W18" s="4" t="str">
        <f t="shared" si="11"/>
        <v>SINAPI-95875</v>
      </c>
      <c r="X18" s="1">
        <f t="shared" ca="1" si="12"/>
        <v>7211</v>
      </c>
      <c r="Y18" s="102">
        <f t="shared" ca="1" si="13"/>
        <v>2.5299999999999998</v>
      </c>
      <c r="Z18" s="112">
        <f ca="1">ROUND(IF(ISNUMBER(R18),R18,IF(LEFT(R18,3)="BDI",HLOOKUP(R18,DADOS!$T$37:$X$38,2,FALSE),0)),15-11*$X$5)</f>
        <v>0.1525</v>
      </c>
      <c r="AA18" s="1"/>
    </row>
    <row r="19" spans="1:27" ht="38.25" x14ac:dyDescent="0.2">
      <c r="A19" t="str">
        <f t="shared" si="0"/>
        <v>S</v>
      </c>
      <c r="B19">
        <f t="shared" si="1"/>
        <v>0</v>
      </c>
      <c r="C19">
        <f t="shared" ca="1" si="2"/>
        <v>1</v>
      </c>
      <c r="D19">
        <f t="shared" ca="1" si="3"/>
        <v>1</v>
      </c>
      <c r="E19">
        <f t="shared" ca="1" si="4"/>
        <v>0</v>
      </c>
      <c r="F19">
        <f t="shared" ca="1" si="5"/>
        <v>0</v>
      </c>
      <c r="G19">
        <f t="shared" ca="1" si="6"/>
        <v>5</v>
      </c>
      <c r="H19">
        <f ca="1">IF(OR($A19="S",$A19=0),0,MATCH(0,OFFSET($B19,1,$A19,ROW($A$275)-ROW($A19)),0))</f>
        <v>0</v>
      </c>
      <c r="I19">
        <f ca="1">IF(OR($A19="S",$A19=0),0,MATCH(OFFSET($B19,0,$A19)+1,OFFSET($B19,1,$A19,ROW($A$275)-ROW($A19)),0))</f>
        <v>0</v>
      </c>
      <c r="J19" s="101" t="s">
        <v>103</v>
      </c>
      <c r="K19" s="137" t="str">
        <f t="shared" ca="1" si="7"/>
        <v>1.1.5.</v>
      </c>
      <c r="L19" s="176" t="s">
        <v>237</v>
      </c>
      <c r="M19" s="176" t="s">
        <v>378</v>
      </c>
      <c r="N19" s="197" t="str">
        <f ca="1">IF($A19="S",Referencia.Descricao,"(digite a descrição aqui)")</f>
        <v>COMPACTAÇÃO MECÂNICA DE SOLO PARA EXECUÇÃO DE RADIER, PISO DE CONCRETO OU LAJE SOBRE SOLO, COM COMPACTADOR DE SOLOS A PERCUSSÃO. AF_09/2021</v>
      </c>
      <c r="O19" s="196" t="str">
        <f ca="1">Referencia.Unidade</f>
        <v>M2</v>
      </c>
      <c r="P19" s="199">
        <v>344.29</v>
      </c>
      <c r="Q19" s="195">
        <f t="shared" ca="1" si="14"/>
        <v>3.13</v>
      </c>
      <c r="R19" s="198" t="s">
        <v>8</v>
      </c>
      <c r="S19" s="102">
        <f t="shared" ca="1" si="8"/>
        <v>3.61</v>
      </c>
      <c r="T19" s="82">
        <f t="shared" ca="1" si="9"/>
        <v>1242.8900000000001</v>
      </c>
      <c r="U19" s="9" t="str">
        <f t="shared" ca="1" si="10"/>
        <v/>
      </c>
      <c r="V19" s="1" t="str">
        <f ca="1">IF(OR($A19=0,$A19="S",$A19&gt;CFF!$A$9),"",MAX(V$12:OFFSET(V19,-1,0))+1)</f>
        <v/>
      </c>
      <c r="W19" s="4" t="str">
        <f t="shared" si="11"/>
        <v>SINAPI-97083</v>
      </c>
      <c r="X19" s="1">
        <f t="shared" ca="1" si="12"/>
        <v>2347</v>
      </c>
      <c r="Y19" s="102">
        <f t="shared" ca="1" si="13"/>
        <v>3.13</v>
      </c>
      <c r="Z19" s="112">
        <f ca="1">ROUND(IF(ISNUMBER(R19),R19,IF(LEFT(R19,3)="BDI",HLOOKUP(R19,DADOS!$T$37:$X$38,2,FALSE),0)),15-11*$X$5)</f>
        <v>0.1525</v>
      </c>
      <c r="AA19" s="1"/>
    </row>
    <row r="20" spans="1:27" x14ac:dyDescent="0.2">
      <c r="A20">
        <f t="shared" si="0"/>
        <v>2</v>
      </c>
      <c r="B20">
        <f t="shared" ca="1" si="1"/>
        <v>7</v>
      </c>
      <c r="C20">
        <f t="shared" ca="1" si="2"/>
        <v>1</v>
      </c>
      <c r="D20">
        <f t="shared" ca="1" si="3"/>
        <v>2</v>
      </c>
      <c r="E20">
        <f t="shared" ca="1" si="4"/>
        <v>0</v>
      </c>
      <c r="F20">
        <f t="shared" ca="1" si="5"/>
        <v>0</v>
      </c>
      <c r="G20">
        <f t="shared" ca="1" si="6"/>
        <v>0</v>
      </c>
      <c r="H20">
        <f ca="1">IF(OR($A20="S",$A20=0),0,MATCH(0,OFFSET($B20,1,$A20,ROW($A$275)-ROW($A20)),0))</f>
        <v>255</v>
      </c>
      <c r="I20">
        <f ca="1">IF(OR($A20="S",$A20=0),0,MATCH(OFFSET($B20,0,$A20)+1,OFFSET($B20,1,$A20,ROW($A$275)-ROW($A20)),0))</f>
        <v>7</v>
      </c>
      <c r="J20" s="101" t="s">
        <v>100</v>
      </c>
      <c r="K20" s="137" t="str">
        <f t="shared" ca="1" si="7"/>
        <v>1.2.</v>
      </c>
      <c r="L20" s="176"/>
      <c r="M20" s="176"/>
      <c r="N20" s="197" t="s">
        <v>448</v>
      </c>
      <c r="O20" s="196" t="str">
        <f ca="1">Referencia.Unidade</f>
        <v/>
      </c>
      <c r="P20" s="199"/>
      <c r="Q20" s="195">
        <f t="shared" ca="1" si="14"/>
        <v>0</v>
      </c>
      <c r="R20" s="198" t="s">
        <v>7</v>
      </c>
      <c r="S20" s="102">
        <f t="shared" si="8"/>
        <v>0</v>
      </c>
      <c r="T20" s="82">
        <f t="shared" ca="1" si="9"/>
        <v>44535.5</v>
      </c>
      <c r="U20" s="9" t="str">
        <f t="shared" ca="1" si="10"/>
        <v/>
      </c>
      <c r="V20" s="1">
        <f ca="1">IF(OR($A20=0,$A20="S",$A20&gt;CFF!$A$9),"",MAX(V$12:OFFSET(V20,-1,0))+1)</f>
        <v>3</v>
      </c>
      <c r="W20" s="4" t="b">
        <f t="shared" si="11"/>
        <v>0</v>
      </c>
      <c r="X20" s="1" t="str">
        <f t="shared" ca="1" si="12"/>
        <v>X</v>
      </c>
      <c r="Y20" s="102">
        <f t="shared" ca="1" si="13"/>
        <v>0</v>
      </c>
      <c r="Z20" s="112">
        <f ca="1">ROUND(IF(ISNUMBER(R20),R20,IF(LEFT(R20,3)="BDI",HLOOKUP(R20,DADOS!$T$37:$X$38,2,FALSE),0)),15-11*$X$5)</f>
        <v>0.26379999999999998</v>
      </c>
      <c r="AA20" s="1"/>
    </row>
    <row r="21" spans="1:27" ht="51" x14ac:dyDescent="0.2">
      <c r="A21" t="str">
        <f t="shared" si="0"/>
        <v>S</v>
      </c>
      <c r="B21">
        <f t="shared" si="1"/>
        <v>0</v>
      </c>
      <c r="C21">
        <f t="shared" ca="1" si="2"/>
        <v>1</v>
      </c>
      <c r="D21">
        <f t="shared" ca="1" si="3"/>
        <v>2</v>
      </c>
      <c r="E21">
        <f t="shared" ca="1" si="4"/>
        <v>0</v>
      </c>
      <c r="F21">
        <f t="shared" ca="1" si="5"/>
        <v>0</v>
      </c>
      <c r="G21">
        <f t="shared" ca="1" si="6"/>
        <v>1</v>
      </c>
      <c r="H21">
        <f ca="1">IF(OR($A21="S",$A21=0),0,MATCH(0,OFFSET($B21,1,$A21,ROW($A$275)-ROW($A21)),0))</f>
        <v>0</v>
      </c>
      <c r="I21">
        <f ca="1">IF(OR($A21="S",$A21=0),0,MATCH(OFFSET($B21,0,$A21)+1,OFFSET($B21,1,$A21,ROW($A$275)-ROW($A21)),0))</f>
        <v>0</v>
      </c>
      <c r="J21" s="101" t="s">
        <v>103</v>
      </c>
      <c r="K21" s="137" t="str">
        <f t="shared" ca="1" si="7"/>
        <v>1.2.1.</v>
      </c>
      <c r="L21" s="176" t="s">
        <v>237</v>
      </c>
      <c r="M21" s="176" t="s">
        <v>449</v>
      </c>
      <c r="N21" s="197" t="str">
        <f ca="1">IF($A21="S",Referencia.Descricao,"(digite a descrição aqui)")</f>
        <v>ESCAVAÇÃO MECANIZADA DE VALA COM PROF. ATÉ 1,5 M (MÉDIA MONTANTE E JUSANTE/UMA COMPOSIÇÃO POR TRECHO), ESCAVADEIRA (0,8 M3), LARG. DE 1,5 M A 2,5 M, EM SOLO DE 1A CATEGORIA, EM LOCAIS COM ALTO NÍVEL DE INTERFERÊNCIA. AF_09/2024</v>
      </c>
      <c r="O21" s="196" t="str">
        <f ca="1">Referencia.Unidade</f>
        <v>M3</v>
      </c>
      <c r="P21" s="199">
        <f>58*1*1*1.5</f>
        <v>87</v>
      </c>
      <c r="Q21" s="195">
        <f t="shared" ca="1" si="14"/>
        <v>10.17</v>
      </c>
      <c r="R21" s="198" t="s">
        <v>7</v>
      </c>
      <c r="S21" s="102">
        <f t="shared" ca="1" si="8"/>
        <v>12.85</v>
      </c>
      <c r="T21" s="82">
        <f t="shared" ca="1" si="9"/>
        <v>1117.95</v>
      </c>
      <c r="U21" s="9" t="str">
        <f t="shared" ca="1" si="10"/>
        <v/>
      </c>
      <c r="V21" s="1" t="str">
        <f ca="1">IF(OR($A21=0,$A21="S",$A21&gt;CFF!$A$9),"",MAX(V$12:OFFSET(V21,-1,0))+1)</f>
        <v/>
      </c>
      <c r="W21" s="4" t="str">
        <f t="shared" si="11"/>
        <v>SINAPI-90082</v>
      </c>
      <c r="X21" s="1">
        <f t="shared" ca="1" si="12"/>
        <v>5805</v>
      </c>
      <c r="Y21" s="102">
        <f t="shared" ca="1" si="13"/>
        <v>10.17</v>
      </c>
      <c r="Z21" s="112">
        <f ca="1">ROUND(IF(ISNUMBER(R21),R21,IF(LEFT(R21,3)="BDI",HLOOKUP(R21,DADOS!$T$37:$X$38,2,FALSE),0)),15-11*$X$5)</f>
        <v>0.26379999999999998</v>
      </c>
      <c r="AA21" s="1"/>
    </row>
    <row r="22" spans="1:27" ht="51" x14ac:dyDescent="0.2">
      <c r="A22" t="str">
        <f t="shared" si="0"/>
        <v>S</v>
      </c>
      <c r="B22">
        <f t="shared" si="1"/>
        <v>0</v>
      </c>
      <c r="C22">
        <f t="shared" ca="1" si="2"/>
        <v>1</v>
      </c>
      <c r="D22">
        <f t="shared" ca="1" si="3"/>
        <v>2</v>
      </c>
      <c r="E22">
        <f t="shared" ca="1" si="4"/>
        <v>0</v>
      </c>
      <c r="F22">
        <f t="shared" ca="1" si="5"/>
        <v>0</v>
      </c>
      <c r="G22">
        <f t="shared" ca="1" si="6"/>
        <v>2</v>
      </c>
      <c r="H22">
        <f ca="1">IF(OR($A22="S",$A22=0),0,MATCH(0,OFFSET($B22,1,$A22,ROW($A$275)-ROW($A22)),0))</f>
        <v>0</v>
      </c>
      <c r="I22">
        <f ca="1">IF(OR($A22="S",$A22=0),0,MATCH(OFFSET($B22,0,$A22)+1,OFFSET($B22,1,$A22,ROW($A$275)-ROW($A22)),0))</f>
        <v>0</v>
      </c>
      <c r="J22" s="101" t="s">
        <v>103</v>
      </c>
      <c r="K22" s="137" t="str">
        <f t="shared" ca="1" si="7"/>
        <v>1.2.2.</v>
      </c>
      <c r="L22" s="176" t="s">
        <v>237</v>
      </c>
      <c r="M22" s="176" t="s">
        <v>450</v>
      </c>
      <c r="N22" s="197" t="str">
        <f ca="1">IF($A22="S",Referencia.Descricao,"(digite a descrição aqui)")</f>
        <v>REATERRO MECANIZADO DE VALA COM RETROESCAVADEIRA (CAPACIDADE DA CAÇAMBA   DA RETRO: 0,26 M³/POTÊNCIA: 88 HP), LARGURA 0,8 A 1,5 M, PROFUNDIDADE ATÉ 1,5 M, COM SOLO (SEM SUBSTITUIÇÃO) DE 1ª CATEGORIA, COM COMPACTADOR DE SOLOS DE PERCUSSÃO AF_08/2023</v>
      </c>
      <c r="O22" s="196" t="str">
        <f ca="1">Referencia.Unidade</f>
        <v>M3</v>
      </c>
      <c r="P22" s="199">
        <f>P21</f>
        <v>87</v>
      </c>
      <c r="Q22" s="195">
        <f t="shared" ca="1" si="14"/>
        <v>19.170000000000002</v>
      </c>
      <c r="R22" s="198" t="s">
        <v>7</v>
      </c>
      <c r="S22" s="102">
        <f t="shared" ca="1" si="8"/>
        <v>24.23</v>
      </c>
      <c r="T22" s="82">
        <f t="shared" ca="1" si="9"/>
        <v>2108.0100000000002</v>
      </c>
      <c r="U22" s="9" t="str">
        <f t="shared" ca="1" si="10"/>
        <v/>
      </c>
      <c r="V22" s="1" t="str">
        <f ca="1">IF(OR($A22=0,$A22="S",$A22&gt;CFF!$A$9),"",MAX(V$12:OFFSET(V22,-1,0))+1)</f>
        <v/>
      </c>
      <c r="W22" s="4" t="str">
        <f t="shared" si="11"/>
        <v>SINAPI-93379</v>
      </c>
      <c r="X22" s="1">
        <f t="shared" ca="1" si="12"/>
        <v>5908</v>
      </c>
      <c r="Y22" s="102">
        <f t="shared" ca="1" si="13"/>
        <v>19.170000000000002</v>
      </c>
      <c r="Z22" s="112">
        <f ca="1">ROUND(IF(ISNUMBER(R22),R22,IF(LEFT(R22,3)="BDI",HLOOKUP(R22,DADOS!$T$37:$X$38,2,FALSE),0)),15-11*$X$5)</f>
        <v>0.26379999999999998</v>
      </c>
      <c r="AA22" s="1"/>
    </row>
    <row r="23" spans="1:27" ht="25.5" x14ac:dyDescent="0.2">
      <c r="A23" t="str">
        <f t="shared" si="0"/>
        <v>S</v>
      </c>
      <c r="B23">
        <f t="shared" si="1"/>
        <v>0</v>
      </c>
      <c r="C23">
        <f t="shared" ca="1" si="2"/>
        <v>1</v>
      </c>
      <c r="D23">
        <f t="shared" ca="1" si="3"/>
        <v>2</v>
      </c>
      <c r="E23">
        <f t="shared" ca="1" si="4"/>
        <v>0</v>
      </c>
      <c r="F23">
        <f t="shared" ca="1" si="5"/>
        <v>0</v>
      </c>
      <c r="G23">
        <f t="shared" ca="1" si="6"/>
        <v>3</v>
      </c>
      <c r="H23">
        <f ca="1">IF(OR($A23="S",$A23=0),0,MATCH(0,OFFSET($B23,1,$A23,ROW($A$275)-ROW($A23)),0))</f>
        <v>0</v>
      </c>
      <c r="I23">
        <f ca="1">IF(OR($A23="S",$A23=0),0,MATCH(OFFSET($B23,0,$A23)+1,OFFSET($B23,1,$A23,ROW($A$275)-ROW($A23)),0))</f>
        <v>0</v>
      </c>
      <c r="J23" s="101" t="s">
        <v>103</v>
      </c>
      <c r="K23" s="137" t="str">
        <f t="shared" ca="1" si="7"/>
        <v>1.2.3.</v>
      </c>
      <c r="L23" s="176" t="s">
        <v>237</v>
      </c>
      <c r="M23" s="176" t="s">
        <v>451</v>
      </c>
      <c r="N23" s="197" t="str">
        <f ca="1">IF($A23="S",Referencia.Descricao,"(digite a descrição aqui)")</f>
        <v>CONCRETAGEM DE SAPATA, FCK 30 MPA, COM USO DE BOMBA - LANÇAMENTO, ADENSAMENTO E ACABAMENTO. AF_01/2024</v>
      </c>
      <c r="O23" s="196" t="str">
        <f ca="1">Referencia.Unidade</f>
        <v>M3</v>
      </c>
      <c r="P23" s="199">
        <f>37*0.8*0.9*0.35+14*0.9*1*0.4+3*0.7*0.7*0.35+8*0.6*0.7*0.35+1*1.6*1.1*0.35+1*1.8*1.8*0.35</f>
        <v>17.804500000000001</v>
      </c>
      <c r="Q23" s="195">
        <f t="shared" ca="1" si="14"/>
        <v>767.96</v>
      </c>
      <c r="R23" s="198" t="s">
        <v>7</v>
      </c>
      <c r="S23" s="102">
        <f t="shared" ca="1" si="8"/>
        <v>970.55</v>
      </c>
      <c r="T23" s="82">
        <f t="shared" ca="1" si="9"/>
        <v>17275.79</v>
      </c>
      <c r="U23" s="9" t="str">
        <f t="shared" ca="1" si="10"/>
        <v/>
      </c>
      <c r="V23" s="1" t="str">
        <f ca="1">IF(OR($A23=0,$A23="S",$A23&gt;CFF!$A$9),"",MAX(V$12:OFFSET(V23,-1,0))+1)</f>
        <v/>
      </c>
      <c r="W23" s="4" t="str">
        <f t="shared" si="11"/>
        <v>SINAPI-96558</v>
      </c>
      <c r="X23" s="1">
        <f t="shared" ca="1" si="12"/>
        <v>2723</v>
      </c>
      <c r="Y23" s="102">
        <f t="shared" ca="1" si="13"/>
        <v>767.96</v>
      </c>
      <c r="Z23" s="112">
        <f ca="1">ROUND(IF(ISNUMBER(R23),R23,IF(LEFT(R23,3)="BDI",HLOOKUP(R23,DADOS!$T$37:$X$38,2,FALSE),0)),15-11*$X$5)</f>
        <v>0.26379999999999998</v>
      </c>
      <c r="AA23" s="1"/>
    </row>
    <row r="24" spans="1:27" x14ac:dyDescent="0.2">
      <c r="A24" t="str">
        <f t="shared" si="0"/>
        <v>S</v>
      </c>
      <c r="B24">
        <f t="shared" si="1"/>
        <v>0</v>
      </c>
      <c r="C24">
        <f t="shared" ca="1" si="2"/>
        <v>1</v>
      </c>
      <c r="D24">
        <f t="shared" ca="1" si="3"/>
        <v>2</v>
      </c>
      <c r="E24">
        <f t="shared" ca="1" si="4"/>
        <v>0</v>
      </c>
      <c r="F24">
        <f t="shared" ca="1" si="5"/>
        <v>0</v>
      </c>
      <c r="G24">
        <f t="shared" ca="1" si="6"/>
        <v>4</v>
      </c>
      <c r="H24">
        <f ca="1">IF(OR($A24="S",$A24=0),0,MATCH(0,OFFSET($B24,1,$A24,ROW($A$275)-ROW($A24)),0))</f>
        <v>0</v>
      </c>
      <c r="I24">
        <f ca="1">IF(OR($A24="S",$A24=0),0,MATCH(OFFSET($B24,0,$A24)+1,OFFSET($B24,1,$A24,ROW($A$275)-ROW($A24)),0))</f>
        <v>0</v>
      </c>
      <c r="J24" s="101" t="s">
        <v>103</v>
      </c>
      <c r="K24" s="137" t="str">
        <f t="shared" ca="1" si="7"/>
        <v>1.2.4.</v>
      </c>
      <c r="L24" s="176" t="s">
        <v>237</v>
      </c>
      <c r="M24" s="176" t="s">
        <v>452</v>
      </c>
      <c r="N24" s="197" t="str">
        <f ca="1">IF($A24="S",Referencia.Descricao,"(digite a descrição aqui)")</f>
        <v>CORTE E DOBRA DE AÇO CA-50, DIÂMETRO DE 8,0 MM. AF_06/2022</v>
      </c>
      <c r="O24" s="196" t="str">
        <f ca="1">Referencia.Unidade</f>
        <v>KG</v>
      </c>
      <c r="P24" s="199">
        <f>37*(8*1.32*0.395+7*1.42*0.395)+14*(8*1.52*0.395+7*1.62*0.395)+3*(6*1.22*0.395+6*1.22*0.395)+8*(8*1.22*0.395+7*1.22*0.395)+1*(10*1.22*0.395+14*1.22*0.395)+1*(16*2.42*0.395+16*2.42*0.395)</f>
        <v>546.89330000000007</v>
      </c>
      <c r="Q24" s="195">
        <f t="shared" ca="1" si="14"/>
        <v>10.16</v>
      </c>
      <c r="R24" s="198" t="s">
        <v>7</v>
      </c>
      <c r="S24" s="102">
        <f t="shared" ca="1" si="8"/>
        <v>12.84</v>
      </c>
      <c r="T24" s="82">
        <f t="shared" ca="1" si="9"/>
        <v>7022.07</v>
      </c>
      <c r="U24" s="9" t="str">
        <f t="shared" ca="1" si="10"/>
        <v/>
      </c>
      <c r="V24" s="1" t="str">
        <f ca="1">IF(OR($A24=0,$A24="S",$A24&gt;CFF!$A$9),"",MAX(V$12:OFFSET(V24,-1,0))+1)</f>
        <v/>
      </c>
      <c r="W24" s="4" t="str">
        <f t="shared" si="11"/>
        <v>SINAPI-92802</v>
      </c>
      <c r="X24" s="1">
        <f t="shared" ca="1" si="12"/>
        <v>2623</v>
      </c>
      <c r="Y24" s="102">
        <f t="shared" ca="1" si="13"/>
        <v>10.16</v>
      </c>
      <c r="Z24" s="112">
        <f ca="1">ROUND(IF(ISNUMBER(R24),R24,IF(LEFT(R24,3)="BDI",HLOOKUP(R24,DADOS!$T$37:$X$38,2,FALSE),0)),15-11*$X$5)</f>
        <v>0.26379999999999998</v>
      </c>
      <c r="AA24" s="1"/>
    </row>
    <row r="25" spans="1:27" x14ac:dyDescent="0.2">
      <c r="A25" t="str">
        <f t="shared" si="0"/>
        <v>S</v>
      </c>
      <c r="B25">
        <f t="shared" si="1"/>
        <v>0</v>
      </c>
      <c r="C25">
        <f t="shared" ca="1" si="2"/>
        <v>1</v>
      </c>
      <c r="D25">
        <f t="shared" ca="1" si="3"/>
        <v>2</v>
      </c>
      <c r="E25">
        <f t="shared" ca="1" si="4"/>
        <v>0</v>
      </c>
      <c r="F25">
        <f t="shared" ca="1" si="5"/>
        <v>0</v>
      </c>
      <c r="G25">
        <f t="shared" ca="1" si="6"/>
        <v>5</v>
      </c>
      <c r="H25">
        <f ca="1">IF(OR($A25="S",$A25=0),0,MATCH(0,OFFSET($B25,1,$A25,ROW($A$275)-ROW($A25)),0))</f>
        <v>0</v>
      </c>
      <c r="I25">
        <f ca="1">IF(OR($A25="S",$A25=0),0,MATCH(OFFSET($B25,0,$A25)+1,OFFSET($B25,1,$A25,ROW($A$275)-ROW($A25)),0))</f>
        <v>0</v>
      </c>
      <c r="J25" s="101" t="s">
        <v>103</v>
      </c>
      <c r="K25" s="137" t="str">
        <f t="shared" ca="1" si="7"/>
        <v>1.2.5.</v>
      </c>
      <c r="L25" s="176" t="s">
        <v>237</v>
      </c>
      <c r="M25" s="176" t="s">
        <v>453</v>
      </c>
      <c r="N25" s="197" t="str">
        <f ca="1">IF($A25="S",Referencia.Descricao,"(digite a descrição aqui)")</f>
        <v>CORTE E DOBRA DE AÇO CA-50, DIÂMETRO DE 10,0 MM. AF_06/2022</v>
      </c>
      <c r="O25" s="196" t="str">
        <f ca="1">Referencia.Unidade</f>
        <v>KG</v>
      </c>
      <c r="P25" s="199">
        <f>23*4*2.1*0.617+20*8*2.1*0.617+3*6*2.1*0.617+1*4*2.1*0.617+1*20*2.1*0.963+1*12*2.1*0.963</f>
        <v>419.73540000000003</v>
      </c>
      <c r="Q25" s="195">
        <f t="shared" ca="1" si="14"/>
        <v>9.39</v>
      </c>
      <c r="R25" s="198" t="s">
        <v>7</v>
      </c>
      <c r="S25" s="102">
        <f t="shared" ca="1" si="8"/>
        <v>11.87</v>
      </c>
      <c r="T25" s="82">
        <f t="shared" ca="1" si="9"/>
        <v>4982.3100000000004</v>
      </c>
      <c r="U25" s="9" t="str">
        <f t="shared" ca="1" si="10"/>
        <v/>
      </c>
      <c r="V25" s="1" t="str">
        <f ca="1">IF(OR($A25=0,$A25="S",$A25&gt;CFF!$A$9),"",MAX(V$12:OFFSET(V25,-1,0))+1)</f>
        <v/>
      </c>
      <c r="W25" s="4" t="str">
        <f t="shared" si="11"/>
        <v>SINAPI-92803</v>
      </c>
      <c r="X25" s="1">
        <f t="shared" ca="1" si="12"/>
        <v>2624</v>
      </c>
      <c r="Y25" s="102">
        <f t="shared" ca="1" si="13"/>
        <v>9.39</v>
      </c>
      <c r="Z25" s="112">
        <f ca="1">ROUND(IF(ISNUMBER(R25),R25,IF(LEFT(R25,3)="BDI",HLOOKUP(R25,DADOS!$T$37:$X$38,2,FALSE),0)),15-11*$X$5)</f>
        <v>0.26379999999999998</v>
      </c>
      <c r="AA25" s="1"/>
    </row>
    <row r="26" spans="1:27" ht="25.5" x14ac:dyDescent="0.2">
      <c r="A26" t="str">
        <f t="shared" si="0"/>
        <v>S</v>
      </c>
      <c r="B26">
        <f t="shared" si="1"/>
        <v>0</v>
      </c>
      <c r="C26">
        <f t="shared" ca="1" si="2"/>
        <v>1</v>
      </c>
      <c r="D26">
        <f t="shared" ca="1" si="3"/>
        <v>2</v>
      </c>
      <c r="E26">
        <f t="shared" ca="1" si="4"/>
        <v>0</v>
      </c>
      <c r="F26">
        <f t="shared" ca="1" si="5"/>
        <v>0</v>
      </c>
      <c r="G26">
        <f t="shared" ca="1" si="6"/>
        <v>6</v>
      </c>
      <c r="H26">
        <f ca="1">IF(OR($A26="S",$A26=0),0,MATCH(0,OFFSET($B26,1,$A26,ROW($A$275)-ROW($A26)),0))</f>
        <v>0</v>
      </c>
      <c r="I26">
        <f ca="1">IF(OR($A26="S",$A26=0),0,MATCH(OFFSET($B26,0,$A26)+1,OFFSET($B26,1,$A26,ROW($A$275)-ROW($A26)),0))</f>
        <v>0</v>
      </c>
      <c r="J26" s="101" t="s">
        <v>103</v>
      </c>
      <c r="K26" s="137" t="str">
        <f t="shared" ca="1" si="7"/>
        <v>1.2.6.</v>
      </c>
      <c r="L26" s="176" t="s">
        <v>237</v>
      </c>
      <c r="M26" s="176" t="s">
        <v>454</v>
      </c>
      <c r="N26" s="197" t="str">
        <f ca="1">IF($A26="S",Referencia.Descricao,"(digite a descrição aqui)")</f>
        <v>FABRICAÇÃO, MONTAGEM E DESMONTAGEM DE FÔRMA PARA SAPATA, EM MADEIRA SERRADA, E=25 MM, 4 UTILIZAÇÕES. AF_01/2024</v>
      </c>
      <c r="O26" s="196" t="str">
        <f ca="1">Referencia.Unidade</f>
        <v>M2</v>
      </c>
      <c r="P26" s="199">
        <f>37*0.35*(2*0.8+2*0.9)+14*0.4*(2*0.9+2*1)+3*0.35*(2*0.7+2*0.7)+8*0.35*(2*0.6+2*0.7)+1*0.35*(2*1.6+2*1.1)+1*0.35*(2*1.8+2*1.8)</f>
        <v>79.94</v>
      </c>
      <c r="Q26" s="195">
        <f t="shared" ca="1" si="14"/>
        <v>119.07</v>
      </c>
      <c r="R26" s="198" t="s">
        <v>7</v>
      </c>
      <c r="S26" s="102">
        <f t="shared" ca="1" si="8"/>
        <v>150.47999999999999</v>
      </c>
      <c r="T26" s="82">
        <f t="shared" ca="1" si="9"/>
        <v>12029.37</v>
      </c>
      <c r="U26" s="9" t="str">
        <f t="shared" ca="1" si="10"/>
        <v/>
      </c>
      <c r="V26" s="1" t="str">
        <f ca="1">IF(OR($A26=0,$A26="S",$A26&gt;CFF!$A$9),"",MAX(V$12:OFFSET(V26,-1,0))+1)</f>
        <v/>
      </c>
      <c r="W26" s="4" t="str">
        <f t="shared" si="11"/>
        <v>SINAPI-96535</v>
      </c>
      <c r="X26" s="1">
        <f t="shared" ca="1" si="12"/>
        <v>2476</v>
      </c>
      <c r="Y26" s="102">
        <f t="shared" ca="1" si="13"/>
        <v>119.07</v>
      </c>
      <c r="Z26" s="112">
        <f ca="1">ROUND(IF(ISNUMBER(R26),R26,IF(LEFT(R26,3)="BDI",HLOOKUP(R26,DADOS!$T$37:$X$38,2,FALSE),0)),15-11*$X$5)</f>
        <v>0.26379999999999998</v>
      </c>
      <c r="AA26" s="1"/>
    </row>
    <row r="27" spans="1:27" x14ac:dyDescent="0.2">
      <c r="A27">
        <f t="shared" si="0"/>
        <v>2</v>
      </c>
      <c r="B27">
        <f t="shared" ca="1" si="1"/>
        <v>7</v>
      </c>
      <c r="C27">
        <f t="shared" ca="1" si="2"/>
        <v>1</v>
      </c>
      <c r="D27">
        <f t="shared" ca="1" si="3"/>
        <v>3</v>
      </c>
      <c r="E27">
        <f t="shared" ca="1" si="4"/>
        <v>0</v>
      </c>
      <c r="F27">
        <f t="shared" ca="1" si="5"/>
        <v>0</v>
      </c>
      <c r="G27">
        <f t="shared" ca="1" si="6"/>
        <v>0</v>
      </c>
      <c r="H27">
        <f ca="1">IF(OR($A27="S",$A27=0),0,MATCH(0,OFFSET($B27,1,$A27,ROW($A$275)-ROW($A27)),0))</f>
        <v>248</v>
      </c>
      <c r="I27">
        <f ca="1">IF(OR($A27="S",$A27=0),0,MATCH(OFFSET($B27,0,$A27)+1,OFFSET($B27,1,$A27,ROW($A$275)-ROW($A27)),0))</f>
        <v>7</v>
      </c>
      <c r="J27" s="101" t="s">
        <v>100</v>
      </c>
      <c r="K27" s="137" t="str">
        <f t="shared" ca="1" si="7"/>
        <v>1.3.</v>
      </c>
      <c r="L27" s="176"/>
      <c r="M27" s="176"/>
      <c r="N27" s="197" t="s">
        <v>455</v>
      </c>
      <c r="O27" s="196" t="str">
        <f ca="1">Referencia.Unidade</f>
        <v/>
      </c>
      <c r="P27" s="199"/>
      <c r="Q27" s="195"/>
      <c r="R27" s="198" t="s">
        <v>7</v>
      </c>
      <c r="S27" s="102">
        <f t="shared" si="8"/>
        <v>0</v>
      </c>
      <c r="T27" s="82">
        <f t="shared" ca="1" si="9"/>
        <v>51237.53</v>
      </c>
      <c r="U27" s="9" t="str">
        <f t="shared" ca="1" si="10"/>
        <v/>
      </c>
      <c r="V27" s="1">
        <f ca="1">IF(OR($A27=0,$A27="S",$A27&gt;CFF!$A$9),"",MAX(V$12:OFFSET(V27,-1,0))+1)</f>
        <v>4</v>
      </c>
      <c r="W27" s="4" t="b">
        <f t="shared" si="11"/>
        <v>0</v>
      </c>
      <c r="X27" s="1" t="str">
        <f t="shared" ca="1" si="12"/>
        <v>X</v>
      </c>
      <c r="Y27" s="102">
        <f t="shared" ca="1" si="13"/>
        <v>0</v>
      </c>
      <c r="Z27" s="112">
        <f ca="1">ROUND(IF(ISNUMBER(R27),R27,IF(LEFT(R27,3)="BDI",HLOOKUP(R27,DADOS!$T$37:$X$38,2,FALSE),0)),15-11*$X$5)</f>
        <v>0.26379999999999998</v>
      </c>
      <c r="AA27" s="1"/>
    </row>
    <row r="28" spans="1:27" ht="25.5" x14ac:dyDescent="0.2">
      <c r="A28" t="str">
        <f t="shared" si="0"/>
        <v>S</v>
      </c>
      <c r="B28">
        <f t="shared" si="1"/>
        <v>0</v>
      </c>
      <c r="C28">
        <f t="shared" ca="1" si="2"/>
        <v>1</v>
      </c>
      <c r="D28">
        <f t="shared" ca="1" si="3"/>
        <v>3</v>
      </c>
      <c r="E28">
        <f t="shared" ca="1" si="4"/>
        <v>0</v>
      </c>
      <c r="F28">
        <f t="shared" ca="1" si="5"/>
        <v>0</v>
      </c>
      <c r="G28">
        <f t="shared" ca="1" si="6"/>
        <v>1</v>
      </c>
      <c r="H28">
        <f ca="1">IF(OR($A28="S",$A28=0),0,MATCH(0,OFFSET($B28,1,$A28,ROW($A$275)-ROW($A28)),0))</f>
        <v>0</v>
      </c>
      <c r="I28">
        <f ca="1">IF(OR($A28="S",$A28=0),0,MATCH(OFFSET($B28,0,$A28)+1,OFFSET($B28,1,$A28,ROW($A$275)-ROW($A28)),0))</f>
        <v>0</v>
      </c>
      <c r="J28" s="101" t="s">
        <v>103</v>
      </c>
      <c r="K28" s="137" t="str">
        <f t="shared" ca="1" si="7"/>
        <v>1.3.1.</v>
      </c>
      <c r="L28" s="176" t="s">
        <v>237</v>
      </c>
      <c r="M28" s="176" t="s">
        <v>456</v>
      </c>
      <c r="N28" s="197" t="str">
        <f ca="1">IF($A28="S",Referencia.Descricao,"(digite a descrição aqui)")</f>
        <v>CONCRETAGEM DE BLOCO DE COROAMENTO OU VIGA BALDRAME, FCK 30 MPA, COM USO DE BOMBA - LANÇAMENTO, ADENSAMENTO E ACABAMENTO. AF_01/2024</v>
      </c>
      <c r="O28" s="196" t="str">
        <f ca="1">Referencia.Unidade</f>
        <v>M3</v>
      </c>
      <c r="P28" s="199">
        <v>12.089099999999998</v>
      </c>
      <c r="Q28" s="195">
        <f t="shared" ca="1" si="14"/>
        <v>736.19</v>
      </c>
      <c r="R28" s="198" t="s">
        <v>7</v>
      </c>
      <c r="S28" s="102">
        <f t="shared" ca="1" si="8"/>
        <v>930.4</v>
      </c>
      <c r="T28" s="82">
        <f t="shared" ca="1" si="9"/>
        <v>11248.54</v>
      </c>
      <c r="U28" s="9" t="str">
        <f t="shared" ca="1" si="10"/>
        <v/>
      </c>
      <c r="V28" s="1" t="str">
        <f ca="1">IF(OR($A28=0,$A28="S",$A28&gt;CFF!$A$9),"",MAX(V$12:OFFSET(V28,-1,0))+1)</f>
        <v/>
      </c>
      <c r="W28" s="4" t="str">
        <f t="shared" si="11"/>
        <v>SINAPI-96557</v>
      </c>
      <c r="X28" s="1">
        <f t="shared" ca="1" si="12"/>
        <v>2722</v>
      </c>
      <c r="Y28" s="102">
        <f t="shared" ca="1" si="13"/>
        <v>736.19</v>
      </c>
      <c r="Z28" s="112">
        <f ca="1">ROUND(IF(ISNUMBER(R28),R28,IF(LEFT(R28,3)="BDI",HLOOKUP(R28,DADOS!$T$37:$X$38,2,FALSE),0)),15-11*$X$5)</f>
        <v>0.26379999999999998</v>
      </c>
      <c r="AA28" s="1"/>
    </row>
    <row r="29" spans="1:27" ht="25.5" x14ac:dyDescent="0.2">
      <c r="A29" t="str">
        <f t="shared" si="0"/>
        <v>S</v>
      </c>
      <c r="B29">
        <f t="shared" si="1"/>
        <v>0</v>
      </c>
      <c r="C29">
        <f t="shared" ca="1" si="2"/>
        <v>1</v>
      </c>
      <c r="D29">
        <f t="shared" ca="1" si="3"/>
        <v>3</v>
      </c>
      <c r="E29">
        <f t="shared" ca="1" si="4"/>
        <v>0</v>
      </c>
      <c r="F29">
        <f t="shared" ca="1" si="5"/>
        <v>0</v>
      </c>
      <c r="G29">
        <f t="shared" ca="1" si="6"/>
        <v>2</v>
      </c>
      <c r="H29">
        <f ca="1">IF(OR($A29="S",$A29=0),0,MATCH(0,OFFSET($B29,1,$A29,ROW($A$275)-ROW($A29)),0))</f>
        <v>0</v>
      </c>
      <c r="I29">
        <f ca="1">IF(OR($A29="S",$A29=0),0,MATCH(OFFSET($B29,0,$A29)+1,OFFSET($B29,1,$A29,ROW($A$275)-ROW($A29)),0))</f>
        <v>0</v>
      </c>
      <c r="J29" s="101" t="s">
        <v>103</v>
      </c>
      <c r="K29" s="137" t="str">
        <f t="shared" ca="1" si="7"/>
        <v>1.3.2.</v>
      </c>
      <c r="L29" s="176" t="s">
        <v>237</v>
      </c>
      <c r="M29" s="176" t="s">
        <v>457</v>
      </c>
      <c r="N29" s="197" t="str">
        <f ca="1">IF($A29="S",Referencia.Descricao,"(digite a descrição aqui)")</f>
        <v>FABRICAÇÃO DE FÔRMA PARA VIGAS, COM MADEIRA SERRADA, E = 25 MM. AF_09/2020</v>
      </c>
      <c r="O29" s="196" t="str">
        <f ca="1">Referencia.Unidade</f>
        <v>M2</v>
      </c>
      <c r="P29" s="199">
        <v>171.16199999999998</v>
      </c>
      <c r="Q29" s="195">
        <f t="shared" ca="1" si="14"/>
        <v>118.27</v>
      </c>
      <c r="R29" s="198" t="s">
        <v>7</v>
      </c>
      <c r="S29" s="102">
        <f t="shared" ca="1" si="8"/>
        <v>149.47</v>
      </c>
      <c r="T29" s="82">
        <f t="shared" ca="1" si="9"/>
        <v>25583.29</v>
      </c>
      <c r="U29" s="9" t="str">
        <f t="shared" ca="1" si="10"/>
        <v/>
      </c>
      <c r="V29" s="1" t="str">
        <f ca="1">IF(OR($A29=0,$A29="S",$A29&gt;CFF!$A$9),"",MAX(V$12:OFFSET(V29,-1,0))+1)</f>
        <v/>
      </c>
      <c r="W29" s="4" t="str">
        <f t="shared" si="11"/>
        <v>SINAPI-92270</v>
      </c>
      <c r="X29" s="1">
        <f t="shared" ca="1" si="12"/>
        <v>2381</v>
      </c>
      <c r="Y29" s="102">
        <f t="shared" ca="1" si="13"/>
        <v>118.27</v>
      </c>
      <c r="Z29" s="112">
        <f ca="1">ROUND(IF(ISNUMBER(R29),R29,IF(LEFT(R29,3)="BDI",HLOOKUP(R29,DADOS!$T$37:$X$38,2,FALSE),0)),15-11*$X$5)</f>
        <v>0.26379999999999998</v>
      </c>
      <c r="AA29" s="1"/>
    </row>
    <row r="30" spans="1:27" ht="51" x14ac:dyDescent="0.2">
      <c r="A30" t="str">
        <f t="shared" si="0"/>
        <v>S</v>
      </c>
      <c r="B30">
        <f t="shared" si="1"/>
        <v>0</v>
      </c>
      <c r="C30">
        <f t="shared" ca="1" si="2"/>
        <v>1</v>
      </c>
      <c r="D30">
        <f t="shared" ca="1" si="3"/>
        <v>3</v>
      </c>
      <c r="E30">
        <f t="shared" ca="1" si="4"/>
        <v>0</v>
      </c>
      <c r="F30">
        <f t="shared" ca="1" si="5"/>
        <v>0</v>
      </c>
      <c r="G30">
        <f t="shared" ca="1" si="6"/>
        <v>3</v>
      </c>
      <c r="H30">
        <f ca="1">IF(OR($A30="S",$A30=0),0,MATCH(0,OFFSET($B30,1,$A30,ROW($A$275)-ROW($A30)),0))</f>
        <v>0</v>
      </c>
      <c r="I30">
        <f ca="1">IF(OR($A30="S",$A30=0),0,MATCH(OFFSET($B30,0,$A30)+1,OFFSET($B30,1,$A30,ROW($A$275)-ROW($A30)),0))</f>
        <v>0</v>
      </c>
      <c r="J30" s="101" t="s">
        <v>103</v>
      </c>
      <c r="K30" s="137" t="str">
        <f t="shared" ca="1" si="7"/>
        <v>1.3.3.</v>
      </c>
      <c r="L30" s="176" t="s">
        <v>237</v>
      </c>
      <c r="M30" s="176" t="s">
        <v>449</v>
      </c>
      <c r="N30" s="197" t="str">
        <f ca="1">IF($A30="S",Referencia.Descricao,"(digite a descrição aqui)")</f>
        <v>ESCAVAÇÃO MECANIZADA DE VALA COM PROF. ATÉ 1,5 M (MÉDIA MONTANTE E JUSANTE/UMA COMPOSIÇÃO POR TRECHO), ESCAVADEIRA (0,8 M3), LARG. DE 1,5 M A 2,5 M, EM SOLO DE 1A CATEGORIA, EM LOCAIS COM ALTO NÍVEL DE INTERFERÊNCIA. AF_09/2024</v>
      </c>
      <c r="O30" s="196" t="str">
        <f ca="1">Referencia.Unidade</f>
        <v>M3</v>
      </c>
      <c r="P30" s="199">
        <v>42.790499999999994</v>
      </c>
      <c r="Q30" s="195">
        <f t="shared" ca="1" si="14"/>
        <v>10.17</v>
      </c>
      <c r="R30" s="198" t="s">
        <v>7</v>
      </c>
      <c r="S30" s="102">
        <f t="shared" ca="1" si="8"/>
        <v>12.85</v>
      </c>
      <c r="T30" s="82">
        <f t="shared" ca="1" si="9"/>
        <v>549.85</v>
      </c>
      <c r="U30" s="9" t="str">
        <f t="shared" ca="1" si="10"/>
        <v/>
      </c>
      <c r="V30" s="1" t="str">
        <f ca="1">IF(OR($A30=0,$A30="S",$A30&gt;CFF!$A$9),"",MAX(V$12:OFFSET(V30,-1,0))+1)</f>
        <v/>
      </c>
      <c r="W30" s="4" t="str">
        <f t="shared" si="11"/>
        <v>SINAPI-90082</v>
      </c>
      <c r="X30" s="1">
        <f t="shared" ca="1" si="12"/>
        <v>5805</v>
      </c>
      <c r="Y30" s="102">
        <f t="shared" ca="1" si="13"/>
        <v>10.17</v>
      </c>
      <c r="Z30" s="112">
        <f ca="1">ROUND(IF(ISNUMBER(R30),R30,IF(LEFT(R30,3)="BDI",HLOOKUP(R30,DADOS!$T$37:$X$38,2,FALSE),0)),15-11*$X$5)</f>
        <v>0.26379999999999998</v>
      </c>
      <c r="AA30" s="1"/>
    </row>
    <row r="31" spans="1:27" ht="25.5" x14ac:dyDescent="0.2">
      <c r="A31" t="str">
        <f t="shared" si="0"/>
        <v>S</v>
      </c>
      <c r="B31">
        <f t="shared" si="1"/>
        <v>0</v>
      </c>
      <c r="C31">
        <f t="shared" ca="1" si="2"/>
        <v>1</v>
      </c>
      <c r="D31">
        <f t="shared" ca="1" si="3"/>
        <v>3</v>
      </c>
      <c r="E31">
        <f t="shared" ca="1" si="4"/>
        <v>0</v>
      </c>
      <c r="F31">
        <f t="shared" ca="1" si="5"/>
        <v>0</v>
      </c>
      <c r="G31">
        <f t="shared" ca="1" si="6"/>
        <v>4</v>
      </c>
      <c r="H31">
        <f ca="1">IF(OR($A31="S",$A31=0),0,MATCH(0,OFFSET($B31,1,$A31,ROW($A$275)-ROW($A31)),0))</f>
        <v>0</v>
      </c>
      <c r="I31">
        <f ca="1">IF(OR($A31="S",$A31=0),0,MATCH(OFFSET($B31,0,$A31)+1,OFFSET($B31,1,$A31,ROW($A$275)-ROW($A31)),0))</f>
        <v>0</v>
      </c>
      <c r="J31" s="101" t="s">
        <v>103</v>
      </c>
      <c r="K31" s="137" t="str">
        <f t="shared" ca="1" si="7"/>
        <v>1.3.4.</v>
      </c>
      <c r="L31" s="176" t="s">
        <v>237</v>
      </c>
      <c r="M31" s="176" t="s">
        <v>458</v>
      </c>
      <c r="N31" s="197" t="str">
        <f ca="1">IF($A31="S",Referencia.Descricao,"(digite a descrição aqui)")</f>
        <v>CONCRETO MAGRO PARA LASTRO, TRAÇO 1:4,5:4,5 (EM MASSA SECA DE CIMENTO/ AREIA MÉDIA/ BRITA 1) - PREPARO MECÂNICO COM BETONEIRA 400 L. AF_05/2021</v>
      </c>
      <c r="O31" s="196" t="str">
        <f ca="1">Referencia.Unidade</f>
        <v>M3</v>
      </c>
      <c r="P31" s="199">
        <v>4.2790499999999998</v>
      </c>
      <c r="Q31" s="195">
        <f t="shared" ca="1" si="14"/>
        <v>407.98</v>
      </c>
      <c r="R31" s="198" t="s">
        <v>7</v>
      </c>
      <c r="S31" s="102">
        <f t="shared" ca="1" si="8"/>
        <v>515.61</v>
      </c>
      <c r="T31" s="82">
        <f t="shared" ca="1" si="9"/>
        <v>2206.81</v>
      </c>
      <c r="U31" s="9" t="str">
        <f t="shared" ca="1" si="10"/>
        <v/>
      </c>
      <c r="V31" s="1" t="str">
        <f ca="1">IF(OR($A31=0,$A31="S",$A31&gt;CFF!$A$9),"",MAX(V$12:OFFSET(V31,-1,0))+1)</f>
        <v/>
      </c>
      <c r="W31" s="4" t="str">
        <f t="shared" si="11"/>
        <v>SINAPI-94962</v>
      </c>
      <c r="X31" s="1">
        <f t="shared" ca="1" si="12"/>
        <v>2706</v>
      </c>
      <c r="Y31" s="102">
        <f t="shared" ca="1" si="13"/>
        <v>407.98</v>
      </c>
      <c r="Z31" s="112">
        <f ca="1">ROUND(IF(ISNUMBER(R31),R31,IF(LEFT(R31,3)="BDI",HLOOKUP(R31,DADOS!$T$37:$X$38,2,FALSE),0)),15-11*$X$5)</f>
        <v>0.26379999999999998</v>
      </c>
      <c r="AA31" s="1"/>
    </row>
    <row r="32" spans="1:27" x14ac:dyDescent="0.2">
      <c r="A32" t="str">
        <f t="shared" si="0"/>
        <v>S</v>
      </c>
      <c r="B32">
        <f t="shared" si="1"/>
        <v>0</v>
      </c>
      <c r="C32">
        <f t="shared" ca="1" si="2"/>
        <v>1</v>
      </c>
      <c r="D32">
        <f t="shared" ca="1" si="3"/>
        <v>3</v>
      </c>
      <c r="E32">
        <f t="shared" ca="1" si="4"/>
        <v>0</v>
      </c>
      <c r="F32">
        <f t="shared" ca="1" si="5"/>
        <v>0</v>
      </c>
      <c r="G32">
        <f t="shared" ca="1" si="6"/>
        <v>5</v>
      </c>
      <c r="H32">
        <f ca="1">IF(OR($A32="S",$A32=0),0,MATCH(0,OFFSET($B32,1,$A32,ROW($A$275)-ROW($A32)),0))</f>
        <v>0</v>
      </c>
      <c r="I32">
        <f ca="1">IF(OR($A32="S",$A32=0),0,MATCH(OFFSET($B32,0,$A32)+1,OFFSET($B32,1,$A32,ROW($A$275)-ROW($A32)),0))</f>
        <v>0</v>
      </c>
      <c r="J32" s="101" t="s">
        <v>103</v>
      </c>
      <c r="K32" s="137" t="str">
        <f t="shared" ca="1" si="7"/>
        <v>1.3.5.</v>
      </c>
      <c r="L32" s="176" t="s">
        <v>237</v>
      </c>
      <c r="M32" s="176" t="s">
        <v>453</v>
      </c>
      <c r="N32" s="197" t="str">
        <f ca="1">IF($A32="S",Referencia.Descricao,"(digite a descrição aqui)")</f>
        <v>CORTE E DOBRA DE AÇO CA-50, DIÂMETRO DE 10,0 MM. AF_06/2022</v>
      </c>
      <c r="O32" s="196" t="str">
        <f ca="1">Referencia.Unidade</f>
        <v>KG</v>
      </c>
      <c r="P32" s="199">
        <v>704.04635999999994</v>
      </c>
      <c r="Q32" s="195">
        <f t="shared" ca="1" si="14"/>
        <v>9.39</v>
      </c>
      <c r="R32" s="198" t="s">
        <v>7</v>
      </c>
      <c r="S32" s="102">
        <f t="shared" ca="1" si="8"/>
        <v>11.87</v>
      </c>
      <c r="T32" s="82">
        <f t="shared" ca="1" si="9"/>
        <v>8357.07</v>
      </c>
      <c r="U32" s="9" t="str">
        <f t="shared" ca="1" si="10"/>
        <v/>
      </c>
      <c r="V32" s="1" t="str">
        <f ca="1">IF(OR($A32=0,$A32="S",$A32&gt;CFF!$A$9),"",MAX(V$12:OFFSET(V32,-1,0))+1)</f>
        <v/>
      </c>
      <c r="W32" s="4" t="str">
        <f t="shared" si="11"/>
        <v>SINAPI-92803</v>
      </c>
      <c r="X32" s="1">
        <f t="shared" ca="1" si="12"/>
        <v>2624</v>
      </c>
      <c r="Y32" s="102">
        <f t="shared" ca="1" si="13"/>
        <v>9.39</v>
      </c>
      <c r="Z32" s="112">
        <f ca="1">ROUND(IF(ISNUMBER(R32),R32,IF(LEFT(R32,3)="BDI",HLOOKUP(R32,DADOS!$T$37:$X$38,2,FALSE),0)),15-11*$X$5)</f>
        <v>0.26379999999999998</v>
      </c>
      <c r="AA32" s="1"/>
    </row>
    <row r="33" spans="1:27" x14ac:dyDescent="0.2">
      <c r="A33" t="str">
        <f t="shared" si="0"/>
        <v>S</v>
      </c>
      <c r="B33">
        <f t="shared" si="1"/>
        <v>0</v>
      </c>
      <c r="C33">
        <f t="shared" ca="1" si="2"/>
        <v>1</v>
      </c>
      <c r="D33">
        <f t="shared" ca="1" si="3"/>
        <v>3</v>
      </c>
      <c r="E33">
        <f t="shared" ca="1" si="4"/>
        <v>0</v>
      </c>
      <c r="F33">
        <f t="shared" ca="1" si="5"/>
        <v>0</v>
      </c>
      <c r="G33">
        <f t="shared" ca="1" si="6"/>
        <v>6</v>
      </c>
      <c r="H33">
        <f ca="1">IF(OR($A33="S",$A33=0),0,MATCH(0,OFFSET($B33,1,$A33,ROW($A$275)-ROW($A33)),0))</f>
        <v>0</v>
      </c>
      <c r="I33">
        <f ca="1">IF(OR($A33="S",$A33=0),0,MATCH(OFFSET($B33,0,$A33)+1,OFFSET($B33,1,$A33,ROW($A$275)-ROW($A33)),0))</f>
        <v>0</v>
      </c>
      <c r="J33" s="101" t="s">
        <v>103</v>
      </c>
      <c r="K33" s="137" t="str">
        <f t="shared" ca="1" si="7"/>
        <v>1.3.6.</v>
      </c>
      <c r="L33" s="176" t="s">
        <v>237</v>
      </c>
      <c r="M33" s="176" t="s">
        <v>459</v>
      </c>
      <c r="N33" s="197" t="str">
        <f ca="1">IF($A33="S",Referencia.Descricao,"(digite a descrição aqui)")</f>
        <v>CORTE E DOBRA DE AÇO CA-60, DIÂMETRO DE 5,0 MM. AF_06/2022</v>
      </c>
      <c r="O33" s="196" t="str">
        <f ca="1">Referencia.Unidade</f>
        <v>KG</v>
      </c>
      <c r="P33" s="199">
        <v>261.06310999999999</v>
      </c>
      <c r="Q33" s="195">
        <f t="shared" ca="1" si="14"/>
        <v>9.98</v>
      </c>
      <c r="R33" s="198" t="s">
        <v>7</v>
      </c>
      <c r="S33" s="102">
        <f t="shared" ca="1" si="8"/>
        <v>12.61</v>
      </c>
      <c r="T33" s="82">
        <f t="shared" ca="1" si="9"/>
        <v>3291.97</v>
      </c>
      <c r="U33" s="9" t="str">
        <f t="shared" ca="1" si="10"/>
        <v/>
      </c>
      <c r="V33" s="1" t="str">
        <f ca="1">IF(OR($A33=0,$A33="S",$A33&gt;CFF!$A$9),"",MAX(V$12:OFFSET(V33,-1,0))+1)</f>
        <v/>
      </c>
      <c r="W33" s="4" t="str">
        <f t="shared" si="11"/>
        <v>SINAPI-92800</v>
      </c>
      <c r="X33" s="1">
        <f t="shared" ca="1" si="12"/>
        <v>2621</v>
      </c>
      <c r="Y33" s="102">
        <f t="shared" ca="1" si="13"/>
        <v>9.98</v>
      </c>
      <c r="Z33" s="112">
        <f ca="1">ROUND(IF(ISNUMBER(R33),R33,IF(LEFT(R33,3)="BDI",HLOOKUP(R33,DADOS!$T$37:$X$38,2,FALSE),0)),15-11*$X$5)</f>
        <v>0.26379999999999998</v>
      </c>
      <c r="AA33" s="1"/>
    </row>
    <row r="34" spans="1:27" x14ac:dyDescent="0.2">
      <c r="A34">
        <f t="shared" si="0"/>
        <v>2</v>
      </c>
      <c r="B34">
        <f t="shared" ca="1" si="1"/>
        <v>5</v>
      </c>
      <c r="C34">
        <f t="shared" ca="1" si="2"/>
        <v>1</v>
      </c>
      <c r="D34">
        <f t="shared" ca="1" si="3"/>
        <v>4</v>
      </c>
      <c r="E34">
        <f t="shared" ca="1" si="4"/>
        <v>0</v>
      </c>
      <c r="F34">
        <f t="shared" ca="1" si="5"/>
        <v>0</v>
      </c>
      <c r="G34">
        <f t="shared" ca="1" si="6"/>
        <v>0</v>
      </c>
      <c r="H34">
        <f ca="1">IF(OR($A34="S",$A34=0),0,MATCH(0,OFFSET($B34,1,$A34,ROW($A$275)-ROW($A34)),0))</f>
        <v>241</v>
      </c>
      <c r="I34">
        <f ca="1">IF(OR($A34="S",$A34=0),0,MATCH(OFFSET($B34,0,$A34)+1,OFFSET($B34,1,$A34,ROW($A$275)-ROW($A34)),0))</f>
        <v>5</v>
      </c>
      <c r="J34" s="101" t="s">
        <v>100</v>
      </c>
      <c r="K34" s="137" t="str">
        <f t="shared" ca="1" si="7"/>
        <v>1.4.</v>
      </c>
      <c r="L34" s="176"/>
      <c r="M34" s="176" t="s">
        <v>470</v>
      </c>
      <c r="N34" s="197" t="s">
        <v>460</v>
      </c>
      <c r="O34" s="196" t="str">
        <f ca="1">Referencia.Unidade</f>
        <v/>
      </c>
      <c r="P34" s="199"/>
      <c r="Q34" s="195">
        <f t="shared" ca="1" si="14"/>
        <v>0</v>
      </c>
      <c r="R34" s="198" t="s">
        <v>7</v>
      </c>
      <c r="S34" s="102">
        <f t="shared" si="8"/>
        <v>0</v>
      </c>
      <c r="T34" s="82">
        <f t="shared" ca="1" si="9"/>
        <v>24586.28</v>
      </c>
      <c r="U34" s="9" t="str">
        <f t="shared" ca="1" si="10"/>
        <v/>
      </c>
      <c r="V34" s="1">
        <f ca="1">IF(OR($A34=0,$A34="S",$A34&gt;CFF!$A$9),"",MAX(V$12:OFFSET(V34,-1,0))+1)</f>
        <v>5</v>
      </c>
      <c r="W34" s="4" t="b">
        <f t="shared" si="11"/>
        <v>0</v>
      </c>
      <c r="X34" s="1" t="str">
        <f t="shared" ca="1" si="12"/>
        <v>X</v>
      </c>
      <c r="Y34" s="102">
        <f t="shared" ca="1" si="13"/>
        <v>0</v>
      </c>
      <c r="Z34" s="112">
        <f ca="1">ROUND(IF(ISNUMBER(R34),R34,IF(LEFT(R34,3)="BDI",HLOOKUP(R34,DADOS!$T$37:$X$38,2,FALSE),0)),15-11*$X$5)</f>
        <v>0.26379999999999998</v>
      </c>
      <c r="AA34" s="1"/>
    </row>
    <row r="35" spans="1:27" ht="25.5" x14ac:dyDescent="0.2">
      <c r="A35" t="str">
        <f t="shared" si="0"/>
        <v>S</v>
      </c>
      <c r="B35">
        <f t="shared" si="1"/>
        <v>0</v>
      </c>
      <c r="C35">
        <f t="shared" ca="1" si="2"/>
        <v>1</v>
      </c>
      <c r="D35">
        <f t="shared" ca="1" si="3"/>
        <v>4</v>
      </c>
      <c r="E35">
        <f t="shared" ca="1" si="4"/>
        <v>0</v>
      </c>
      <c r="F35">
        <f t="shared" ca="1" si="5"/>
        <v>0</v>
      </c>
      <c r="G35">
        <f t="shared" ca="1" si="6"/>
        <v>1</v>
      </c>
      <c r="H35">
        <f ca="1">IF(OR($A35="S",$A35=0),0,MATCH(0,OFFSET($B35,1,$A35,ROW($A$275)-ROW($A35)),0))</f>
        <v>0</v>
      </c>
      <c r="I35">
        <f ca="1">IF(OR($A35="S",$A35=0),0,MATCH(OFFSET($B35,0,$A35)+1,OFFSET($B35,1,$A35,ROW($A$275)-ROW($A35)),0))</f>
        <v>0</v>
      </c>
      <c r="J35" s="101" t="s">
        <v>103</v>
      </c>
      <c r="K35" s="137" t="str">
        <f t="shared" ca="1" si="7"/>
        <v>1.4.1.</v>
      </c>
      <c r="L35" s="176" t="s">
        <v>237</v>
      </c>
      <c r="M35" s="176" t="s">
        <v>470</v>
      </c>
      <c r="N35" s="197" t="str">
        <f ca="1">IF($A35="S",Referencia.Descricao,"(digite a descrição aqui)")</f>
        <v>CONCRETAGEM DE PILARES, FCK = 25 MPA, COM USO DE BOMBA - LANÇAMENTO, ADENSAMENTO E ACABAMENTO. AF_02/2022_PS</v>
      </c>
      <c r="O35" s="196" t="str">
        <f ca="1">Referencia.Unidade</f>
        <v>M3</v>
      </c>
      <c r="P35" s="199">
        <v>9.8279999999999994</v>
      </c>
      <c r="Q35" s="195">
        <f t="shared" ca="1" si="14"/>
        <v>663.13</v>
      </c>
      <c r="R35" s="198" t="s">
        <v>7</v>
      </c>
      <c r="S35" s="102">
        <f t="shared" ca="1" si="8"/>
        <v>838.06</v>
      </c>
      <c r="T35" s="82">
        <f t="shared" ca="1" si="9"/>
        <v>8238.1299999999992</v>
      </c>
      <c r="U35" s="9" t="str">
        <f t="shared" ca="1" si="10"/>
        <v/>
      </c>
      <c r="V35" s="1" t="str">
        <f ca="1">IF(OR($A35=0,$A35="S",$A35&gt;CFF!$A$9),"",MAX(V$12:OFFSET(V35,-1,0))+1)</f>
        <v/>
      </c>
      <c r="W35" s="4" t="str">
        <f t="shared" si="11"/>
        <v>SINAPI-103672</v>
      </c>
      <c r="X35" s="1">
        <f t="shared" ca="1" si="12"/>
        <v>2754</v>
      </c>
      <c r="Y35" s="102">
        <f t="shared" ca="1" si="13"/>
        <v>663.13</v>
      </c>
      <c r="Z35" s="112">
        <f ca="1">ROUND(IF(ISNUMBER(R35),R35,IF(LEFT(R35,3)="BDI",HLOOKUP(R35,DADOS!$T$37:$X$38,2,FALSE),0)),15-11*$X$5)</f>
        <v>0.26379999999999998</v>
      </c>
      <c r="AA35" s="1"/>
    </row>
    <row r="36" spans="1:27" x14ac:dyDescent="0.2">
      <c r="A36" t="str">
        <f t="shared" si="0"/>
        <v>S</v>
      </c>
      <c r="B36">
        <f t="shared" si="1"/>
        <v>0</v>
      </c>
      <c r="C36">
        <f t="shared" ca="1" si="2"/>
        <v>1</v>
      </c>
      <c r="D36">
        <f t="shared" ca="1" si="3"/>
        <v>4</v>
      </c>
      <c r="E36">
        <f t="shared" ca="1" si="4"/>
        <v>0</v>
      </c>
      <c r="F36">
        <f t="shared" ca="1" si="5"/>
        <v>0</v>
      </c>
      <c r="G36">
        <f t="shared" ca="1" si="6"/>
        <v>2</v>
      </c>
      <c r="H36">
        <f ca="1">IF(OR($A36="S",$A36=0),0,MATCH(0,OFFSET($B36,1,$A36,ROW($A$275)-ROW($A36)),0))</f>
        <v>0</v>
      </c>
      <c r="I36">
        <f ca="1">IF(OR($A36="S",$A36=0),0,MATCH(OFFSET($B36,0,$A36)+1,OFFSET($B36,1,$A36,ROW($A$275)-ROW($A36)),0))</f>
        <v>0</v>
      </c>
      <c r="J36" s="101" t="s">
        <v>103</v>
      </c>
      <c r="K36" s="137" t="str">
        <f t="shared" ca="1" si="7"/>
        <v>1.4.2.</v>
      </c>
      <c r="L36" s="176" t="s">
        <v>237</v>
      </c>
      <c r="M36" s="176" t="s">
        <v>453</v>
      </c>
      <c r="N36" s="197" t="str">
        <f ca="1">IF($A36="S",Referencia.Descricao,"(digite a descrição aqui)")</f>
        <v>CORTE E DOBRA DE AÇO CA-50, DIÂMETRO DE 10,0 MM. AF_06/2022</v>
      </c>
      <c r="O36" s="196" t="str">
        <f ca="1">Referencia.Unidade</f>
        <v>KG</v>
      </c>
      <c r="P36" s="199">
        <v>654.14340000000004</v>
      </c>
      <c r="Q36" s="195">
        <f t="shared" ca="1" si="14"/>
        <v>9.39</v>
      </c>
      <c r="R36" s="198" t="s">
        <v>7</v>
      </c>
      <c r="S36" s="102">
        <f t="shared" ca="1" si="8"/>
        <v>11.87</v>
      </c>
      <c r="T36" s="82">
        <f t="shared" ca="1" si="9"/>
        <v>7764.64</v>
      </c>
      <c r="U36" s="9" t="str">
        <f t="shared" ca="1" si="10"/>
        <v/>
      </c>
      <c r="V36" s="1" t="str">
        <f ca="1">IF(OR($A36=0,$A36="S",$A36&gt;CFF!$A$9),"",MAX(V$12:OFFSET(V36,-1,0))+1)</f>
        <v/>
      </c>
      <c r="W36" s="4" t="str">
        <f t="shared" si="11"/>
        <v>SINAPI-92803</v>
      </c>
      <c r="X36" s="1">
        <f t="shared" ca="1" si="12"/>
        <v>2624</v>
      </c>
      <c r="Y36" s="102">
        <f t="shared" ca="1" si="13"/>
        <v>9.39</v>
      </c>
      <c r="Z36" s="112">
        <f ca="1">ROUND(IF(ISNUMBER(R36),R36,IF(LEFT(R36,3)="BDI",HLOOKUP(R36,DADOS!$T$37:$X$38,2,FALSE),0)),15-11*$X$5)</f>
        <v>0.26379999999999998</v>
      </c>
      <c r="AA36" s="1"/>
    </row>
    <row r="37" spans="1:27" x14ac:dyDescent="0.2">
      <c r="A37" t="str">
        <f t="shared" si="0"/>
        <v>S</v>
      </c>
      <c r="B37">
        <f t="shared" si="1"/>
        <v>0</v>
      </c>
      <c r="C37">
        <f t="shared" ca="1" si="2"/>
        <v>1</v>
      </c>
      <c r="D37">
        <f t="shared" ca="1" si="3"/>
        <v>4</v>
      </c>
      <c r="E37">
        <f t="shared" ca="1" si="4"/>
        <v>0</v>
      </c>
      <c r="F37">
        <f t="shared" ca="1" si="5"/>
        <v>0</v>
      </c>
      <c r="G37">
        <f t="shared" ca="1" si="6"/>
        <v>3</v>
      </c>
      <c r="H37">
        <f ca="1">IF(OR($A37="S",$A37=0),0,MATCH(0,OFFSET($B37,1,$A37,ROW($A$275)-ROW($A37)),0))</f>
        <v>0</v>
      </c>
      <c r="I37">
        <f ca="1">IF(OR($A37="S",$A37=0),0,MATCH(OFFSET($B37,0,$A37)+1,OFFSET($B37,1,$A37,ROW($A$275)-ROW($A37)),0))</f>
        <v>0</v>
      </c>
      <c r="J37" s="101" t="s">
        <v>103</v>
      </c>
      <c r="K37" s="137" t="str">
        <f t="shared" ca="1" si="7"/>
        <v>1.4.3.</v>
      </c>
      <c r="L37" s="176" t="s">
        <v>237</v>
      </c>
      <c r="M37" s="176" t="s">
        <v>459</v>
      </c>
      <c r="N37" s="197" t="str">
        <f ca="1">IF($A37="S",Referencia.Descricao,"(digite a descrição aqui)")</f>
        <v>CORTE E DOBRA DE AÇO CA-60, DIÂMETRO DE 5,0 MM. AF_06/2022</v>
      </c>
      <c r="O37" s="196" t="str">
        <f ca="1">Referencia.Unidade</f>
        <v>KG</v>
      </c>
      <c r="P37" s="199">
        <v>191.74026666666663</v>
      </c>
      <c r="Q37" s="195">
        <f t="shared" ca="1" si="14"/>
        <v>9.98</v>
      </c>
      <c r="R37" s="198" t="s">
        <v>7</v>
      </c>
      <c r="S37" s="102">
        <f t="shared" ca="1" si="8"/>
        <v>12.61</v>
      </c>
      <c r="T37" s="82">
        <f t="shared" ca="1" si="9"/>
        <v>2417.84</v>
      </c>
      <c r="U37" s="9" t="str">
        <f t="shared" ca="1" si="10"/>
        <v/>
      </c>
      <c r="V37" s="1" t="str">
        <f ca="1">IF(OR($A37=0,$A37="S",$A37&gt;CFF!$A$9),"",MAX(V$12:OFFSET(V37,-1,0))+1)</f>
        <v/>
      </c>
      <c r="W37" s="4" t="str">
        <f t="shared" si="11"/>
        <v>SINAPI-92800</v>
      </c>
      <c r="X37" s="1">
        <f t="shared" ca="1" si="12"/>
        <v>2621</v>
      </c>
      <c r="Y37" s="102">
        <f t="shared" ca="1" si="13"/>
        <v>9.98</v>
      </c>
      <c r="Z37" s="112">
        <f ca="1">ROUND(IF(ISNUMBER(R37),R37,IF(LEFT(R37,3)="BDI",HLOOKUP(R37,DADOS!$T$37:$X$38,2,FALSE),0)),15-11*$X$5)</f>
        <v>0.26379999999999998</v>
      </c>
      <c r="AA37" s="1"/>
    </row>
    <row r="38" spans="1:27" ht="25.5" x14ac:dyDescent="0.2">
      <c r="A38" t="str">
        <f t="shared" si="0"/>
        <v>S</v>
      </c>
      <c r="B38">
        <f t="shared" si="1"/>
        <v>0</v>
      </c>
      <c r="C38">
        <f t="shared" ca="1" si="2"/>
        <v>1</v>
      </c>
      <c r="D38">
        <f t="shared" ca="1" si="3"/>
        <v>4</v>
      </c>
      <c r="E38">
        <f t="shared" ca="1" si="4"/>
        <v>0</v>
      </c>
      <c r="F38">
        <f t="shared" ca="1" si="5"/>
        <v>0</v>
      </c>
      <c r="G38">
        <f t="shared" ca="1" si="6"/>
        <v>4</v>
      </c>
      <c r="H38">
        <f ca="1">IF(OR($A38="S",$A38=0),0,MATCH(0,OFFSET($B38,1,$A38,ROW($A$275)-ROW($A38)),0))</f>
        <v>0</v>
      </c>
      <c r="I38">
        <f ca="1">IF(OR($A38="S",$A38=0),0,MATCH(OFFSET($B38,0,$A38)+1,OFFSET($B38,1,$A38,ROW($A$275)-ROW($A38)),0))</f>
        <v>0</v>
      </c>
      <c r="J38" s="101" t="s">
        <v>103</v>
      </c>
      <c r="K38" s="137" t="str">
        <f t="shared" ca="1" si="7"/>
        <v>1.4.4.</v>
      </c>
      <c r="L38" s="176" t="s">
        <v>237</v>
      </c>
      <c r="M38" s="176" t="s">
        <v>471</v>
      </c>
      <c r="N38" s="197" t="str">
        <f ca="1">IF($A38="S",Referencia.Descricao,"(digite a descrição aqui)")</f>
        <v>FABRICAÇÃO DE FÔRMA PARA PILARES E ESTRUTURAS SIMILARES, EM MADEIRA SERRADA, E=25 MM. AF_09/2020</v>
      </c>
      <c r="O38" s="196" t="str">
        <f ca="1">Referencia.Unidade</f>
        <v>M2</v>
      </c>
      <c r="P38" s="199">
        <v>42.559999999999995</v>
      </c>
      <c r="Q38" s="195">
        <f t="shared" ca="1" si="14"/>
        <v>114.63</v>
      </c>
      <c r="R38" s="198" t="s">
        <v>7</v>
      </c>
      <c r="S38" s="102">
        <f t="shared" ca="1" si="8"/>
        <v>144.87</v>
      </c>
      <c r="T38" s="82">
        <f t="shared" ca="1" si="9"/>
        <v>6165.67</v>
      </c>
      <c r="U38" s="9" t="str">
        <f t="shared" ca="1" si="10"/>
        <v/>
      </c>
      <c r="V38" s="1" t="str">
        <f ca="1">IF(OR($A38=0,$A38="S",$A38&gt;CFF!$A$9),"",MAX(V$12:OFFSET(V38,-1,0))+1)</f>
        <v/>
      </c>
      <c r="W38" s="4" t="str">
        <f t="shared" si="11"/>
        <v>SINAPI-92269</v>
      </c>
      <c r="X38" s="1">
        <f t="shared" ca="1" si="12"/>
        <v>2380</v>
      </c>
      <c r="Y38" s="102">
        <f t="shared" ca="1" si="13"/>
        <v>114.63</v>
      </c>
      <c r="Z38" s="112">
        <f ca="1">ROUND(IF(ISNUMBER(R38),R38,IF(LEFT(R38,3)="BDI",HLOOKUP(R38,DADOS!$T$37:$X$38,2,FALSE),0)),15-11*$X$5)</f>
        <v>0.26379999999999998</v>
      </c>
      <c r="AA38" s="1"/>
    </row>
    <row r="39" spans="1:27" x14ac:dyDescent="0.2">
      <c r="A39">
        <f t="shared" si="0"/>
        <v>2</v>
      </c>
      <c r="B39">
        <f t="shared" ca="1" si="1"/>
        <v>5</v>
      </c>
      <c r="C39">
        <f t="shared" ca="1" si="2"/>
        <v>1</v>
      </c>
      <c r="D39">
        <f t="shared" ca="1" si="3"/>
        <v>5</v>
      </c>
      <c r="E39">
        <f t="shared" ca="1" si="4"/>
        <v>0</v>
      </c>
      <c r="F39">
        <f t="shared" ca="1" si="5"/>
        <v>0</v>
      </c>
      <c r="G39">
        <f t="shared" ca="1" si="6"/>
        <v>0</v>
      </c>
      <c r="H39">
        <f t="shared" ref="H39:H43" ca="1" si="15">IF(OR($A39="S",$A39=0),0,MATCH(0,OFFSET($B39,1,$A39,ROW($A$275)-ROW($A39)),0))</f>
        <v>236</v>
      </c>
      <c r="I39">
        <f t="shared" ref="I39:I43" ca="1" si="16">IF(OR($A39="S",$A39=0),0,MATCH(OFFSET($B39,0,$A39)+1,OFFSET($B39,1,$A39,ROW($A$275)-ROW($A39)),0))</f>
        <v>5</v>
      </c>
      <c r="J39" s="101" t="s">
        <v>100</v>
      </c>
      <c r="K39" s="137" t="str">
        <f t="shared" ca="1" si="7"/>
        <v>1.5.</v>
      </c>
      <c r="L39" s="176"/>
      <c r="M39" s="176"/>
      <c r="N39" s="197" t="s">
        <v>469</v>
      </c>
      <c r="O39" s="196" t="str">
        <f ca="1">Referencia.Unidade</f>
        <v/>
      </c>
      <c r="P39" s="199"/>
      <c r="Q39" s="195"/>
      <c r="R39" s="198" t="s">
        <v>7</v>
      </c>
      <c r="S39" s="102">
        <f t="shared" si="8"/>
        <v>0</v>
      </c>
      <c r="T39" s="82">
        <f t="shared" ca="1" si="9"/>
        <v>44011.46</v>
      </c>
      <c r="U39" s="9" t="str">
        <f t="shared" ca="1" si="10"/>
        <v/>
      </c>
      <c r="V39" s="1">
        <f ca="1">IF(OR($A39=0,$A39="S",$A39&gt;CFF!$A$9),"",MAX(V$12:OFFSET(V39,-1,0))+1)</f>
        <v>6</v>
      </c>
      <c r="W39" s="4" t="b">
        <f t="shared" si="11"/>
        <v>0</v>
      </c>
      <c r="X39" s="1" t="str">
        <f t="shared" ca="1" si="12"/>
        <v>X</v>
      </c>
      <c r="Y39" s="102">
        <f t="shared" ca="1" si="13"/>
        <v>0</v>
      </c>
      <c r="Z39" s="112">
        <f ca="1">ROUND(IF(ISNUMBER(R39),R39,IF(LEFT(R39,3)="BDI",HLOOKUP(R39,DADOS!$T$37:$X$38,2,FALSE),0)),15-11*$X$5)</f>
        <v>0.26379999999999998</v>
      </c>
      <c r="AA39" s="1"/>
    </row>
    <row r="40" spans="1:27" ht="25.5" x14ac:dyDescent="0.2">
      <c r="A40" t="str">
        <f t="shared" si="0"/>
        <v>S</v>
      </c>
      <c r="B40">
        <f t="shared" si="1"/>
        <v>0</v>
      </c>
      <c r="C40">
        <f t="shared" ca="1" si="2"/>
        <v>1</v>
      </c>
      <c r="D40">
        <f t="shared" ca="1" si="3"/>
        <v>5</v>
      </c>
      <c r="E40">
        <f t="shared" ca="1" si="4"/>
        <v>0</v>
      </c>
      <c r="F40">
        <f t="shared" ca="1" si="5"/>
        <v>0</v>
      </c>
      <c r="G40">
        <f t="shared" ca="1" si="6"/>
        <v>1</v>
      </c>
      <c r="H40">
        <f t="shared" ca="1" si="15"/>
        <v>0</v>
      </c>
      <c r="I40">
        <f t="shared" ca="1" si="16"/>
        <v>0</v>
      </c>
      <c r="J40" s="101" t="s">
        <v>103</v>
      </c>
      <c r="K40" s="137" t="str">
        <f t="shared" ca="1" si="7"/>
        <v>1.5.1.</v>
      </c>
      <c r="L40" s="176" t="s">
        <v>237</v>
      </c>
      <c r="M40" s="176" t="s">
        <v>456</v>
      </c>
      <c r="N40" s="197" t="str">
        <f ca="1">IF($A40="S",Referencia.Descricao,"(digite a descrição aqui)")</f>
        <v>CONCRETAGEM DE BLOCO DE COROAMENTO OU VIGA BALDRAME, FCK 30 MPA, COM USO DE BOMBA - LANÇAMENTO, ADENSAMENTO E ACABAMENTO. AF_01/2024</v>
      </c>
      <c r="O40" s="196" t="str">
        <f ca="1">Referencia.Unidade</f>
        <v>M3</v>
      </c>
      <c r="P40" s="199">
        <v>11.414099999999998</v>
      </c>
      <c r="Q40" s="195">
        <f t="shared" ca="1" si="14"/>
        <v>736.19</v>
      </c>
      <c r="R40" s="198" t="s">
        <v>7</v>
      </c>
      <c r="S40" s="102">
        <f t="shared" ca="1" si="8"/>
        <v>930.4</v>
      </c>
      <c r="T40" s="82">
        <f t="shared" ca="1" si="9"/>
        <v>10615.86</v>
      </c>
      <c r="U40" s="9" t="str">
        <f t="shared" ca="1" si="10"/>
        <v/>
      </c>
      <c r="V40" s="1" t="str">
        <f ca="1">IF(OR($A40=0,$A40="S",$A40&gt;CFF!$A$9),"",MAX(V$12:OFFSET(V40,-1,0))+1)</f>
        <v/>
      </c>
      <c r="W40" s="4" t="str">
        <f t="shared" si="11"/>
        <v>SINAPI-96557</v>
      </c>
      <c r="X40" s="1">
        <f t="shared" ca="1" si="12"/>
        <v>2722</v>
      </c>
      <c r="Y40" s="102">
        <f t="shared" ca="1" si="13"/>
        <v>736.19</v>
      </c>
      <c r="Z40" s="112">
        <f ca="1">ROUND(IF(ISNUMBER(R40),R40,IF(LEFT(R40,3)="BDI",HLOOKUP(R40,DADOS!$T$37:$X$38,2,FALSE),0)),15-11*$X$5)</f>
        <v>0.26379999999999998</v>
      </c>
      <c r="AA40" s="1"/>
    </row>
    <row r="41" spans="1:27" ht="25.5" x14ac:dyDescent="0.2">
      <c r="A41" t="str">
        <f t="shared" si="0"/>
        <v>S</v>
      </c>
      <c r="B41">
        <f t="shared" si="1"/>
        <v>0</v>
      </c>
      <c r="C41">
        <f t="shared" ca="1" si="2"/>
        <v>1</v>
      </c>
      <c r="D41">
        <f t="shared" ca="1" si="3"/>
        <v>5</v>
      </c>
      <c r="E41">
        <f t="shared" ca="1" si="4"/>
        <v>0</v>
      </c>
      <c r="F41">
        <f t="shared" ca="1" si="5"/>
        <v>0</v>
      </c>
      <c r="G41">
        <f t="shared" ca="1" si="6"/>
        <v>2</v>
      </c>
      <c r="H41">
        <f t="shared" ca="1" si="15"/>
        <v>0</v>
      </c>
      <c r="I41">
        <f t="shared" ca="1" si="16"/>
        <v>0</v>
      </c>
      <c r="J41" s="101" t="s">
        <v>103</v>
      </c>
      <c r="K41" s="137" t="str">
        <f t="shared" ca="1" si="7"/>
        <v>1.5.2.</v>
      </c>
      <c r="L41" s="176" t="s">
        <v>237</v>
      </c>
      <c r="M41" s="176" t="s">
        <v>457</v>
      </c>
      <c r="N41" s="197" t="str">
        <f ca="1">IF($A41="S",Referencia.Descricao,"(digite a descrição aqui)")</f>
        <v>FABRICAÇÃO DE FÔRMA PARA VIGAS, COM MADEIRA SERRADA, E = 25 MM. AF_09/2020</v>
      </c>
      <c r="O41" s="196" t="str">
        <f ca="1">Referencia.Unidade</f>
        <v>M2</v>
      </c>
      <c r="P41" s="199">
        <v>153.28199999999998</v>
      </c>
      <c r="Q41" s="195">
        <f t="shared" ca="1" si="14"/>
        <v>118.27</v>
      </c>
      <c r="R41" s="198" t="s">
        <v>7</v>
      </c>
      <c r="S41" s="102">
        <f t="shared" ca="1" si="8"/>
        <v>149.47</v>
      </c>
      <c r="T41" s="82">
        <f t="shared" ca="1" si="9"/>
        <v>22910.76</v>
      </c>
      <c r="U41" s="9" t="str">
        <f t="shared" ca="1" si="10"/>
        <v/>
      </c>
      <c r="V41" s="1" t="str">
        <f ca="1">IF(OR($A41=0,$A41="S",$A41&gt;CFF!$A$9),"",MAX(V$12:OFFSET(V41,-1,0))+1)</f>
        <v/>
      </c>
      <c r="W41" s="4" t="str">
        <f t="shared" si="11"/>
        <v>SINAPI-92270</v>
      </c>
      <c r="X41" s="1">
        <f t="shared" ca="1" si="12"/>
        <v>2381</v>
      </c>
      <c r="Y41" s="102">
        <f t="shared" ca="1" si="13"/>
        <v>118.27</v>
      </c>
      <c r="Z41" s="112">
        <f ca="1">ROUND(IF(ISNUMBER(R41),R41,IF(LEFT(R41,3)="BDI",HLOOKUP(R41,DADOS!$T$37:$X$38,2,FALSE),0)),15-11*$X$5)</f>
        <v>0.26379999999999998</v>
      </c>
      <c r="AA41" s="1"/>
    </row>
    <row r="42" spans="1:27" x14ac:dyDescent="0.2">
      <c r="A42" t="str">
        <f t="shared" si="0"/>
        <v>S</v>
      </c>
      <c r="B42">
        <f t="shared" si="1"/>
        <v>0</v>
      </c>
      <c r="C42">
        <f t="shared" ca="1" si="2"/>
        <v>1</v>
      </c>
      <c r="D42">
        <f t="shared" ca="1" si="3"/>
        <v>5</v>
      </c>
      <c r="E42">
        <f t="shared" ca="1" si="4"/>
        <v>0</v>
      </c>
      <c r="F42">
        <f t="shared" ca="1" si="5"/>
        <v>0</v>
      </c>
      <c r="G42">
        <f t="shared" ca="1" si="6"/>
        <v>3</v>
      </c>
      <c r="H42">
        <f t="shared" ca="1" si="15"/>
        <v>0</v>
      </c>
      <c r="I42">
        <f t="shared" ca="1" si="16"/>
        <v>0</v>
      </c>
      <c r="J42" s="101" t="s">
        <v>103</v>
      </c>
      <c r="K42" s="137" t="str">
        <f t="shared" ca="1" si="7"/>
        <v>1.5.3.</v>
      </c>
      <c r="L42" s="176" t="s">
        <v>237</v>
      </c>
      <c r="M42" s="176" t="s">
        <v>453</v>
      </c>
      <c r="N42" s="197" t="str">
        <f ca="1">IF($A42="S",Referencia.Descricao,"(digite a descrição aqui)")</f>
        <v>CORTE E DOBRA DE AÇO CA-50, DIÂMETRO DE 10,0 MM. AF_06/2022</v>
      </c>
      <c r="O42" s="196" t="str">
        <f ca="1">Referencia.Unidade</f>
        <v>KG</v>
      </c>
      <c r="P42" s="199">
        <v>630.49995999999987</v>
      </c>
      <c r="Q42" s="195">
        <f t="shared" ca="1" si="14"/>
        <v>9.39</v>
      </c>
      <c r="R42" s="198" t="s">
        <v>7</v>
      </c>
      <c r="S42" s="102">
        <f t="shared" ca="1" si="8"/>
        <v>11.87</v>
      </c>
      <c r="T42" s="82">
        <f t="shared" ca="1" si="9"/>
        <v>7484.04</v>
      </c>
      <c r="U42" s="9" t="str">
        <f t="shared" ca="1" si="10"/>
        <v/>
      </c>
      <c r="V42" s="1" t="str">
        <f ca="1">IF(OR($A42=0,$A42="S",$A42&gt;CFF!$A$9),"",MAX(V$12:OFFSET(V42,-1,0))+1)</f>
        <v/>
      </c>
      <c r="W42" s="4" t="str">
        <f t="shared" si="11"/>
        <v>SINAPI-92803</v>
      </c>
      <c r="X42" s="1">
        <f t="shared" ca="1" si="12"/>
        <v>2624</v>
      </c>
      <c r="Y42" s="102">
        <f t="shared" ca="1" si="13"/>
        <v>9.39</v>
      </c>
      <c r="Z42" s="112">
        <f ca="1">ROUND(IF(ISNUMBER(R42),R42,IF(LEFT(R42,3)="BDI",HLOOKUP(R42,DADOS!$T$37:$X$38,2,FALSE),0)),15-11*$X$5)</f>
        <v>0.26379999999999998</v>
      </c>
      <c r="AA42" s="1"/>
    </row>
    <row r="43" spans="1:27" x14ac:dyDescent="0.2">
      <c r="A43" t="str">
        <f t="shared" si="0"/>
        <v>S</v>
      </c>
      <c r="B43">
        <f t="shared" si="1"/>
        <v>0</v>
      </c>
      <c r="C43">
        <f t="shared" ca="1" si="2"/>
        <v>1</v>
      </c>
      <c r="D43">
        <f t="shared" ca="1" si="3"/>
        <v>5</v>
      </c>
      <c r="E43">
        <f t="shared" ca="1" si="4"/>
        <v>0</v>
      </c>
      <c r="F43">
        <f t="shared" ca="1" si="5"/>
        <v>0</v>
      </c>
      <c r="G43">
        <f t="shared" ca="1" si="6"/>
        <v>4</v>
      </c>
      <c r="H43">
        <f t="shared" ca="1" si="15"/>
        <v>0</v>
      </c>
      <c r="I43">
        <f t="shared" ca="1" si="16"/>
        <v>0</v>
      </c>
      <c r="J43" s="101" t="s">
        <v>103</v>
      </c>
      <c r="K43" s="137" t="str">
        <f t="shared" ca="1" si="7"/>
        <v>1.5.4.</v>
      </c>
      <c r="L43" s="176" t="s">
        <v>237</v>
      </c>
      <c r="M43" s="176" t="s">
        <v>459</v>
      </c>
      <c r="N43" s="197" t="str">
        <f ca="1">IF($A43="S",Referencia.Descricao,"(digite a descrição aqui)")</f>
        <v>CORTE E DOBRA DE AÇO CA-60, DIÂMETRO DE 5,0 MM. AF_06/2022</v>
      </c>
      <c r="O43" s="196" t="str">
        <f ca="1">Referencia.Unidade</f>
        <v>KG</v>
      </c>
      <c r="P43" s="199">
        <v>237.97337666666661</v>
      </c>
      <c r="Q43" s="195">
        <f t="shared" ca="1" si="14"/>
        <v>9.98</v>
      </c>
      <c r="R43" s="198" t="s">
        <v>7</v>
      </c>
      <c r="S43" s="102">
        <f t="shared" ca="1" si="8"/>
        <v>12.61</v>
      </c>
      <c r="T43" s="82">
        <f t="shared" ca="1" si="9"/>
        <v>3000.8</v>
      </c>
      <c r="U43" s="9" t="str">
        <f t="shared" ca="1" si="10"/>
        <v/>
      </c>
      <c r="V43" s="1" t="str">
        <f ca="1">IF(OR($A43=0,$A43="S",$A43&gt;CFF!$A$9),"",MAX(V$12:OFFSET(V43,-1,0))+1)</f>
        <v/>
      </c>
      <c r="W43" s="4" t="str">
        <f t="shared" si="11"/>
        <v>SINAPI-92800</v>
      </c>
      <c r="X43" s="1">
        <f t="shared" ca="1" si="12"/>
        <v>2621</v>
      </c>
      <c r="Y43" s="102">
        <f t="shared" ca="1" si="13"/>
        <v>9.98</v>
      </c>
      <c r="Z43" s="112">
        <f ca="1">ROUND(IF(ISNUMBER(R43),R43,IF(LEFT(R43,3)="BDI",HLOOKUP(R43,DADOS!$T$37:$X$38,2,FALSE),0)),15-11*$X$5)</f>
        <v>0.26379999999999998</v>
      </c>
      <c r="AA43" s="1"/>
    </row>
    <row r="44" spans="1:27" x14ac:dyDescent="0.2">
      <c r="A44">
        <f t="shared" si="0"/>
        <v>2</v>
      </c>
      <c r="B44">
        <f t="shared" ca="1" si="1"/>
        <v>5</v>
      </c>
      <c r="C44">
        <f t="shared" ca="1" si="2"/>
        <v>1</v>
      </c>
      <c r="D44">
        <f t="shared" ca="1" si="3"/>
        <v>6</v>
      </c>
      <c r="E44">
        <f t="shared" ca="1" si="4"/>
        <v>0</v>
      </c>
      <c r="F44">
        <f t="shared" ca="1" si="5"/>
        <v>0</v>
      </c>
      <c r="G44">
        <f t="shared" ca="1" si="6"/>
        <v>0</v>
      </c>
      <c r="H44">
        <f ca="1">IF(OR($A44="S",$A44=0),0,MATCH(0,OFFSET($B44,1,$A44,ROW($A$275)-ROW($A44)),0))</f>
        <v>231</v>
      </c>
      <c r="I44">
        <f ca="1">IF(OR($A44="S",$A44=0),0,MATCH(OFFSET($B44,0,$A44)+1,OFFSET($B44,1,$A44,ROW($A$275)-ROW($A44)),0))</f>
        <v>5</v>
      </c>
      <c r="J44" s="101" t="s">
        <v>100</v>
      </c>
      <c r="K44" s="137" t="str">
        <f t="shared" ca="1" si="7"/>
        <v>1.6.</v>
      </c>
      <c r="L44" s="176"/>
      <c r="M44" s="176"/>
      <c r="N44" s="197" t="s">
        <v>472</v>
      </c>
      <c r="O44" s="196" t="str">
        <f ca="1">Referencia.Unidade</f>
        <v/>
      </c>
      <c r="P44" s="199"/>
      <c r="Q44" s="195">
        <f t="shared" ca="1" si="14"/>
        <v>0</v>
      </c>
      <c r="R44" s="198" t="s">
        <v>7</v>
      </c>
      <c r="S44" s="102">
        <f t="shared" si="8"/>
        <v>0</v>
      </c>
      <c r="T44" s="82">
        <f t="shared" ca="1" si="9"/>
        <v>4970.09</v>
      </c>
      <c r="U44" s="9" t="str">
        <f t="shared" ca="1" si="10"/>
        <v/>
      </c>
      <c r="V44" s="1">
        <f ca="1">IF(OR($A44=0,$A44="S",$A44&gt;CFF!$A$9),"",MAX(V$12:OFFSET(V44,-1,0))+1)</f>
        <v>7</v>
      </c>
      <c r="W44" s="4" t="b">
        <f t="shared" si="11"/>
        <v>0</v>
      </c>
      <c r="X44" s="1" t="str">
        <f t="shared" ca="1" si="12"/>
        <v>X</v>
      </c>
      <c r="Y44" s="102">
        <f t="shared" ca="1" si="13"/>
        <v>0</v>
      </c>
      <c r="Z44" s="112">
        <f ca="1">ROUND(IF(ISNUMBER(R44),R44,IF(LEFT(R44,3)="BDI",HLOOKUP(R44,DADOS!$T$37:$X$38,2,FALSE),0)),15-11*$X$5)</f>
        <v>0.26379999999999998</v>
      </c>
      <c r="AA44" s="1"/>
    </row>
    <row r="45" spans="1:27" ht="25.5" x14ac:dyDescent="0.2">
      <c r="A45" t="str">
        <f t="shared" si="0"/>
        <v>S</v>
      </c>
      <c r="B45">
        <f t="shared" si="1"/>
        <v>0</v>
      </c>
      <c r="C45">
        <f t="shared" ca="1" si="2"/>
        <v>1</v>
      </c>
      <c r="D45">
        <f t="shared" ca="1" si="3"/>
        <v>6</v>
      </c>
      <c r="E45">
        <f t="shared" ca="1" si="4"/>
        <v>0</v>
      </c>
      <c r="F45">
        <f t="shared" ca="1" si="5"/>
        <v>0</v>
      </c>
      <c r="G45">
        <f t="shared" ca="1" si="6"/>
        <v>1</v>
      </c>
      <c r="H45">
        <f ca="1">IF(OR($A45="S",$A45=0),0,MATCH(0,OFFSET($B45,1,$A45,ROW($A$275)-ROW($A45)),0))</f>
        <v>0</v>
      </c>
      <c r="I45">
        <f ca="1">IF(OR($A45="S",$A45=0),0,MATCH(OFFSET($B45,0,$A45)+1,OFFSET($B45,1,$A45,ROW($A$275)-ROW($A45)),0))</f>
        <v>0</v>
      </c>
      <c r="J45" s="101" t="s">
        <v>103</v>
      </c>
      <c r="K45" s="137" t="str">
        <f t="shared" ca="1" si="7"/>
        <v>1.6.1.</v>
      </c>
      <c r="L45" s="176" t="s">
        <v>237</v>
      </c>
      <c r="M45" s="176" t="s">
        <v>456</v>
      </c>
      <c r="N45" s="197" t="str">
        <f ca="1">IF($A45="S",Referencia.Descricao,"(digite a descrição aqui)")</f>
        <v>CONCRETAGEM DE BLOCO DE COROAMENTO OU VIGA BALDRAME, FCK 30 MPA, COM USO DE BOMBA - LANÇAMENTO, ADENSAMENTO E ACABAMENTO. AF_01/2024</v>
      </c>
      <c r="O45" s="196" t="str">
        <f ca="1">Referencia.Unidade</f>
        <v>M3</v>
      </c>
      <c r="P45" s="199">
        <v>1.1250000000000002</v>
      </c>
      <c r="Q45" s="195">
        <f t="shared" ca="1" si="14"/>
        <v>736.19</v>
      </c>
      <c r="R45" s="198" t="s">
        <v>7</v>
      </c>
      <c r="S45" s="102">
        <f t="shared" ca="1" si="8"/>
        <v>930.4</v>
      </c>
      <c r="T45" s="82">
        <f t="shared" ca="1" si="9"/>
        <v>1051.3499999999999</v>
      </c>
      <c r="U45" s="9" t="str">
        <f t="shared" ca="1" si="10"/>
        <v/>
      </c>
      <c r="V45" s="1" t="str">
        <f ca="1">IF(OR($A45=0,$A45="S",$A45&gt;CFF!$A$9),"",MAX(V$12:OFFSET(V45,-1,0))+1)</f>
        <v/>
      </c>
      <c r="W45" s="4" t="str">
        <f t="shared" si="11"/>
        <v>SINAPI-96557</v>
      </c>
      <c r="X45" s="1">
        <f t="shared" ca="1" si="12"/>
        <v>2722</v>
      </c>
      <c r="Y45" s="102">
        <f t="shared" ca="1" si="13"/>
        <v>736.19</v>
      </c>
      <c r="Z45" s="112">
        <f ca="1">ROUND(IF(ISNUMBER(R45),R45,IF(LEFT(R45,3)="BDI",HLOOKUP(R45,DADOS!$T$37:$X$38,2,FALSE),0)),15-11*$X$5)</f>
        <v>0.26379999999999998</v>
      </c>
      <c r="AA45" s="1"/>
    </row>
    <row r="46" spans="1:27" ht="25.5" x14ac:dyDescent="0.2">
      <c r="A46" t="str">
        <f t="shared" si="0"/>
        <v>S</v>
      </c>
      <c r="B46">
        <f t="shared" si="1"/>
        <v>0</v>
      </c>
      <c r="C46">
        <f t="shared" ca="1" si="2"/>
        <v>1</v>
      </c>
      <c r="D46">
        <f t="shared" ca="1" si="3"/>
        <v>6</v>
      </c>
      <c r="E46">
        <f t="shared" ca="1" si="4"/>
        <v>0</v>
      </c>
      <c r="F46">
        <f t="shared" ca="1" si="5"/>
        <v>0</v>
      </c>
      <c r="G46">
        <f t="shared" ca="1" si="6"/>
        <v>2</v>
      </c>
      <c r="H46">
        <f ca="1">IF(OR($A46="S",$A46=0),0,MATCH(0,OFFSET($B46,1,$A46,ROW($A$275)-ROW($A46)),0))</f>
        <v>0</v>
      </c>
      <c r="I46">
        <f ca="1">IF(OR($A46="S",$A46=0),0,MATCH(OFFSET($B46,0,$A46)+1,OFFSET($B46,1,$A46,ROW($A$275)-ROW($A46)),0))</f>
        <v>0</v>
      </c>
      <c r="J46" s="101" t="s">
        <v>103</v>
      </c>
      <c r="K46" s="137" t="str">
        <f t="shared" ca="1" si="7"/>
        <v>1.6.2.</v>
      </c>
      <c r="L46" s="176" t="s">
        <v>237</v>
      </c>
      <c r="M46" s="176" t="s">
        <v>457</v>
      </c>
      <c r="N46" s="197" t="str">
        <f ca="1">IF($A46="S",Referencia.Descricao,"(digite a descrição aqui)")</f>
        <v>FABRICAÇÃO DE FÔRMA PARA VIGAS, COM MADEIRA SERRADA, E = 25 MM. AF_09/2020</v>
      </c>
      <c r="O46" s="196" t="str">
        <f ca="1">Referencia.Unidade</f>
        <v>M2</v>
      </c>
      <c r="P46" s="199">
        <v>17.812500000000004</v>
      </c>
      <c r="Q46" s="195">
        <f t="shared" ca="1" si="14"/>
        <v>118.27</v>
      </c>
      <c r="R46" s="198" t="s">
        <v>7</v>
      </c>
      <c r="S46" s="102">
        <f t="shared" ca="1" si="8"/>
        <v>149.47</v>
      </c>
      <c r="T46" s="82">
        <f t="shared" ca="1" si="9"/>
        <v>2662.06</v>
      </c>
      <c r="U46" s="9" t="str">
        <f t="shared" ca="1" si="10"/>
        <v/>
      </c>
      <c r="V46" s="1" t="str">
        <f ca="1">IF(OR($A46=0,$A46="S",$A46&gt;CFF!$A$9),"",MAX(V$12:OFFSET(V46,-1,0))+1)</f>
        <v/>
      </c>
      <c r="W46" s="4" t="str">
        <f t="shared" si="11"/>
        <v>SINAPI-92270</v>
      </c>
      <c r="X46" s="1">
        <f t="shared" ca="1" si="12"/>
        <v>2381</v>
      </c>
      <c r="Y46" s="102">
        <f t="shared" ca="1" si="13"/>
        <v>118.27</v>
      </c>
      <c r="Z46" s="112">
        <f ca="1">ROUND(IF(ISNUMBER(R46),R46,IF(LEFT(R46,3)="BDI",HLOOKUP(R46,DADOS!$T$37:$X$38,2,FALSE),0)),15-11*$X$5)</f>
        <v>0.26379999999999998</v>
      </c>
      <c r="AA46" s="1"/>
    </row>
    <row r="47" spans="1:27" x14ac:dyDescent="0.2">
      <c r="A47" t="str">
        <f t="shared" si="0"/>
        <v>S</v>
      </c>
      <c r="B47">
        <f t="shared" si="1"/>
        <v>0</v>
      </c>
      <c r="C47">
        <f t="shared" ca="1" si="2"/>
        <v>1</v>
      </c>
      <c r="D47">
        <f t="shared" ca="1" si="3"/>
        <v>6</v>
      </c>
      <c r="E47">
        <f t="shared" ca="1" si="4"/>
        <v>0</v>
      </c>
      <c r="F47">
        <f t="shared" ca="1" si="5"/>
        <v>0</v>
      </c>
      <c r="G47">
        <f t="shared" ca="1" si="6"/>
        <v>3</v>
      </c>
      <c r="H47">
        <f ca="1">IF(OR($A47="S",$A47=0),0,MATCH(0,OFFSET($B47,1,$A47,ROW($A$275)-ROW($A47)),0))</f>
        <v>0</v>
      </c>
      <c r="I47">
        <f ca="1">IF(OR($A47="S",$A47=0),0,MATCH(OFFSET($B47,0,$A47)+1,OFFSET($B47,1,$A47,ROW($A$275)-ROW($A47)),0))</f>
        <v>0</v>
      </c>
      <c r="J47" s="101" t="s">
        <v>103</v>
      </c>
      <c r="K47" s="137" t="str">
        <f t="shared" ca="1" si="7"/>
        <v>1.6.3.</v>
      </c>
      <c r="L47" s="176" t="s">
        <v>237</v>
      </c>
      <c r="M47" s="176" t="s">
        <v>453</v>
      </c>
      <c r="N47" s="197" t="str">
        <f ca="1">IF($A47="S",Referencia.Descricao,"(digite a descrição aqui)")</f>
        <v>CORTE E DOBRA DE AÇO CA-50, DIÂMETRO DE 10,0 MM. AF_06/2022</v>
      </c>
      <c r="O47" s="196" t="str">
        <f ca="1">Referencia.Unidade</f>
        <v>KG</v>
      </c>
      <c r="P47" s="199">
        <v>80.981250000000017</v>
      </c>
      <c r="Q47" s="195">
        <f t="shared" ca="1" si="14"/>
        <v>9.39</v>
      </c>
      <c r="R47" s="198" t="s">
        <v>7</v>
      </c>
      <c r="S47" s="102">
        <f t="shared" ca="1" si="8"/>
        <v>11.87</v>
      </c>
      <c r="T47" s="82">
        <f t="shared" ca="1" si="9"/>
        <v>961.23</v>
      </c>
      <c r="U47" s="9" t="str">
        <f t="shared" ca="1" si="10"/>
        <v/>
      </c>
      <c r="V47" s="1" t="str">
        <f ca="1">IF(OR($A47=0,$A47="S",$A47&gt;CFF!$A$9),"",MAX(V$12:OFFSET(V47,-1,0))+1)</f>
        <v/>
      </c>
      <c r="W47" s="4" t="str">
        <f t="shared" si="11"/>
        <v>SINAPI-92803</v>
      </c>
      <c r="X47" s="1">
        <f t="shared" ca="1" si="12"/>
        <v>2624</v>
      </c>
      <c r="Y47" s="102">
        <f t="shared" ca="1" si="13"/>
        <v>9.39</v>
      </c>
      <c r="Z47" s="112">
        <f ca="1">ROUND(IF(ISNUMBER(R47),R47,IF(LEFT(R47,3)="BDI",HLOOKUP(R47,DADOS!$T$37:$X$38,2,FALSE),0)),15-11*$X$5)</f>
        <v>0.26379999999999998</v>
      </c>
      <c r="AA47" s="1"/>
    </row>
    <row r="48" spans="1:27" x14ac:dyDescent="0.2">
      <c r="A48" t="str">
        <f t="shared" si="0"/>
        <v>S</v>
      </c>
      <c r="B48">
        <f t="shared" si="1"/>
        <v>0</v>
      </c>
      <c r="C48">
        <f t="shared" ca="1" si="2"/>
        <v>1</v>
      </c>
      <c r="D48">
        <f t="shared" ca="1" si="3"/>
        <v>6</v>
      </c>
      <c r="E48">
        <f t="shared" ca="1" si="4"/>
        <v>0</v>
      </c>
      <c r="F48">
        <f t="shared" ca="1" si="5"/>
        <v>0</v>
      </c>
      <c r="G48">
        <f t="shared" ca="1" si="6"/>
        <v>4</v>
      </c>
      <c r="H48">
        <f ca="1">IF(OR($A48="S",$A48=0),0,MATCH(0,OFFSET($B48,1,$A48,ROW($A$275)-ROW($A48)),0))</f>
        <v>0</v>
      </c>
      <c r="I48">
        <f ca="1">IF(OR($A48="S",$A48=0),0,MATCH(OFFSET($B48,0,$A48)+1,OFFSET($B48,1,$A48,ROW($A$275)-ROW($A48)),0))</f>
        <v>0</v>
      </c>
      <c r="J48" s="101" t="s">
        <v>103</v>
      </c>
      <c r="K48" s="137" t="str">
        <f t="shared" ca="1" si="7"/>
        <v>1.6.4.</v>
      </c>
      <c r="L48" s="176" t="s">
        <v>237</v>
      </c>
      <c r="M48" s="176" t="s">
        <v>459</v>
      </c>
      <c r="N48" s="197" t="str">
        <f ca="1">IF($A48="S",Referencia.Descricao,"(digite a descrição aqui)")</f>
        <v>CORTE E DOBRA DE AÇO CA-60, DIÂMETRO DE 5,0 MM. AF_06/2022</v>
      </c>
      <c r="O48" s="196" t="str">
        <f ca="1">Referencia.Unidade</f>
        <v>KG</v>
      </c>
      <c r="P48" s="199">
        <v>23.428125000000005</v>
      </c>
      <c r="Q48" s="195">
        <f t="shared" ca="1" si="14"/>
        <v>9.98</v>
      </c>
      <c r="R48" s="198" t="s">
        <v>7</v>
      </c>
      <c r="S48" s="102">
        <f t="shared" ca="1" si="8"/>
        <v>12.61</v>
      </c>
      <c r="T48" s="82">
        <f t="shared" ca="1" si="9"/>
        <v>295.45</v>
      </c>
      <c r="U48" s="9" t="str">
        <f t="shared" ca="1" si="10"/>
        <v/>
      </c>
      <c r="V48" s="1" t="str">
        <f ca="1">IF(OR($A48=0,$A48="S",$A48&gt;CFF!$A$9),"",MAX(V$12:OFFSET(V48,-1,0))+1)</f>
        <v/>
      </c>
      <c r="W48" s="4" t="str">
        <f t="shared" si="11"/>
        <v>SINAPI-92800</v>
      </c>
      <c r="X48" s="1">
        <f t="shared" ca="1" si="12"/>
        <v>2621</v>
      </c>
      <c r="Y48" s="102">
        <f t="shared" ca="1" si="13"/>
        <v>9.98</v>
      </c>
      <c r="Z48" s="112">
        <f ca="1">ROUND(IF(ISNUMBER(R48),R48,IF(LEFT(R48,3)="BDI",HLOOKUP(R48,DADOS!$T$37:$X$38,2,FALSE),0)),15-11*$X$5)</f>
        <v>0.26379999999999998</v>
      </c>
      <c r="AA48" s="1"/>
    </row>
    <row r="49" spans="1:27" x14ac:dyDescent="0.2">
      <c r="A49">
        <f t="shared" si="0"/>
        <v>2</v>
      </c>
      <c r="B49">
        <f t="shared" ca="1" si="1"/>
        <v>5</v>
      </c>
      <c r="C49">
        <f t="shared" ca="1" si="2"/>
        <v>1</v>
      </c>
      <c r="D49">
        <f t="shared" ca="1" si="3"/>
        <v>7</v>
      </c>
      <c r="E49">
        <f t="shared" ca="1" si="4"/>
        <v>0</v>
      </c>
      <c r="F49">
        <f t="shared" ca="1" si="5"/>
        <v>0</v>
      </c>
      <c r="G49">
        <f t="shared" ca="1" si="6"/>
        <v>0</v>
      </c>
      <c r="H49">
        <f ca="1">IF(OR($A49="S",$A49=0),0,MATCH(0,OFFSET($B49,1,$A49,ROW($A$275)-ROW($A49)),0))</f>
        <v>226</v>
      </c>
      <c r="I49">
        <f ca="1">IF(OR($A49="S",$A49=0),0,MATCH(OFFSET($B49,0,$A49)+1,OFFSET($B49,1,$A49,ROW($A$275)-ROW($A49)),0))</f>
        <v>5</v>
      </c>
      <c r="J49" s="101" t="s">
        <v>100</v>
      </c>
      <c r="K49" s="137" t="str">
        <f t="shared" ca="1" si="7"/>
        <v>1.7.</v>
      </c>
      <c r="L49" s="176"/>
      <c r="M49" s="176"/>
      <c r="N49" s="197" t="s">
        <v>473</v>
      </c>
      <c r="O49" s="196" t="str">
        <f ca="1">Referencia.Unidade</f>
        <v/>
      </c>
      <c r="P49" s="199"/>
      <c r="Q49" s="195">
        <f t="shared" ca="1" si="14"/>
        <v>0</v>
      </c>
      <c r="R49" s="198" t="s">
        <v>7</v>
      </c>
      <c r="S49" s="102">
        <f t="shared" si="8"/>
        <v>0</v>
      </c>
      <c r="T49" s="82">
        <f t="shared" ca="1" si="9"/>
        <v>6275.62</v>
      </c>
      <c r="U49" s="9" t="str">
        <f t="shared" ca="1" si="10"/>
        <v/>
      </c>
      <c r="V49" s="1">
        <f ca="1">IF(OR($A49=0,$A49="S",$A49&gt;CFF!$A$9),"",MAX(V$12:OFFSET(V49,-1,0))+1)</f>
        <v>8</v>
      </c>
      <c r="W49" s="4" t="b">
        <f t="shared" si="11"/>
        <v>0</v>
      </c>
      <c r="X49" s="1" t="str">
        <f t="shared" ca="1" si="12"/>
        <v>X</v>
      </c>
      <c r="Y49" s="102">
        <f t="shared" ca="1" si="13"/>
        <v>0</v>
      </c>
      <c r="Z49" s="112">
        <f ca="1">ROUND(IF(ISNUMBER(R49),R49,IF(LEFT(R49,3)="BDI",HLOOKUP(R49,DADOS!$T$37:$X$38,2,FALSE),0)),15-11*$X$5)</f>
        <v>0.26379999999999998</v>
      </c>
      <c r="AA49" s="1"/>
    </row>
    <row r="50" spans="1:27" ht="25.5" x14ac:dyDescent="0.2">
      <c r="A50" t="str">
        <f t="shared" si="0"/>
        <v>S</v>
      </c>
      <c r="B50">
        <f t="shared" si="1"/>
        <v>0</v>
      </c>
      <c r="C50">
        <f t="shared" ca="1" si="2"/>
        <v>1</v>
      </c>
      <c r="D50">
        <f t="shared" ca="1" si="3"/>
        <v>7</v>
      </c>
      <c r="E50">
        <f t="shared" ca="1" si="4"/>
        <v>0</v>
      </c>
      <c r="F50">
        <f t="shared" ca="1" si="5"/>
        <v>0</v>
      </c>
      <c r="G50">
        <f t="shared" ca="1" si="6"/>
        <v>1</v>
      </c>
      <c r="H50">
        <f ca="1">IF(OR($A50="S",$A50=0),0,MATCH(0,OFFSET($B50,1,$A50,ROW($A$275)-ROW($A50)),0))</f>
        <v>0</v>
      </c>
      <c r="I50">
        <f ca="1">IF(OR($A50="S",$A50=0),0,MATCH(OFFSET($B50,0,$A50)+1,OFFSET($B50,1,$A50,ROW($A$275)-ROW($A50)),0))</f>
        <v>0</v>
      </c>
      <c r="J50" s="101" t="s">
        <v>103</v>
      </c>
      <c r="K50" s="137" t="str">
        <f t="shared" ca="1" si="7"/>
        <v>1.7.1.</v>
      </c>
      <c r="L50" s="176" t="s">
        <v>237</v>
      </c>
      <c r="M50" s="176" t="s">
        <v>456</v>
      </c>
      <c r="N50" s="197" t="str">
        <f ca="1">IF($A50="S",Referencia.Descricao,"(digite a descrição aqui)")</f>
        <v>CONCRETAGEM DE BLOCO DE COROAMENTO OU VIGA BALDRAME, FCK 30 MPA, COM USO DE BOMBA - LANÇAMENTO, ADENSAMENTO E ACABAMENTO. AF_01/2024</v>
      </c>
      <c r="O50" s="196" t="str">
        <f ca="1">Referencia.Unidade</f>
        <v>M3</v>
      </c>
      <c r="P50" s="199">
        <v>1.4220000000000002</v>
      </c>
      <c r="Q50" s="195">
        <f t="shared" ca="1" si="14"/>
        <v>736.19</v>
      </c>
      <c r="R50" s="198" t="s">
        <v>7</v>
      </c>
      <c r="S50" s="102">
        <f t="shared" ca="1" si="8"/>
        <v>930.4</v>
      </c>
      <c r="T50" s="82">
        <f t="shared" ca="1" si="9"/>
        <v>1321.17</v>
      </c>
      <c r="U50" s="9" t="str">
        <f t="shared" ca="1" si="10"/>
        <v/>
      </c>
      <c r="V50" s="1" t="str">
        <f ca="1">IF(OR($A50=0,$A50="S",$A50&gt;CFF!$A$9),"",MAX(V$12:OFFSET(V50,-1,0))+1)</f>
        <v/>
      </c>
      <c r="W50" s="4" t="str">
        <f t="shared" si="11"/>
        <v>SINAPI-96557</v>
      </c>
      <c r="X50" s="1">
        <f t="shared" ca="1" si="12"/>
        <v>2722</v>
      </c>
      <c r="Y50" s="102">
        <f t="shared" ca="1" si="13"/>
        <v>736.19</v>
      </c>
      <c r="Z50" s="112">
        <f ca="1">ROUND(IF(ISNUMBER(R50),R50,IF(LEFT(R50,3)="BDI",HLOOKUP(R50,DADOS!$T$37:$X$38,2,FALSE),0)),15-11*$X$5)</f>
        <v>0.26379999999999998</v>
      </c>
      <c r="AA50" s="1"/>
    </row>
    <row r="51" spans="1:27" ht="25.5" x14ac:dyDescent="0.2">
      <c r="A51" t="str">
        <f t="shared" si="0"/>
        <v>S</v>
      </c>
      <c r="B51">
        <f t="shared" si="1"/>
        <v>0</v>
      </c>
      <c r="C51">
        <f t="shared" ca="1" si="2"/>
        <v>1</v>
      </c>
      <c r="D51">
        <f t="shared" ca="1" si="3"/>
        <v>7</v>
      </c>
      <c r="E51">
        <f t="shared" ca="1" si="4"/>
        <v>0</v>
      </c>
      <c r="F51">
        <f t="shared" ca="1" si="5"/>
        <v>0</v>
      </c>
      <c r="G51">
        <f t="shared" ca="1" si="6"/>
        <v>2</v>
      </c>
      <c r="H51">
        <f ca="1">IF(OR($A51="S",$A51=0),0,MATCH(0,OFFSET($B51,1,$A51,ROW($A$275)-ROW($A51)),0))</f>
        <v>0</v>
      </c>
      <c r="I51">
        <f ca="1">IF(OR($A51="S",$A51=0),0,MATCH(OFFSET($B51,0,$A51)+1,OFFSET($B51,1,$A51,ROW($A$275)-ROW($A51)),0))</f>
        <v>0</v>
      </c>
      <c r="J51" s="101" t="s">
        <v>103</v>
      </c>
      <c r="K51" s="137" t="str">
        <f t="shared" ca="1" si="7"/>
        <v>1.7.2.</v>
      </c>
      <c r="L51" s="176" t="s">
        <v>237</v>
      </c>
      <c r="M51" s="176" t="s">
        <v>457</v>
      </c>
      <c r="N51" s="197" t="str">
        <f ca="1">IF($A51="S",Referencia.Descricao,"(digite a descrição aqui)")</f>
        <v>FABRICAÇÃO DE FÔRMA PARA VIGAS, COM MADEIRA SERRADA, E = 25 MM. AF_09/2020</v>
      </c>
      <c r="O51" s="196" t="str">
        <f ca="1">Referencia.Unidade</f>
        <v>M2</v>
      </c>
      <c r="P51" s="199">
        <v>22.515000000000004</v>
      </c>
      <c r="Q51" s="195">
        <f t="shared" ca="1" si="14"/>
        <v>118.27</v>
      </c>
      <c r="R51" s="198" t="s">
        <v>7</v>
      </c>
      <c r="S51" s="102">
        <f t="shared" ca="1" si="8"/>
        <v>149.47</v>
      </c>
      <c r="T51" s="82">
        <f t="shared" ca="1" si="9"/>
        <v>3366.06</v>
      </c>
      <c r="U51" s="9" t="str">
        <f t="shared" ca="1" si="10"/>
        <v/>
      </c>
      <c r="V51" s="1" t="str">
        <f ca="1">IF(OR($A51=0,$A51="S",$A51&gt;CFF!$A$9),"",MAX(V$12:OFFSET(V51,-1,0))+1)</f>
        <v/>
      </c>
      <c r="W51" s="4" t="str">
        <f t="shared" si="11"/>
        <v>SINAPI-92270</v>
      </c>
      <c r="X51" s="1">
        <f t="shared" ca="1" si="12"/>
        <v>2381</v>
      </c>
      <c r="Y51" s="102">
        <f t="shared" ca="1" si="13"/>
        <v>118.27</v>
      </c>
      <c r="Z51" s="112">
        <f ca="1">ROUND(IF(ISNUMBER(R51),R51,IF(LEFT(R51,3)="BDI",HLOOKUP(R51,DADOS!$T$37:$X$38,2,FALSE),0)),15-11*$X$5)</f>
        <v>0.26379999999999998</v>
      </c>
      <c r="AA51" s="1"/>
    </row>
    <row r="52" spans="1:27" x14ac:dyDescent="0.2">
      <c r="A52" t="str">
        <f t="shared" si="0"/>
        <v>S</v>
      </c>
      <c r="B52">
        <f t="shared" si="1"/>
        <v>0</v>
      </c>
      <c r="C52">
        <f t="shared" ca="1" si="2"/>
        <v>1</v>
      </c>
      <c r="D52">
        <f t="shared" ca="1" si="3"/>
        <v>7</v>
      </c>
      <c r="E52">
        <f t="shared" ca="1" si="4"/>
        <v>0</v>
      </c>
      <c r="F52">
        <f t="shared" ca="1" si="5"/>
        <v>0</v>
      </c>
      <c r="G52">
        <f t="shared" ca="1" si="6"/>
        <v>3</v>
      </c>
      <c r="H52">
        <f ca="1">IF(OR($A52="S",$A52=0),0,MATCH(0,OFFSET($B52,1,$A52,ROW($A$275)-ROW($A52)),0))</f>
        <v>0</v>
      </c>
      <c r="I52">
        <f ca="1">IF(OR($A52="S",$A52=0),0,MATCH(OFFSET($B52,0,$A52)+1,OFFSET($B52,1,$A52,ROW($A$275)-ROW($A52)),0))</f>
        <v>0</v>
      </c>
      <c r="J52" s="101" t="s">
        <v>103</v>
      </c>
      <c r="K52" s="137" t="str">
        <f t="shared" ca="1" si="7"/>
        <v>1.7.3.</v>
      </c>
      <c r="L52" s="176" t="s">
        <v>237</v>
      </c>
      <c r="M52" s="176" t="s">
        <v>453</v>
      </c>
      <c r="N52" s="197" t="str">
        <f ca="1">IF($A52="S",Referencia.Descricao,"(digite a descrição aqui)")</f>
        <v>CORTE E DOBRA DE AÇO CA-50, DIÂMETRO DE 10,0 MM. AF_06/2022</v>
      </c>
      <c r="O52" s="196" t="str">
        <f ca="1">Referencia.Unidade</f>
        <v>KG</v>
      </c>
      <c r="P52" s="199">
        <v>102.36030000000002</v>
      </c>
      <c r="Q52" s="195">
        <f t="shared" ca="1" si="14"/>
        <v>9.39</v>
      </c>
      <c r="R52" s="198" t="s">
        <v>7</v>
      </c>
      <c r="S52" s="102">
        <f t="shared" ca="1" si="8"/>
        <v>11.87</v>
      </c>
      <c r="T52" s="82">
        <f t="shared" ca="1" si="9"/>
        <v>1215.01</v>
      </c>
      <c r="U52" s="9" t="str">
        <f t="shared" ca="1" si="10"/>
        <v/>
      </c>
      <c r="V52" s="1" t="str">
        <f ca="1">IF(OR($A52=0,$A52="S",$A52&gt;CFF!$A$9),"",MAX(V$12:OFFSET(V52,-1,0))+1)</f>
        <v/>
      </c>
      <c r="W52" s="4" t="str">
        <f t="shared" si="11"/>
        <v>SINAPI-92803</v>
      </c>
      <c r="X52" s="1">
        <f t="shared" ca="1" si="12"/>
        <v>2624</v>
      </c>
      <c r="Y52" s="102">
        <f t="shared" ca="1" si="13"/>
        <v>9.39</v>
      </c>
      <c r="Z52" s="112">
        <f ca="1">ROUND(IF(ISNUMBER(R52),R52,IF(LEFT(R52,3)="BDI",HLOOKUP(R52,DADOS!$T$37:$X$38,2,FALSE),0)),15-11*$X$5)</f>
        <v>0.26379999999999998</v>
      </c>
      <c r="AA52" s="1"/>
    </row>
    <row r="53" spans="1:27" x14ac:dyDescent="0.2">
      <c r="A53" t="str">
        <f t="shared" si="0"/>
        <v>S</v>
      </c>
      <c r="B53">
        <f t="shared" si="1"/>
        <v>0</v>
      </c>
      <c r="C53">
        <f t="shared" ca="1" si="2"/>
        <v>1</v>
      </c>
      <c r="D53">
        <f t="shared" ca="1" si="3"/>
        <v>7</v>
      </c>
      <c r="E53">
        <f t="shared" ca="1" si="4"/>
        <v>0</v>
      </c>
      <c r="F53">
        <f t="shared" ca="1" si="5"/>
        <v>0</v>
      </c>
      <c r="G53">
        <f t="shared" ca="1" si="6"/>
        <v>4</v>
      </c>
      <c r="H53">
        <f ca="1">IF(OR($A53="S",$A53=0),0,MATCH(0,OFFSET($B53,1,$A53,ROW($A$275)-ROW($A53)),0))</f>
        <v>0</v>
      </c>
      <c r="I53">
        <f ca="1">IF(OR($A53="S",$A53=0),0,MATCH(OFFSET($B53,0,$A53)+1,OFFSET($B53,1,$A53,ROW($A$275)-ROW($A53)),0))</f>
        <v>0</v>
      </c>
      <c r="J53" s="101" t="s">
        <v>103</v>
      </c>
      <c r="K53" s="137" t="str">
        <f t="shared" ca="1" si="7"/>
        <v>1.7.4.</v>
      </c>
      <c r="L53" s="176" t="s">
        <v>237</v>
      </c>
      <c r="M53" s="176" t="s">
        <v>459</v>
      </c>
      <c r="N53" s="197" t="str">
        <f ca="1">IF($A53="S",Referencia.Descricao,"(digite a descrição aqui)")</f>
        <v>CORTE E DOBRA DE AÇO CA-60, DIÂMETRO DE 5,0 MM. AF_06/2022</v>
      </c>
      <c r="O53" s="196" t="str">
        <f ca="1">Referencia.Unidade</f>
        <v>KG</v>
      </c>
      <c r="P53" s="199">
        <v>29.613150000000001</v>
      </c>
      <c r="Q53" s="195">
        <f t="shared" ca="1" si="14"/>
        <v>9.98</v>
      </c>
      <c r="R53" s="198" t="s">
        <v>7</v>
      </c>
      <c r="S53" s="102">
        <f t="shared" ca="1" si="8"/>
        <v>12.61</v>
      </c>
      <c r="T53" s="82">
        <f t="shared" ca="1" si="9"/>
        <v>373.38</v>
      </c>
      <c r="U53" s="9" t="str">
        <f t="shared" ca="1" si="10"/>
        <v/>
      </c>
      <c r="V53" s="1" t="str">
        <f ca="1">IF(OR($A53=0,$A53="S",$A53&gt;CFF!$A$9),"",MAX(V$12:OFFSET(V53,-1,0))+1)</f>
        <v/>
      </c>
      <c r="W53" s="4" t="str">
        <f t="shared" si="11"/>
        <v>SINAPI-92800</v>
      </c>
      <c r="X53" s="1">
        <f t="shared" ca="1" si="12"/>
        <v>2621</v>
      </c>
      <c r="Y53" s="102">
        <f t="shared" ca="1" si="13"/>
        <v>9.98</v>
      </c>
      <c r="Z53" s="112">
        <f ca="1">ROUND(IF(ISNUMBER(R53),R53,IF(LEFT(R53,3)="BDI",HLOOKUP(R53,DADOS!$T$37:$X$38,2,FALSE),0)),15-11*$X$5)</f>
        <v>0.26379999999999998</v>
      </c>
      <c r="AA53" s="1"/>
    </row>
    <row r="54" spans="1:27" x14ac:dyDescent="0.2">
      <c r="A54">
        <f t="shared" si="0"/>
        <v>2</v>
      </c>
      <c r="B54">
        <f t="shared" ca="1" si="1"/>
        <v>5</v>
      </c>
      <c r="C54">
        <f t="shared" ca="1" si="2"/>
        <v>1</v>
      </c>
      <c r="D54">
        <f t="shared" ca="1" si="3"/>
        <v>8</v>
      </c>
      <c r="E54">
        <f t="shared" ca="1" si="4"/>
        <v>0</v>
      </c>
      <c r="F54">
        <f t="shared" ca="1" si="5"/>
        <v>0</v>
      </c>
      <c r="G54">
        <f t="shared" ca="1" si="6"/>
        <v>0</v>
      </c>
      <c r="H54">
        <f ca="1">IF(OR($A54="S",$A54=0),0,MATCH(0,OFFSET($B54,1,$A54,ROW($A$275)-ROW($A54)),0))</f>
        <v>221</v>
      </c>
      <c r="I54">
        <f ca="1">IF(OR($A54="S",$A54=0),0,MATCH(OFFSET($B54,0,$A54)+1,OFFSET($B54,1,$A54,ROW($A$275)-ROW($A54)),0))</f>
        <v>5</v>
      </c>
      <c r="J54" s="101" t="s">
        <v>100</v>
      </c>
      <c r="K54" s="137" t="str">
        <f t="shared" ca="1" si="7"/>
        <v>1.8.</v>
      </c>
      <c r="L54" s="176"/>
      <c r="M54" s="176"/>
      <c r="N54" s="197" t="s">
        <v>462</v>
      </c>
      <c r="O54" s="196" t="str">
        <f ca="1">Referencia.Unidade</f>
        <v/>
      </c>
      <c r="P54" s="199"/>
      <c r="Q54" s="195"/>
      <c r="R54" s="198" t="s">
        <v>7</v>
      </c>
      <c r="S54" s="102">
        <f t="shared" si="8"/>
        <v>0</v>
      </c>
      <c r="T54" s="82">
        <f t="shared" ca="1" si="9"/>
        <v>6531.24</v>
      </c>
      <c r="U54" s="9" t="str">
        <f t="shared" ca="1" si="10"/>
        <v/>
      </c>
      <c r="V54" s="1">
        <f ca="1">IF(OR($A54=0,$A54="S",$A54&gt;CFF!$A$9),"",MAX(V$12:OFFSET(V54,-1,0))+1)</f>
        <v>9</v>
      </c>
      <c r="W54" s="4" t="b">
        <f t="shared" si="11"/>
        <v>0</v>
      </c>
      <c r="X54" s="1" t="str">
        <f t="shared" ca="1" si="12"/>
        <v>X</v>
      </c>
      <c r="Y54" s="102">
        <f t="shared" ca="1" si="13"/>
        <v>0</v>
      </c>
      <c r="Z54" s="112">
        <f ca="1">ROUND(IF(ISNUMBER(R54),R54,IF(LEFT(R54,3)="BDI",HLOOKUP(R54,DADOS!$T$37:$X$38,2,FALSE),0)),15-11*$X$5)</f>
        <v>0.26379999999999998</v>
      </c>
      <c r="AA54" s="1"/>
    </row>
    <row r="55" spans="1:27" ht="25.5" x14ac:dyDescent="0.2">
      <c r="A55" t="str">
        <f t="shared" si="0"/>
        <v>S</v>
      </c>
      <c r="B55">
        <f t="shared" si="1"/>
        <v>0</v>
      </c>
      <c r="C55">
        <f t="shared" ca="1" si="2"/>
        <v>1</v>
      </c>
      <c r="D55">
        <f t="shared" ca="1" si="3"/>
        <v>8</v>
      </c>
      <c r="E55">
        <f t="shared" ca="1" si="4"/>
        <v>0</v>
      </c>
      <c r="F55">
        <f t="shared" ca="1" si="5"/>
        <v>0</v>
      </c>
      <c r="G55">
        <f t="shared" ca="1" si="6"/>
        <v>1</v>
      </c>
      <c r="H55">
        <f ca="1">IF(OR($A55="S",$A55=0),0,MATCH(0,OFFSET($B55,1,$A55,ROW($A$275)-ROW($A55)),0))</f>
        <v>0</v>
      </c>
      <c r="I55">
        <f ca="1">IF(OR($A55="S",$A55=0),0,MATCH(OFFSET($B55,0,$A55)+1,OFFSET($B55,1,$A55,ROW($A$275)-ROW($A55)),0))</f>
        <v>0</v>
      </c>
      <c r="J55" s="101" t="s">
        <v>103</v>
      </c>
      <c r="K55" s="137" t="str">
        <f t="shared" ca="1" si="7"/>
        <v>1.8.1.</v>
      </c>
      <c r="L55" s="176" t="s">
        <v>249</v>
      </c>
      <c r="M55" s="176" t="s">
        <v>463</v>
      </c>
      <c r="N55" s="197" t="str">
        <f ca="1">IF($A55="S",Referencia.Descricao,"(digite a descrição aqui)")</f>
        <v xml:space="preserve">LAJE PRE-MOLDADA TRELICADA (LAJOTAS + VIGOTAS) PARA PISO, UNIDIRECIONAL, SOBRECARGA DE 200 KG/M2, VAO ATE 6,00 M (SEM COLOCACAO)                                                                                                                                                                                                                                                                                                                                                                          </v>
      </c>
      <c r="O55" s="196" t="str">
        <f ca="1">Referencia.Unidade</f>
        <v xml:space="preserve">M2    </v>
      </c>
      <c r="P55" s="199">
        <v>19.54</v>
      </c>
      <c r="Q55" s="195">
        <f t="shared" ca="1" si="14"/>
        <v>123.23</v>
      </c>
      <c r="R55" s="198" t="s">
        <v>7</v>
      </c>
      <c r="S55" s="102">
        <f t="shared" ca="1" si="8"/>
        <v>155.74</v>
      </c>
      <c r="T55" s="82">
        <f t="shared" ca="1" si="9"/>
        <v>3043.16</v>
      </c>
      <c r="U55" s="9" t="str">
        <f t="shared" ca="1" si="10"/>
        <v/>
      </c>
      <c r="V55" s="1" t="str">
        <f ca="1">IF(OR($A55=0,$A55="S",$A55&gt;CFF!$A$9),"",MAX(V$12:OFFSET(V55,-1,0))+1)</f>
        <v/>
      </c>
      <c r="W55" s="4" t="str">
        <f t="shared" si="11"/>
        <v>SINAPI-I-3746</v>
      </c>
      <c r="X55" s="1">
        <f t="shared" ca="1" si="12"/>
        <v>10272</v>
      </c>
      <c r="Y55" s="102">
        <f t="shared" ca="1" si="13"/>
        <v>123.23</v>
      </c>
      <c r="Z55" s="112">
        <f ca="1">ROUND(IF(ISNUMBER(R55),R55,IF(LEFT(R55,3)="BDI",HLOOKUP(R55,DADOS!$T$37:$X$38,2,FALSE),0)),15-11*$X$5)</f>
        <v>0.26379999999999998</v>
      </c>
      <c r="AA55" s="1"/>
    </row>
    <row r="56" spans="1:27" ht="38.25" x14ac:dyDescent="0.2">
      <c r="A56" t="str">
        <f t="shared" si="0"/>
        <v>S</v>
      </c>
      <c r="B56">
        <f t="shared" si="1"/>
        <v>0</v>
      </c>
      <c r="C56">
        <f t="shared" ca="1" si="2"/>
        <v>1</v>
      </c>
      <c r="D56">
        <f t="shared" ca="1" si="3"/>
        <v>8</v>
      </c>
      <c r="E56">
        <f t="shared" ca="1" si="4"/>
        <v>0</v>
      </c>
      <c r="F56">
        <f t="shared" ca="1" si="5"/>
        <v>0</v>
      </c>
      <c r="G56">
        <f t="shared" ca="1" si="6"/>
        <v>2</v>
      </c>
      <c r="H56">
        <f ca="1">IF(OR($A56="S",$A56=0),0,MATCH(0,OFFSET($B56,1,$A56,ROW($A$275)-ROW($A56)),0))</f>
        <v>0</v>
      </c>
      <c r="I56">
        <f ca="1">IF(OR($A56="S",$A56=0),0,MATCH(OFFSET($B56,0,$A56)+1,OFFSET($B56,1,$A56,ROW($A$275)-ROW($A56)),0))</f>
        <v>0</v>
      </c>
      <c r="J56" s="101" t="s">
        <v>103</v>
      </c>
      <c r="K56" s="137" t="str">
        <f t="shared" ca="1" si="7"/>
        <v>1.8.2.</v>
      </c>
      <c r="L56" s="176" t="s">
        <v>237</v>
      </c>
      <c r="M56" s="176" t="s">
        <v>464</v>
      </c>
      <c r="N56" s="197" t="str">
        <f ca="1">IF($A56="S",Referencia.Descricao,"(digite a descrição aqui)")</f>
        <v>CONCRETAGEM DE LAJES EM EDIFICAÇÕES UNIFAMILIARES FEITAS COM SISTEMA DE FÔRMAS MANUSEÁVEIS, COM CONCRETO USINADO BOMBEÁVEL FCK 25 MPA - LANÇAMENTO, ADENSAMENTO E ACABAMENTO. AF_09/2024</v>
      </c>
      <c r="O56" s="196" t="str">
        <f ca="1">Referencia.Unidade</f>
        <v>M3</v>
      </c>
      <c r="P56" s="199">
        <v>1.5631999999999999</v>
      </c>
      <c r="Q56" s="195">
        <f t="shared" ca="1" si="14"/>
        <v>747.49</v>
      </c>
      <c r="R56" s="198" t="s">
        <v>7</v>
      </c>
      <c r="S56" s="102">
        <f t="shared" ca="1" si="8"/>
        <v>944.68</v>
      </c>
      <c r="T56" s="82">
        <f t="shared" ca="1" si="9"/>
        <v>1473.7</v>
      </c>
      <c r="U56" s="9" t="str">
        <f t="shared" ca="1" si="10"/>
        <v/>
      </c>
      <c r="V56" s="1" t="str">
        <f ca="1">IF(OR($A56=0,$A56="S",$A56&gt;CFF!$A$9),"",MAX(V$12:OFFSET(V56,-1,0))+1)</f>
        <v/>
      </c>
      <c r="W56" s="4" t="str">
        <f t="shared" si="11"/>
        <v>SINAPI-99431</v>
      </c>
      <c r="X56" s="1">
        <f t="shared" ca="1" si="12"/>
        <v>2725</v>
      </c>
      <c r="Y56" s="102">
        <f t="shared" ca="1" si="13"/>
        <v>747.49</v>
      </c>
      <c r="Z56" s="112">
        <f ca="1">ROUND(IF(ISNUMBER(R56),R56,IF(LEFT(R56,3)="BDI",HLOOKUP(R56,DADOS!$T$37:$X$38,2,FALSE),0)),15-11*$X$5)</f>
        <v>0.26379999999999998</v>
      </c>
      <c r="AA56" s="1"/>
    </row>
    <row r="57" spans="1:27" ht="25.5" x14ac:dyDescent="0.2">
      <c r="A57" t="str">
        <f t="shared" si="0"/>
        <v>S</v>
      </c>
      <c r="B57">
        <f t="shared" si="1"/>
        <v>0</v>
      </c>
      <c r="C57">
        <f t="shared" ca="1" si="2"/>
        <v>1</v>
      </c>
      <c r="D57">
        <f t="shared" ca="1" si="3"/>
        <v>8</v>
      </c>
      <c r="E57">
        <f t="shared" ca="1" si="4"/>
        <v>0</v>
      </c>
      <c r="F57">
        <f t="shared" ca="1" si="5"/>
        <v>0</v>
      </c>
      <c r="G57">
        <f t="shared" ca="1" si="6"/>
        <v>3</v>
      </c>
      <c r="H57">
        <f ca="1">IF(OR($A57="S",$A57=0),0,MATCH(0,OFFSET($B57,1,$A57,ROW($A$275)-ROW($A57)),0))</f>
        <v>0</v>
      </c>
      <c r="I57">
        <f ca="1">IF(OR($A57="S",$A57=0),0,MATCH(OFFSET($B57,0,$A57)+1,OFFSET($B57,1,$A57,ROW($A$275)-ROW($A57)),0))</f>
        <v>0</v>
      </c>
      <c r="J57" s="101" t="s">
        <v>103</v>
      </c>
      <c r="K57" s="137" t="str">
        <f t="shared" ca="1" si="7"/>
        <v>1.8.3.</v>
      </c>
      <c r="L57" s="176" t="s">
        <v>249</v>
      </c>
      <c r="M57" s="176" t="s">
        <v>465</v>
      </c>
      <c r="N57" s="197" t="str">
        <f ca="1">IF($A57="S",Referencia.Descricao,"(digite a descrição aqui)")</f>
        <v xml:space="preserve">TELA DE ACO SOLDADA GALVANIZADA/ZINCADA PARA ALVENARIA, FIO D = *1,24 MM, MALHA 25 X 25 MM                                                                                                                                                                                                                                                                                                                                                                                                                </v>
      </c>
      <c r="O57" s="196" t="str">
        <f ca="1">Referencia.Unidade</f>
        <v xml:space="preserve">M2    </v>
      </c>
      <c r="P57" s="199">
        <v>19.54</v>
      </c>
      <c r="Q57" s="195">
        <f t="shared" ca="1" si="14"/>
        <v>17.8</v>
      </c>
      <c r="R57" s="198" t="s">
        <v>7</v>
      </c>
      <c r="S57" s="102">
        <f t="shared" ca="1" si="8"/>
        <v>22.5</v>
      </c>
      <c r="T57" s="82">
        <f t="shared" ca="1" si="9"/>
        <v>439.65</v>
      </c>
      <c r="U57" s="9" t="str">
        <f t="shared" ca="1" si="10"/>
        <v/>
      </c>
      <c r="V57" s="1" t="str">
        <f ca="1">IF(OR($A57=0,$A57="S",$A57&gt;CFF!$A$9),"",MAX(V$12:OFFSET(V57,-1,0))+1)</f>
        <v/>
      </c>
      <c r="W57" s="4" t="str">
        <f t="shared" si="11"/>
        <v>SINAPI-I-37411</v>
      </c>
      <c r="X57" s="1">
        <f t="shared" ca="1" si="12"/>
        <v>11869</v>
      </c>
      <c r="Y57" s="102">
        <f t="shared" ca="1" si="13"/>
        <v>17.8</v>
      </c>
      <c r="Z57" s="112">
        <f ca="1">ROUND(IF(ISNUMBER(R57),R57,IF(LEFT(R57,3)="BDI",HLOOKUP(R57,DADOS!$T$37:$X$38,2,FALSE),0)),15-11*$X$5)</f>
        <v>0.26379999999999998</v>
      </c>
      <c r="AA57" s="1"/>
    </row>
    <row r="58" spans="1:27" ht="25.5" x14ac:dyDescent="0.2">
      <c r="A58" t="str">
        <f t="shared" si="0"/>
        <v>S</v>
      </c>
      <c r="B58">
        <f t="shared" si="1"/>
        <v>0</v>
      </c>
      <c r="C58">
        <f t="shared" ca="1" si="2"/>
        <v>1</v>
      </c>
      <c r="D58">
        <f t="shared" ca="1" si="3"/>
        <v>8</v>
      </c>
      <c r="E58">
        <f t="shared" ca="1" si="4"/>
        <v>0</v>
      </c>
      <c r="F58">
        <f t="shared" ca="1" si="5"/>
        <v>0</v>
      </c>
      <c r="G58">
        <f t="shared" ca="1" si="6"/>
        <v>4</v>
      </c>
      <c r="H58">
        <f ca="1">IF(OR($A58="S",$A58=0),0,MATCH(0,OFFSET($B58,1,$A58,ROW($A$275)-ROW($A58)),0))</f>
        <v>0</v>
      </c>
      <c r="I58">
        <f ca="1">IF(OR($A58="S",$A58=0),0,MATCH(OFFSET($B58,0,$A58)+1,OFFSET($B58,1,$A58,ROW($A$275)-ROW($A58)),0))</f>
        <v>0</v>
      </c>
      <c r="J58" s="101" t="s">
        <v>103</v>
      </c>
      <c r="K58" s="137" t="str">
        <f t="shared" ca="1" si="7"/>
        <v>1.8.4.</v>
      </c>
      <c r="L58" s="176" t="s">
        <v>237</v>
      </c>
      <c r="M58" s="176" t="s">
        <v>466</v>
      </c>
      <c r="N58" s="197" t="str">
        <f ca="1">IF($A58="S",Referencia.Descricao,"(digite a descrição aqui)")</f>
        <v>FABRICAÇÃO DE FÔRMA PARA LAJES, EM MADEIRA SERRADA, E=25 MM. AF_09/2020</v>
      </c>
      <c r="O58" s="196" t="str">
        <f ca="1">Referencia.Unidade</f>
        <v>M2</v>
      </c>
      <c r="P58" s="199">
        <v>19.54</v>
      </c>
      <c r="Q58" s="195">
        <f t="shared" ca="1" si="14"/>
        <v>63.77</v>
      </c>
      <c r="R58" s="198" t="s">
        <v>7</v>
      </c>
      <c r="S58" s="102">
        <f t="shared" ca="1" si="8"/>
        <v>80.59</v>
      </c>
      <c r="T58" s="82">
        <f t="shared" ca="1" si="9"/>
        <v>1574.73</v>
      </c>
      <c r="U58" s="9" t="str">
        <f t="shared" ca="1" si="10"/>
        <v/>
      </c>
      <c r="V58" s="1" t="str">
        <f ca="1">IF(OR($A58=0,$A58="S",$A58&gt;CFF!$A$9),"",MAX(V$12:OFFSET(V58,-1,0))+1)</f>
        <v/>
      </c>
      <c r="W58" s="4" t="str">
        <f t="shared" si="11"/>
        <v>SINAPI-92271</v>
      </c>
      <c r="X58" s="1">
        <f t="shared" ca="1" si="12"/>
        <v>2382</v>
      </c>
      <c r="Y58" s="102">
        <f t="shared" ca="1" si="13"/>
        <v>63.77</v>
      </c>
      <c r="Z58" s="112">
        <f ca="1">ROUND(IF(ISNUMBER(R58),R58,IF(LEFT(R58,3)="BDI",HLOOKUP(R58,DADOS!$T$37:$X$38,2,FALSE),0)),15-11*$X$5)</f>
        <v>0.26379999999999998</v>
      </c>
      <c r="AA58" s="1"/>
    </row>
    <row r="59" spans="1:27" x14ac:dyDescent="0.2">
      <c r="A59">
        <f t="shared" si="0"/>
        <v>2</v>
      </c>
      <c r="B59">
        <f t="shared" ca="1" si="1"/>
        <v>16</v>
      </c>
      <c r="C59">
        <f t="shared" ca="1" si="2"/>
        <v>1</v>
      </c>
      <c r="D59">
        <f t="shared" ca="1" si="3"/>
        <v>9</v>
      </c>
      <c r="E59">
        <f t="shared" ca="1" si="4"/>
        <v>0</v>
      </c>
      <c r="F59">
        <f t="shared" ca="1" si="5"/>
        <v>0</v>
      </c>
      <c r="G59">
        <f t="shared" ca="1" si="6"/>
        <v>0</v>
      </c>
      <c r="H59">
        <f ca="1">IF(OR($A59="S",$A59=0),0,MATCH(0,OFFSET($B59,1,$A59,ROW($A$275)-ROW($A59)),0))</f>
        <v>216</v>
      </c>
      <c r="I59">
        <f ca="1">IF(OR($A59="S",$A59=0),0,MATCH(OFFSET($B59,0,$A59)+1,OFFSET($B59,1,$A59,ROW($A$275)-ROW($A59)),0))</f>
        <v>16</v>
      </c>
      <c r="J59" s="101" t="s">
        <v>100</v>
      </c>
      <c r="K59" s="137" t="str">
        <f t="shared" ca="1" si="7"/>
        <v>1.9.</v>
      </c>
      <c r="L59" s="176"/>
      <c r="M59" s="176"/>
      <c r="N59" s="197" t="s">
        <v>467</v>
      </c>
      <c r="O59" s="196" t="str">
        <f ca="1">Referencia.Unidade</f>
        <v/>
      </c>
      <c r="P59" s="199"/>
      <c r="Q59" s="195"/>
      <c r="R59" s="198" t="s">
        <v>7</v>
      </c>
      <c r="S59" s="102">
        <f t="shared" si="8"/>
        <v>0</v>
      </c>
      <c r="T59" s="82">
        <f t="shared" ca="1" si="9"/>
        <v>15936.52</v>
      </c>
      <c r="U59" s="9" t="str">
        <f t="shared" ca="1" si="10"/>
        <v/>
      </c>
      <c r="V59" s="1">
        <f ca="1">IF(OR($A59=0,$A59="S",$A59&gt;CFF!$A$9),"",MAX(V$12:OFFSET(V59,-1,0))+1)</f>
        <v>10</v>
      </c>
      <c r="W59" s="4" t="b">
        <f t="shared" si="11"/>
        <v>0</v>
      </c>
      <c r="X59" s="1" t="str">
        <f t="shared" ca="1" si="12"/>
        <v>X</v>
      </c>
      <c r="Y59" s="102">
        <f t="shared" ca="1" si="13"/>
        <v>0</v>
      </c>
      <c r="Z59" s="112">
        <f ca="1">ROUND(IF(ISNUMBER(R59),R59,IF(LEFT(R59,3)="BDI",HLOOKUP(R59,DADOS!$T$37:$X$38,2,FALSE),0)),15-11*$X$5)</f>
        <v>0.26379999999999998</v>
      </c>
      <c r="AA59" s="1"/>
    </row>
    <row r="60" spans="1:27" ht="25.5" x14ac:dyDescent="0.2">
      <c r="A60" t="str">
        <f t="shared" si="0"/>
        <v>S</v>
      </c>
      <c r="B60">
        <f t="shared" si="1"/>
        <v>0</v>
      </c>
      <c r="C60">
        <f t="shared" ca="1" si="2"/>
        <v>1</v>
      </c>
      <c r="D60">
        <f t="shared" ca="1" si="3"/>
        <v>9</v>
      </c>
      <c r="E60">
        <f t="shared" ca="1" si="4"/>
        <v>0</v>
      </c>
      <c r="F60">
        <f t="shared" ca="1" si="5"/>
        <v>0</v>
      </c>
      <c r="G60">
        <f t="shared" ca="1" si="6"/>
        <v>1</v>
      </c>
      <c r="H60">
        <f ca="1">IF(OR($A60="S",$A60=0),0,MATCH(0,OFFSET($B60,1,$A60,ROW($A$275)-ROW($A60)),0))</f>
        <v>0</v>
      </c>
      <c r="I60">
        <f ca="1">IF(OR($A60="S",$A60=0),0,MATCH(OFFSET($B60,0,$A60)+1,OFFSET($B60,1,$A60,ROW($A$275)-ROW($A60)),0))</f>
        <v>0</v>
      </c>
      <c r="J60" s="101" t="s">
        <v>103</v>
      </c>
      <c r="K60" s="137" t="str">
        <f t="shared" ca="1" si="7"/>
        <v>1.9.1.</v>
      </c>
      <c r="L60" s="176" t="s">
        <v>237</v>
      </c>
      <c r="M60" s="176" t="s">
        <v>255</v>
      </c>
      <c r="N60" s="197" t="str">
        <f ca="1">IF($A60="S",Referencia.Descricao,"(digite a descrição aqui)")</f>
        <v>DEMOLIÇÃO DE PISO DE CONCRETO SIMPLES, DE FORMA MECANIZADA COM MARTELETE, SEM REAPROVEITAMENTO. AF_09/2023</v>
      </c>
      <c r="O60" s="196" t="str">
        <f ca="1">Referencia.Unidade</f>
        <v>M3</v>
      </c>
      <c r="P60" s="199">
        <v>10</v>
      </c>
      <c r="Q60" s="195">
        <f t="shared" ref="Q60:Q84" ca="1" si="17">IF(Import.Desoneracao="sim",Referencia.Desonerado,Referencia.NaoDesonerado)</f>
        <v>122.09</v>
      </c>
      <c r="R60" s="198" t="s">
        <v>7</v>
      </c>
      <c r="S60" s="102">
        <f t="shared" ca="1" si="8"/>
        <v>154.30000000000001</v>
      </c>
      <c r="T60" s="82">
        <f t="shared" ca="1" si="9"/>
        <v>1543</v>
      </c>
      <c r="U60" s="9" t="str">
        <f t="shared" ca="1" si="10"/>
        <v/>
      </c>
      <c r="V60" s="1" t="str">
        <f ca="1">IF(OR($A60=0,$A60="S",$A60&gt;CFF!$A$9),"",MAX(V$12:OFFSET(V60,-1,0))+1)</f>
        <v/>
      </c>
      <c r="W60" s="4" t="str">
        <f t="shared" si="11"/>
        <v>SINAPI-104790</v>
      </c>
      <c r="X60" s="1">
        <f t="shared" ca="1" si="12"/>
        <v>7170</v>
      </c>
      <c r="Y60" s="102">
        <f t="shared" ca="1" si="13"/>
        <v>122.09</v>
      </c>
      <c r="Z60" s="112">
        <f ca="1">ROUND(IF(ISNUMBER(R60),R60,IF(LEFT(R60,3)="BDI",HLOOKUP(R60,DADOS!$T$37:$X$38,2,FALSE),0)),15-11*$X$5)</f>
        <v>0.26379999999999998</v>
      </c>
      <c r="AA60" s="1"/>
    </row>
    <row r="61" spans="1:27" ht="25.5" x14ac:dyDescent="0.2">
      <c r="A61" t="str">
        <f t="shared" si="0"/>
        <v>S</v>
      </c>
      <c r="B61">
        <f t="shared" si="1"/>
        <v>0</v>
      </c>
      <c r="C61">
        <f t="shared" ca="1" si="2"/>
        <v>1</v>
      </c>
      <c r="D61">
        <f t="shared" ca="1" si="3"/>
        <v>9</v>
      </c>
      <c r="E61">
        <f t="shared" ca="1" si="4"/>
        <v>0</v>
      </c>
      <c r="F61">
        <f t="shared" ca="1" si="5"/>
        <v>0</v>
      </c>
      <c r="G61">
        <f t="shared" ca="1" si="6"/>
        <v>2</v>
      </c>
      <c r="H61">
        <f ca="1">IF(OR($A61="S",$A61=0),0,MATCH(0,OFFSET($B61,1,$A61,ROW($A$275)-ROW($A61)),0))</f>
        <v>0</v>
      </c>
      <c r="I61">
        <f ca="1">IF(OR($A61="S",$A61=0),0,MATCH(OFFSET($B61,0,$A61)+1,OFFSET($B61,1,$A61,ROW($A$275)-ROW($A61)),0))</f>
        <v>0</v>
      </c>
      <c r="J61" s="101" t="s">
        <v>103</v>
      </c>
      <c r="K61" s="137" t="str">
        <f t="shared" ca="1" si="7"/>
        <v>1.9.2.</v>
      </c>
      <c r="L61" s="176" t="s">
        <v>237</v>
      </c>
      <c r="M61" s="176" t="s">
        <v>294</v>
      </c>
      <c r="N61" s="197" t="str">
        <f ca="1">IF($A61="S",Referencia.Descricao,"(digite a descrição aqui)")</f>
        <v>DEMOLIÇÃO DE REVESTIMENTO CERÂMICO, DE FORMA MANUAL, SEM REAPROVEITAMENTO. AF_09/2023</v>
      </c>
      <c r="O61" s="196" t="str">
        <f ca="1">Referencia.Unidade</f>
        <v>M2</v>
      </c>
      <c r="P61" s="199">
        <v>60</v>
      </c>
      <c r="Q61" s="195">
        <f t="shared" ca="1" si="17"/>
        <v>21.67</v>
      </c>
      <c r="R61" s="198" t="s">
        <v>7</v>
      </c>
      <c r="S61" s="102">
        <f t="shared" ca="1" si="8"/>
        <v>27.39</v>
      </c>
      <c r="T61" s="82">
        <f t="shared" ca="1" si="9"/>
        <v>1643.4</v>
      </c>
      <c r="U61" s="9" t="str">
        <f t="shared" ca="1" si="10"/>
        <v/>
      </c>
      <c r="V61" s="1" t="str">
        <f ca="1">IF(OR($A61=0,$A61="S",$A61&gt;CFF!$A$9),"",MAX(V$12:OFFSET(V61,-1,0))+1)</f>
        <v/>
      </c>
      <c r="W61" s="4" t="str">
        <f t="shared" si="11"/>
        <v>SINAPI-97633</v>
      </c>
      <c r="X61" s="1">
        <f t="shared" ca="1" si="12"/>
        <v>7136</v>
      </c>
      <c r="Y61" s="102">
        <f t="shared" ca="1" si="13"/>
        <v>21.67</v>
      </c>
      <c r="Z61" s="112">
        <f ca="1">ROUND(IF(ISNUMBER(R61),R61,IF(LEFT(R61,3)="BDI",HLOOKUP(R61,DADOS!$T$37:$X$38,2,FALSE),0)),15-11*$X$5)</f>
        <v>0.26379999999999998</v>
      </c>
      <c r="AA61" s="1"/>
    </row>
    <row r="62" spans="1:27" ht="25.5" x14ac:dyDescent="0.2">
      <c r="A62" t="str">
        <f t="shared" si="0"/>
        <v>S</v>
      </c>
      <c r="B62">
        <f t="shared" si="1"/>
        <v>0</v>
      </c>
      <c r="C62">
        <f t="shared" ca="1" si="2"/>
        <v>1</v>
      </c>
      <c r="D62">
        <f t="shared" ca="1" si="3"/>
        <v>9</v>
      </c>
      <c r="E62">
        <f t="shared" ca="1" si="4"/>
        <v>0</v>
      </c>
      <c r="F62">
        <f t="shared" ca="1" si="5"/>
        <v>0</v>
      </c>
      <c r="G62">
        <f t="shared" ca="1" si="6"/>
        <v>3</v>
      </c>
      <c r="H62">
        <f ca="1">IF(OR($A62="S",$A62=0),0,MATCH(0,OFFSET($B62,1,$A62,ROW($A$275)-ROW($A62)),0))</f>
        <v>0</v>
      </c>
      <c r="I62">
        <f ca="1">IF(OR($A62="S",$A62=0),0,MATCH(OFFSET($B62,0,$A62)+1,OFFSET($B62,1,$A62,ROW($A$275)-ROW($A62)),0))</f>
        <v>0</v>
      </c>
      <c r="J62" s="101" t="s">
        <v>103</v>
      </c>
      <c r="K62" s="137" t="str">
        <f t="shared" ca="1" si="7"/>
        <v>1.9.3.</v>
      </c>
      <c r="L62" s="176" t="s">
        <v>237</v>
      </c>
      <c r="M62" s="176" t="s">
        <v>269</v>
      </c>
      <c r="N62" s="197" t="str">
        <f ca="1">IF($A62="S",Referencia.Descricao,"(digite a descrição aqui)")</f>
        <v>DEMOLIÇÃO DE ALVENARIA DE BLOCO FURADO, DE FORMA MANUAL, SEM REAPROVEITAMENTO. AF_09/2023</v>
      </c>
      <c r="O62" s="196" t="str">
        <f ca="1">Referencia.Unidade</f>
        <v>M3</v>
      </c>
      <c r="P62" s="199">
        <f>(34.65*3*0.15)+(8.25*3)</f>
        <v>40.342500000000001</v>
      </c>
      <c r="Q62" s="195">
        <f t="shared" ca="1" si="17"/>
        <v>54.16</v>
      </c>
      <c r="R62" s="198" t="s">
        <v>7</v>
      </c>
      <c r="S62" s="102">
        <f t="shared" ca="1" si="8"/>
        <v>68.45</v>
      </c>
      <c r="T62" s="82">
        <f t="shared" ca="1" si="9"/>
        <v>2761.27</v>
      </c>
      <c r="U62" s="9" t="str">
        <f t="shared" ca="1" si="10"/>
        <v/>
      </c>
      <c r="V62" s="1" t="str">
        <f ca="1">IF(OR($A62=0,$A62="S",$A62&gt;CFF!$A$9),"",MAX(V$12:OFFSET(V62,-1,0))+1)</f>
        <v/>
      </c>
      <c r="W62" s="4" t="str">
        <f t="shared" si="11"/>
        <v>SINAPI-97622</v>
      </c>
      <c r="X62" s="1">
        <f t="shared" ca="1" si="12"/>
        <v>7126</v>
      </c>
      <c r="Y62" s="102">
        <f t="shared" ca="1" si="13"/>
        <v>54.16</v>
      </c>
      <c r="Z62" s="112">
        <f ca="1">ROUND(IF(ISNUMBER(R62),R62,IF(LEFT(R62,3)="BDI",HLOOKUP(R62,DADOS!$T$37:$X$38,2,FALSE),0)),15-11*$X$5)</f>
        <v>0.26379999999999998</v>
      </c>
      <c r="AA62" s="1"/>
    </row>
    <row r="63" spans="1:27" ht="25.5" x14ac:dyDescent="0.2">
      <c r="A63" t="str">
        <f t="shared" si="0"/>
        <v>S</v>
      </c>
      <c r="B63">
        <f t="shared" si="1"/>
        <v>0</v>
      </c>
      <c r="C63">
        <f t="shared" ca="1" si="2"/>
        <v>1</v>
      </c>
      <c r="D63">
        <f t="shared" ca="1" si="3"/>
        <v>9</v>
      </c>
      <c r="E63">
        <f t="shared" ca="1" si="4"/>
        <v>0</v>
      </c>
      <c r="F63">
        <f t="shared" ca="1" si="5"/>
        <v>0</v>
      </c>
      <c r="G63">
        <f t="shared" ca="1" si="6"/>
        <v>4</v>
      </c>
      <c r="H63">
        <f ca="1">IF(OR($A63="S",$A63=0),0,MATCH(0,OFFSET($B63,1,$A63,ROW($A$275)-ROW($A63)),0))</f>
        <v>0</v>
      </c>
      <c r="I63">
        <f ca="1">IF(OR($A63="S",$A63=0),0,MATCH(OFFSET($B63,0,$A63)+1,OFFSET($B63,1,$A63,ROW($A$275)-ROW($A63)),0))</f>
        <v>0</v>
      </c>
      <c r="J63" s="101" t="s">
        <v>103</v>
      </c>
      <c r="K63" s="137" t="str">
        <f t="shared" ca="1" si="7"/>
        <v>1.9.4.</v>
      </c>
      <c r="L63" s="176" t="s">
        <v>237</v>
      </c>
      <c r="M63" s="176" t="s">
        <v>295</v>
      </c>
      <c r="N63" s="197" t="str">
        <f ca="1">IF($A63="S",Referencia.Descricao,"(digite a descrição aqui)")</f>
        <v>DEMOLIÇÃO DE PILARES E VIGAS EM CONCRETO ARMADO, DE FORMA MECANIZADA COM MARTELETE, SEM REAPROVEITAMENTO. AF_09/2023</v>
      </c>
      <c r="O63" s="196" t="str">
        <f ca="1">Referencia.Unidade</f>
        <v>M3</v>
      </c>
      <c r="P63" s="199">
        <v>10</v>
      </c>
      <c r="Q63" s="195">
        <f t="shared" ca="1" si="17"/>
        <v>214.7</v>
      </c>
      <c r="R63" s="198" t="s">
        <v>7</v>
      </c>
      <c r="S63" s="102">
        <f t="shared" ca="1" si="8"/>
        <v>271.33999999999997</v>
      </c>
      <c r="T63" s="82">
        <f t="shared" ca="1" si="9"/>
        <v>2713.4</v>
      </c>
      <c r="U63" s="9" t="str">
        <f t="shared" ca="1" si="10"/>
        <v/>
      </c>
      <c r="V63" s="1" t="str">
        <f ca="1">IF(OR($A63=0,$A63="S",$A63&gt;CFF!$A$9),"",MAX(V$12:OFFSET(V63,-1,0))+1)</f>
        <v/>
      </c>
      <c r="W63" s="4" t="str">
        <f t="shared" si="11"/>
        <v>SINAPI-97627</v>
      </c>
      <c r="X63" s="1">
        <f t="shared" ca="1" si="12"/>
        <v>7131</v>
      </c>
      <c r="Y63" s="102">
        <f t="shared" ca="1" si="13"/>
        <v>214.7</v>
      </c>
      <c r="Z63" s="112">
        <f ca="1">ROUND(IF(ISNUMBER(R63),R63,IF(LEFT(R63,3)="BDI",HLOOKUP(R63,DADOS!$T$37:$X$38,2,FALSE),0)),15-11*$X$5)</f>
        <v>0.26379999999999998</v>
      </c>
      <c r="AA63" s="1"/>
    </row>
    <row r="64" spans="1:27" ht="25.5" x14ac:dyDescent="0.2">
      <c r="A64" t="str">
        <f t="shared" si="0"/>
        <v>S</v>
      </c>
      <c r="B64">
        <f t="shared" si="1"/>
        <v>0</v>
      </c>
      <c r="C64">
        <f t="shared" ca="1" si="2"/>
        <v>1</v>
      </c>
      <c r="D64">
        <f t="shared" ca="1" si="3"/>
        <v>9</v>
      </c>
      <c r="E64">
        <f t="shared" ca="1" si="4"/>
        <v>0</v>
      </c>
      <c r="F64">
        <f t="shared" ca="1" si="5"/>
        <v>0</v>
      </c>
      <c r="G64">
        <f t="shared" ca="1" si="6"/>
        <v>5</v>
      </c>
      <c r="H64">
        <f ca="1">IF(OR($A64="S",$A64=0),0,MATCH(0,OFFSET($B64,1,$A64,ROW($A$275)-ROW($A64)),0))</f>
        <v>0</v>
      </c>
      <c r="I64">
        <f ca="1">IF(OR($A64="S",$A64=0),0,MATCH(OFFSET($B64,0,$A64)+1,OFFSET($B64,1,$A64,ROW($A$275)-ROW($A64)),0))</f>
        <v>0</v>
      </c>
      <c r="J64" s="101" t="s">
        <v>103</v>
      </c>
      <c r="K64" s="137" t="str">
        <f t="shared" ca="1" si="7"/>
        <v>1.9.5.</v>
      </c>
      <c r="L64" s="176" t="s">
        <v>237</v>
      </c>
      <c r="M64" s="176" t="s">
        <v>240</v>
      </c>
      <c r="N64" s="197" t="str">
        <f ca="1">IF($A64="S",Referencia.Descricao,"(digite a descrição aqui)")</f>
        <v>REMOÇÃO DE TELHAS DE FIBROCIMENTO METÁLICA E CERÂMICA, DE FORMA MANUAL, SEM REAPROVEITAMENTO. AF_09/2023</v>
      </c>
      <c r="O64" s="196" t="str">
        <f ca="1">Referencia.Unidade</f>
        <v>M2</v>
      </c>
      <c r="P64" s="199">
        <v>54</v>
      </c>
      <c r="Q64" s="195">
        <f t="shared" ca="1" si="17"/>
        <v>3.37</v>
      </c>
      <c r="R64" s="198" t="s">
        <v>7</v>
      </c>
      <c r="S64" s="102">
        <f t="shared" ca="1" si="8"/>
        <v>4.26</v>
      </c>
      <c r="T64" s="82">
        <f t="shared" ca="1" si="9"/>
        <v>230.04</v>
      </c>
      <c r="U64" s="9" t="str">
        <f t="shared" ca="1" si="10"/>
        <v/>
      </c>
      <c r="V64" s="1" t="str">
        <f ca="1">IF(OR($A64=0,$A64="S",$A64&gt;CFF!$A$9),"",MAX(V$12:OFFSET(V64,-1,0))+1)</f>
        <v/>
      </c>
      <c r="W64" s="4" t="str">
        <f t="shared" si="11"/>
        <v>SINAPI-97647</v>
      </c>
      <c r="X64" s="1">
        <f t="shared" ca="1" si="12"/>
        <v>7149</v>
      </c>
      <c r="Y64" s="102">
        <f t="shared" ca="1" si="13"/>
        <v>3.37</v>
      </c>
      <c r="Z64" s="112">
        <f ca="1">ROUND(IF(ISNUMBER(R64),R64,IF(LEFT(R64,3)="BDI",HLOOKUP(R64,DADOS!$T$37:$X$38,2,FALSE),0)),15-11*$X$5)</f>
        <v>0.26379999999999998</v>
      </c>
      <c r="AA64" s="1"/>
    </row>
    <row r="65" spans="1:27" ht="25.5" x14ac:dyDescent="0.2">
      <c r="A65" t="str">
        <f t="shared" si="0"/>
        <v>S</v>
      </c>
      <c r="B65">
        <f t="shared" si="1"/>
        <v>0</v>
      </c>
      <c r="C65">
        <f t="shared" ca="1" si="2"/>
        <v>1</v>
      </c>
      <c r="D65">
        <f t="shared" ca="1" si="3"/>
        <v>9</v>
      </c>
      <c r="E65">
        <f t="shared" ca="1" si="4"/>
        <v>0</v>
      </c>
      <c r="F65">
        <f t="shared" ca="1" si="5"/>
        <v>0</v>
      </c>
      <c r="G65">
        <f t="shared" ca="1" si="6"/>
        <v>6</v>
      </c>
      <c r="H65">
        <f ca="1">IF(OR($A65="S",$A65=0),0,MATCH(0,OFFSET($B65,1,$A65,ROW($A$275)-ROW($A65)),0))</f>
        <v>0</v>
      </c>
      <c r="I65">
        <f ca="1">IF(OR($A65="S",$A65=0),0,MATCH(OFFSET($B65,0,$A65)+1,OFFSET($B65,1,$A65,ROW($A$275)-ROW($A65)),0))</f>
        <v>0</v>
      </c>
      <c r="J65" s="101" t="s">
        <v>103</v>
      </c>
      <c r="K65" s="137" t="str">
        <f t="shared" ca="1" si="7"/>
        <v>1.9.6.</v>
      </c>
      <c r="L65" s="176" t="s">
        <v>237</v>
      </c>
      <c r="M65" s="176" t="s">
        <v>244</v>
      </c>
      <c r="N65" s="197" t="str">
        <f ca="1">IF($A65="S",Referencia.Descricao,"(digite a descrição aqui)")</f>
        <v>REMOÇÃO DE TRAMA DE MADEIRA PARA COBERTURA, DE FORMA MANUAL, SEM REAPROVEITAMENTO. AF_09/2023</v>
      </c>
      <c r="O65" s="196" t="str">
        <f ca="1">Referencia.Unidade</f>
        <v>M2</v>
      </c>
      <c r="P65" s="199">
        <v>54</v>
      </c>
      <c r="Q65" s="195">
        <f t="shared" ca="1" si="17"/>
        <v>7.26</v>
      </c>
      <c r="R65" s="198" t="s">
        <v>7</v>
      </c>
      <c r="S65" s="102">
        <f t="shared" ca="1" si="8"/>
        <v>9.18</v>
      </c>
      <c r="T65" s="82">
        <f t="shared" ca="1" si="9"/>
        <v>495.72</v>
      </c>
      <c r="U65" s="9" t="str">
        <f t="shared" ca="1" si="10"/>
        <v/>
      </c>
      <c r="V65" s="1" t="str">
        <f ca="1">IF(OR($A65=0,$A65="S",$A65&gt;CFF!$A$9),"",MAX(V$12:OFFSET(V65,-1,0))+1)</f>
        <v/>
      </c>
      <c r="W65" s="4" t="str">
        <f t="shared" si="11"/>
        <v>SINAPI-97650</v>
      </c>
      <c r="X65" s="1">
        <f t="shared" ca="1" si="12"/>
        <v>7152</v>
      </c>
      <c r="Y65" s="102">
        <f t="shared" ca="1" si="13"/>
        <v>7.26</v>
      </c>
      <c r="Z65" s="112">
        <f ca="1">ROUND(IF(ISNUMBER(R65),R65,IF(LEFT(R65,3)="BDI",HLOOKUP(R65,DADOS!$T$37:$X$38,2,FALSE),0)),15-11*$X$5)</f>
        <v>0.26379999999999998</v>
      </c>
      <c r="AA65" s="1"/>
    </row>
    <row r="66" spans="1:27" ht="25.5" x14ac:dyDescent="0.2">
      <c r="A66" t="str">
        <f t="shared" si="0"/>
        <v>S</v>
      </c>
      <c r="B66">
        <f t="shared" si="1"/>
        <v>0</v>
      </c>
      <c r="C66">
        <f t="shared" ca="1" si="2"/>
        <v>1</v>
      </c>
      <c r="D66">
        <f t="shared" ca="1" si="3"/>
        <v>9</v>
      </c>
      <c r="E66">
        <f t="shared" ca="1" si="4"/>
        <v>0</v>
      </c>
      <c r="F66">
        <f t="shared" ca="1" si="5"/>
        <v>0</v>
      </c>
      <c r="G66">
        <f t="shared" ca="1" si="6"/>
        <v>7</v>
      </c>
      <c r="H66">
        <f ca="1">IF(OR($A66="S",$A66=0),0,MATCH(0,OFFSET($B66,1,$A66,ROW($A$275)-ROW($A66)),0))</f>
        <v>0</v>
      </c>
      <c r="I66">
        <f ca="1">IF(OR($A66="S",$A66=0),0,MATCH(OFFSET($B66,0,$A66)+1,OFFSET($B66,1,$A66,ROW($A$275)-ROW($A66)),0))</f>
        <v>0</v>
      </c>
      <c r="J66" s="101" t="s">
        <v>103</v>
      </c>
      <c r="K66" s="137" t="str">
        <f t="shared" ca="1" si="7"/>
        <v>1.9.7.</v>
      </c>
      <c r="L66" s="176" t="s">
        <v>237</v>
      </c>
      <c r="M66" s="176" t="s">
        <v>296</v>
      </c>
      <c r="N66" s="197" t="str">
        <f ca="1">IF($A66="S",Referencia.Descricao,"(digite a descrição aqui)")</f>
        <v>REMOÇÃO DE JANELAS, DE FORMA MANUAL, SEM REAPROVEITAMENTO. AF_09/2023</v>
      </c>
      <c r="O66" s="196" t="str">
        <f ca="1">Referencia.Unidade</f>
        <v>M2</v>
      </c>
      <c r="P66" s="199">
        <f>(2*0.5*0.5)+(18*0.6*0.6)+(3*1.05*0.5)+(2*1.05*1.5)</f>
        <v>11.705</v>
      </c>
      <c r="Q66" s="195">
        <f t="shared" ca="1" si="17"/>
        <v>23.36</v>
      </c>
      <c r="R66" s="198" t="s">
        <v>7</v>
      </c>
      <c r="S66" s="102">
        <f t="shared" ca="1" si="8"/>
        <v>29.52</v>
      </c>
      <c r="T66" s="82">
        <f t="shared" ca="1" si="9"/>
        <v>345.68</v>
      </c>
      <c r="U66" s="9" t="str">
        <f t="shared" ca="1" si="10"/>
        <v/>
      </c>
      <c r="V66" s="1" t="str">
        <f ca="1">IF(OR($A66=0,$A66="S",$A66&gt;CFF!$A$9),"",MAX(V$12:OFFSET(V66,-1,0))+1)</f>
        <v/>
      </c>
      <c r="W66" s="4" t="str">
        <f t="shared" si="11"/>
        <v>SINAPI-97645</v>
      </c>
      <c r="X66" s="1">
        <f t="shared" ca="1" si="12"/>
        <v>7148</v>
      </c>
      <c r="Y66" s="102">
        <f t="shared" ca="1" si="13"/>
        <v>23.36</v>
      </c>
      <c r="Z66" s="112">
        <f ca="1">ROUND(IF(ISNUMBER(R66),R66,IF(LEFT(R66,3)="BDI",HLOOKUP(R66,DADOS!$T$37:$X$38,2,FALSE),0)),15-11*$X$5)</f>
        <v>0.26379999999999998</v>
      </c>
      <c r="AA66" s="1"/>
    </row>
    <row r="67" spans="1:27" ht="25.5" x14ac:dyDescent="0.2">
      <c r="A67" t="str">
        <f t="shared" si="0"/>
        <v>S</v>
      </c>
      <c r="B67">
        <f t="shared" si="1"/>
        <v>0</v>
      </c>
      <c r="C67">
        <f t="shared" ca="1" si="2"/>
        <v>1</v>
      </c>
      <c r="D67">
        <f t="shared" ca="1" si="3"/>
        <v>9</v>
      </c>
      <c r="E67">
        <f t="shared" ca="1" si="4"/>
        <v>0</v>
      </c>
      <c r="F67">
        <f t="shared" ca="1" si="5"/>
        <v>0</v>
      </c>
      <c r="G67">
        <f t="shared" ca="1" si="6"/>
        <v>8</v>
      </c>
      <c r="H67">
        <f ca="1">IF(OR($A67="S",$A67=0),0,MATCH(0,OFFSET($B67,1,$A67,ROW($A$275)-ROW($A67)),0))</f>
        <v>0</v>
      </c>
      <c r="I67">
        <f ca="1">IF(OR($A67="S",$A67=0),0,MATCH(OFFSET($B67,0,$A67)+1,OFFSET($B67,1,$A67,ROW($A$275)-ROW($A67)),0))</f>
        <v>0</v>
      </c>
      <c r="J67" s="101" t="s">
        <v>103</v>
      </c>
      <c r="K67" s="137" t="str">
        <f t="shared" ca="1" si="7"/>
        <v>1.9.8.</v>
      </c>
      <c r="L67" s="176" t="s">
        <v>237</v>
      </c>
      <c r="M67" s="176" t="s">
        <v>267</v>
      </c>
      <c r="N67" s="197" t="str">
        <f ca="1">IF($A67="S",Referencia.Descricao,"(digite a descrição aqui)")</f>
        <v>REMOÇÃO DE FORROS DE DRYWALL, PVC E FIBROMINERAL, DE FORMA MANUAL, SEM REAPROVEITAMENTO. AF_09/2023</v>
      </c>
      <c r="O67" s="196" t="str">
        <f ca="1">Referencia.Unidade</f>
        <v>M2</v>
      </c>
      <c r="P67" s="199">
        <v>155.41</v>
      </c>
      <c r="Q67" s="195">
        <f t="shared" ca="1" si="17"/>
        <v>1.97</v>
      </c>
      <c r="R67" s="198" t="s">
        <v>7</v>
      </c>
      <c r="S67" s="102">
        <f t="shared" ca="1" si="8"/>
        <v>2.4900000000000002</v>
      </c>
      <c r="T67" s="82">
        <f t="shared" ca="1" si="9"/>
        <v>386.97</v>
      </c>
      <c r="U67" s="9" t="str">
        <f t="shared" ca="1" si="10"/>
        <v/>
      </c>
      <c r="V67" s="1" t="str">
        <f ca="1">IF(OR($A67=0,$A67="S",$A67&gt;CFF!$A$9),"",MAX(V$12:OFFSET(V67,-1,0))+1)</f>
        <v/>
      </c>
      <c r="W67" s="4" t="str">
        <f t="shared" si="11"/>
        <v>SINAPI-97640</v>
      </c>
      <c r="X67" s="1">
        <f t="shared" ca="1" si="12"/>
        <v>7143</v>
      </c>
      <c r="Y67" s="102">
        <f t="shared" ca="1" si="13"/>
        <v>1.97</v>
      </c>
      <c r="Z67" s="112">
        <f ca="1">ROUND(IF(ISNUMBER(R67),R67,IF(LEFT(R67,3)="BDI",HLOOKUP(R67,DADOS!$T$37:$X$38,2,FALSE),0)),15-11*$X$5)</f>
        <v>0.26379999999999998</v>
      </c>
      <c r="AA67" s="1"/>
    </row>
    <row r="68" spans="1:27" ht="25.5" x14ac:dyDescent="0.2">
      <c r="A68" t="str">
        <f>CHOOSE(1+LOG(1+2*(J68="Meta")+4*(J68="Nível 2")+8*(J68="Nível 3")+16*(J68="Nível 4")+32*(J68="Serviço"),2),0,1,2,3,4,"S")</f>
        <v>S</v>
      </c>
      <c r="B68">
        <f>IF(OR(A68="S",A68=0),0,IF(ISERROR(I68),H68,SMALL(H68:I68,1)))</f>
        <v>0</v>
      </c>
      <c r="C68">
        <f ca="1">IF($A68=1,OFFSET(C68,-1,0)+1,OFFSET(C68,-1,0))</f>
        <v>1</v>
      </c>
      <c r="D68">
        <f ca="1">IF($A68=1,0,IF($A68=2,OFFSET(D68,-1,0)+1,OFFSET(D68,-1,0)))</f>
        <v>9</v>
      </c>
      <c r="E68">
        <f ca="1">IF(AND($A68&lt;=2,$A68&lt;&gt;0),0,IF($A68=3,OFFSET(E68,-1,0)+1,OFFSET(E68,-1,0)))</f>
        <v>0</v>
      </c>
      <c r="F68">
        <f ca="1">IF(AND($A68&lt;=3,$A68&lt;&gt;0),0,IF($A68=4,OFFSET(F68,-1,0)+1,OFFSET(F68,-1,0)))</f>
        <v>0</v>
      </c>
      <c r="G68">
        <f ca="1">IF(AND($A68&lt;=4,$A68&lt;&gt;0),0,IF($A68="S",OFFSET(G68,-1,0)+1,OFFSET(G68,-1,0)))</f>
        <v>9</v>
      </c>
      <c r="H68">
        <f ca="1">IF(OR($A68="S",$A68=0),0,MATCH(0,OFFSET($B68,1,$A68,ROW($A$275)-ROW($A68)),0))</f>
        <v>0</v>
      </c>
      <c r="I68">
        <f ca="1">IF(OR($A68="S",$A68=0),0,MATCH(OFFSET($B68,0,$A68)+1,OFFSET($B68,1,$A68,ROW($A$275)-ROW($A68)),0))</f>
        <v>0</v>
      </c>
      <c r="J68" s="101" t="s">
        <v>103</v>
      </c>
      <c r="K68" s="137" t="str">
        <f ca="1">IF($A68=0,"-",CONCATENATE(C68&amp;".",IF(AND($A$5&gt;=2,$A68&gt;=2),D68&amp;".",""),IF(AND($A$5&gt;=3,$A68&gt;=3),E68&amp;".",""),IF(AND($A$5&gt;=4,$A68&gt;=4),F68&amp;".",""),IF($A68="S",G68&amp;".","")))</f>
        <v>1.9.9.</v>
      </c>
      <c r="L68" s="176" t="s">
        <v>237</v>
      </c>
      <c r="M68" s="176" t="s">
        <v>365</v>
      </c>
      <c r="N68" s="197" t="str">
        <f ca="1">IF($A68="S",Referencia.Descricao,"(digite a descrição aqui)")</f>
        <v>REMOÇÃO CALHAS E RUFOS, DE FORMA MANUAL, SEM REAPROVEITAMENTO. AF_09/2023</v>
      </c>
      <c r="O68" s="196" t="str">
        <f ca="1">Referencia.Unidade</f>
        <v>M</v>
      </c>
      <c r="P68" s="199">
        <v>30</v>
      </c>
      <c r="Q68" s="195">
        <f t="shared" ca="1" si="17"/>
        <v>4.3</v>
      </c>
      <c r="R68" s="198" t="s">
        <v>7</v>
      </c>
      <c r="S68" s="102">
        <f ca="1">IF($A68="S",IF($Q$10="Preço Unitário (R$)",PO.CustoUnitario,ROUND(PO.CustoUnitario*(1+$Z68),15-13*$X$6)),0)</f>
        <v>5.43</v>
      </c>
      <c r="T68" s="82">
        <f ca="1">IF($A68="S",VTOTAL1,IF($A68=0,0,ROUND(SomaAgrup,15-13*$X$7)))</f>
        <v>162.9</v>
      </c>
      <c r="U68" s="9" t="str">
        <f ca="1">IF($J68="","",IF($N68="","DESCRIÇÃO",IF(AND($J68="Serviço",$O68=""),"UNIDADE",IF($T68&lt;=0,"SEM VALOR",IF(AND($Y68&lt;&gt;"",$Q68&gt;$Y68),"ACIMA REF.","")))))</f>
        <v/>
      </c>
      <c r="V68" s="1" t="str">
        <f ca="1">IF(OR($A68=0,$A68="S",$A68&gt;CFF!$A$9),"",MAX(V$12:OFFSET(V68,-1,0))+1)</f>
        <v/>
      </c>
      <c r="W68" s="4" t="str">
        <f>IF(AND($J68="Serviço",$M68&lt;&gt;""),IF($L68="",$M68,CONCATENATE($L68,"-",$M68)))</f>
        <v>SINAPI-104803</v>
      </c>
      <c r="X68" s="1">
        <f ca="1">IF(AND(Fonte&lt;&gt;"",Código&lt;&gt;""),MATCH(Fonte&amp;" "&amp;IF(Fonte="sinapi",SUBSTITUTE(SUBSTITUTE(Código,"/00","/"),"/0","/"),Código),INDIRECT("'[Referência "&amp;_xlnm.Database&amp;".xls]Banco'!$a:$a"),0),"X")</f>
        <v>7183</v>
      </c>
      <c r="Y68" s="102">
        <f ca="1">IF(Import.Desoneracao="sim",Referencia.Desonerado,Referencia.NaoDesonerado)</f>
        <v>4.3</v>
      </c>
      <c r="Z68" s="112">
        <f ca="1">ROUND(IF(ISNUMBER(R68),R68,IF(LEFT(R68,3)="BDI",HLOOKUP(R68,DADOS!$T$37:$X$38,2,FALSE),0)),15-11*$X$5)</f>
        <v>0.26379999999999998</v>
      </c>
      <c r="AA68" s="1"/>
    </row>
    <row r="69" spans="1:27" ht="25.5" x14ac:dyDescent="0.2">
      <c r="A69" t="str">
        <f t="shared" si="0"/>
        <v>S</v>
      </c>
      <c r="B69">
        <f t="shared" si="1"/>
        <v>0</v>
      </c>
      <c r="C69">
        <f t="shared" ca="1" si="2"/>
        <v>1</v>
      </c>
      <c r="D69">
        <f t="shared" ca="1" si="3"/>
        <v>9</v>
      </c>
      <c r="E69">
        <f t="shared" ca="1" si="4"/>
        <v>0</v>
      </c>
      <c r="F69">
        <f t="shared" ca="1" si="5"/>
        <v>0</v>
      </c>
      <c r="G69">
        <f t="shared" ca="1" si="6"/>
        <v>10</v>
      </c>
      <c r="H69">
        <f ca="1">IF(OR($A69="S",$A69=0),0,MATCH(0,OFFSET($B69,1,$A69,ROW($A$275)-ROW($A69)),0))</f>
        <v>0</v>
      </c>
      <c r="I69">
        <f ca="1">IF(OR($A69="S",$A69=0),0,MATCH(OFFSET($B69,0,$A69)+1,OFFSET($B69,1,$A69,ROW($A$275)-ROW($A69)),0))</f>
        <v>0</v>
      </c>
      <c r="J69" s="101" t="s">
        <v>103</v>
      </c>
      <c r="K69" s="137" t="str">
        <f t="shared" ca="1" si="7"/>
        <v>1.9.10.</v>
      </c>
      <c r="L69" s="176" t="s">
        <v>237</v>
      </c>
      <c r="M69" s="176" t="s">
        <v>298</v>
      </c>
      <c r="N69" s="197" t="str">
        <f ca="1">IF($A69="S",Referencia.Descricao,"(digite a descrição aqui)")</f>
        <v>REMOÇÃO DE CABOS ELÉTRICOS, COM SEÇÃO MAIOR QUE 2,5 MM² E MENOR QUE 10 MM², DE FORMA MANUAL, SEM REAPROVEITAMENTO. AF_09/2023</v>
      </c>
      <c r="O69" s="196" t="str">
        <f ca="1">Referencia.Unidade</f>
        <v>M</v>
      </c>
      <c r="P69" s="199">
        <v>200</v>
      </c>
      <c r="Q69" s="195">
        <f t="shared" ca="1" si="17"/>
        <v>0.52</v>
      </c>
      <c r="R69" s="198" t="s">
        <v>7</v>
      </c>
      <c r="S69" s="102">
        <f t="shared" ca="1" si="8"/>
        <v>0.66</v>
      </c>
      <c r="T69" s="82">
        <f t="shared" ca="1" si="9"/>
        <v>132</v>
      </c>
      <c r="U69" s="9" t="str">
        <f t="shared" ca="1" si="10"/>
        <v/>
      </c>
      <c r="V69" s="1" t="str">
        <f ca="1">IF(OR($A69=0,$A69="S",$A69&gt;CFF!$A$9),"",MAX(V$12:OFFSET(V69,-1,0))+1)</f>
        <v/>
      </c>
      <c r="W69" s="4" t="str">
        <f t="shared" si="11"/>
        <v>SINAPI-104793</v>
      </c>
      <c r="X69" s="1">
        <f t="shared" ca="1" si="12"/>
        <v>7173</v>
      </c>
      <c r="Y69" s="102">
        <f t="shared" ca="1" si="13"/>
        <v>0.52</v>
      </c>
      <c r="Z69" s="112">
        <f ca="1">ROUND(IF(ISNUMBER(R69),R69,IF(LEFT(R69,3)="BDI",HLOOKUP(R69,DADOS!$T$37:$X$38,2,FALSE),0)),15-11*$X$5)</f>
        <v>0.26379999999999998</v>
      </c>
      <c r="AA69" s="1"/>
    </row>
    <row r="70" spans="1:27" ht="25.5" x14ac:dyDescent="0.2">
      <c r="A70" t="str">
        <f t="shared" si="0"/>
        <v>S</v>
      </c>
      <c r="B70">
        <f t="shared" si="1"/>
        <v>0</v>
      </c>
      <c r="C70">
        <f t="shared" ca="1" si="2"/>
        <v>1</v>
      </c>
      <c r="D70">
        <f t="shared" ca="1" si="3"/>
        <v>9</v>
      </c>
      <c r="E70">
        <f t="shared" ca="1" si="4"/>
        <v>0</v>
      </c>
      <c r="F70">
        <f t="shared" ca="1" si="5"/>
        <v>0</v>
      </c>
      <c r="G70">
        <f t="shared" ca="1" si="6"/>
        <v>11</v>
      </c>
      <c r="H70">
        <f ca="1">IF(OR($A70="S",$A70=0),0,MATCH(0,OFFSET($B70,1,$A70,ROW($A$275)-ROW($A70)),0))</f>
        <v>0</v>
      </c>
      <c r="I70">
        <f ca="1">IF(OR($A70="S",$A70=0),0,MATCH(OFFSET($B70,0,$A70)+1,OFFSET($B70,1,$A70,ROW($A$275)-ROW($A70)),0))</f>
        <v>0</v>
      </c>
      <c r="J70" s="101" t="s">
        <v>103</v>
      </c>
      <c r="K70" s="137" t="str">
        <f t="shared" ca="1" si="7"/>
        <v>1.9.11.</v>
      </c>
      <c r="L70" s="176" t="s">
        <v>237</v>
      </c>
      <c r="M70" s="176" t="s">
        <v>297</v>
      </c>
      <c r="N70" s="197" t="str">
        <f ca="1">IF($A70="S",Referencia.Descricao,"(digite a descrição aqui)")</f>
        <v>REMOÇÃO DE PORTAS, DE FORMA MANUAL, SEM REAPROVEITAMENTO. AF_09/2023</v>
      </c>
      <c r="O70" s="196" t="str">
        <f ca="1">Referencia.Unidade</f>
        <v>M2</v>
      </c>
      <c r="P70" s="199">
        <f>(9*0.9*2.1)</f>
        <v>17.010000000000002</v>
      </c>
      <c r="Q70" s="195">
        <f t="shared" ca="1" si="17"/>
        <v>9.0500000000000007</v>
      </c>
      <c r="R70" s="198" t="s">
        <v>7</v>
      </c>
      <c r="S70" s="102">
        <f t="shared" ca="1" si="8"/>
        <v>11.44</v>
      </c>
      <c r="T70" s="82">
        <f t="shared" ca="1" si="9"/>
        <v>194.59</v>
      </c>
      <c r="U70" s="9" t="str">
        <f t="shared" ca="1" si="10"/>
        <v/>
      </c>
      <c r="V70" s="1" t="str">
        <f ca="1">IF(OR($A70=0,$A70="S",$A70&gt;CFF!$A$9),"",MAX(V$12:OFFSET(V70,-1,0))+1)</f>
        <v/>
      </c>
      <c r="W70" s="4" t="str">
        <f t="shared" si="11"/>
        <v>SINAPI-97644</v>
      </c>
      <c r="X70" s="1">
        <f t="shared" ca="1" si="12"/>
        <v>7147</v>
      </c>
      <c r="Y70" s="102">
        <f t="shared" ca="1" si="13"/>
        <v>9.0500000000000007</v>
      </c>
      <c r="Z70" s="112">
        <f ca="1">ROUND(IF(ISNUMBER(R70),R70,IF(LEFT(R70,3)="BDI",HLOOKUP(R70,DADOS!$T$37:$X$38,2,FALSE),0)),15-11*$X$5)</f>
        <v>0.26379999999999998</v>
      </c>
      <c r="AA70" s="1"/>
    </row>
    <row r="71" spans="1:27" ht="25.5" x14ac:dyDescent="0.2">
      <c r="A71" t="str">
        <f>CHOOSE(1+LOG(1+2*(J71="Meta")+4*(J71="Nível 2")+8*(J71="Nível 3")+16*(J71="Nível 4")+32*(J71="Serviço"),2),0,1,2,3,4,"S")</f>
        <v>S</v>
      </c>
      <c r="B71">
        <f>IF(OR(A71="S",A71=0),0,IF(ISERROR(I71),H71,SMALL(H71:I71,1)))</f>
        <v>0</v>
      </c>
      <c r="C71">
        <f ca="1">IF($A71=1,OFFSET(C71,-1,0)+1,OFFSET(C71,-1,0))</f>
        <v>1</v>
      </c>
      <c r="D71">
        <f ca="1">IF($A71=1,0,IF($A71=2,OFFSET(D71,-1,0)+1,OFFSET(D71,-1,0)))</f>
        <v>9</v>
      </c>
      <c r="E71">
        <f ca="1">IF(AND($A71&lt;=2,$A71&lt;&gt;0),0,IF($A71=3,OFFSET(E71,-1,0)+1,OFFSET(E71,-1,0)))</f>
        <v>0</v>
      </c>
      <c r="F71">
        <f ca="1">IF(AND($A71&lt;=3,$A71&lt;&gt;0),0,IF($A71=4,OFFSET(F71,-1,0)+1,OFFSET(F71,-1,0)))</f>
        <v>0</v>
      </c>
      <c r="G71">
        <f ca="1">IF(AND($A71&lt;=4,$A71&lt;&gt;0),0,IF($A71="S",OFFSET(G71,-1,0)+1,OFFSET(G71,-1,0)))</f>
        <v>12</v>
      </c>
      <c r="H71">
        <f ca="1">IF(OR($A71="S",$A71=0),0,MATCH(0,OFFSET($B71,1,$A71,ROW($A$275)-ROW($A71)),0))</f>
        <v>0</v>
      </c>
      <c r="I71">
        <f ca="1">IF(OR($A71="S",$A71=0),0,MATCH(OFFSET($B71,0,$A71)+1,OFFSET($B71,1,$A71,ROW($A$275)-ROW($A71)),0))</f>
        <v>0</v>
      </c>
      <c r="J71" s="101" t="s">
        <v>103</v>
      </c>
      <c r="K71" s="137" t="str">
        <f ca="1">IF($A71=0,"-",CONCATENATE(C71&amp;".",IF(AND($A$5&gt;=2,$A71&gt;=2),D71&amp;".",""),IF(AND($A$5&gt;=3,$A71&gt;=3),E71&amp;".",""),IF(AND($A$5&gt;=4,$A71&gt;=4),F71&amp;".",""),IF($A71="S",G71&amp;".","")))</f>
        <v>1.9.12.</v>
      </c>
      <c r="L71" s="176" t="s">
        <v>237</v>
      </c>
      <c r="M71" s="176" t="s">
        <v>271</v>
      </c>
      <c r="N71" s="197" t="str">
        <f ca="1">IF($A71="S",Referencia.Descricao,"(digite a descrição aqui)")</f>
        <v>REMOÇÃO DE LUMINÁRIAS, DE FORMA MANUAL, SEM REAPROVEITAMENTO. AF_09/2023</v>
      </c>
      <c r="O71" s="196" t="str">
        <f ca="1">Referencia.Unidade</f>
        <v>UN</v>
      </c>
      <c r="P71" s="199">
        <v>40</v>
      </c>
      <c r="Q71" s="195">
        <f t="shared" ca="1" si="17"/>
        <v>1.73</v>
      </c>
      <c r="R71" s="198" t="s">
        <v>7</v>
      </c>
      <c r="S71" s="102">
        <f ca="1">IF($A71="S",IF($Q$10="Preço Unitário (R$)",PO.CustoUnitario,ROUND(PO.CustoUnitario*(1+$Z71),15-13*$X$6)),0)</f>
        <v>2.19</v>
      </c>
      <c r="T71" s="82">
        <f ca="1">IF($A71="S",VTOTAL1,IF($A71=0,0,ROUND(SomaAgrup,15-13*$X$7)))</f>
        <v>87.6</v>
      </c>
      <c r="U71" s="9" t="str">
        <f ca="1">IF($J71="","",IF($N71="","DESCRIÇÃO",IF(AND($J71="Serviço",$O71=""),"UNIDADE",IF($T71&lt;=0,"SEM VALOR",IF(AND($Y71&lt;&gt;"",$Q71&gt;$Y71),"ACIMA REF.","")))))</f>
        <v/>
      </c>
      <c r="V71" s="1" t="str">
        <f ca="1">IF(OR($A71=0,$A71="S",$A71&gt;CFF!$A$9),"",MAX(V$12:OFFSET(V71,-1,0))+1)</f>
        <v/>
      </c>
      <c r="W71" s="4" t="str">
        <f>IF(AND($J71="Serviço",$M71&lt;&gt;""),IF($L71="",$M71,CONCATENATE($L71,"-",$M71)))</f>
        <v>SINAPI-97665</v>
      </c>
      <c r="X71" s="1">
        <f ca="1">IF(AND(Fonte&lt;&gt;"",Código&lt;&gt;""),MATCH(Fonte&amp;" "&amp;IF(Fonte="sinapi",SUBSTITUTE(SUBSTITUTE(Código,"/00","/"),"/0","/"),Código),INDIRECT("'[Referência "&amp;_xlnm.Database&amp;".xls]Banco'!$a:$a"),0),"X")</f>
        <v>7167</v>
      </c>
      <c r="Y71" s="102">
        <f ca="1">IF(Import.Desoneracao="sim",Referencia.Desonerado,Referencia.NaoDesonerado)</f>
        <v>1.73</v>
      </c>
      <c r="Z71" s="112">
        <f ca="1">ROUND(IF(ISNUMBER(R71),R71,IF(LEFT(R71,3)="BDI",HLOOKUP(R71,DADOS!$T$37:$X$38,2,FALSE),0)),15-11*$X$5)</f>
        <v>0.26379999999999998</v>
      </c>
      <c r="AA71" s="1"/>
    </row>
    <row r="72" spans="1:27" x14ac:dyDescent="0.2">
      <c r="A72" t="str">
        <f>CHOOSE(1+LOG(1+2*(J72="Meta")+4*(J72="Nível 2")+8*(J72="Nível 3")+16*(J72="Nível 4")+32*(J72="Serviço"),2),0,1,2,3,4,"S")</f>
        <v>S</v>
      </c>
      <c r="B72">
        <f>IF(OR(A72="S",A72=0),0,IF(ISERROR(I72),H72,SMALL(H72:I72,1)))</f>
        <v>0</v>
      </c>
      <c r="C72">
        <f ca="1">IF($A72=1,OFFSET(C72,-1,0)+1,OFFSET(C72,-1,0))</f>
        <v>1</v>
      </c>
      <c r="D72">
        <f ca="1">IF($A72=1,0,IF($A72=2,OFFSET(D72,-1,0)+1,OFFSET(D72,-1,0)))</f>
        <v>9</v>
      </c>
      <c r="E72">
        <f ca="1">IF(AND($A72&lt;=2,$A72&lt;&gt;0),0,IF($A72=3,OFFSET(E72,-1,0)+1,OFFSET(E72,-1,0)))</f>
        <v>0</v>
      </c>
      <c r="F72">
        <f ca="1">IF(AND($A72&lt;=3,$A72&lt;&gt;0),0,IF($A72=4,OFFSET(F72,-1,0)+1,OFFSET(F72,-1,0)))</f>
        <v>0</v>
      </c>
      <c r="G72">
        <f ca="1">IF(AND($A72&lt;=4,$A72&lt;&gt;0),0,IF($A72="S",OFFSET(G72,-1,0)+1,OFFSET(G72,-1,0)))</f>
        <v>13</v>
      </c>
      <c r="H72">
        <f ca="1">IF(OR($A72="S",$A72=0),0,MATCH(0,OFFSET($B72,1,$A72,ROW($A$275)-ROW($A72)),0))</f>
        <v>0</v>
      </c>
      <c r="I72">
        <f ca="1">IF(OR($A72="S",$A72=0),0,MATCH(OFFSET($B72,0,$A72)+1,OFFSET($B72,1,$A72,ROW($A$275)-ROW($A72)),0))</f>
        <v>0</v>
      </c>
      <c r="J72" s="101" t="s">
        <v>103</v>
      </c>
      <c r="K72" s="137" t="str">
        <f ca="1">IF($A72=0,"-",CONCATENATE(C72&amp;".",IF(AND($A$5&gt;=2,$A72&gt;=2),D72&amp;".",""),IF(AND($A$5&gt;=3,$A72&gt;=3),E72&amp;".",""),IF(AND($A$5&gt;=4,$A72&gt;=4),F72&amp;".",""),IF($A72="S",G72&amp;".","")))</f>
        <v>1.9.13.</v>
      </c>
      <c r="L72" s="176" t="s">
        <v>238</v>
      </c>
      <c r="M72" s="176" t="s">
        <v>418</v>
      </c>
      <c r="N72" s="197" t="str">
        <f ca="1">IF($A72="S",Referencia.Descricao,"(digite a descrição aqui)")</f>
        <v>RETIRADA, LIMPEZA E INSTALAÇÃO DE CLIMATIZADOR</v>
      </c>
      <c r="O72" s="196" t="str">
        <f ca="1">Referencia.Unidade</f>
        <v>UND</v>
      </c>
      <c r="P72" s="199">
        <v>9</v>
      </c>
      <c r="Q72" s="195">
        <f t="shared" ca="1" si="17"/>
        <v>161.65</v>
      </c>
      <c r="R72" s="198" t="s">
        <v>7</v>
      </c>
      <c r="S72" s="102">
        <f ca="1">IF($A72="S",IF($Q$10="Preço Unitário (R$)",PO.CustoUnitario,ROUND(PO.CustoUnitario*(1+$Z72),15-13*$X$6)),0)</f>
        <v>204.29</v>
      </c>
      <c r="T72" s="82">
        <f ca="1">IF($A72="S",VTOTAL1,IF($A72=0,0,ROUND(SomaAgrup,15-13*$X$7)))</f>
        <v>1838.61</v>
      </c>
      <c r="U72" s="9" t="str">
        <f ca="1">IF($J72="","",IF($N72="","DESCRIÇÃO",IF(AND($J72="Serviço",$O72=""),"UNIDADE",IF($T72&lt;=0,"SEM VALOR",IF(AND($Y72&lt;&gt;"",$Q72&gt;$Y72),"ACIMA REF.","")))))</f>
        <v/>
      </c>
      <c r="V72" s="1" t="str">
        <f ca="1">IF(OR($A72=0,$A72="S",$A72&gt;CFF!$A$9),"",MAX(V$12:OFFSET(V72,-1,0))+1)</f>
        <v/>
      </c>
      <c r="W72" s="4" t="str">
        <f>IF(AND($J72="Serviço",$M72&lt;&gt;""),IF($L72="",$M72,CONCATENATE($L72,"-",$M72)))</f>
        <v>COMPOSIÇÃO-COMP21</v>
      </c>
      <c r="X72" s="1">
        <f ca="1">IF(AND(Fonte&lt;&gt;"",Código&lt;&gt;""),MATCH(Fonte&amp;" "&amp;IF(Fonte="sinapi",SUBSTITUTE(SUBSTITUTE(Código,"/00","/"),"/0","/"),Código),INDIRECT("'[Referência "&amp;_xlnm.Database&amp;".xls]Banco'!$a:$a"),0),"X")</f>
        <v>27</v>
      </c>
      <c r="Y72" s="102">
        <f ca="1">IF(Import.Desoneracao="sim",Referencia.Desonerado,Referencia.NaoDesonerado)</f>
        <v>161.65</v>
      </c>
      <c r="Z72" s="112">
        <f ca="1">ROUND(IF(ISNUMBER(R72),R72,IF(LEFT(R72,3)="BDI",HLOOKUP(R72,DADOS!$T$37:$X$38,2,FALSE),0)),15-11*$X$5)</f>
        <v>0.26379999999999998</v>
      </c>
      <c r="AA72" s="1"/>
    </row>
    <row r="73" spans="1:27" ht="38.25" x14ac:dyDescent="0.2">
      <c r="A73" t="str">
        <f t="shared" si="0"/>
        <v>S</v>
      </c>
      <c r="B73">
        <f t="shared" si="1"/>
        <v>0</v>
      </c>
      <c r="C73">
        <f t="shared" ca="1" si="2"/>
        <v>1</v>
      </c>
      <c r="D73">
        <f t="shared" ca="1" si="3"/>
        <v>9</v>
      </c>
      <c r="E73">
        <f t="shared" ca="1" si="4"/>
        <v>0</v>
      </c>
      <c r="F73">
        <f t="shared" ca="1" si="5"/>
        <v>0</v>
      </c>
      <c r="G73">
        <f t="shared" ca="1" si="6"/>
        <v>14</v>
      </c>
      <c r="H73">
        <f ca="1">IF(OR($A73="S",$A73=0),0,MATCH(0,OFFSET($B73,1,$A73,ROW($A$275)-ROW($A73)),0))</f>
        <v>0</v>
      </c>
      <c r="I73">
        <f ca="1">IF(OR($A73="S",$A73=0),0,MATCH(OFFSET($B73,0,$A73)+1,OFFSET($B73,1,$A73,ROW($A$275)-ROW($A73)),0))</f>
        <v>0</v>
      </c>
      <c r="J73" s="101" t="s">
        <v>103</v>
      </c>
      <c r="K73" s="137" t="str">
        <f t="shared" ca="1" si="7"/>
        <v>1.9.14.</v>
      </c>
      <c r="L73" s="176" t="s">
        <v>237</v>
      </c>
      <c r="M73" s="176" t="s">
        <v>241</v>
      </c>
      <c r="N73" s="197" t="str">
        <f t="shared" ref="N73:N267" ca="1" si="18">IF($A73="S",Referencia.Descricao,"(digite a descrição aqui)")</f>
        <v>CARGA, MANOBRA E DESCARGA DE ENTULHO EM CAMINHÃO BASCULANTE 14 M³ - CARGA COM ESCAVADEIRA HIDRÁULICA  (CAÇAMBA DE 0,80 M³ / 111 HP) E DESCARGA LIVRE (UNIDADE: M3). AF_07/2020</v>
      </c>
      <c r="O73" s="196" t="str">
        <f ca="1">Referencia.Unidade</f>
        <v>M3</v>
      </c>
      <c r="P73" s="199">
        <v>200</v>
      </c>
      <c r="Q73" s="195">
        <f t="shared" ca="1" si="17"/>
        <v>9.65</v>
      </c>
      <c r="R73" s="198" t="s">
        <v>8</v>
      </c>
      <c r="S73" s="102">
        <f t="shared" ca="1" si="8"/>
        <v>11.12</v>
      </c>
      <c r="T73" s="82">
        <f t="shared" ca="1" si="9"/>
        <v>2224</v>
      </c>
      <c r="U73" s="9" t="str">
        <f t="shared" ca="1" si="10"/>
        <v/>
      </c>
      <c r="V73" s="1" t="str">
        <f ca="1">IF(OR($A73=0,$A73="S",$A73&gt;CFF!$A$9),"",MAX(V$12:OFFSET(V73,-1,0))+1)</f>
        <v/>
      </c>
      <c r="W73" s="4" t="str">
        <f t="shared" si="11"/>
        <v>SINAPI-100983</v>
      </c>
      <c r="X73" s="1">
        <f t="shared" ca="1" si="12"/>
        <v>7270</v>
      </c>
      <c r="Y73" s="102">
        <f t="shared" ca="1" si="13"/>
        <v>9.65</v>
      </c>
      <c r="Z73" s="112">
        <f ca="1">ROUND(IF(ISNUMBER(R73),R73,IF(LEFT(R73,3)="BDI",HLOOKUP(R73,DADOS!$T$37:$X$38,2,FALSE),0)),15-11*$X$5)</f>
        <v>0.1525</v>
      </c>
      <c r="AA73" s="1"/>
    </row>
    <row r="74" spans="1:27" ht="25.5" x14ac:dyDescent="0.2">
      <c r="A74" t="str">
        <f>CHOOSE(1+LOG(1+2*(J74="Meta")+4*(J74="Nível 2")+8*(J74="Nível 3")+16*(J74="Nível 4")+32*(J74="Serviço"),2),0,1,2,3,4,"S")</f>
        <v>S</v>
      </c>
      <c r="B74">
        <f>IF(OR(A74="S",A74=0),0,IF(ISERROR(I74),H74,SMALL(H74:I74,1)))</f>
        <v>0</v>
      </c>
      <c r="C74">
        <f ca="1">IF($A74=1,OFFSET(C74,-1,0)+1,OFFSET(C74,-1,0))</f>
        <v>1</v>
      </c>
      <c r="D74">
        <f ca="1">IF($A74=1,0,IF($A74=2,OFFSET(D74,-1,0)+1,OFFSET(D74,-1,0)))</f>
        <v>9</v>
      </c>
      <c r="E74">
        <f ca="1">IF(AND($A74&lt;=2,$A74&lt;&gt;0),0,IF($A74=3,OFFSET(E74,-1,0)+1,OFFSET(E74,-1,0)))</f>
        <v>0</v>
      </c>
      <c r="F74">
        <f ca="1">IF(AND($A74&lt;=3,$A74&lt;&gt;0),0,IF($A74=4,OFFSET(F74,-1,0)+1,OFFSET(F74,-1,0)))</f>
        <v>0</v>
      </c>
      <c r="G74">
        <f ca="1">IF(AND($A74&lt;=4,$A74&lt;&gt;0),0,IF($A74="S",OFFSET(G74,-1,0)+1,OFFSET(G74,-1,0)))</f>
        <v>15</v>
      </c>
      <c r="H74">
        <f ca="1">IF(OR($A74="S",$A74=0),0,MATCH(0,OFFSET($B74,1,$A74,ROW($A$275)-ROW($A74)),0))</f>
        <v>0</v>
      </c>
      <c r="I74">
        <f ca="1">IF(OR($A74="S",$A74=0),0,MATCH(OFFSET($B74,0,$A74)+1,OFFSET($B74,1,$A74,ROW($A$275)-ROW($A74)),0))</f>
        <v>0</v>
      </c>
      <c r="J74" s="101" t="s">
        <v>103</v>
      </c>
      <c r="K74" s="137" t="str">
        <f ca="1">IF($A74=0,"-",CONCATENATE(C74&amp;".",IF(AND($A$5&gt;=2,$A74&gt;=2),D74&amp;".",""),IF(AND($A$5&gt;=3,$A74&gt;=3),E74&amp;".",""),IF(AND($A$5&gt;=4,$A74&gt;=4),F74&amp;".",""),IF($A74="S",G74&amp;".","")))</f>
        <v>1.9.15.</v>
      </c>
      <c r="L74" s="176" t="s">
        <v>238</v>
      </c>
      <c r="M74" s="176" t="s">
        <v>343</v>
      </c>
      <c r="N74" s="197" t="str">
        <f ca="1">IF($A74="S",Referencia.Descricao,"(digite a descrição aqui)")</f>
        <v xml:space="preserve">TAPUME DE MADEIRA COM CHAPA RESINADA PARAFUSADO NA PAREDE PARA PROTEÇÃO JANELAS E ISOLAMENTO DE COMODO COM MOVEIS DURANTE A OBRA </v>
      </c>
      <c r="O74" s="196" t="str">
        <f ca="1">Referencia.Unidade</f>
        <v xml:space="preserve">M2    </v>
      </c>
      <c r="P74" s="199">
        <f>1*2.15*5</f>
        <v>10.75</v>
      </c>
      <c r="Q74" s="195">
        <f t="shared" ca="1" si="17"/>
        <v>86.660000000000011</v>
      </c>
      <c r="R74" s="198" t="s">
        <v>7</v>
      </c>
      <c r="S74" s="102">
        <f ca="1">IF($A74="S",IF($Q$10="Preço Unitário (R$)",PO.CustoUnitario,ROUND(PO.CustoUnitario*(1+$Z74),15-13*$X$6)),0)</f>
        <v>109.52</v>
      </c>
      <c r="T74" s="82">
        <f ca="1">IF($A74="S",VTOTAL1,IF($A74=0,0,ROUND(SomaAgrup,15-13*$X$7)))</f>
        <v>1177.3399999999999</v>
      </c>
      <c r="U74" s="9" t="str">
        <f ca="1">IF($J74="","",IF($N74="","DESCRIÇÃO",IF(AND($J74="Serviço",$O74=""),"UNIDADE",IF($T74&lt;=0,"SEM VALOR",IF(AND($Y74&lt;&gt;"",$Q74&gt;$Y74),"ACIMA REF.","")))))</f>
        <v/>
      </c>
      <c r="V74" s="1" t="str">
        <f ca="1">IF(OR($A74=0,$A74="S",$A74&gt;CFF!$A$9),"",MAX(V$12:OFFSET(V74,-1,0))+1)</f>
        <v/>
      </c>
      <c r="W74" s="4" t="str">
        <f>IF(AND($J74="Serviço",$M74&lt;&gt;""),IF($L74="",$M74,CONCATENATE($L74,"-",$M74)))</f>
        <v>COMPOSIÇÃO-COMP6</v>
      </c>
      <c r="X74" s="1">
        <f ca="1">IF(AND(Fonte&lt;&gt;"",Código&lt;&gt;""),MATCH(Fonte&amp;" "&amp;IF(Fonte="sinapi",SUBSTITUTE(SUBSTITUTE(Código,"/00","/"),"/0","/"),Código),INDIRECT("'[Referência "&amp;_xlnm.Database&amp;".xls]Banco'!$a:$a"),0),"X")</f>
        <v>12</v>
      </c>
      <c r="Y74" s="102">
        <f ca="1">IF(Import.Desoneracao="sim",Referencia.Desonerado,Referencia.NaoDesonerado)</f>
        <v>86.660000000000011</v>
      </c>
      <c r="Z74" s="112">
        <f ca="1">ROUND(IF(ISNUMBER(R74),R74,IF(LEFT(R74,3)="BDI",HLOOKUP(R74,DADOS!$T$37:$X$38,2,FALSE),0)),15-11*$X$5)</f>
        <v>0.26379999999999998</v>
      </c>
      <c r="AA74" s="1"/>
    </row>
    <row r="75" spans="1:27" x14ac:dyDescent="0.2">
      <c r="A75">
        <f t="shared" si="0"/>
        <v>2</v>
      </c>
      <c r="B75">
        <f t="shared" ca="1" si="1"/>
        <v>7</v>
      </c>
      <c r="C75">
        <f t="shared" ca="1" si="2"/>
        <v>1</v>
      </c>
      <c r="D75">
        <f t="shared" ca="1" si="3"/>
        <v>10</v>
      </c>
      <c r="E75">
        <f t="shared" ca="1" si="4"/>
        <v>0</v>
      </c>
      <c r="F75">
        <f t="shared" ca="1" si="5"/>
        <v>0</v>
      </c>
      <c r="G75">
        <f t="shared" ca="1" si="6"/>
        <v>0</v>
      </c>
      <c r="H75">
        <f ca="1">IF(OR($A75="S",$A75=0),0,MATCH(0,OFFSET($B75,1,$A75,ROW($A$275)-ROW($A75)),0))</f>
        <v>200</v>
      </c>
      <c r="I75">
        <f ca="1">IF(OR($A75="S",$A75=0),0,MATCH(OFFSET($B75,0,$A75)+1,OFFSET($B75,1,$A75,ROW($A$275)-ROW($A75)),0))</f>
        <v>7</v>
      </c>
      <c r="J75" s="101" t="s">
        <v>100</v>
      </c>
      <c r="K75" s="137" t="str">
        <f t="shared" ca="1" si="7"/>
        <v>1.10.</v>
      </c>
      <c r="L75" s="176"/>
      <c r="M75" s="176"/>
      <c r="N75" s="197" t="s">
        <v>379</v>
      </c>
      <c r="O75" s="196" t="str">
        <f ca="1">Referencia.Unidade</f>
        <v/>
      </c>
      <c r="P75" s="199"/>
      <c r="Q75" s="195"/>
      <c r="R75" s="198" t="s">
        <v>7</v>
      </c>
      <c r="S75" s="102">
        <f t="shared" si="8"/>
        <v>0</v>
      </c>
      <c r="T75" s="82">
        <f t="shared" ca="1" si="9"/>
        <v>63450.79</v>
      </c>
      <c r="U75" s="9" t="str">
        <f t="shared" ca="1" si="10"/>
        <v/>
      </c>
      <c r="V75" s="1">
        <f ca="1">IF(OR($A75=0,$A75="S",$A75&gt;CFF!$A$9),"",MAX(V$12:OFFSET(V75,-1,0))+1)</f>
        <v>11</v>
      </c>
      <c r="W75" s="4" t="b">
        <f t="shared" si="11"/>
        <v>0</v>
      </c>
      <c r="X75" s="1" t="str">
        <f t="shared" ca="1" si="12"/>
        <v>X</v>
      </c>
      <c r="Y75" s="102">
        <f t="shared" ca="1" si="13"/>
        <v>0</v>
      </c>
      <c r="Z75" s="112">
        <f ca="1">ROUND(IF(ISNUMBER(R75),R75,IF(LEFT(R75,3)="BDI",HLOOKUP(R75,DADOS!$T$37:$X$38,2,FALSE),0)),15-11*$X$5)</f>
        <v>0.26379999999999998</v>
      </c>
      <c r="AA75" s="1"/>
    </row>
    <row r="76" spans="1:27" ht="38.25" x14ac:dyDescent="0.2">
      <c r="A76" t="str">
        <f t="shared" si="0"/>
        <v>S</v>
      </c>
      <c r="B76">
        <f t="shared" si="1"/>
        <v>0</v>
      </c>
      <c r="C76">
        <f t="shared" ca="1" si="2"/>
        <v>1</v>
      </c>
      <c r="D76">
        <f t="shared" ca="1" si="3"/>
        <v>10</v>
      </c>
      <c r="E76">
        <f t="shared" ca="1" si="4"/>
        <v>0</v>
      </c>
      <c r="F76">
        <f t="shared" ca="1" si="5"/>
        <v>0</v>
      </c>
      <c r="G76">
        <f t="shared" ca="1" si="6"/>
        <v>1</v>
      </c>
      <c r="H76">
        <f ca="1">IF(OR($A76="S",$A76=0),0,MATCH(0,OFFSET($B76,1,$A76,ROW($A$275)-ROW($A76)),0))</f>
        <v>0</v>
      </c>
      <c r="I76">
        <f ca="1">IF(OR($A76="S",$A76=0),0,MATCH(OFFSET($B76,0,$A76)+1,OFFSET($B76,1,$A76,ROW($A$275)-ROW($A76)),0))</f>
        <v>0</v>
      </c>
      <c r="J76" s="101" t="s">
        <v>103</v>
      </c>
      <c r="K76" s="137" t="str">
        <f t="shared" ca="1" si="7"/>
        <v>1.10.1.</v>
      </c>
      <c r="L76" s="176" t="s">
        <v>237</v>
      </c>
      <c r="M76" s="176" t="s">
        <v>381</v>
      </c>
      <c r="N76" s="197" t="str">
        <f ca="1">IF($A76="S",Referencia.Descricao,"(digite a descrição aqui)")</f>
        <v>ALVENARIA DE VEDAÇÃO DE BLOCOS CERÂMICOS MACIÇOS DE 5X10X20CM (ESPESSURA 10CM) E ARGAMASSA DE ASSENTAMENTO COM PREPARO EM BETONEIRA. AF_05/2020</v>
      </c>
      <c r="O76" s="196" t="str">
        <f ca="1">Referencia.Unidade</f>
        <v>M2</v>
      </c>
      <c r="P76" s="199">
        <f>86.8*0.5</f>
        <v>43.4</v>
      </c>
      <c r="Q76" s="195">
        <f t="shared" ca="1" si="17"/>
        <v>132.37</v>
      </c>
      <c r="R76" s="198" t="s">
        <v>7</v>
      </c>
      <c r="S76" s="102">
        <f t="shared" ca="1" si="8"/>
        <v>167.29</v>
      </c>
      <c r="T76" s="82">
        <f t="shared" ca="1" si="9"/>
        <v>7260.39</v>
      </c>
      <c r="U76" s="9" t="str">
        <f t="shared" ca="1" si="10"/>
        <v/>
      </c>
      <c r="V76" s="1" t="str">
        <f ca="1">IF(OR($A76=0,$A76="S",$A76&gt;CFF!$A$9),"",MAX(V$12:OFFSET(V76,-1,0))+1)</f>
        <v/>
      </c>
      <c r="W76" s="4" t="str">
        <f t="shared" si="11"/>
        <v>SINAPI-101159</v>
      </c>
      <c r="X76" s="1">
        <f t="shared" ca="1" si="12"/>
        <v>5941</v>
      </c>
      <c r="Y76" s="102">
        <f t="shared" ca="1" si="13"/>
        <v>132.37</v>
      </c>
      <c r="Z76" s="112">
        <f ca="1">ROUND(IF(ISNUMBER(R76),R76,IF(LEFT(R76,3)="BDI",HLOOKUP(R76,DADOS!$T$37:$X$38,2,FALSE),0)),15-11*$X$5)</f>
        <v>0.26379999999999998</v>
      </c>
      <c r="AA76" s="1"/>
    </row>
    <row r="77" spans="1:27" ht="25.5" x14ac:dyDescent="0.2">
      <c r="A77" t="str">
        <f>CHOOSE(1+LOG(1+2*(J77="Meta")+4*(J77="Nível 2")+8*(J77="Nível 3")+16*(J77="Nível 4")+32*(J77="Serviço"),2),0,1,2,3,4,"S")</f>
        <v>S</v>
      </c>
      <c r="B77">
        <f>IF(OR(A77="S",A77=0),0,IF(ISERROR(I77),H77,SMALL(H77:I77,1)))</f>
        <v>0</v>
      </c>
      <c r="C77">
        <f ca="1">IF($A77=1,OFFSET(C77,-1,0)+1,OFFSET(C77,-1,0))</f>
        <v>1</v>
      </c>
      <c r="D77">
        <f ca="1">IF($A77=1,0,IF($A77=2,OFFSET(D77,-1,0)+1,OFFSET(D77,-1,0)))</f>
        <v>10</v>
      </c>
      <c r="E77">
        <f ca="1">IF(AND($A77&lt;=2,$A77&lt;&gt;0),0,IF($A77=3,OFFSET(E77,-1,0)+1,OFFSET(E77,-1,0)))</f>
        <v>0</v>
      </c>
      <c r="F77">
        <f ca="1">IF(AND($A77&lt;=3,$A77&lt;&gt;0),0,IF($A77=4,OFFSET(F77,-1,0)+1,OFFSET(F77,-1,0)))</f>
        <v>0</v>
      </c>
      <c r="G77">
        <f ca="1">IF(AND($A77&lt;=4,$A77&lt;&gt;0),0,IF($A77="S",OFFSET(G77,-1,0)+1,OFFSET(G77,-1,0)))</f>
        <v>2</v>
      </c>
      <c r="H77">
        <f ca="1">IF(OR($A77="S",$A77=0),0,MATCH(0,OFFSET($B77,1,$A77,ROW($A$275)-ROW($A77)),0))</f>
        <v>0</v>
      </c>
      <c r="I77">
        <f ca="1">IF(OR($A77="S",$A77=0),0,MATCH(OFFSET($B77,0,$A77)+1,OFFSET($B77,1,$A77,ROW($A$275)-ROW($A77)),0))</f>
        <v>0</v>
      </c>
      <c r="J77" s="101" t="s">
        <v>103</v>
      </c>
      <c r="K77" s="137" t="str">
        <f ca="1">IF($A77=0,"-",CONCATENATE(C77&amp;".",IF(AND($A$5&gt;=2,$A77&gt;=2),D77&amp;".",""),IF(AND($A$5&gt;=3,$A77&gt;=3),E77&amp;".",""),IF(AND($A$5&gt;=4,$A77&gt;=4),F77&amp;".",""),IF($A77="S",G77&amp;".","")))</f>
        <v>1.10.2.</v>
      </c>
      <c r="L77" s="176" t="s">
        <v>237</v>
      </c>
      <c r="M77" s="176" t="s">
        <v>393</v>
      </c>
      <c r="N77" s="197" t="str">
        <f ca="1">IF($A77="S",Referencia.Descricao,"(digite a descrição aqui)")</f>
        <v>PREPARO DE FUNDO DE VALA COM LARGURA MENOR QUE 1,5 M, COM CAMADA DE BRITA, LANÇAMENTO MANUAL. AF_08/2020</v>
      </c>
      <c r="O77" s="196" t="str">
        <f ca="1">Referencia.Unidade</f>
        <v>M3</v>
      </c>
      <c r="P77" s="199">
        <f>P76*0.05</f>
        <v>2.17</v>
      </c>
      <c r="Q77" s="195">
        <f t="shared" ca="1" si="17"/>
        <v>258.44</v>
      </c>
      <c r="R77" s="198" t="s">
        <v>7</v>
      </c>
      <c r="S77" s="102">
        <f ca="1">IF($A77="S",IF($Q$10="Preço Unitário (R$)",PO.CustoUnitario,ROUND(PO.CustoUnitario*(1+$Z77),15-13*$X$6)),0)</f>
        <v>326.62</v>
      </c>
      <c r="T77" s="82">
        <f ca="1">IF($A77="S",VTOTAL1,IF($A77=0,0,ROUND(SomaAgrup,15-13*$X$7)))</f>
        <v>708.77</v>
      </c>
      <c r="U77" s="9" t="str">
        <f ca="1">IF($J77="","",IF($N77="","DESCRIÇÃO",IF(AND($J77="Serviço",$O77=""),"UNIDADE",IF($T77&lt;=0,"SEM VALOR",IF(AND($Y77&lt;&gt;"",$Q77&gt;$Y77),"ACIMA REF.","")))))</f>
        <v/>
      </c>
      <c r="V77" s="1" t="str">
        <f ca="1">IF(OR($A77=0,$A77="S",$A77&gt;CFF!$A$9),"",MAX(V$12:OFFSET(V77,-1,0))+1)</f>
        <v/>
      </c>
      <c r="W77" s="4" t="str">
        <f>IF(AND($J77="Serviço",$M77&lt;&gt;""),IF($L77="",$M77,CONCATENATE($L77,"-",$M77)))</f>
        <v>SINAPI-101619</v>
      </c>
      <c r="X77" s="1">
        <f ca="1">IF(AND(Fonte&lt;&gt;"",Código&lt;&gt;""),MATCH(Fonte&amp;" "&amp;IF(Fonte="sinapi",SUBSTITUTE(SUBSTITUTE(Código,"/00","/"),"/0","/"),Código),INDIRECT("'[Referência "&amp;_xlnm.Database&amp;".xls]Banco'!$a:$a"),0),"X")</f>
        <v>5934</v>
      </c>
      <c r="Y77" s="102">
        <f ca="1">IF(Import.Desoneracao="sim",Referencia.Desonerado,Referencia.NaoDesonerado)</f>
        <v>258.44</v>
      </c>
      <c r="Z77" s="112">
        <f ca="1">ROUND(IF(ISNUMBER(R77),R77,IF(LEFT(R77,3)="BDI",HLOOKUP(R77,DADOS!$T$37:$X$38,2,FALSE),0)),15-11*$X$5)</f>
        <v>0.26379999999999998</v>
      </c>
      <c r="AA77" s="1"/>
    </row>
    <row r="78" spans="1:27" ht="38.25" x14ac:dyDescent="0.2">
      <c r="A78" t="str">
        <f t="shared" si="0"/>
        <v>S</v>
      </c>
      <c r="B78">
        <f t="shared" si="1"/>
        <v>0</v>
      </c>
      <c r="C78">
        <f t="shared" ca="1" si="2"/>
        <v>1</v>
      </c>
      <c r="D78">
        <f t="shared" ca="1" si="3"/>
        <v>10</v>
      </c>
      <c r="E78">
        <f t="shared" ca="1" si="4"/>
        <v>0</v>
      </c>
      <c r="F78">
        <f t="shared" ca="1" si="5"/>
        <v>0</v>
      </c>
      <c r="G78">
        <f t="shared" ca="1" si="6"/>
        <v>3</v>
      </c>
      <c r="H78">
        <f ca="1">IF(OR($A78="S",$A78=0),0,MATCH(0,OFFSET($B78,1,$A78,ROW($A$275)-ROW($A78)),0))</f>
        <v>0</v>
      </c>
      <c r="I78">
        <f ca="1">IF(OR($A78="S",$A78=0),0,MATCH(OFFSET($B78,0,$A78)+1,OFFSET($B78,1,$A78,ROW($A$275)-ROW($A78)),0))</f>
        <v>0</v>
      </c>
      <c r="J78" s="101" t="s">
        <v>103</v>
      </c>
      <c r="K78" s="137" t="str">
        <f t="shared" ca="1" si="7"/>
        <v>1.10.3.</v>
      </c>
      <c r="L78" s="176" t="s">
        <v>237</v>
      </c>
      <c r="M78" s="176" t="s">
        <v>382</v>
      </c>
      <c r="N78" s="197" t="str">
        <f ca="1">IF($A78="S",Referencia.Descricao,"(digite a descrição aqui)")</f>
        <v>ALVENARIA DE VEDAÇÃO DE BLOCOS CERÂMICOS FURADOS NA VERTICAL DE 14X19X39 CM (ESPESSURA 14 CM) E ARGAMASSA DE ASSENTAMENTO COM PREPARO EM BETONEIRA. AF_12/2021</v>
      </c>
      <c r="O78" s="196" t="str">
        <f ca="1">Referencia.Unidade</f>
        <v>M2</v>
      </c>
      <c r="P78" s="199">
        <f>4.16+12.97+51.77+3.42+3.58+16.8+(161.78*2.7)-2.52-(6*2.4*1.6)-2*(2.1*1.1)-(2.85*1.6)</f>
        <v>494.76600000000008</v>
      </c>
      <c r="Q78" s="195">
        <f t="shared" ca="1" si="17"/>
        <v>73.180000000000007</v>
      </c>
      <c r="R78" s="198" t="s">
        <v>7</v>
      </c>
      <c r="S78" s="102">
        <f t="shared" ca="1" si="8"/>
        <v>92.48</v>
      </c>
      <c r="T78" s="82">
        <f t="shared" ca="1" si="9"/>
        <v>45756.33</v>
      </c>
      <c r="U78" s="9" t="str">
        <f t="shared" ca="1" si="10"/>
        <v/>
      </c>
      <c r="V78" s="1" t="str">
        <f ca="1">IF(OR($A78=0,$A78="S",$A78&gt;CFF!$A$9),"",MAX(V$12:OFFSET(V78,-1,0))+1)</f>
        <v/>
      </c>
      <c r="W78" s="4" t="str">
        <f t="shared" si="11"/>
        <v>SINAPI-103324</v>
      </c>
      <c r="X78" s="1">
        <f t="shared" ca="1" si="12"/>
        <v>5944</v>
      </c>
      <c r="Y78" s="102">
        <f t="shared" ca="1" si="13"/>
        <v>73.180000000000007</v>
      </c>
      <c r="Z78" s="112">
        <f ca="1">ROUND(IF(ISNUMBER(R78),R78,IF(LEFT(R78,3)="BDI",HLOOKUP(R78,DADOS!$T$37:$X$38,2,FALSE),0)),15-11*$X$5)</f>
        <v>0.26379999999999998</v>
      </c>
      <c r="AA78" s="1"/>
    </row>
    <row r="79" spans="1:27" ht="38.25" x14ac:dyDescent="0.2">
      <c r="A79" t="str">
        <f t="shared" si="0"/>
        <v>S</v>
      </c>
      <c r="B79">
        <f t="shared" si="1"/>
        <v>0</v>
      </c>
      <c r="C79">
        <f t="shared" ca="1" si="2"/>
        <v>1</v>
      </c>
      <c r="D79">
        <f t="shared" ca="1" si="3"/>
        <v>10</v>
      </c>
      <c r="E79">
        <f t="shared" ca="1" si="4"/>
        <v>0</v>
      </c>
      <c r="F79">
        <f t="shared" ca="1" si="5"/>
        <v>0</v>
      </c>
      <c r="G79">
        <f t="shared" ca="1" si="6"/>
        <v>4</v>
      </c>
      <c r="H79">
        <f ca="1">IF(OR($A79="S",$A79=0),0,MATCH(0,OFFSET($B79,1,$A79,ROW($A$275)-ROW($A79)),0))</f>
        <v>0</v>
      </c>
      <c r="I79">
        <f ca="1">IF(OR($A79="S",$A79=0),0,MATCH(OFFSET($B79,0,$A79)+1,OFFSET($B79,1,$A79,ROW($A$275)-ROW($A79)),0))</f>
        <v>0</v>
      </c>
      <c r="J79" s="101" t="s">
        <v>103</v>
      </c>
      <c r="K79" s="137" t="str">
        <f t="shared" ca="1" si="7"/>
        <v>1.10.4.</v>
      </c>
      <c r="L79" s="176" t="s">
        <v>237</v>
      </c>
      <c r="M79" s="176" t="s">
        <v>382</v>
      </c>
      <c r="N79" s="197" t="str">
        <f ca="1">IF($A79="S",Referencia.Descricao,"(digite a descrição aqui)")</f>
        <v>ALVENARIA DE VEDAÇÃO DE BLOCOS CERÂMICOS FURADOS NA VERTICAL DE 14X19X39 CM (ESPESSURA 14 CM) E ARGAMASSA DE ASSENTAMENTO COM PREPARO EM BETONEIRA. AF_12/2021</v>
      </c>
      <c r="O79" s="196" t="str">
        <f ca="1">Referencia.Unidade</f>
        <v>M2</v>
      </c>
      <c r="P79" s="199">
        <f>2.9*2.3*3</f>
        <v>20.009999999999998</v>
      </c>
      <c r="Q79" s="195">
        <f t="shared" ca="1" si="17"/>
        <v>73.180000000000007</v>
      </c>
      <c r="R79" s="198" t="s">
        <v>7</v>
      </c>
      <c r="S79" s="102">
        <f t="shared" ca="1" si="8"/>
        <v>92.48</v>
      </c>
      <c r="T79" s="82">
        <f t="shared" ca="1" si="9"/>
        <v>1850.52</v>
      </c>
      <c r="U79" s="9" t="str">
        <f t="shared" ca="1" si="10"/>
        <v/>
      </c>
      <c r="V79" s="1" t="str">
        <f ca="1">IF(OR($A79=0,$A79="S",$A79&gt;CFF!$A$9),"",MAX(V$12:OFFSET(V79,-1,0))+1)</f>
        <v/>
      </c>
      <c r="W79" s="4" t="str">
        <f t="shared" si="11"/>
        <v>SINAPI-103324</v>
      </c>
      <c r="X79" s="1">
        <f t="shared" ca="1" si="12"/>
        <v>5944</v>
      </c>
      <c r="Y79" s="102">
        <f t="shared" ca="1" si="13"/>
        <v>73.180000000000007</v>
      </c>
      <c r="Z79" s="112">
        <f ca="1">ROUND(IF(ISNUMBER(R79),R79,IF(LEFT(R79,3)="BDI",HLOOKUP(R79,DADOS!$T$37:$X$38,2,FALSE),0)),15-11*$X$5)</f>
        <v>0.26379999999999998</v>
      </c>
      <c r="AA79" s="1"/>
    </row>
    <row r="80" spans="1:27" x14ac:dyDescent="0.2">
      <c r="A80" t="str">
        <f t="shared" si="0"/>
        <v>S</v>
      </c>
      <c r="B80">
        <f t="shared" si="1"/>
        <v>0</v>
      </c>
      <c r="C80">
        <f t="shared" ca="1" si="2"/>
        <v>1</v>
      </c>
      <c r="D80">
        <f t="shared" ca="1" si="3"/>
        <v>10</v>
      </c>
      <c r="E80">
        <f t="shared" ca="1" si="4"/>
        <v>0</v>
      </c>
      <c r="F80">
        <f t="shared" ca="1" si="5"/>
        <v>0</v>
      </c>
      <c r="G80">
        <f t="shared" ca="1" si="6"/>
        <v>5</v>
      </c>
      <c r="H80">
        <f ca="1">IF(OR($A80="S",$A80=0),0,MATCH(0,OFFSET($B80,1,$A80,ROW($A$275)-ROW($A80)),0))</f>
        <v>0</v>
      </c>
      <c r="I80">
        <f ca="1">IF(OR($A80="S",$A80=0),0,MATCH(OFFSET($B80,0,$A80)+1,OFFSET($B80,1,$A80,ROW($A$275)-ROW($A80)),0))</f>
        <v>0</v>
      </c>
      <c r="J80" s="101" t="s">
        <v>103</v>
      </c>
      <c r="K80" s="137" t="str">
        <f t="shared" ca="1" si="7"/>
        <v>1.10.5.</v>
      </c>
      <c r="L80" s="176" t="s">
        <v>237</v>
      </c>
      <c r="M80" s="176" t="s">
        <v>384</v>
      </c>
      <c r="N80" s="197" t="str">
        <f ca="1">IF($A80="S",Referencia.Descricao,"(digite a descrição aqui)")</f>
        <v>VERGA MOLDADA IN LOCO EM CONCRETO, ESPESSURA DE *10* CM. AF_03/2024</v>
      </c>
      <c r="O80" s="196" t="str">
        <f ca="1">Referencia.Unidade</f>
        <v>M</v>
      </c>
      <c r="P80" s="199">
        <f>63.2*1.4</f>
        <v>88.48</v>
      </c>
      <c r="Q80" s="195">
        <f t="shared" ca="1" si="17"/>
        <v>45.89</v>
      </c>
      <c r="R80" s="198" t="s">
        <v>7</v>
      </c>
      <c r="S80" s="102">
        <f t="shared" ca="1" si="8"/>
        <v>58</v>
      </c>
      <c r="T80" s="82">
        <f t="shared" ca="1" si="9"/>
        <v>5131.84</v>
      </c>
      <c r="U80" s="9" t="str">
        <f t="shared" ca="1" si="10"/>
        <v/>
      </c>
      <c r="V80" s="1" t="str">
        <f ca="1">IF(OR($A80=0,$A80="S",$A80&gt;CFF!$A$9),"",MAX(V$12:OFFSET(V80,-1,0))+1)</f>
        <v/>
      </c>
      <c r="W80" s="4" t="str">
        <f t="shared" si="11"/>
        <v>SINAPI-105024</v>
      </c>
      <c r="X80" s="1">
        <f t="shared" ca="1" si="12"/>
        <v>2794</v>
      </c>
      <c r="Y80" s="102">
        <f t="shared" ca="1" si="13"/>
        <v>45.89</v>
      </c>
      <c r="Z80" s="112">
        <f ca="1">ROUND(IF(ISNUMBER(R80),R80,IF(LEFT(R80,3)="BDI",HLOOKUP(R80,DADOS!$T$37:$X$38,2,FALSE),0)),15-11*$X$5)</f>
        <v>0.26379999999999998</v>
      </c>
      <c r="AA80" s="1"/>
    </row>
    <row r="81" spans="1:27" ht="25.5" x14ac:dyDescent="0.2">
      <c r="A81" t="str">
        <f t="shared" si="0"/>
        <v>S</v>
      </c>
      <c r="B81">
        <f t="shared" si="1"/>
        <v>0</v>
      </c>
      <c r="C81">
        <f t="shared" ca="1" si="2"/>
        <v>1</v>
      </c>
      <c r="D81">
        <f t="shared" ca="1" si="3"/>
        <v>10</v>
      </c>
      <c r="E81">
        <f t="shared" ca="1" si="4"/>
        <v>0</v>
      </c>
      <c r="F81">
        <f t="shared" ca="1" si="5"/>
        <v>0</v>
      </c>
      <c r="G81">
        <f t="shared" ca="1" si="6"/>
        <v>6</v>
      </c>
      <c r="H81">
        <f ca="1">IF(OR($A81="S",$A81=0),0,MATCH(0,OFFSET($B81,1,$A81,ROW($A$275)-ROW($A81)),0))</f>
        <v>0</v>
      </c>
      <c r="I81">
        <f ca="1">IF(OR($A81="S",$A81=0),0,MATCH(OFFSET($B81,0,$A81)+1,OFFSET($B81,1,$A81,ROW($A$275)-ROW($A81)),0))</f>
        <v>0</v>
      </c>
      <c r="J81" s="101" t="s">
        <v>103</v>
      </c>
      <c r="K81" s="137" t="str">
        <f t="shared" ca="1" si="7"/>
        <v>1.10.6.</v>
      </c>
      <c r="L81" s="176" t="s">
        <v>237</v>
      </c>
      <c r="M81" s="176" t="s">
        <v>383</v>
      </c>
      <c r="N81" s="197" t="str">
        <f ca="1">IF($A81="S",Referencia.Descricao,"(digite a descrição aqui)")</f>
        <v>CONTRAVERGA MOLDADA IN LOCO EM CONCRETO, ESPESSURA DE *10* CM. AF_03/2024</v>
      </c>
      <c r="O81" s="196" t="str">
        <f ca="1">Referencia.Unidade</f>
        <v>M</v>
      </c>
      <c r="P81" s="199">
        <f>42.9*1.4</f>
        <v>60.059999999999995</v>
      </c>
      <c r="Q81" s="195">
        <f t="shared" ca="1" si="17"/>
        <v>36.14</v>
      </c>
      <c r="R81" s="198" t="s">
        <v>7</v>
      </c>
      <c r="S81" s="102">
        <f t="shared" ca="1" si="8"/>
        <v>45.67</v>
      </c>
      <c r="T81" s="82">
        <f t="shared" ca="1" si="9"/>
        <v>2742.94</v>
      </c>
      <c r="U81" s="9" t="str">
        <f t="shared" ca="1" si="10"/>
        <v/>
      </c>
      <c r="V81" s="1" t="str">
        <f ca="1">IF(OR($A81=0,$A81="S",$A81&gt;CFF!$A$9),"",MAX(V$12:OFFSET(V81,-1,0))+1)</f>
        <v/>
      </c>
      <c r="W81" s="4" t="str">
        <f t="shared" si="11"/>
        <v>SINAPI-105030</v>
      </c>
      <c r="X81" s="1">
        <f t="shared" ca="1" si="12"/>
        <v>2800</v>
      </c>
      <c r="Y81" s="102">
        <f t="shared" ca="1" si="13"/>
        <v>36.14</v>
      </c>
      <c r="Z81" s="112">
        <f ca="1">ROUND(IF(ISNUMBER(R81),R81,IF(LEFT(R81,3)="BDI",HLOOKUP(R81,DADOS!$T$37:$X$38,2,FALSE),0)),15-11*$X$5)</f>
        <v>0.26379999999999998</v>
      </c>
      <c r="AA81" s="1"/>
    </row>
    <row r="82" spans="1:27" x14ac:dyDescent="0.2">
      <c r="A82">
        <f t="shared" si="0"/>
        <v>2</v>
      </c>
      <c r="B82">
        <f t="shared" ca="1" si="1"/>
        <v>4</v>
      </c>
      <c r="C82">
        <f t="shared" ca="1" si="2"/>
        <v>1</v>
      </c>
      <c r="D82">
        <f t="shared" ca="1" si="3"/>
        <v>11</v>
      </c>
      <c r="E82">
        <f t="shared" ca="1" si="4"/>
        <v>0</v>
      </c>
      <c r="F82">
        <f t="shared" ca="1" si="5"/>
        <v>0</v>
      </c>
      <c r="G82">
        <f t="shared" ca="1" si="6"/>
        <v>0</v>
      </c>
      <c r="H82">
        <f ca="1">IF(OR($A82="S",$A82=0),0,MATCH(0,OFFSET($B82,1,$A82,ROW($A$275)-ROW($A82)),0))</f>
        <v>193</v>
      </c>
      <c r="I82">
        <f ca="1">IF(OR($A82="S",$A82=0),0,MATCH(OFFSET($B82,0,$A82)+1,OFFSET($B82,1,$A82,ROW($A$275)-ROW($A82)),0))</f>
        <v>4</v>
      </c>
      <c r="J82" s="101" t="s">
        <v>100</v>
      </c>
      <c r="K82" s="137" t="str">
        <f t="shared" ca="1" si="7"/>
        <v>1.11.</v>
      </c>
      <c r="L82" s="176"/>
      <c r="M82" s="176"/>
      <c r="N82" s="197" t="s">
        <v>390</v>
      </c>
      <c r="O82" s="196" t="str">
        <f ca="1">Referencia.Unidade</f>
        <v/>
      </c>
      <c r="P82" s="199"/>
      <c r="Q82" s="195"/>
      <c r="R82" s="198" t="s">
        <v>7</v>
      </c>
      <c r="S82" s="102">
        <f t="shared" si="8"/>
        <v>0</v>
      </c>
      <c r="T82" s="82">
        <f t="shared" ca="1" si="9"/>
        <v>10991.38</v>
      </c>
      <c r="U82" s="9" t="str">
        <f t="shared" ca="1" si="10"/>
        <v/>
      </c>
      <c r="V82" s="1">
        <f ca="1">IF(OR($A82=0,$A82="S",$A82&gt;CFF!$A$9),"",MAX(V$12:OFFSET(V82,-1,0))+1)</f>
        <v>12</v>
      </c>
      <c r="W82" s="4" t="b">
        <f t="shared" si="11"/>
        <v>0</v>
      </c>
      <c r="X82" s="1" t="str">
        <f t="shared" ca="1" si="12"/>
        <v>X</v>
      </c>
      <c r="Y82" s="102">
        <f t="shared" ca="1" si="13"/>
        <v>0</v>
      </c>
      <c r="Z82" s="112">
        <f ca="1">ROUND(IF(ISNUMBER(R82),R82,IF(LEFT(R82,3)="BDI",HLOOKUP(R82,DADOS!$T$37:$X$38,2,FALSE),0)),15-11*$X$5)</f>
        <v>0.26379999999999998</v>
      </c>
      <c r="AA82" s="1"/>
    </row>
    <row r="83" spans="1:27" ht="25.5" x14ac:dyDescent="0.2">
      <c r="A83" t="str">
        <f t="shared" si="0"/>
        <v>S</v>
      </c>
      <c r="B83">
        <f t="shared" si="1"/>
        <v>0</v>
      </c>
      <c r="C83">
        <f t="shared" ca="1" si="2"/>
        <v>1</v>
      </c>
      <c r="D83">
        <f t="shared" ca="1" si="3"/>
        <v>11</v>
      </c>
      <c r="E83">
        <f t="shared" ca="1" si="4"/>
        <v>0</v>
      </c>
      <c r="F83">
        <f t="shared" ca="1" si="5"/>
        <v>0</v>
      </c>
      <c r="G83">
        <f t="shared" ca="1" si="6"/>
        <v>1</v>
      </c>
      <c r="H83">
        <f ca="1">IF(OR($A83="S",$A83=0),0,MATCH(0,OFFSET($B83,1,$A83,ROW($A$275)-ROW($A83)),0))</f>
        <v>0</v>
      </c>
      <c r="I83">
        <f ca="1">IF(OR($A83="S",$A83=0),0,MATCH(OFFSET($B83,0,$A83)+1,OFFSET($B83,1,$A83,ROW($A$275)-ROW($A83)),0))</f>
        <v>0</v>
      </c>
      <c r="J83" s="101" t="s">
        <v>103</v>
      </c>
      <c r="K83" s="137" t="str">
        <f t="shared" ca="1" si="7"/>
        <v>1.11.1.</v>
      </c>
      <c r="L83" s="176" t="s">
        <v>237</v>
      </c>
      <c r="M83" s="176" t="s">
        <v>397</v>
      </c>
      <c r="N83" s="197" t="str">
        <f ca="1">IF($A83="S",Referencia.Descricao,"(digite a descrição aqui)")</f>
        <v>IMPERMEABILIZAÇÃO DE SUPERFÍCIE COM MANTA ASFÁLTICA, UMA CAMADA, INCLUSIVE APLICAÇÃO DE PRIMER ASFÁLTICO, E=4MM. AF_09/2023</v>
      </c>
      <c r="O83" s="196" t="str">
        <f ca="1">Referencia.Unidade</f>
        <v>M2</v>
      </c>
      <c r="P83" s="199">
        <f>(9.1+6.2+0.6+3.35)*0.6</f>
        <v>11.549999999999999</v>
      </c>
      <c r="Q83" s="195">
        <f t="shared" ca="1" si="17"/>
        <v>135.41999999999999</v>
      </c>
      <c r="R83" s="198" t="s">
        <v>7</v>
      </c>
      <c r="S83" s="102">
        <f t="shared" ca="1" si="8"/>
        <v>171.14</v>
      </c>
      <c r="T83" s="82">
        <f t="shared" ca="1" si="9"/>
        <v>1976.67</v>
      </c>
      <c r="U83" s="9" t="str">
        <f t="shared" ca="1" si="10"/>
        <v/>
      </c>
      <c r="V83" s="1" t="str">
        <f ca="1">IF(OR($A83=0,$A83="S",$A83&gt;CFF!$A$9),"",MAX(V$12:OFFSET(V83,-1,0))+1)</f>
        <v/>
      </c>
      <c r="W83" s="4" t="str">
        <f t="shared" si="11"/>
        <v>SINAPI-98546</v>
      </c>
      <c r="X83" s="1">
        <f t="shared" ca="1" si="12"/>
        <v>2912</v>
      </c>
      <c r="Y83" s="102">
        <f t="shared" ca="1" si="13"/>
        <v>135.41999999999999</v>
      </c>
      <c r="Z83" s="112">
        <f ca="1">ROUND(IF(ISNUMBER(R83),R83,IF(LEFT(R83,3)="BDI",HLOOKUP(R83,DADOS!$T$37:$X$38,2,FALSE),0)),15-11*$X$5)</f>
        <v>0.26379999999999998</v>
      </c>
      <c r="AA83" s="1"/>
    </row>
    <row r="84" spans="1:27" ht="25.5" x14ac:dyDescent="0.2">
      <c r="A84" t="str">
        <f t="shared" si="0"/>
        <v>S</v>
      </c>
      <c r="B84">
        <f t="shared" si="1"/>
        <v>0</v>
      </c>
      <c r="C84">
        <f t="shared" ca="1" si="2"/>
        <v>1</v>
      </c>
      <c r="D84">
        <f t="shared" ca="1" si="3"/>
        <v>11</v>
      </c>
      <c r="E84">
        <f t="shared" ca="1" si="4"/>
        <v>0</v>
      </c>
      <c r="F84">
        <f t="shared" ca="1" si="5"/>
        <v>0</v>
      </c>
      <c r="G84">
        <f t="shared" ca="1" si="6"/>
        <v>2</v>
      </c>
      <c r="H84">
        <f ca="1">IF(OR($A84="S",$A84=0),0,MATCH(0,OFFSET($B84,1,$A84,ROW($A$275)-ROW($A84)),0))</f>
        <v>0</v>
      </c>
      <c r="I84">
        <f ca="1">IF(OR($A84="S",$A84=0),0,MATCH(OFFSET($B84,0,$A84)+1,OFFSET($B84,1,$A84,ROW($A$275)-ROW($A84)),0))</f>
        <v>0</v>
      </c>
      <c r="J84" s="101" t="s">
        <v>103</v>
      </c>
      <c r="K84" s="137" t="str">
        <f t="shared" ca="1" si="7"/>
        <v>1.11.2.</v>
      </c>
      <c r="L84" s="176" t="s">
        <v>237</v>
      </c>
      <c r="M84" s="176" t="s">
        <v>392</v>
      </c>
      <c r="N84" s="197" t="str">
        <f ca="1">IF($A84="S",Referencia.Descricao,"(digite a descrição aqui)")</f>
        <v>TRATAMENTO DE RALO OU PONTO EMERGENTE COM ARGAMASSA POLIMÉRICA / MEMBRANA ACRÍLICA REFORÇADO COM TELA DE POLIÉSTER (MAV). AF_09/2023</v>
      </c>
      <c r="O84" s="196" t="str">
        <f ca="1">Referencia.Unidade</f>
        <v>UN</v>
      </c>
      <c r="P84" s="199">
        <v>5</v>
      </c>
      <c r="Q84" s="195">
        <f t="shared" ca="1" si="17"/>
        <v>9.82</v>
      </c>
      <c r="R84" s="198" t="s">
        <v>7</v>
      </c>
      <c r="S84" s="102">
        <f t="shared" ca="1" si="8"/>
        <v>12.41</v>
      </c>
      <c r="T84" s="82">
        <f t="shared" ca="1" si="9"/>
        <v>62.05</v>
      </c>
      <c r="U84" s="9" t="str">
        <f t="shared" ca="1" si="10"/>
        <v/>
      </c>
      <c r="V84" s="1" t="str">
        <f ca="1">IF(OR($A84=0,$A84="S",$A84&gt;CFF!$A$9),"",MAX(V$12:OFFSET(V84,-1,0))+1)</f>
        <v/>
      </c>
      <c r="W84" s="4" t="str">
        <f t="shared" si="11"/>
        <v>SINAPI-98558</v>
      </c>
      <c r="X84" s="1">
        <f t="shared" ca="1" si="12"/>
        <v>2910</v>
      </c>
      <c r="Y84" s="102">
        <f t="shared" ca="1" si="13"/>
        <v>9.82</v>
      </c>
      <c r="Z84" s="112">
        <f ca="1">ROUND(IF(ISNUMBER(R84),R84,IF(LEFT(R84,3)="BDI",HLOOKUP(R84,DADOS!$T$37:$X$38,2,FALSE),0)),15-11*$X$5)</f>
        <v>0.26379999999999998</v>
      </c>
      <c r="AA84" s="1"/>
    </row>
    <row r="85" spans="1:27" ht="25.5" x14ac:dyDescent="0.2">
      <c r="A85" t="str">
        <f t="shared" si="0"/>
        <v>S</v>
      </c>
      <c r="B85">
        <f t="shared" si="1"/>
        <v>0</v>
      </c>
      <c r="C85">
        <f t="shared" ca="1" si="2"/>
        <v>1</v>
      </c>
      <c r="D85">
        <f t="shared" ca="1" si="3"/>
        <v>11</v>
      </c>
      <c r="E85">
        <f t="shared" ca="1" si="4"/>
        <v>0</v>
      </c>
      <c r="F85">
        <f t="shared" ca="1" si="5"/>
        <v>0</v>
      </c>
      <c r="G85">
        <f t="shared" ca="1" si="6"/>
        <v>3</v>
      </c>
      <c r="H85">
        <f ca="1">IF(OR($A85="S",$A85=0),0,MATCH(0,OFFSET($B85,1,$A85,ROW($A$275)-ROW($A85)),0))</f>
        <v>0</v>
      </c>
      <c r="I85">
        <f ca="1">IF(OR($A85="S",$A85=0),0,MATCH(OFFSET($B85,0,$A85)+1,OFFSET($B85,1,$A85,ROW($A$275)-ROW($A85)),0))</f>
        <v>0</v>
      </c>
      <c r="J85" s="101" t="s">
        <v>103</v>
      </c>
      <c r="K85" s="137" t="str">
        <f t="shared" ca="1" si="7"/>
        <v>1.11.3.</v>
      </c>
      <c r="L85" s="176" t="s">
        <v>237</v>
      </c>
      <c r="M85" s="176" t="s">
        <v>312</v>
      </c>
      <c r="N85" s="197" t="str">
        <f t="shared" ca="1" si="18"/>
        <v>IMPERMEABILIZAÇÃO DE SUPERFÍCIE COM ARGAMASSA DE CIMENTO E AREIA, COM ADITIVO IMPERMEABILIZANTE, E = 1,5CM. AF_09/2023</v>
      </c>
      <c r="O85" s="196" t="str">
        <f ca="1">Referencia.Unidade</f>
        <v>M2</v>
      </c>
      <c r="P85" s="199">
        <v>148.74</v>
      </c>
      <c r="Q85" s="195">
        <f ca="1">IF(Import.Desoneracao="sim",Referencia.Desonerado,Referencia.NaoDesonerado)</f>
        <v>47.63</v>
      </c>
      <c r="R85" s="198" t="s">
        <v>7</v>
      </c>
      <c r="S85" s="102">
        <f t="shared" ca="1" si="8"/>
        <v>60.19</v>
      </c>
      <c r="T85" s="82">
        <f t="shared" ca="1" si="9"/>
        <v>8952.66</v>
      </c>
      <c r="U85" s="9" t="str">
        <f t="shared" ca="1" si="10"/>
        <v/>
      </c>
      <c r="V85" s="1" t="str">
        <f ca="1">IF(OR($A85=0,$A85="S",$A85&gt;CFF!$A$9),"",MAX(V$12:OFFSET(V85,-1,0))+1)</f>
        <v/>
      </c>
      <c r="W85" s="4" t="str">
        <f t="shared" si="11"/>
        <v>SINAPI-98562</v>
      </c>
      <c r="X85" s="1">
        <f t="shared" ca="1" si="12"/>
        <v>2907</v>
      </c>
      <c r="Y85" s="102">
        <f t="shared" ca="1" si="13"/>
        <v>47.63</v>
      </c>
      <c r="Z85" s="112">
        <f ca="1">ROUND(IF(ISNUMBER(R85),R85,IF(LEFT(R85,3)="BDI",HLOOKUP(R85,DADOS!$T$37:$X$38,2,FALSE),0)),15-11*$X$5)</f>
        <v>0.26379999999999998</v>
      </c>
      <c r="AA85" s="1"/>
    </row>
    <row r="86" spans="1:27" x14ac:dyDescent="0.2">
      <c r="A86">
        <f t="shared" si="0"/>
        <v>2</v>
      </c>
      <c r="B86">
        <f t="shared" ca="1" si="1"/>
        <v>32</v>
      </c>
      <c r="C86">
        <f t="shared" ca="1" si="2"/>
        <v>1</v>
      </c>
      <c r="D86">
        <f t="shared" ca="1" si="3"/>
        <v>12</v>
      </c>
      <c r="E86">
        <f t="shared" ca="1" si="4"/>
        <v>0</v>
      </c>
      <c r="F86">
        <f t="shared" ca="1" si="5"/>
        <v>0</v>
      </c>
      <c r="G86">
        <f t="shared" ca="1" si="6"/>
        <v>0</v>
      </c>
      <c r="H86">
        <f ca="1">IF(OR($A86="S",$A86=0),0,MATCH(0,OFFSET($B86,1,$A86,ROW($A$275)-ROW($A86)),0))</f>
        <v>189</v>
      </c>
      <c r="I86">
        <f ca="1">IF(OR($A86="S",$A86=0),0,MATCH(OFFSET($B86,0,$A86)+1,OFFSET($B86,1,$A86,ROW($A$275)-ROW($A86)),0))</f>
        <v>32</v>
      </c>
      <c r="J86" s="101" t="s">
        <v>100</v>
      </c>
      <c r="K86" s="137" t="str">
        <f t="shared" ca="1" si="7"/>
        <v>1.12.</v>
      </c>
      <c r="L86" s="176"/>
      <c r="M86" s="176"/>
      <c r="N86" s="197" t="s">
        <v>270</v>
      </c>
      <c r="O86" s="196" t="str">
        <f ca="1">Referencia.Unidade</f>
        <v/>
      </c>
      <c r="P86" s="199"/>
      <c r="Q86" s="195"/>
      <c r="R86" s="198" t="s">
        <v>7</v>
      </c>
      <c r="S86" s="102">
        <f t="shared" si="8"/>
        <v>0</v>
      </c>
      <c r="T86" s="82">
        <f t="shared" ca="1" si="9"/>
        <v>157275.79</v>
      </c>
      <c r="U86" s="9" t="str">
        <f t="shared" ca="1" si="10"/>
        <v/>
      </c>
      <c r="V86" s="1">
        <f ca="1">IF(OR($A86=0,$A86="S",$A86&gt;CFF!$A$9),"",MAX(V$12:OFFSET(V86,-1,0))+1)</f>
        <v>13</v>
      </c>
      <c r="W86" s="4" t="b">
        <f t="shared" si="11"/>
        <v>0</v>
      </c>
      <c r="X86" s="1" t="str">
        <f t="shared" ca="1" si="12"/>
        <v>X</v>
      </c>
      <c r="Y86" s="102">
        <f t="shared" ca="1" si="13"/>
        <v>0</v>
      </c>
      <c r="Z86" s="112">
        <f ca="1">ROUND(IF(ISNUMBER(R86),R86,IF(LEFT(R86,3)="BDI",HLOOKUP(R86,DADOS!$T$37:$X$38,2,FALSE),0)),15-11*$X$5)</f>
        <v>0.26379999999999998</v>
      </c>
      <c r="AA86" s="1"/>
    </row>
    <row r="87" spans="1:27" ht="38.25" x14ac:dyDescent="0.2">
      <c r="A87" t="str">
        <f t="shared" si="0"/>
        <v>S</v>
      </c>
      <c r="B87">
        <f t="shared" si="1"/>
        <v>0</v>
      </c>
      <c r="C87">
        <f t="shared" ca="1" si="2"/>
        <v>1</v>
      </c>
      <c r="D87">
        <f t="shared" ca="1" si="3"/>
        <v>12</v>
      </c>
      <c r="E87">
        <f t="shared" ca="1" si="4"/>
        <v>0</v>
      </c>
      <c r="F87">
        <f t="shared" ca="1" si="5"/>
        <v>0</v>
      </c>
      <c r="G87">
        <f t="shared" ca="1" si="6"/>
        <v>1</v>
      </c>
      <c r="H87">
        <f ca="1">IF(OR($A87="S",$A87=0),0,MATCH(0,OFFSET($B87,1,$A87,ROW($A$275)-ROW($A87)),0))</f>
        <v>0</v>
      </c>
      <c r="I87">
        <f ca="1">IF(OR($A87="S",$A87=0),0,MATCH(OFFSET($B87,0,$A87)+1,OFFSET($B87,1,$A87,ROW($A$275)-ROW($A87)),0))</f>
        <v>0</v>
      </c>
      <c r="J87" s="101" t="s">
        <v>103</v>
      </c>
      <c r="K87" s="137" t="str">
        <f t="shared" ca="1" si="7"/>
        <v>1.12.1.</v>
      </c>
      <c r="L87" s="176" t="s">
        <v>238</v>
      </c>
      <c r="M87" s="176" t="s">
        <v>364</v>
      </c>
      <c r="N87" s="197" t="str">
        <f ca="1">IF($A87="S",Referencia.Descricao,"(digite a descrição aqui)")</f>
        <v>PADRÃO DE ENTRADA TRIFÁSICO COMPLETO, ENTRADA AÉREA, SAÍDA SUBTERRÂNEA - INCLUSIVE POSTE, ATERRAMENTO E CAIXA INSPEÇÃO/PASSSAGEM ATERRAMENTO - FORNECIMENTO E INSTALAÇÃO</v>
      </c>
      <c r="O87" s="196" t="str">
        <f ca="1">Referencia.Unidade</f>
        <v>UN</v>
      </c>
      <c r="P87" s="199">
        <v>1</v>
      </c>
      <c r="Q87" s="195">
        <f t="shared" ref="Q87:Q117" ca="1" si="19">IF(Import.Desoneracao="sim",Referencia.Desonerado,Referencia.NaoDesonerado)</f>
        <v>4203.8799999999992</v>
      </c>
      <c r="R87" s="198" t="s">
        <v>7</v>
      </c>
      <c r="S87" s="102">
        <f t="shared" ca="1" si="8"/>
        <v>5312.86</v>
      </c>
      <c r="T87" s="82">
        <f t="shared" ca="1" si="9"/>
        <v>5312.86</v>
      </c>
      <c r="U87" s="9" t="str">
        <f t="shared" ca="1" si="10"/>
        <v/>
      </c>
      <c r="V87" s="1" t="str">
        <f ca="1">IF(OR($A87=0,$A87="S",$A87&gt;CFF!$A$9),"",MAX(V$12:OFFSET(V87,-1,0))+1)</f>
        <v/>
      </c>
      <c r="W87" s="4" t="str">
        <f t="shared" si="11"/>
        <v>COMPOSIÇÃO-COMP1</v>
      </c>
      <c r="X87" s="1">
        <f t="shared" ca="1" si="12"/>
        <v>7</v>
      </c>
      <c r="Y87" s="102">
        <f t="shared" ca="1" si="13"/>
        <v>4203.8799999999992</v>
      </c>
      <c r="Z87" s="112">
        <f ca="1">ROUND(IF(ISNUMBER(R87),R87,IF(LEFT(R87,3)="BDI",HLOOKUP(R87,DADOS!$T$37:$X$38,2,FALSE),0)),15-11*$X$5)</f>
        <v>0.26379999999999998</v>
      </c>
      <c r="AA87" s="1"/>
    </row>
    <row r="88" spans="1:27" ht="25.5" x14ac:dyDescent="0.2">
      <c r="A88" t="str">
        <f t="shared" si="0"/>
        <v>S</v>
      </c>
      <c r="B88">
        <f t="shared" si="1"/>
        <v>0</v>
      </c>
      <c r="C88">
        <f t="shared" ca="1" si="2"/>
        <v>1</v>
      </c>
      <c r="D88">
        <f t="shared" ca="1" si="3"/>
        <v>12</v>
      </c>
      <c r="E88">
        <f t="shared" ca="1" si="4"/>
        <v>0</v>
      </c>
      <c r="F88">
        <f t="shared" ca="1" si="5"/>
        <v>0</v>
      </c>
      <c r="G88">
        <f t="shared" ca="1" si="6"/>
        <v>2</v>
      </c>
      <c r="H88">
        <f ca="1">IF(OR($A88="S",$A88=0),0,MATCH(0,OFFSET($B88,1,$A88,ROW($A$275)-ROW($A88)),0))</f>
        <v>0</v>
      </c>
      <c r="I88">
        <f ca="1">IF(OR($A88="S",$A88=0),0,MATCH(OFFSET($B88,0,$A88)+1,OFFSET($B88,1,$A88,ROW($A$275)-ROW($A88)),0))</f>
        <v>0</v>
      </c>
      <c r="J88" s="101" t="s">
        <v>103</v>
      </c>
      <c r="K88" s="137" t="str">
        <f t="shared" ca="1" si="7"/>
        <v>1.12.2.</v>
      </c>
      <c r="L88" s="176" t="s">
        <v>237</v>
      </c>
      <c r="M88" s="176" t="s">
        <v>299</v>
      </c>
      <c r="N88" s="197" t="str">
        <f ca="1">IF($A88="S",Referencia.Descricao,"(digite a descrição aqui)")</f>
        <v>CABO DE COBRE FLEXÍVEL ISOLADO, 6 MM², ANTI-CHAMA 0,6/1,0 KV, PARA CIRCUITOS TERMINAIS - FORNECIMENTO E INSTALAÇÃO. AF_03/2023</v>
      </c>
      <c r="O88" s="196" t="str">
        <f ca="1">Referencia.Unidade</f>
        <v>M</v>
      </c>
      <c r="P88" s="199">
        <v>150</v>
      </c>
      <c r="Q88" s="195">
        <f t="shared" ca="1" si="19"/>
        <v>9.5500000000000007</v>
      </c>
      <c r="R88" s="198" t="s">
        <v>7</v>
      </c>
      <c r="S88" s="102">
        <f t="shared" ca="1" si="8"/>
        <v>12.07</v>
      </c>
      <c r="T88" s="82">
        <f t="shared" ca="1" si="9"/>
        <v>1810.5</v>
      </c>
      <c r="U88" s="9" t="str">
        <f t="shared" ca="1" si="10"/>
        <v/>
      </c>
      <c r="V88" s="1" t="str">
        <f ca="1">IF(OR($A88=0,$A88="S",$A88&gt;CFF!$A$9),"",MAX(V$12:OFFSET(V88,-1,0))+1)</f>
        <v/>
      </c>
      <c r="W88" s="4" t="str">
        <f t="shared" si="11"/>
        <v>SINAPI-91931</v>
      </c>
      <c r="X88" s="1">
        <f t="shared" ca="1" si="12"/>
        <v>3033</v>
      </c>
      <c r="Y88" s="102">
        <f t="shared" ca="1" si="13"/>
        <v>9.5500000000000007</v>
      </c>
      <c r="Z88" s="112">
        <f ca="1">ROUND(IF(ISNUMBER(R88),R88,IF(LEFT(R88,3)="BDI",HLOOKUP(R88,DADOS!$T$37:$X$38,2,FALSE),0)),15-11*$X$5)</f>
        <v>0.26379999999999998</v>
      </c>
      <c r="AA88" s="1"/>
    </row>
    <row r="89" spans="1:27" ht="25.5" x14ac:dyDescent="0.2">
      <c r="A89" t="str">
        <f t="shared" si="0"/>
        <v>S</v>
      </c>
      <c r="B89">
        <f t="shared" si="1"/>
        <v>0</v>
      </c>
      <c r="C89">
        <f t="shared" ca="1" si="2"/>
        <v>1</v>
      </c>
      <c r="D89">
        <f t="shared" ca="1" si="3"/>
        <v>12</v>
      </c>
      <c r="E89">
        <f t="shared" ca="1" si="4"/>
        <v>0</v>
      </c>
      <c r="F89">
        <f t="shared" ca="1" si="5"/>
        <v>0</v>
      </c>
      <c r="G89">
        <f t="shared" ca="1" si="6"/>
        <v>3</v>
      </c>
      <c r="H89">
        <f ca="1">IF(OR($A89="S",$A89=0),0,MATCH(0,OFFSET($B89,1,$A89,ROW($A$275)-ROW($A89)),0))</f>
        <v>0</v>
      </c>
      <c r="I89">
        <f ca="1">IF(OR($A89="S",$A89=0),0,MATCH(OFFSET($B89,0,$A89)+1,OFFSET($B89,1,$A89,ROW($A$275)-ROW($A89)),0))</f>
        <v>0</v>
      </c>
      <c r="J89" s="101" t="s">
        <v>103</v>
      </c>
      <c r="K89" s="137" t="str">
        <f t="shared" ca="1" si="7"/>
        <v>1.12.3.</v>
      </c>
      <c r="L89" s="176" t="s">
        <v>237</v>
      </c>
      <c r="M89" s="176" t="s">
        <v>273</v>
      </c>
      <c r="N89" s="197" t="str">
        <f ca="1">IF($A89="S",Referencia.Descricao,"(digite a descrição aqui)")</f>
        <v>CABO DE COBRE FLEXÍVEL ISOLADO, 4 MM², ANTI-CHAMA 450/750 V, PARA CIRCUITOS TERMINAIS - FORNECIMENTO E INSTALAÇÃO. AF_03/2023</v>
      </c>
      <c r="O89" s="196" t="str">
        <f ca="1">Referencia.Unidade</f>
        <v>M</v>
      </c>
      <c r="P89" s="199">
        <v>450</v>
      </c>
      <c r="Q89" s="195">
        <f t="shared" ca="1" si="19"/>
        <v>6.32</v>
      </c>
      <c r="R89" s="198" t="s">
        <v>7</v>
      </c>
      <c r="S89" s="102">
        <f t="shared" ca="1" si="8"/>
        <v>7.99</v>
      </c>
      <c r="T89" s="82">
        <f t="shared" ca="1" si="9"/>
        <v>3595.5</v>
      </c>
      <c r="U89" s="9" t="str">
        <f t="shared" ca="1" si="10"/>
        <v/>
      </c>
      <c r="V89" s="1" t="str">
        <f ca="1">IF(OR($A89=0,$A89="S",$A89&gt;CFF!$A$9),"",MAX(V$12:OFFSET(V89,-1,0))+1)</f>
        <v/>
      </c>
      <c r="W89" s="4" t="str">
        <f t="shared" si="11"/>
        <v>SINAPI-91928</v>
      </c>
      <c r="X89" s="1">
        <f t="shared" ca="1" si="12"/>
        <v>3030</v>
      </c>
      <c r="Y89" s="102">
        <f t="shared" ca="1" si="13"/>
        <v>6.32</v>
      </c>
      <c r="Z89" s="112">
        <f ca="1">ROUND(IF(ISNUMBER(R89),R89,IF(LEFT(R89,3)="BDI",HLOOKUP(R89,DADOS!$T$37:$X$38,2,FALSE),0)),15-11*$X$5)</f>
        <v>0.26379999999999998</v>
      </c>
      <c r="AA89" s="1"/>
    </row>
    <row r="90" spans="1:27" ht="25.5" x14ac:dyDescent="0.2">
      <c r="A90" t="str">
        <f t="shared" si="0"/>
        <v>S</v>
      </c>
      <c r="B90">
        <f t="shared" si="1"/>
        <v>0</v>
      </c>
      <c r="C90">
        <f t="shared" ca="1" si="2"/>
        <v>1</v>
      </c>
      <c r="D90">
        <f t="shared" ca="1" si="3"/>
        <v>12</v>
      </c>
      <c r="E90">
        <f t="shared" ca="1" si="4"/>
        <v>0</v>
      </c>
      <c r="F90">
        <f t="shared" ca="1" si="5"/>
        <v>0</v>
      </c>
      <c r="G90">
        <f t="shared" ca="1" si="6"/>
        <v>4</v>
      </c>
      <c r="H90">
        <f ca="1">IF(OR($A90="S",$A90=0),0,MATCH(0,OFFSET($B90,1,$A90,ROW($A$275)-ROW($A90)),0))</f>
        <v>0</v>
      </c>
      <c r="I90">
        <f ca="1">IF(OR($A90="S",$A90=0),0,MATCH(OFFSET($B90,0,$A90)+1,OFFSET($B90,1,$A90,ROW($A$275)-ROW($A90)),0))</f>
        <v>0</v>
      </c>
      <c r="J90" s="101" t="s">
        <v>103</v>
      </c>
      <c r="K90" s="137" t="str">
        <f t="shared" ca="1" si="7"/>
        <v>1.12.4.</v>
      </c>
      <c r="L90" s="176" t="s">
        <v>237</v>
      </c>
      <c r="M90" s="176" t="s">
        <v>272</v>
      </c>
      <c r="N90" s="197" t="str">
        <f ca="1">IF($A90="S",Referencia.Descricao,"(digite a descrição aqui)")</f>
        <v>CABO DE COBRE FLEXÍVEL ISOLADO, 2,5 MM², ANTI-CHAMA 0,6/1,0 KV, PARA CIRCUITOS TERMINAIS - FORNECIMENTO E INSTALAÇÃO. AF_03/2023</v>
      </c>
      <c r="O90" s="196" t="str">
        <f ca="1">Referencia.Unidade</f>
        <v>M</v>
      </c>
      <c r="P90" s="199">
        <v>600</v>
      </c>
      <c r="Q90" s="195">
        <f t="shared" ca="1" si="19"/>
        <v>4.57</v>
      </c>
      <c r="R90" s="198" t="s">
        <v>7</v>
      </c>
      <c r="S90" s="102">
        <f t="shared" ca="1" si="8"/>
        <v>5.78</v>
      </c>
      <c r="T90" s="82">
        <f t="shared" ca="1" si="9"/>
        <v>3468</v>
      </c>
      <c r="U90" s="9" t="str">
        <f t="shared" ca="1" si="10"/>
        <v/>
      </c>
      <c r="V90" s="1" t="str">
        <f ca="1">IF(OR($A90=0,$A90="S",$A90&gt;CFF!$A$9),"",MAX(V$12:OFFSET(V90,-1,0))+1)</f>
        <v/>
      </c>
      <c r="W90" s="4" t="str">
        <f t="shared" si="11"/>
        <v>SINAPI-91927</v>
      </c>
      <c r="X90" s="1">
        <f t="shared" ca="1" si="12"/>
        <v>3029</v>
      </c>
      <c r="Y90" s="102">
        <f t="shared" ca="1" si="13"/>
        <v>4.57</v>
      </c>
      <c r="Z90" s="112">
        <f ca="1">ROUND(IF(ISNUMBER(R90),R90,IF(LEFT(R90,3)="BDI",HLOOKUP(R90,DADOS!$T$37:$X$38,2,FALSE),0)),15-11*$X$5)</f>
        <v>0.26379999999999998</v>
      </c>
      <c r="AA90" s="1"/>
    </row>
    <row r="91" spans="1:27" ht="25.5" x14ac:dyDescent="0.2">
      <c r="A91" t="str">
        <f t="shared" si="0"/>
        <v>S</v>
      </c>
      <c r="B91">
        <f t="shared" si="1"/>
        <v>0</v>
      </c>
      <c r="C91">
        <f t="shared" ca="1" si="2"/>
        <v>1</v>
      </c>
      <c r="D91">
        <f t="shared" ca="1" si="3"/>
        <v>12</v>
      </c>
      <c r="E91">
        <f t="shared" ca="1" si="4"/>
        <v>0</v>
      </c>
      <c r="F91">
        <f t="shared" ca="1" si="5"/>
        <v>0</v>
      </c>
      <c r="G91">
        <f t="shared" ca="1" si="6"/>
        <v>5</v>
      </c>
      <c r="H91">
        <f ca="1">IF(OR($A91="S",$A91=0),0,MATCH(0,OFFSET($B91,1,$A91,ROW($A$275)-ROW($A91)),0))</f>
        <v>0</v>
      </c>
      <c r="I91">
        <f ca="1">IF(OR($A91="S",$A91=0),0,MATCH(OFFSET($B91,0,$A91)+1,OFFSET($B91,1,$A91,ROW($A$275)-ROW($A91)),0))</f>
        <v>0</v>
      </c>
      <c r="J91" s="101" t="s">
        <v>103</v>
      </c>
      <c r="K91" s="137" t="str">
        <f t="shared" ca="1" si="7"/>
        <v>1.12.5.</v>
      </c>
      <c r="L91" s="176" t="s">
        <v>237</v>
      </c>
      <c r="M91" s="176" t="s">
        <v>274</v>
      </c>
      <c r="N91" s="197" t="str">
        <f ca="1">IF($A91="S",Referencia.Descricao,"(digite a descrição aqui)")</f>
        <v>HASTE DE ATERRAMENTO, DIÂMETRO 3/4", COM 3 METROS - FORNECIMENTO E INSTALAÇÃO. AF_08/2023</v>
      </c>
      <c r="O91" s="196" t="str">
        <f ca="1">Referencia.Unidade</f>
        <v>UN</v>
      </c>
      <c r="P91" s="199">
        <v>3</v>
      </c>
      <c r="Q91" s="195">
        <f t="shared" ca="1" si="19"/>
        <v>159.88999999999999</v>
      </c>
      <c r="R91" s="198" t="s">
        <v>7</v>
      </c>
      <c r="S91" s="102">
        <f t="shared" ca="1" si="8"/>
        <v>202.07</v>
      </c>
      <c r="T91" s="82">
        <f t="shared" ca="1" si="9"/>
        <v>606.21</v>
      </c>
      <c r="U91" s="9" t="str">
        <f t="shared" ca="1" si="10"/>
        <v/>
      </c>
      <c r="V91" s="1" t="str">
        <f ca="1">IF(OR($A91=0,$A91="S",$A91&gt;CFF!$A$9),"",MAX(V$12:OFFSET(V91,-1,0))+1)</f>
        <v/>
      </c>
      <c r="W91" s="4" t="str">
        <f t="shared" si="11"/>
        <v>SINAPI-96986</v>
      </c>
      <c r="X91" s="1">
        <f t="shared" ca="1" si="12"/>
        <v>3441</v>
      </c>
      <c r="Y91" s="102">
        <f t="shared" ca="1" si="13"/>
        <v>159.88999999999999</v>
      </c>
      <c r="Z91" s="112">
        <f ca="1">ROUND(IF(ISNUMBER(R91),R91,IF(LEFT(R91,3)="BDI",HLOOKUP(R91,DADOS!$T$37:$X$38,2,FALSE),0)),15-11*$X$5)</f>
        <v>0.26379999999999998</v>
      </c>
      <c r="AA91" s="1"/>
    </row>
    <row r="92" spans="1:27" ht="25.5" x14ac:dyDescent="0.2">
      <c r="A92" t="str">
        <f t="shared" si="0"/>
        <v>S</v>
      </c>
      <c r="B92">
        <f t="shared" si="1"/>
        <v>0</v>
      </c>
      <c r="C92">
        <f t="shared" ca="1" si="2"/>
        <v>1</v>
      </c>
      <c r="D92">
        <f t="shared" ca="1" si="3"/>
        <v>12</v>
      </c>
      <c r="E92">
        <f t="shared" ca="1" si="4"/>
        <v>0</v>
      </c>
      <c r="F92">
        <f t="shared" ca="1" si="5"/>
        <v>0</v>
      </c>
      <c r="G92">
        <f t="shared" ca="1" si="6"/>
        <v>6</v>
      </c>
      <c r="H92">
        <f ca="1">IF(OR($A92="S",$A92=0),0,MATCH(0,OFFSET($B92,1,$A92,ROW($A$275)-ROW($A92)),0))</f>
        <v>0</v>
      </c>
      <c r="I92">
        <f ca="1">IF(OR($A92="S",$A92=0),0,MATCH(OFFSET($B92,0,$A92)+1,OFFSET($B92,1,$A92,ROW($A$275)-ROW($A92)),0))</f>
        <v>0</v>
      </c>
      <c r="J92" s="101" t="s">
        <v>103</v>
      </c>
      <c r="K92" s="137" t="str">
        <f t="shared" ca="1" si="7"/>
        <v>1.12.6.</v>
      </c>
      <c r="L92" s="176" t="s">
        <v>237</v>
      </c>
      <c r="M92" s="176" t="s">
        <v>407</v>
      </c>
      <c r="N92" s="197" t="str">
        <f ca="1">IF($A92="S",Referencia.Descricao,"(digite a descrição aqui)")</f>
        <v>CAIXA DE INSPEÇÃO PARA ATERRAMENTO, CIRCULAR, EM POLIETILENO, DIÂMETRO INTERNO = 0,3 M. AF_12/2020</v>
      </c>
      <c r="O92" s="196" t="str">
        <f ca="1">Referencia.Unidade</f>
        <v>UN</v>
      </c>
      <c r="P92" s="199">
        <v>3</v>
      </c>
      <c r="Q92" s="195">
        <f t="shared" ca="1" si="19"/>
        <v>50.49</v>
      </c>
      <c r="R92" s="198" t="s">
        <v>7</v>
      </c>
      <c r="S92" s="102">
        <f t="shared" ca="1" si="8"/>
        <v>63.81</v>
      </c>
      <c r="T92" s="82">
        <f t="shared" ca="1" si="9"/>
        <v>191.43</v>
      </c>
      <c r="U92" s="9" t="str">
        <f t="shared" ca="1" si="10"/>
        <v/>
      </c>
      <c r="V92" s="1" t="str">
        <f ca="1">IF(OR($A92=0,$A92="S",$A92&gt;CFF!$A$9),"",MAX(V$12:OFFSET(V92,-1,0))+1)</f>
        <v/>
      </c>
      <c r="W92" s="4" t="str">
        <f t="shared" si="11"/>
        <v>SINAPI-98111</v>
      </c>
      <c r="X92" s="1">
        <f t="shared" ca="1" si="12"/>
        <v>5408</v>
      </c>
      <c r="Y92" s="102">
        <f t="shared" ca="1" si="13"/>
        <v>50.49</v>
      </c>
      <c r="Z92" s="112">
        <f ca="1">ROUND(IF(ISNUMBER(R92),R92,IF(LEFT(R92,3)="BDI",HLOOKUP(R92,DADOS!$T$37:$X$38,2,FALSE),0)),15-11*$X$5)</f>
        <v>0.26379999999999998</v>
      </c>
      <c r="AA92" s="1"/>
    </row>
    <row r="93" spans="1:27" ht="38.25" x14ac:dyDescent="0.2">
      <c r="A93" t="str">
        <f t="shared" si="0"/>
        <v>S</v>
      </c>
      <c r="B93">
        <f t="shared" si="1"/>
        <v>0</v>
      </c>
      <c r="C93">
        <f t="shared" ca="1" si="2"/>
        <v>1</v>
      </c>
      <c r="D93">
        <f t="shared" ca="1" si="3"/>
        <v>12</v>
      </c>
      <c r="E93">
        <f t="shared" ca="1" si="4"/>
        <v>0</v>
      </c>
      <c r="F93">
        <f t="shared" ca="1" si="5"/>
        <v>0</v>
      </c>
      <c r="G93">
        <f t="shared" ca="1" si="6"/>
        <v>7</v>
      </c>
      <c r="H93">
        <f ca="1">IF(OR($A93="S",$A93=0),0,MATCH(0,OFFSET($B93,1,$A93,ROW($A$275)-ROW($A93)),0))</f>
        <v>0</v>
      </c>
      <c r="I93">
        <f ca="1">IF(OR($A93="S",$A93=0),0,MATCH(OFFSET($B93,0,$A93)+1,OFFSET($B93,1,$A93,ROW($A$275)-ROW($A93)),0))</f>
        <v>0</v>
      </c>
      <c r="J93" s="101" t="s">
        <v>103</v>
      </c>
      <c r="K93" s="137" t="str">
        <f t="shared" ca="1" si="7"/>
        <v>1.12.7.</v>
      </c>
      <c r="L93" s="176" t="s">
        <v>237</v>
      </c>
      <c r="M93" s="176" t="s">
        <v>275</v>
      </c>
      <c r="N93" s="197" t="str">
        <f ca="1">IF($A93="S",Referencia.Descricao,"(digite a descrição aqui)")</f>
        <v>ELETRODUTO FLEXÍVEL CORRUGADO, PVC, DN 25 MM (3/4"), PARA CIRCUITOS TERMINAIS, INSTALADO EM FORRO - FORNECIMENTO E INSTALAÇÃO. AF_03/2023_PA</v>
      </c>
      <c r="O93" s="196" t="str">
        <f ca="1">Referencia.Unidade</f>
        <v>M</v>
      </c>
      <c r="P93" s="199">
        <v>200</v>
      </c>
      <c r="Q93" s="195">
        <f t="shared" ca="1" si="19"/>
        <v>18.96</v>
      </c>
      <c r="R93" s="198" t="s">
        <v>7</v>
      </c>
      <c r="S93" s="102">
        <f t="shared" ca="1" si="8"/>
        <v>23.96</v>
      </c>
      <c r="T93" s="82">
        <f t="shared" ca="1" si="9"/>
        <v>4792</v>
      </c>
      <c r="U93" s="9" t="str">
        <f t="shared" ca="1" si="10"/>
        <v/>
      </c>
      <c r="V93" s="1" t="str">
        <f ca="1">IF(OR($A93=0,$A93="S",$A93&gt;CFF!$A$9),"",MAX(V$12:OFFSET(V93,-1,0))+1)</f>
        <v/>
      </c>
      <c r="W93" s="4" t="str">
        <f t="shared" si="11"/>
        <v>SINAPI-91834</v>
      </c>
      <c r="X93" s="1">
        <f t="shared" ca="1" si="12"/>
        <v>2930</v>
      </c>
      <c r="Y93" s="102">
        <f t="shared" ca="1" si="13"/>
        <v>18.96</v>
      </c>
      <c r="Z93" s="112">
        <f ca="1">ROUND(IF(ISNUMBER(R93),R93,IF(LEFT(R93,3)="BDI",HLOOKUP(R93,DADOS!$T$37:$X$38,2,FALSE),0)),15-11*$X$5)</f>
        <v>0.26379999999999998</v>
      </c>
      <c r="AA93" s="1"/>
    </row>
    <row r="94" spans="1:27" ht="38.25" x14ac:dyDescent="0.2">
      <c r="A94" t="str">
        <f t="shared" si="0"/>
        <v>S</v>
      </c>
      <c r="B94">
        <f t="shared" si="1"/>
        <v>0</v>
      </c>
      <c r="C94">
        <f t="shared" ca="1" si="2"/>
        <v>1</v>
      </c>
      <c r="D94">
        <f t="shared" ca="1" si="3"/>
        <v>12</v>
      </c>
      <c r="E94">
        <f t="shared" ca="1" si="4"/>
        <v>0</v>
      </c>
      <c r="F94">
        <f t="shared" ca="1" si="5"/>
        <v>0</v>
      </c>
      <c r="G94">
        <f t="shared" ca="1" si="6"/>
        <v>8</v>
      </c>
      <c r="H94">
        <f ca="1">IF(OR($A94="S",$A94=0),0,MATCH(0,OFFSET($B94,1,$A94,ROW($A$275)-ROW($A94)),0))</f>
        <v>0</v>
      </c>
      <c r="I94">
        <f ca="1">IF(OR($A94="S",$A94=0),0,MATCH(OFFSET($B94,0,$A94)+1,OFFSET($B94,1,$A94,ROW($A$275)-ROW($A94)),0))</f>
        <v>0</v>
      </c>
      <c r="J94" s="101" t="s">
        <v>103</v>
      </c>
      <c r="K94" s="137" t="str">
        <f t="shared" ca="1" si="7"/>
        <v>1.12.8.</v>
      </c>
      <c r="L94" s="176" t="s">
        <v>237</v>
      </c>
      <c r="M94" s="176" t="s">
        <v>425</v>
      </c>
      <c r="N94" s="197" t="str">
        <f ca="1">IF($A94="S",Referencia.Descricao,"(digite a descrição aqui)")</f>
        <v>ELETRODUTO FLEXÍVEL CORRUGADO REFORÇADO, PVC, DN 32 MM (1"), PARA CIRCUITOS TERMINAIS, INSTALADO EM FORRO - FORNECIMENTO E INSTALAÇÃO. AF_03/2023_PA</v>
      </c>
      <c r="O94" s="196" t="str">
        <f ca="1">Referencia.Unidade</f>
        <v>M</v>
      </c>
      <c r="P94" s="199">
        <v>100</v>
      </c>
      <c r="Q94" s="195">
        <f t="shared" ca="1" si="19"/>
        <v>26.61</v>
      </c>
      <c r="R94" s="198" t="s">
        <v>7</v>
      </c>
      <c r="S94" s="102">
        <f t="shared" ca="1" si="8"/>
        <v>33.630000000000003</v>
      </c>
      <c r="T94" s="82">
        <f t="shared" ca="1" si="9"/>
        <v>3363</v>
      </c>
      <c r="U94" s="9" t="str">
        <f t="shared" ca="1" si="10"/>
        <v/>
      </c>
      <c r="V94" s="1" t="str">
        <f ca="1">IF(OR($A94=0,$A94="S",$A94&gt;CFF!$A$9),"",MAX(V$12:OFFSET(V94,-1,0))+1)</f>
        <v/>
      </c>
      <c r="W94" s="4" t="str">
        <f t="shared" si="11"/>
        <v>SINAPI-91837</v>
      </c>
      <c r="X94" s="1">
        <f t="shared" ca="1" si="12"/>
        <v>2933</v>
      </c>
      <c r="Y94" s="102">
        <f t="shared" ca="1" si="13"/>
        <v>26.61</v>
      </c>
      <c r="Z94" s="112">
        <f ca="1">ROUND(IF(ISNUMBER(R94),R94,IF(LEFT(R94,3)="BDI",HLOOKUP(R94,DADOS!$T$37:$X$38,2,FALSE),0)),15-11*$X$5)</f>
        <v>0.26379999999999998</v>
      </c>
      <c r="AA94" s="1"/>
    </row>
    <row r="95" spans="1:27" ht="25.5" x14ac:dyDescent="0.2">
      <c r="A95" t="str">
        <f t="shared" si="0"/>
        <v>S</v>
      </c>
      <c r="B95">
        <f t="shared" si="1"/>
        <v>0</v>
      </c>
      <c r="C95">
        <f t="shared" ca="1" si="2"/>
        <v>1</v>
      </c>
      <c r="D95">
        <f t="shared" ca="1" si="3"/>
        <v>12</v>
      </c>
      <c r="E95">
        <f t="shared" ca="1" si="4"/>
        <v>0</v>
      </c>
      <c r="F95">
        <f t="shared" ca="1" si="5"/>
        <v>0</v>
      </c>
      <c r="G95">
        <f t="shared" ca="1" si="6"/>
        <v>9</v>
      </c>
      <c r="H95">
        <f ca="1">IF(OR($A95="S",$A95=0),0,MATCH(0,OFFSET($B95,1,$A95,ROW($A$275)-ROW($A95)),0))</f>
        <v>0</v>
      </c>
      <c r="I95">
        <f ca="1">IF(OR($A95="S",$A95=0),0,MATCH(OFFSET($B95,0,$A95)+1,OFFSET($B95,1,$A95,ROW($A$275)-ROW($A95)),0))</f>
        <v>0</v>
      </c>
      <c r="J95" s="101" t="s">
        <v>103</v>
      </c>
      <c r="K95" s="137" t="str">
        <f t="shared" ca="1" si="7"/>
        <v>1.12.9.</v>
      </c>
      <c r="L95" s="176" t="s">
        <v>237</v>
      </c>
      <c r="M95" s="176" t="s">
        <v>276</v>
      </c>
      <c r="N95" s="197" t="str">
        <f ca="1">IF($A95="S",Referencia.Descricao,"(digite a descrição aqui)")</f>
        <v>TOMADA ALTA DE EMBUTIR (1 MÓDULO), 2P+T 20 A, INCLUINDO SUPORTE E PLACA - FORNECIMENTO E INSTALAÇÃO. AF_03/2023</v>
      </c>
      <c r="O95" s="196" t="str">
        <f ca="1">Referencia.Unidade</f>
        <v>UN</v>
      </c>
      <c r="P95" s="199">
        <v>10</v>
      </c>
      <c r="Q95" s="195">
        <f t="shared" ca="1" si="19"/>
        <v>48.41</v>
      </c>
      <c r="R95" s="198" t="s">
        <v>7</v>
      </c>
      <c r="S95" s="102">
        <f t="shared" ca="1" si="8"/>
        <v>61.18</v>
      </c>
      <c r="T95" s="82">
        <f t="shared" ca="1" si="9"/>
        <v>611.79999999999995</v>
      </c>
      <c r="U95" s="9" t="str">
        <f t="shared" ca="1" si="10"/>
        <v/>
      </c>
      <c r="V95" s="1" t="str">
        <f ca="1">IF(OR($A95=0,$A95="S",$A95&gt;CFF!$A$9),"",MAX(V$12:OFFSET(V95,-1,0))+1)</f>
        <v/>
      </c>
      <c r="W95" s="4" t="str">
        <f t="shared" si="11"/>
        <v>SINAPI-91993</v>
      </c>
      <c r="X95" s="1">
        <f t="shared" ca="1" si="12"/>
        <v>3227</v>
      </c>
      <c r="Y95" s="102">
        <f t="shared" ca="1" si="13"/>
        <v>48.41</v>
      </c>
      <c r="Z95" s="112">
        <f ca="1">ROUND(IF(ISNUMBER(R95),R95,IF(LEFT(R95,3)="BDI",HLOOKUP(R95,DADOS!$T$37:$X$38,2,FALSE),0)),15-11*$X$5)</f>
        <v>0.26379999999999998</v>
      </c>
      <c r="AA95" s="1"/>
    </row>
    <row r="96" spans="1:27" ht="25.5" x14ac:dyDescent="0.2">
      <c r="A96" t="str">
        <f t="shared" si="0"/>
        <v>S</v>
      </c>
      <c r="B96">
        <f t="shared" si="1"/>
        <v>0</v>
      </c>
      <c r="C96">
        <f t="shared" ca="1" si="2"/>
        <v>1</v>
      </c>
      <c r="D96">
        <f t="shared" ca="1" si="3"/>
        <v>12</v>
      </c>
      <c r="E96">
        <f t="shared" ca="1" si="4"/>
        <v>0</v>
      </c>
      <c r="F96">
        <f t="shared" ca="1" si="5"/>
        <v>0</v>
      </c>
      <c r="G96">
        <f t="shared" ca="1" si="6"/>
        <v>10</v>
      </c>
      <c r="H96">
        <f ca="1">IF(OR($A96="S",$A96=0),0,MATCH(0,OFFSET($B96,1,$A96,ROW($A$275)-ROW($A96)),0))</f>
        <v>0</v>
      </c>
      <c r="I96">
        <f ca="1">IF(OR($A96="S",$A96=0),0,MATCH(OFFSET($B96,0,$A96)+1,OFFSET($B96,1,$A96,ROW($A$275)-ROW($A96)),0))</f>
        <v>0</v>
      </c>
      <c r="J96" s="101" t="s">
        <v>103</v>
      </c>
      <c r="K96" s="137" t="str">
        <f t="shared" ca="1" si="7"/>
        <v>1.12.10.</v>
      </c>
      <c r="L96" s="176" t="s">
        <v>237</v>
      </c>
      <c r="M96" s="176" t="s">
        <v>276</v>
      </c>
      <c r="N96" s="197" t="str">
        <f ca="1">IF($A96="S",Referencia.Descricao,"(digite a descrição aqui)")</f>
        <v>TOMADA ALTA DE EMBUTIR (1 MÓDULO), 2P+T 20 A, INCLUINDO SUPORTE E PLACA - FORNECIMENTO E INSTALAÇÃO. AF_03/2023</v>
      </c>
      <c r="O96" s="196" t="str">
        <f ca="1">Referencia.Unidade</f>
        <v>UN</v>
      </c>
      <c r="P96" s="199">
        <v>6</v>
      </c>
      <c r="Q96" s="195">
        <f t="shared" ca="1" si="19"/>
        <v>48.41</v>
      </c>
      <c r="R96" s="198" t="s">
        <v>7</v>
      </c>
      <c r="S96" s="102">
        <f t="shared" ca="1" si="8"/>
        <v>61.18</v>
      </c>
      <c r="T96" s="82">
        <f t="shared" ca="1" si="9"/>
        <v>367.08</v>
      </c>
      <c r="U96" s="9" t="str">
        <f t="shared" ca="1" si="10"/>
        <v/>
      </c>
      <c r="V96" s="1" t="str">
        <f ca="1">IF(OR($A96=0,$A96="S",$A96&gt;CFF!$A$9),"",MAX(V$12:OFFSET(V96,-1,0))+1)</f>
        <v/>
      </c>
      <c r="W96" s="4" t="str">
        <f t="shared" si="11"/>
        <v>SINAPI-91993</v>
      </c>
      <c r="X96" s="1">
        <f t="shared" ca="1" si="12"/>
        <v>3227</v>
      </c>
      <c r="Y96" s="102">
        <f t="shared" ca="1" si="13"/>
        <v>48.41</v>
      </c>
      <c r="Z96" s="112">
        <f ca="1">ROUND(IF(ISNUMBER(R96),R96,IF(LEFT(R96,3)="BDI",HLOOKUP(R96,DADOS!$T$37:$X$38,2,FALSE),0)),15-11*$X$5)</f>
        <v>0.26379999999999998</v>
      </c>
      <c r="AA96" s="1"/>
    </row>
    <row r="97" spans="1:27" ht="25.5" x14ac:dyDescent="0.2">
      <c r="A97" t="str">
        <f t="shared" si="0"/>
        <v>S</v>
      </c>
      <c r="B97">
        <f t="shared" si="1"/>
        <v>0</v>
      </c>
      <c r="C97">
        <f t="shared" ca="1" si="2"/>
        <v>1</v>
      </c>
      <c r="D97">
        <f t="shared" ca="1" si="3"/>
        <v>12</v>
      </c>
      <c r="E97">
        <f t="shared" ca="1" si="4"/>
        <v>0</v>
      </c>
      <c r="F97">
        <f t="shared" ca="1" si="5"/>
        <v>0</v>
      </c>
      <c r="G97">
        <f t="shared" ca="1" si="6"/>
        <v>11</v>
      </c>
      <c r="H97">
        <f ca="1">IF(OR($A97="S",$A97=0),0,MATCH(0,OFFSET($B97,1,$A97,ROW($A$275)-ROW($A97)),0))</f>
        <v>0</v>
      </c>
      <c r="I97">
        <f ca="1">IF(OR($A97="S",$A97=0),0,MATCH(OFFSET($B97,0,$A97)+1,OFFSET($B97,1,$A97,ROW($A$275)-ROW($A97)),0))</f>
        <v>0</v>
      </c>
      <c r="J97" s="101" t="s">
        <v>103</v>
      </c>
      <c r="K97" s="137" t="str">
        <f t="shared" ca="1" si="7"/>
        <v>1.12.11.</v>
      </c>
      <c r="L97" s="176" t="s">
        <v>237</v>
      </c>
      <c r="M97" s="176" t="s">
        <v>427</v>
      </c>
      <c r="N97" s="197" t="str">
        <f ca="1">IF($A97="S",Referencia.Descricao,"(digite a descrição aqui)")</f>
        <v>TOMADA BAIXA DE EMBUTIR (2 MÓDULOS), 2P+T 10 A, INCLUINDO SUPORTE E PLACA - FORNECIMENTO E INSTALAÇÃO. AF_03/2023</v>
      </c>
      <c r="O97" s="196" t="str">
        <f ca="1">Referencia.Unidade</f>
        <v>UN</v>
      </c>
      <c r="P97" s="199">
        <v>27</v>
      </c>
      <c r="Q97" s="195">
        <f t="shared" ca="1" si="19"/>
        <v>50.78</v>
      </c>
      <c r="R97" s="198" t="s">
        <v>7</v>
      </c>
      <c r="S97" s="102">
        <f t="shared" ca="1" si="8"/>
        <v>64.180000000000007</v>
      </c>
      <c r="T97" s="82">
        <f t="shared" ca="1" si="9"/>
        <v>1732.86</v>
      </c>
      <c r="U97" s="9" t="str">
        <f t="shared" ca="1" si="10"/>
        <v/>
      </c>
      <c r="V97" s="1" t="str">
        <f ca="1">IF(OR($A97=0,$A97="S",$A97&gt;CFF!$A$9),"",MAX(V$12:OFFSET(V97,-1,0))+1)</f>
        <v/>
      </c>
      <c r="W97" s="4" t="str">
        <f t="shared" si="11"/>
        <v>SINAPI-92008</v>
      </c>
      <c r="X97" s="1">
        <f t="shared" ca="1" si="12"/>
        <v>3242</v>
      </c>
      <c r="Y97" s="102">
        <f t="shared" ca="1" si="13"/>
        <v>50.78</v>
      </c>
      <c r="Z97" s="112">
        <f ca="1">ROUND(IF(ISNUMBER(R97),R97,IF(LEFT(R97,3)="BDI",HLOOKUP(R97,DADOS!$T$37:$X$38,2,FALSE),0)),15-11*$X$5)</f>
        <v>0.26379999999999998</v>
      </c>
      <c r="AA97" s="1"/>
    </row>
    <row r="98" spans="1:27" ht="51" x14ac:dyDescent="0.2">
      <c r="A98" t="str">
        <f t="shared" si="0"/>
        <v>S</v>
      </c>
      <c r="B98">
        <f t="shared" si="1"/>
        <v>0</v>
      </c>
      <c r="C98">
        <f t="shared" ca="1" si="2"/>
        <v>1</v>
      </c>
      <c r="D98">
        <f t="shared" ca="1" si="3"/>
        <v>12</v>
      </c>
      <c r="E98">
        <f t="shared" ca="1" si="4"/>
        <v>0</v>
      </c>
      <c r="F98">
        <f t="shared" ca="1" si="5"/>
        <v>0</v>
      </c>
      <c r="G98">
        <f t="shared" ca="1" si="6"/>
        <v>12</v>
      </c>
      <c r="H98">
        <f ca="1">IF(OR($A98="S",$A98=0),0,MATCH(0,OFFSET($B98,1,$A98,ROW($A$275)-ROW($A98)),0))</f>
        <v>0</v>
      </c>
      <c r="I98">
        <f ca="1">IF(OR($A98="S",$A98=0),0,MATCH(OFFSET($B98,0,$A98)+1,OFFSET($B98,1,$A98,ROW($A$275)-ROW($A98)),0))</f>
        <v>0</v>
      </c>
      <c r="J98" s="101" t="s">
        <v>103</v>
      </c>
      <c r="K98" s="137" t="str">
        <f t="shared" ca="1" si="7"/>
        <v>1.12.12.</v>
      </c>
      <c r="L98" s="176" t="s">
        <v>238</v>
      </c>
      <c r="M98" s="176" t="s">
        <v>426</v>
      </c>
      <c r="N98" s="197" t="str">
        <f ca="1">IF($A98="S",Referencia.Descricao,"(digite a descrição aqui)")</f>
        <v xml:space="preserve">COMPOSIÇÃO PARAMÉTRICA DE PONTO ELÉTRICO DE TOMADA DE USO ESPECÍFICO 2P+T (20A/250V) EM OBRA COM ELETRODUTO EMBUTIDO EM RASGOS NAS PAREDES, INCLUSO TOMADA, ELETRODUTO, CABO, RASGO, QUEBRA E CHUMBAMENTO (CLIMATIZADORES, COZINHA E LAVANDERIA). </v>
      </c>
      <c r="O98" s="196" t="str">
        <f ca="1">Referencia.Unidade</f>
        <v>UND</v>
      </c>
      <c r="P98" s="199">
        <f>9+12</f>
        <v>21</v>
      </c>
      <c r="Q98" s="195">
        <f t="shared" ca="1" si="19"/>
        <v>226.14</v>
      </c>
      <c r="R98" s="198" t="s">
        <v>7</v>
      </c>
      <c r="S98" s="102">
        <f t="shared" ca="1" si="8"/>
        <v>285.8</v>
      </c>
      <c r="T98" s="82">
        <f t="shared" ca="1" si="9"/>
        <v>6001.8</v>
      </c>
      <c r="U98" s="9" t="str">
        <f t="shared" ca="1" si="10"/>
        <v/>
      </c>
      <c r="V98" s="1" t="str">
        <f ca="1">IF(OR($A98=0,$A98="S",$A98&gt;CFF!$A$9),"",MAX(V$12:OFFSET(V98,-1,0))+1)</f>
        <v/>
      </c>
      <c r="W98" s="4" t="str">
        <f t="shared" si="11"/>
        <v>COMPOSIÇÃO-COMP10</v>
      </c>
      <c r="X98" s="1">
        <f t="shared" ca="1" si="12"/>
        <v>16</v>
      </c>
      <c r="Y98" s="102">
        <f t="shared" ca="1" si="13"/>
        <v>226.14</v>
      </c>
      <c r="Z98" s="112">
        <f ca="1">ROUND(IF(ISNUMBER(R98),R98,IF(LEFT(R98,3)="BDI",HLOOKUP(R98,DADOS!$T$37:$X$38,2,FALSE),0)),15-11*$X$5)</f>
        <v>0.26379999999999998</v>
      </c>
      <c r="AA98" s="1"/>
    </row>
    <row r="99" spans="1:27" ht="25.5" x14ac:dyDescent="0.2">
      <c r="A99" t="str">
        <f t="shared" si="0"/>
        <v>S</v>
      </c>
      <c r="B99">
        <f t="shared" si="1"/>
        <v>0</v>
      </c>
      <c r="C99">
        <f t="shared" ca="1" si="2"/>
        <v>1</v>
      </c>
      <c r="D99">
        <f t="shared" ca="1" si="3"/>
        <v>12</v>
      </c>
      <c r="E99">
        <f t="shared" ca="1" si="4"/>
        <v>0</v>
      </c>
      <c r="F99">
        <f t="shared" ca="1" si="5"/>
        <v>0</v>
      </c>
      <c r="G99">
        <f t="shared" ca="1" si="6"/>
        <v>13</v>
      </c>
      <c r="H99">
        <f ca="1">IF(OR($A99="S",$A99=0),0,MATCH(0,OFFSET($B99,1,$A99,ROW($A$275)-ROW($A99)),0))</f>
        <v>0</v>
      </c>
      <c r="I99">
        <f ca="1">IF(OR($A99="S",$A99=0),0,MATCH(OFFSET($B99,0,$A99)+1,OFFSET($B99,1,$A99,ROW($A$275)-ROW($A99)),0))</f>
        <v>0</v>
      </c>
      <c r="J99" s="101" t="s">
        <v>103</v>
      </c>
      <c r="K99" s="137" t="str">
        <f t="shared" ca="1" si="7"/>
        <v>1.12.13.</v>
      </c>
      <c r="L99" s="176" t="s">
        <v>237</v>
      </c>
      <c r="M99" s="176" t="s">
        <v>430</v>
      </c>
      <c r="N99" s="197" t="str">
        <f ca="1">IF($A99="S",Referencia.Descricao,"(digite a descrição aqui)")</f>
        <v>TOMADA MÉDIA DE EMBUTIR (2 MÓDULOS), 2P+T 10 A, INCLUINDO SUPORTE E PLACA - FORNECIMENTO E INSTALAÇÃO. AF_03/2023</v>
      </c>
      <c r="O99" s="196" t="str">
        <f ca="1">Referencia.Unidade</f>
        <v>UN</v>
      </c>
      <c r="P99" s="199">
        <v>10</v>
      </c>
      <c r="Q99" s="195">
        <f t="shared" ca="1" si="19"/>
        <v>58.14</v>
      </c>
      <c r="R99" s="198" t="s">
        <v>7</v>
      </c>
      <c r="S99" s="102">
        <f t="shared" ca="1" si="8"/>
        <v>73.48</v>
      </c>
      <c r="T99" s="82">
        <f t="shared" ca="1" si="9"/>
        <v>734.8</v>
      </c>
      <c r="U99" s="9" t="str">
        <f t="shared" ca="1" si="10"/>
        <v/>
      </c>
      <c r="V99" s="1" t="str">
        <f ca="1">IF(OR($A99=0,$A99="S",$A99&gt;CFF!$A$9),"",MAX(V$12:OFFSET(V99,-1,0))+1)</f>
        <v/>
      </c>
      <c r="W99" s="4" t="str">
        <f t="shared" si="11"/>
        <v>SINAPI-92004</v>
      </c>
      <c r="X99" s="1">
        <f t="shared" ca="1" si="12"/>
        <v>3238</v>
      </c>
      <c r="Y99" s="102">
        <f t="shared" ca="1" si="13"/>
        <v>58.14</v>
      </c>
      <c r="Z99" s="112">
        <f ca="1">ROUND(IF(ISNUMBER(R99),R99,IF(LEFT(R99,3)="BDI",HLOOKUP(R99,DADOS!$T$37:$X$38,2,FALSE),0)),15-11*$X$5)</f>
        <v>0.26379999999999998</v>
      </c>
      <c r="AA99" s="1"/>
    </row>
    <row r="100" spans="1:27" ht="25.5" x14ac:dyDescent="0.2">
      <c r="A100" t="str">
        <f t="shared" si="0"/>
        <v>S</v>
      </c>
      <c r="B100">
        <f t="shared" si="1"/>
        <v>0</v>
      </c>
      <c r="C100">
        <f t="shared" ca="1" si="2"/>
        <v>1</v>
      </c>
      <c r="D100">
        <f t="shared" ca="1" si="3"/>
        <v>12</v>
      </c>
      <c r="E100">
        <f t="shared" ca="1" si="4"/>
        <v>0</v>
      </c>
      <c r="F100">
        <f t="shared" ca="1" si="5"/>
        <v>0</v>
      </c>
      <c r="G100">
        <f t="shared" ca="1" si="6"/>
        <v>14</v>
      </c>
      <c r="H100">
        <f ca="1">IF(OR($A100="S",$A100=0),0,MATCH(0,OFFSET($B100,1,$A100,ROW($A$275)-ROW($A100)),0))</f>
        <v>0</v>
      </c>
      <c r="I100">
        <f ca="1">IF(OR($A100="S",$A100=0),0,MATCH(OFFSET($B100,0,$A100)+1,OFFSET($B100,1,$A100,ROW($A$275)-ROW($A100)),0))</f>
        <v>0</v>
      </c>
      <c r="J100" s="101" t="s">
        <v>103</v>
      </c>
      <c r="K100" s="137" t="str">
        <f t="shared" ca="1" si="7"/>
        <v>1.12.14.</v>
      </c>
      <c r="L100" s="176" t="s">
        <v>237</v>
      </c>
      <c r="M100" s="176" t="s">
        <v>429</v>
      </c>
      <c r="N100" s="197" t="str">
        <f ca="1">IF($A100="S",Referencia.Descricao,"(digite a descrição aqui)")</f>
        <v>TOMADA MÉDIA DE EMBUTIR (3 MÓDULOS), 2P+T 20 A, INCLUINDO SUPORTE E PLACA - FORNECIMENTO E INSTALAÇÃO. AF_03/2023</v>
      </c>
      <c r="O100" s="196" t="str">
        <f ca="1">Referencia.Unidade</f>
        <v>UN</v>
      </c>
      <c r="P100" s="199">
        <f>13+5</f>
        <v>18</v>
      </c>
      <c r="Q100" s="195">
        <f t="shared" ca="1" si="19"/>
        <v>87.75</v>
      </c>
      <c r="R100" s="198" t="s">
        <v>7</v>
      </c>
      <c r="S100" s="102">
        <f t="shared" ca="1" si="8"/>
        <v>110.9</v>
      </c>
      <c r="T100" s="82">
        <f t="shared" ca="1" si="9"/>
        <v>1996.2</v>
      </c>
      <c r="U100" s="9" t="str">
        <f t="shared" ca="1" si="10"/>
        <v/>
      </c>
      <c r="V100" s="1" t="str">
        <f ca="1">IF(OR($A100=0,$A100="S",$A100&gt;CFF!$A$9),"",MAX(V$12:OFFSET(V100,-1,0))+1)</f>
        <v/>
      </c>
      <c r="W100" s="4" t="str">
        <f t="shared" si="11"/>
        <v>SINAPI-92013</v>
      </c>
      <c r="X100" s="1">
        <f t="shared" ca="1" si="12"/>
        <v>3247</v>
      </c>
      <c r="Y100" s="102">
        <f t="shared" ca="1" si="13"/>
        <v>87.75</v>
      </c>
      <c r="Z100" s="112">
        <f ca="1">ROUND(IF(ISNUMBER(R100),R100,IF(LEFT(R100,3)="BDI",HLOOKUP(R100,DADOS!$T$37:$X$38,2,FALSE),0)),15-11*$X$5)</f>
        <v>0.26379999999999998</v>
      </c>
      <c r="AA100" s="1"/>
    </row>
    <row r="101" spans="1:27" ht="25.5" x14ac:dyDescent="0.2">
      <c r="A101" t="str">
        <f t="shared" si="0"/>
        <v>S</v>
      </c>
      <c r="B101">
        <f t="shared" si="1"/>
        <v>0</v>
      </c>
      <c r="C101">
        <f t="shared" ca="1" si="2"/>
        <v>1</v>
      </c>
      <c r="D101">
        <f t="shared" ca="1" si="3"/>
        <v>12</v>
      </c>
      <c r="E101">
        <f t="shared" ca="1" si="4"/>
        <v>0</v>
      </c>
      <c r="F101">
        <f t="shared" ca="1" si="5"/>
        <v>0</v>
      </c>
      <c r="G101">
        <f t="shared" ca="1" si="6"/>
        <v>15</v>
      </c>
      <c r="H101">
        <f ca="1">IF(OR($A101="S",$A101=0),0,MATCH(0,OFFSET($B101,1,$A101,ROW($A$275)-ROW($A101)),0))</f>
        <v>0</v>
      </c>
      <c r="I101">
        <f ca="1">IF(OR($A101="S",$A101=0),0,MATCH(OFFSET($B101,0,$A101)+1,OFFSET($B101,1,$A101,ROW($A$275)-ROW($A101)),0))</f>
        <v>0</v>
      </c>
      <c r="J101" s="101" t="s">
        <v>103</v>
      </c>
      <c r="K101" s="137" t="str">
        <f t="shared" ca="1" si="7"/>
        <v>1.12.15.</v>
      </c>
      <c r="L101" s="176" t="s">
        <v>237</v>
      </c>
      <c r="M101" s="176" t="s">
        <v>428</v>
      </c>
      <c r="N101" s="197" t="str">
        <f ca="1">IF($A101="S",Referencia.Descricao,"(digite a descrição aqui)")</f>
        <v>LUMINÁRIA ARANDELA TIPO TARTARUGA, DE SOBREPOR, COM 1 LÂMPADA LED DE 6 W, SEM REATOR - FORNECIMENTO E INSTALAÇÃO. AF_09/2024</v>
      </c>
      <c r="O101" s="196" t="str">
        <f ca="1">Referencia.Unidade</f>
        <v>UN</v>
      </c>
      <c r="P101" s="199">
        <v>8</v>
      </c>
      <c r="Q101" s="195">
        <f t="shared" ca="1" si="19"/>
        <v>112.57</v>
      </c>
      <c r="R101" s="198" t="s">
        <v>7</v>
      </c>
      <c r="S101" s="102">
        <f t="shared" ca="1" si="8"/>
        <v>142.27000000000001</v>
      </c>
      <c r="T101" s="82">
        <f t="shared" ca="1" si="9"/>
        <v>1138.1600000000001</v>
      </c>
      <c r="U101" s="9" t="str">
        <f t="shared" ca="1" si="10"/>
        <v/>
      </c>
      <c r="V101" s="1" t="str">
        <f ca="1">IF(OR($A101=0,$A101="S",$A101&gt;CFF!$A$9),"",MAX(V$12:OFFSET(V101,-1,0))+1)</f>
        <v/>
      </c>
      <c r="W101" s="4" t="str">
        <f t="shared" si="11"/>
        <v>SINAPI-97607</v>
      </c>
      <c r="X101" s="1">
        <f t="shared" ca="1" si="12"/>
        <v>3419</v>
      </c>
      <c r="Y101" s="102">
        <f t="shared" ca="1" si="13"/>
        <v>112.57</v>
      </c>
      <c r="Z101" s="112">
        <f ca="1">ROUND(IF(ISNUMBER(R101),R101,IF(LEFT(R101,3)="BDI",HLOOKUP(R101,DADOS!$T$37:$X$38,2,FALSE),0)),15-11*$X$5)</f>
        <v>0.26379999999999998</v>
      </c>
      <c r="AA101" s="1"/>
    </row>
    <row r="102" spans="1:27" ht="51" x14ac:dyDescent="0.2">
      <c r="A102" t="str">
        <f t="shared" si="0"/>
        <v>S</v>
      </c>
      <c r="B102">
        <f t="shared" si="1"/>
        <v>0</v>
      </c>
      <c r="C102">
        <f t="shared" ca="1" si="2"/>
        <v>1</v>
      </c>
      <c r="D102">
        <f t="shared" ca="1" si="3"/>
        <v>12</v>
      </c>
      <c r="E102">
        <f t="shared" ca="1" si="4"/>
        <v>0</v>
      </c>
      <c r="F102">
        <f t="shared" ca="1" si="5"/>
        <v>0</v>
      </c>
      <c r="G102">
        <f t="shared" ca="1" si="6"/>
        <v>16</v>
      </c>
      <c r="H102">
        <f ca="1">IF(OR($A102="S",$A102=0),0,MATCH(0,OFFSET($B102,1,$A102,ROW($A$275)-ROW($A102)),0))</f>
        <v>0</v>
      </c>
      <c r="I102">
        <f ca="1">IF(OR($A102="S",$A102=0),0,MATCH(OFFSET($B102,0,$A102)+1,OFFSET($B102,1,$A102,ROW($A$275)-ROW($A102)),0))</f>
        <v>0</v>
      </c>
      <c r="J102" s="101" t="s">
        <v>103</v>
      </c>
      <c r="K102" s="137" t="str">
        <f t="shared" ca="1" si="7"/>
        <v>1.12.16.</v>
      </c>
      <c r="L102" s="176" t="s">
        <v>238</v>
      </c>
      <c r="M102" s="176" t="s">
        <v>431</v>
      </c>
      <c r="N102" s="197" t="str">
        <f ca="1">IF($A102="S",Referencia.Descricao,"(digite a descrição aqui)")</f>
        <v>LUMINÁRIA CALHA DE SOBREPOR  ALETADA COMPLETAS COM 2 LÂMPADAS TUBULARES DE LED, COM POTENCIA DE 18 WATTS, FLUXO LUMINOSO MINIMO DE 1000 LUMENS, TCC MINIMO DE 6000K, 220 VCA, 60 HZ. LÂMPADAS DEVERÃO POSSUIR SELO PROCEL.</v>
      </c>
      <c r="O102" s="196" t="str">
        <f ca="1">Referencia.Unidade</f>
        <v>UN</v>
      </c>
      <c r="P102" s="199">
        <v>81</v>
      </c>
      <c r="Q102" s="195">
        <f t="shared" ca="1" si="19"/>
        <v>232.45000000000002</v>
      </c>
      <c r="R102" s="198" t="s">
        <v>7</v>
      </c>
      <c r="S102" s="102">
        <f t="shared" ca="1" si="8"/>
        <v>293.77</v>
      </c>
      <c r="T102" s="82">
        <f t="shared" ca="1" si="9"/>
        <v>23795.37</v>
      </c>
      <c r="U102" s="9" t="str">
        <f t="shared" ca="1" si="10"/>
        <v/>
      </c>
      <c r="V102" s="1" t="str">
        <f ca="1">IF(OR($A102=0,$A102="S",$A102&gt;CFF!$A$9),"",MAX(V$12:OFFSET(V102,-1,0))+1)</f>
        <v/>
      </c>
      <c r="W102" s="4" t="str">
        <f t="shared" si="11"/>
        <v>COMPOSIÇÃO-COMP9</v>
      </c>
      <c r="X102" s="1">
        <f t="shared" ca="1" si="12"/>
        <v>15</v>
      </c>
      <c r="Y102" s="102">
        <f t="shared" ca="1" si="13"/>
        <v>232.45000000000002</v>
      </c>
      <c r="Z102" s="112">
        <f ca="1">ROUND(IF(ISNUMBER(R102),R102,IF(LEFT(R102,3)="BDI",HLOOKUP(R102,DADOS!$T$37:$X$38,2,FALSE),0)),15-11*$X$5)</f>
        <v>0.26379999999999998</v>
      </c>
      <c r="AA102" s="1"/>
    </row>
    <row r="103" spans="1:27" ht="38.25" x14ac:dyDescent="0.2">
      <c r="A103" t="str">
        <f t="shared" si="0"/>
        <v>S</v>
      </c>
      <c r="B103">
        <f t="shared" si="1"/>
        <v>0</v>
      </c>
      <c r="C103">
        <f t="shared" ca="1" si="2"/>
        <v>1</v>
      </c>
      <c r="D103">
        <f t="shared" ca="1" si="3"/>
        <v>12</v>
      </c>
      <c r="E103">
        <f t="shared" ca="1" si="4"/>
        <v>0</v>
      </c>
      <c r="F103">
        <f t="shared" ca="1" si="5"/>
        <v>0</v>
      </c>
      <c r="G103">
        <f t="shared" ca="1" si="6"/>
        <v>17</v>
      </c>
      <c r="H103">
        <f ca="1">IF(OR($A103="S",$A103=0),0,MATCH(0,OFFSET($B103,1,$A103,ROW($A$275)-ROW($A103)),0))</f>
        <v>0</v>
      </c>
      <c r="I103">
        <f ca="1">IF(OR($A103="S",$A103=0),0,MATCH(OFFSET($B103,0,$A103)+1,OFFSET($B103,1,$A103,ROW($A$275)-ROW($A103)),0))</f>
        <v>0</v>
      </c>
      <c r="J103" s="101" t="s">
        <v>103</v>
      </c>
      <c r="K103" s="137" t="str">
        <f t="shared" ca="1" si="7"/>
        <v>1.12.17.</v>
      </c>
      <c r="L103" s="176" t="s">
        <v>238</v>
      </c>
      <c r="M103" s="176" t="s">
        <v>432</v>
      </c>
      <c r="N103" s="197" t="str">
        <f ca="1">IF($A103="S",Referencia.Descricao,"(digite a descrição aqui)")</f>
        <v>LUMINÁRIA DE SOBREPOR  COMPLETAS COM 1 LÂMPADAS QUADRADA DE LED, COM POTENCIA DE 18 WATTS, FLUXO LUMINOSO MINIMO DE 1000 LUMENS, TCC MINIMO DE 6000K, 220 VCA, 60 HZ. LÂMPADAS DEVERÃO POSSUIR SELO PROCEL.</v>
      </c>
      <c r="O103" s="196" t="str">
        <f ca="1">Referencia.Unidade</f>
        <v>UN</v>
      </c>
      <c r="P103" s="199">
        <v>22</v>
      </c>
      <c r="Q103" s="195">
        <f t="shared" ca="1" si="19"/>
        <v>110.07</v>
      </c>
      <c r="R103" s="198" t="s">
        <v>7</v>
      </c>
      <c r="S103" s="102">
        <f t="shared" ca="1" si="8"/>
        <v>139.11000000000001</v>
      </c>
      <c r="T103" s="82">
        <f t="shared" ca="1" si="9"/>
        <v>3060.42</v>
      </c>
      <c r="U103" s="9" t="str">
        <f t="shared" ca="1" si="10"/>
        <v/>
      </c>
      <c r="V103" s="1" t="str">
        <f ca="1">IF(OR($A103=0,$A103="S",$A103&gt;CFF!$A$9),"",MAX(V$12:OFFSET(V103,-1,0))+1)</f>
        <v/>
      </c>
      <c r="W103" s="4" t="str">
        <f t="shared" si="11"/>
        <v>COMPOSIÇÃO-COMP8</v>
      </c>
      <c r="X103" s="1">
        <f t="shared" ca="1" si="12"/>
        <v>14</v>
      </c>
      <c r="Y103" s="102">
        <f t="shared" ca="1" si="13"/>
        <v>110.07</v>
      </c>
      <c r="Z103" s="112">
        <f ca="1">ROUND(IF(ISNUMBER(R103),R103,IF(LEFT(R103,3)="BDI",HLOOKUP(R103,DADOS!$T$37:$X$38,2,FALSE),0)),15-11*$X$5)</f>
        <v>0.26379999999999998</v>
      </c>
      <c r="AA103" s="1"/>
    </row>
    <row r="104" spans="1:27" ht="38.25" x14ac:dyDescent="0.2">
      <c r="A104" t="str">
        <f t="shared" si="0"/>
        <v>S</v>
      </c>
      <c r="B104">
        <f t="shared" si="1"/>
        <v>0</v>
      </c>
      <c r="C104">
        <f t="shared" ca="1" si="2"/>
        <v>1</v>
      </c>
      <c r="D104">
        <f t="shared" ca="1" si="3"/>
        <v>12</v>
      </c>
      <c r="E104">
        <f t="shared" ca="1" si="4"/>
        <v>0</v>
      </c>
      <c r="F104">
        <f t="shared" ca="1" si="5"/>
        <v>0</v>
      </c>
      <c r="G104">
        <f t="shared" ca="1" si="6"/>
        <v>18</v>
      </c>
      <c r="H104">
        <f ca="1">IF(OR($A104="S",$A104=0),0,MATCH(0,OFFSET($B104,1,$A104,ROW($A$275)-ROW($A104)),0))</f>
        <v>0</v>
      </c>
      <c r="I104">
        <f ca="1">IF(OR($A104="S",$A104=0),0,MATCH(OFFSET($B104,0,$A104)+1,OFFSET($B104,1,$A104,ROW($A$275)-ROW($A104)),0))</f>
        <v>0</v>
      </c>
      <c r="J104" s="101" t="s">
        <v>103</v>
      </c>
      <c r="K104" s="137" t="str">
        <f t="shared" ca="1" si="7"/>
        <v>1.12.18.</v>
      </c>
      <c r="L104" s="176" t="s">
        <v>238</v>
      </c>
      <c r="M104" s="176" t="s">
        <v>432</v>
      </c>
      <c r="N104" s="197" t="str">
        <f ca="1">IF($A104="S",Referencia.Descricao,"(digite a descrição aqui)")</f>
        <v>LUMINÁRIA DE SOBREPOR  COMPLETAS COM 1 LÂMPADAS QUADRADA DE LED, COM POTENCIA DE 18 WATTS, FLUXO LUMINOSO MINIMO DE 1000 LUMENS, TCC MINIMO DE 6000K, 220 VCA, 60 HZ. LÂMPADAS DEVERÃO POSSUIR SELO PROCEL.</v>
      </c>
      <c r="O104" s="196" t="str">
        <f ca="1">Referencia.Unidade</f>
        <v>UN</v>
      </c>
      <c r="P104" s="199">
        <f>12+6</f>
        <v>18</v>
      </c>
      <c r="Q104" s="195">
        <f t="shared" ca="1" si="19"/>
        <v>110.07</v>
      </c>
      <c r="R104" s="198" t="s">
        <v>7</v>
      </c>
      <c r="S104" s="102">
        <f t="shared" ca="1" si="8"/>
        <v>139.11000000000001</v>
      </c>
      <c r="T104" s="82">
        <f t="shared" ca="1" si="9"/>
        <v>2503.98</v>
      </c>
      <c r="U104" s="9" t="str">
        <f t="shared" ca="1" si="10"/>
        <v/>
      </c>
      <c r="V104" s="1" t="str">
        <f ca="1">IF(OR($A104=0,$A104="S",$A104&gt;CFF!$A$9),"",MAX(V$12:OFFSET(V104,-1,0))+1)</f>
        <v/>
      </c>
      <c r="W104" s="4" t="str">
        <f t="shared" si="11"/>
        <v>COMPOSIÇÃO-COMP8</v>
      </c>
      <c r="X104" s="1">
        <f t="shared" ca="1" si="12"/>
        <v>14</v>
      </c>
      <c r="Y104" s="102">
        <f t="shared" ca="1" si="13"/>
        <v>110.07</v>
      </c>
      <c r="Z104" s="112">
        <f ca="1">ROUND(IF(ISNUMBER(R104),R104,IF(LEFT(R104,3)="BDI",HLOOKUP(R104,DADOS!$T$37:$X$38,2,FALSE),0)),15-11*$X$5)</f>
        <v>0.26379999999999998</v>
      </c>
      <c r="AA104" s="1"/>
    </row>
    <row r="105" spans="1:27" x14ac:dyDescent="0.2">
      <c r="A105" t="str">
        <f t="shared" si="0"/>
        <v>S</v>
      </c>
      <c r="B105">
        <f t="shared" si="1"/>
        <v>0</v>
      </c>
      <c r="C105">
        <f t="shared" ca="1" si="2"/>
        <v>1</v>
      </c>
      <c r="D105">
        <f t="shared" ca="1" si="3"/>
        <v>12</v>
      </c>
      <c r="E105">
        <f t="shared" ca="1" si="4"/>
        <v>0</v>
      </c>
      <c r="F105">
        <f t="shared" ca="1" si="5"/>
        <v>0</v>
      </c>
      <c r="G105">
        <f t="shared" ca="1" si="6"/>
        <v>19</v>
      </c>
      <c r="H105">
        <f ca="1">IF(OR($A105="S",$A105=0),0,MATCH(0,OFFSET($B105,1,$A105,ROW($A$275)-ROW($A105)),0))</f>
        <v>0</v>
      </c>
      <c r="I105">
        <f ca="1">IF(OR($A105="S",$A105=0),0,MATCH(OFFSET($B105,0,$A105)+1,OFFSET($B105,1,$A105,ROW($A$275)-ROW($A105)),0))</f>
        <v>0</v>
      </c>
      <c r="J105" s="101" t="s">
        <v>103</v>
      </c>
      <c r="K105" s="137" t="str">
        <f t="shared" ca="1" si="7"/>
        <v>1.12.19.</v>
      </c>
      <c r="L105" s="176" t="s">
        <v>238</v>
      </c>
      <c r="M105" s="176" t="s">
        <v>433</v>
      </c>
      <c r="N105" s="197" t="str">
        <f ca="1">IF($A105="S",Referencia.Descricao,"(digite a descrição aqui)")</f>
        <v xml:space="preserve">PONTO DE TOMADA DE REDE RJ45 - FORNECIMENTO E INSTALAÇÃO. </v>
      </c>
      <c r="O105" s="196" t="str">
        <f ca="1">Referencia.Unidade</f>
        <v>UND</v>
      </c>
      <c r="P105" s="199">
        <v>12</v>
      </c>
      <c r="Q105" s="195">
        <f t="shared" ca="1" si="19"/>
        <v>139.93</v>
      </c>
      <c r="R105" s="198" t="s">
        <v>7</v>
      </c>
      <c r="S105" s="102">
        <f t="shared" ca="1" si="8"/>
        <v>176.84</v>
      </c>
      <c r="T105" s="82">
        <f t="shared" ca="1" si="9"/>
        <v>2122.08</v>
      </c>
      <c r="U105" s="9" t="str">
        <f t="shared" ca="1" si="10"/>
        <v/>
      </c>
      <c r="V105" s="1" t="str">
        <f ca="1">IF(OR($A105=0,$A105="S",$A105&gt;CFF!$A$9),"",MAX(V$12:OFFSET(V105,-1,0))+1)</f>
        <v/>
      </c>
      <c r="W105" s="4" t="str">
        <f t="shared" si="11"/>
        <v>COMPOSIÇÃO-COMP7</v>
      </c>
      <c r="X105" s="1">
        <f t="shared" ca="1" si="12"/>
        <v>13</v>
      </c>
      <c r="Y105" s="102">
        <f t="shared" ca="1" si="13"/>
        <v>139.93</v>
      </c>
      <c r="Z105" s="112">
        <f ca="1">ROUND(IF(ISNUMBER(R105),R105,IF(LEFT(R105,3)="BDI",HLOOKUP(R105,DADOS!$T$37:$X$38,2,FALSE),0)),15-11*$X$5)</f>
        <v>0.26379999999999998</v>
      </c>
      <c r="AA105" s="1"/>
    </row>
    <row r="106" spans="1:27" ht="38.25" x14ac:dyDescent="0.2">
      <c r="A106" t="str">
        <f t="shared" si="0"/>
        <v>S</v>
      </c>
      <c r="B106">
        <f t="shared" si="1"/>
        <v>0</v>
      </c>
      <c r="C106">
        <f t="shared" ca="1" si="2"/>
        <v>1</v>
      </c>
      <c r="D106">
        <f t="shared" ca="1" si="3"/>
        <v>12</v>
      </c>
      <c r="E106">
        <f t="shared" ca="1" si="4"/>
        <v>0</v>
      </c>
      <c r="F106">
        <f t="shared" ca="1" si="5"/>
        <v>0</v>
      </c>
      <c r="G106">
        <f t="shared" ca="1" si="6"/>
        <v>20</v>
      </c>
      <c r="H106">
        <f ca="1">IF(OR($A106="S",$A106=0),0,MATCH(0,OFFSET($B106,1,$A106,ROW($A$275)-ROW($A106)),0))</f>
        <v>0</v>
      </c>
      <c r="I106">
        <f ca="1">IF(OR($A106="S",$A106=0),0,MATCH(OFFSET($B106,0,$A106)+1,OFFSET($B106,1,$A106,ROW($A$275)-ROW($A106)),0))</f>
        <v>0</v>
      </c>
      <c r="J106" s="101" t="s">
        <v>103</v>
      </c>
      <c r="K106" s="137" t="str">
        <f t="shared" ca="1" si="7"/>
        <v>1.12.20.</v>
      </c>
      <c r="L106" s="176" t="s">
        <v>237</v>
      </c>
      <c r="M106" s="176" t="s">
        <v>434</v>
      </c>
      <c r="N106" s="197" t="str">
        <f ca="1">IF($A106="S",Referencia.Descricao,"(digite a descrição aqui)")</f>
        <v>QUADRO DE DISTRIBUIÇÃO DE ENERGIA EM CHAPA DE AÇO GALVANIZADO, DE EMBUTIR, COM BARRAMENTO TRIFÁSICO, PARA 30 DISJUNTORES DIN 225A - FORNECIMENTO E INSTALAÇÃO. AF_10/2020</v>
      </c>
      <c r="O106" s="196" t="str">
        <f ca="1">Referencia.Unidade</f>
        <v>UN</v>
      </c>
      <c r="P106" s="199">
        <v>1</v>
      </c>
      <c r="Q106" s="195">
        <f t="shared" ca="1" si="19"/>
        <v>1383.6</v>
      </c>
      <c r="R106" s="198" t="s">
        <v>7</v>
      </c>
      <c r="S106" s="102">
        <f t="shared" ca="1" si="8"/>
        <v>1748.59</v>
      </c>
      <c r="T106" s="82">
        <f t="shared" ca="1" si="9"/>
        <v>1748.59</v>
      </c>
      <c r="U106" s="9" t="str">
        <f t="shared" ca="1" si="10"/>
        <v/>
      </c>
      <c r="V106" s="1" t="str">
        <f ca="1">IF(OR($A106=0,$A106="S",$A106&gt;CFF!$A$9),"",MAX(V$12:OFFSET(V106,-1,0))+1)</f>
        <v/>
      </c>
      <c r="W106" s="4" t="str">
        <f t="shared" si="11"/>
        <v>SINAPI-101882</v>
      </c>
      <c r="X106" s="1">
        <f t="shared" ca="1" si="12"/>
        <v>3161</v>
      </c>
      <c r="Y106" s="102">
        <f t="shared" ca="1" si="13"/>
        <v>1383.6</v>
      </c>
      <c r="Z106" s="112">
        <f ca="1">ROUND(IF(ISNUMBER(R106),R106,IF(LEFT(R106,3)="BDI",HLOOKUP(R106,DADOS!$T$37:$X$38,2,FALSE),0)),15-11*$X$5)</f>
        <v>0.26379999999999998</v>
      </c>
      <c r="AA106" s="1"/>
    </row>
    <row r="107" spans="1:27" ht="25.5" x14ac:dyDescent="0.2">
      <c r="A107" t="str">
        <f t="shared" si="0"/>
        <v>S</v>
      </c>
      <c r="B107">
        <f t="shared" si="1"/>
        <v>0</v>
      </c>
      <c r="C107">
        <f t="shared" ca="1" si="2"/>
        <v>1</v>
      </c>
      <c r="D107">
        <f t="shared" ca="1" si="3"/>
        <v>12</v>
      </c>
      <c r="E107">
        <f t="shared" ca="1" si="4"/>
        <v>0</v>
      </c>
      <c r="F107">
        <f t="shared" ca="1" si="5"/>
        <v>0</v>
      </c>
      <c r="G107">
        <f t="shared" ca="1" si="6"/>
        <v>21</v>
      </c>
      <c r="H107">
        <f ca="1">IF(OR($A107="S",$A107=0),0,MATCH(0,OFFSET($B107,1,$A107,ROW($A$275)-ROW($A107)),0))</f>
        <v>0</v>
      </c>
      <c r="I107">
        <f ca="1">IF(OR($A107="S",$A107=0),0,MATCH(OFFSET($B107,0,$A107)+1,OFFSET($B107,1,$A107,ROW($A$275)-ROW($A107)),0))</f>
        <v>0</v>
      </c>
      <c r="J107" s="101" t="s">
        <v>103</v>
      </c>
      <c r="K107" s="137" t="str">
        <f t="shared" ca="1" si="7"/>
        <v>1.12.21.</v>
      </c>
      <c r="L107" s="176" t="s">
        <v>237</v>
      </c>
      <c r="M107" s="176" t="s">
        <v>435</v>
      </c>
      <c r="N107" s="197" t="str">
        <f ca="1">IF($A107="S",Referencia.Descricao,"(digite a descrição aqui)")</f>
        <v>QUEBRA EM ALVENARIA PARA INSTALAÇÃO DE QUADRO DISTRIBUIÇÃO GRANDE (76X40 CM). AF_09/2023</v>
      </c>
      <c r="O107" s="196" t="str">
        <f ca="1">Referencia.Unidade</f>
        <v>UN</v>
      </c>
      <c r="P107" s="199">
        <v>2</v>
      </c>
      <c r="Q107" s="195">
        <f t="shared" ca="1" si="19"/>
        <v>33.18</v>
      </c>
      <c r="R107" s="198" t="s">
        <v>7</v>
      </c>
      <c r="S107" s="102">
        <f t="shared" ca="1" si="8"/>
        <v>41.93</v>
      </c>
      <c r="T107" s="82">
        <f t="shared" ca="1" si="9"/>
        <v>83.86</v>
      </c>
      <c r="U107" s="9" t="str">
        <f t="shared" ca="1" si="10"/>
        <v/>
      </c>
      <c r="V107" s="1" t="str">
        <f ca="1">IF(OR($A107=0,$A107="S",$A107&gt;CFF!$A$9),"",MAX(V$12:OFFSET(V107,-1,0))+1)</f>
        <v/>
      </c>
      <c r="W107" s="4" t="str">
        <f t="shared" si="11"/>
        <v>SINAPI-90458</v>
      </c>
      <c r="X107" s="1">
        <f t="shared" ca="1" si="12"/>
        <v>5560</v>
      </c>
      <c r="Y107" s="102">
        <f t="shared" ca="1" si="13"/>
        <v>33.18</v>
      </c>
      <c r="Z107" s="112">
        <f ca="1">ROUND(IF(ISNUMBER(R107),R107,IF(LEFT(R107,3)="BDI",HLOOKUP(R107,DADOS!$T$37:$X$38,2,FALSE),0)),15-11*$X$5)</f>
        <v>0.26379999999999998</v>
      </c>
      <c r="AA107" s="1"/>
    </row>
    <row r="108" spans="1:27" ht="25.5" x14ac:dyDescent="0.2">
      <c r="A108" t="str">
        <f t="shared" si="0"/>
        <v>S</v>
      </c>
      <c r="B108">
        <f t="shared" si="1"/>
        <v>0</v>
      </c>
      <c r="C108">
        <f t="shared" ca="1" si="2"/>
        <v>1</v>
      </c>
      <c r="D108">
        <f t="shared" ca="1" si="3"/>
        <v>12</v>
      </c>
      <c r="E108">
        <f t="shared" ca="1" si="4"/>
        <v>0</v>
      </c>
      <c r="F108">
        <f t="shared" ca="1" si="5"/>
        <v>0</v>
      </c>
      <c r="G108">
        <f t="shared" ca="1" si="6"/>
        <v>22</v>
      </c>
      <c r="H108">
        <f ca="1">IF(OR($A108="S",$A108=0),0,MATCH(0,OFFSET($B108,1,$A108,ROW($A$275)-ROW($A108)),0))</f>
        <v>0</v>
      </c>
      <c r="I108">
        <f ca="1">IF(OR($A108="S",$A108=0),0,MATCH(OFFSET($B108,0,$A108)+1,OFFSET($B108,1,$A108,ROW($A$275)-ROW($A108)),0))</f>
        <v>0</v>
      </c>
      <c r="J108" s="101" t="s">
        <v>103</v>
      </c>
      <c r="K108" s="137" t="str">
        <f t="shared" ca="1" si="7"/>
        <v>1.12.22.</v>
      </c>
      <c r="L108" s="176" t="s">
        <v>237</v>
      </c>
      <c r="M108" s="176" t="s">
        <v>436</v>
      </c>
      <c r="N108" s="197" t="str">
        <f ca="1">IF($A108="S",Referencia.Descricao,"(digite a descrição aqui)")</f>
        <v>QUADRO DE MEDIÇÃO GERAL DE ENERGIA COM 8 MEDIDORES - FORNECIMENTO E INSTALAÇÃO. AF_10/2020</v>
      </c>
      <c r="O108" s="196" t="str">
        <f ca="1">Referencia.Unidade</f>
        <v>UN</v>
      </c>
      <c r="P108" s="199">
        <v>1</v>
      </c>
      <c r="Q108" s="195">
        <f t="shared" ca="1" si="19"/>
        <v>3599.61</v>
      </c>
      <c r="R108" s="198" t="s">
        <v>7</v>
      </c>
      <c r="S108" s="102">
        <f t="shared" ca="1" si="8"/>
        <v>4549.1899999999996</v>
      </c>
      <c r="T108" s="82">
        <f t="shared" ca="1" si="9"/>
        <v>4549.1899999999996</v>
      </c>
      <c r="U108" s="9" t="str">
        <f t="shared" ca="1" si="10"/>
        <v/>
      </c>
      <c r="V108" s="1" t="str">
        <f ca="1">IF(OR($A108=0,$A108="S",$A108&gt;CFF!$A$9),"",MAX(V$12:OFFSET(V108,-1,0))+1)</f>
        <v/>
      </c>
      <c r="W108" s="4" t="str">
        <f t="shared" si="11"/>
        <v>SINAPI-97359</v>
      </c>
      <c r="X108" s="1">
        <f t="shared" ca="1" si="12"/>
        <v>3150</v>
      </c>
      <c r="Y108" s="102">
        <f t="shared" ca="1" si="13"/>
        <v>3599.61</v>
      </c>
      <c r="Z108" s="112">
        <f ca="1">ROUND(IF(ISNUMBER(R108),R108,IF(LEFT(R108,3)="BDI",HLOOKUP(R108,DADOS!$T$37:$X$38,2,FALSE),0)),15-11*$X$5)</f>
        <v>0.26379999999999998</v>
      </c>
      <c r="AA108" s="1"/>
    </row>
    <row r="109" spans="1:27" ht="25.5" x14ac:dyDescent="0.2">
      <c r="A109" t="str">
        <f t="shared" si="0"/>
        <v>S</v>
      </c>
      <c r="B109">
        <f t="shared" si="1"/>
        <v>0</v>
      </c>
      <c r="C109">
        <f t="shared" ca="1" si="2"/>
        <v>1</v>
      </c>
      <c r="D109">
        <f t="shared" ca="1" si="3"/>
        <v>12</v>
      </c>
      <c r="E109">
        <f t="shared" ca="1" si="4"/>
        <v>0</v>
      </c>
      <c r="F109">
        <f t="shared" ca="1" si="5"/>
        <v>0</v>
      </c>
      <c r="G109">
        <f t="shared" ca="1" si="6"/>
        <v>23</v>
      </c>
      <c r="H109">
        <f ca="1">IF(OR($A109="S",$A109=0),0,MATCH(0,OFFSET($B109,1,$A109,ROW($A$275)-ROW($A109)),0))</f>
        <v>0</v>
      </c>
      <c r="I109">
        <f ca="1">IF(OR($A109="S",$A109=0),0,MATCH(OFFSET($B109,0,$A109)+1,OFFSET($B109,1,$A109,ROW($A$275)-ROW($A109)),0))</f>
        <v>0</v>
      </c>
      <c r="J109" s="101" t="s">
        <v>103</v>
      </c>
      <c r="K109" s="137" t="str">
        <f t="shared" ca="1" si="7"/>
        <v>1.12.23.</v>
      </c>
      <c r="L109" s="176" t="s">
        <v>237</v>
      </c>
      <c r="M109" s="176" t="s">
        <v>437</v>
      </c>
      <c r="N109" s="197" t="str">
        <f ca="1">IF($A109="S",Referencia.Descricao,"(digite a descrição aqui)")</f>
        <v>RASGO E CHUMBAMENTO EM ALVENARIA PARA TUBOS DE SPLIT PAREDE DE 9000 A 24000 BTUS/H. AF_11/2021</v>
      </c>
      <c r="O109" s="196" t="str">
        <f ca="1">Referencia.Unidade</f>
        <v>UN</v>
      </c>
      <c r="P109" s="199">
        <v>9</v>
      </c>
      <c r="Q109" s="195">
        <f t="shared" ca="1" si="19"/>
        <v>14.4</v>
      </c>
      <c r="R109" s="198" t="s">
        <v>7</v>
      </c>
      <c r="S109" s="102">
        <f t="shared" ca="1" si="8"/>
        <v>18.2</v>
      </c>
      <c r="T109" s="82">
        <f t="shared" ca="1" si="9"/>
        <v>163.80000000000001</v>
      </c>
      <c r="U109" s="9" t="str">
        <f t="shared" ca="1" si="10"/>
        <v/>
      </c>
      <c r="V109" s="1" t="str">
        <f ca="1">IF(OR($A109=0,$A109="S",$A109&gt;CFF!$A$9),"",MAX(V$12:OFFSET(V109,-1,0))+1)</f>
        <v/>
      </c>
      <c r="W109" s="4" t="str">
        <f t="shared" si="11"/>
        <v>SINAPI-103288</v>
      </c>
      <c r="X109" s="1">
        <f t="shared" ca="1" si="12"/>
        <v>3568</v>
      </c>
      <c r="Y109" s="102">
        <f t="shared" ca="1" si="13"/>
        <v>14.4</v>
      </c>
      <c r="Z109" s="112">
        <f ca="1">ROUND(IF(ISNUMBER(R109),R109,IF(LEFT(R109,3)="BDI",HLOOKUP(R109,DADOS!$T$37:$X$38,2,FALSE),0)),15-11*$X$5)</f>
        <v>0.26379999999999998</v>
      </c>
      <c r="AA109" s="1"/>
    </row>
    <row r="110" spans="1:27" ht="25.5" x14ac:dyDescent="0.2">
      <c r="A110" t="str">
        <f t="shared" si="0"/>
        <v>S</v>
      </c>
      <c r="B110">
        <f t="shared" si="1"/>
        <v>0</v>
      </c>
      <c r="C110">
        <f t="shared" ca="1" si="2"/>
        <v>1</v>
      </c>
      <c r="D110">
        <f t="shared" ca="1" si="3"/>
        <v>12</v>
      </c>
      <c r="E110">
        <f t="shared" ca="1" si="4"/>
        <v>0</v>
      </c>
      <c r="F110">
        <f t="shared" ca="1" si="5"/>
        <v>0</v>
      </c>
      <c r="G110">
        <f t="shared" ca="1" si="6"/>
        <v>24</v>
      </c>
      <c r="H110">
        <f ca="1">IF(OR($A110="S",$A110=0),0,MATCH(0,OFFSET($B110,1,$A110,ROW($A$275)-ROW($A110)),0))</f>
        <v>0</v>
      </c>
      <c r="I110">
        <f ca="1">IF(OR($A110="S",$A110=0),0,MATCH(OFFSET($B110,0,$A110)+1,OFFSET($B110,1,$A110,ROW($A$275)-ROW($A110)),0))</f>
        <v>0</v>
      </c>
      <c r="J110" s="101" t="s">
        <v>103</v>
      </c>
      <c r="K110" s="137" t="str">
        <f t="shared" ca="1" si="7"/>
        <v>1.12.24.</v>
      </c>
      <c r="L110" s="176" t="s">
        <v>237</v>
      </c>
      <c r="M110" s="176" t="s">
        <v>438</v>
      </c>
      <c r="N110" s="197" t="str">
        <f ca="1">IF($A110="S",Referencia.Descricao,"(digite a descrição aqui)")</f>
        <v>RASGO LINEAR MANUAL EM ALVENARIA, PARA ELETRODUTOS, DIÂMETROS MENORES OU IGUAIS A 40 MM. AF_09/2023</v>
      </c>
      <c r="O110" s="196" t="str">
        <f ca="1">Referencia.Unidade</f>
        <v>M</v>
      </c>
      <c r="P110" s="199">
        <f>($P$100+$P$99+$P$98+$P$97+$P$96+$P$95)*3</f>
        <v>276</v>
      </c>
      <c r="Q110" s="195">
        <f t="shared" ca="1" si="19"/>
        <v>7.69</v>
      </c>
      <c r="R110" s="198" t="s">
        <v>7</v>
      </c>
      <c r="S110" s="102">
        <f t="shared" ca="1" si="8"/>
        <v>9.7200000000000006</v>
      </c>
      <c r="T110" s="82">
        <f t="shared" ca="1" si="9"/>
        <v>2682.72</v>
      </c>
      <c r="U110" s="9" t="str">
        <f t="shared" ca="1" si="10"/>
        <v/>
      </c>
      <c r="V110" s="1" t="str">
        <f ca="1">IF(OR($A110=0,$A110="S",$A110&gt;CFF!$A$9),"",MAX(V$12:OFFSET(V110,-1,0))+1)</f>
        <v/>
      </c>
      <c r="W110" s="4" t="str">
        <f t="shared" si="11"/>
        <v>SINAPI-90447</v>
      </c>
      <c r="X110" s="1">
        <f t="shared" ca="1" si="12"/>
        <v>5552</v>
      </c>
      <c r="Y110" s="102">
        <f t="shared" ca="1" si="13"/>
        <v>7.69</v>
      </c>
      <c r="Z110" s="112">
        <f ca="1">ROUND(IF(ISNUMBER(R110),R110,IF(LEFT(R110,3)="BDI",HLOOKUP(R110,DADOS!$T$37:$X$38,2,FALSE),0)),15-11*$X$5)</f>
        <v>0.26379999999999998</v>
      </c>
      <c r="AA110" s="1"/>
    </row>
    <row r="111" spans="1:27" ht="25.5" x14ac:dyDescent="0.2">
      <c r="A111" t="str">
        <f t="shared" si="0"/>
        <v>S</v>
      </c>
      <c r="B111">
        <f t="shared" si="1"/>
        <v>0</v>
      </c>
      <c r="C111">
        <f t="shared" ca="1" si="2"/>
        <v>1</v>
      </c>
      <c r="D111">
        <f t="shared" ca="1" si="3"/>
        <v>12</v>
      </c>
      <c r="E111">
        <f t="shared" ca="1" si="4"/>
        <v>0</v>
      </c>
      <c r="F111">
        <f t="shared" ca="1" si="5"/>
        <v>0</v>
      </c>
      <c r="G111">
        <f t="shared" ca="1" si="6"/>
        <v>25</v>
      </c>
      <c r="H111">
        <f ca="1">IF(OR($A111="S",$A111=0),0,MATCH(0,OFFSET($B111,1,$A111,ROW($A$275)-ROW($A111)),0))</f>
        <v>0</v>
      </c>
      <c r="I111">
        <f ca="1">IF(OR($A111="S",$A111=0),0,MATCH(OFFSET($B111,0,$A111)+1,OFFSET($B111,1,$A111,ROW($A$275)-ROW($A111)),0))</f>
        <v>0</v>
      </c>
      <c r="J111" s="101" t="s">
        <v>103</v>
      </c>
      <c r="K111" s="137" t="str">
        <f t="shared" ca="1" si="7"/>
        <v>1.12.25.</v>
      </c>
      <c r="L111" s="176" t="s">
        <v>237</v>
      </c>
      <c r="M111" s="176" t="s">
        <v>440</v>
      </c>
      <c r="N111" s="197" t="str">
        <f ca="1">IF($A111="S",Referencia.Descricao,"(digite a descrição aqui)")</f>
        <v>SENSOR DE PRESENÇA COM FOTOCÉLULA, FIXAÇÃO EM TETO - FORNECIMENTO E INSTALAÇÃO. AF_09/2024</v>
      </c>
      <c r="O111" s="196" t="str">
        <f ca="1">Referencia.Unidade</f>
        <v>UN</v>
      </c>
      <c r="P111" s="199">
        <v>6</v>
      </c>
      <c r="Q111" s="195">
        <f t="shared" ca="1" si="19"/>
        <v>75.510000000000005</v>
      </c>
      <c r="R111" s="198" t="s">
        <v>7</v>
      </c>
      <c r="S111" s="102">
        <f t="shared" ca="1" si="8"/>
        <v>95.43</v>
      </c>
      <c r="T111" s="82">
        <f t="shared" ca="1" si="9"/>
        <v>572.58000000000004</v>
      </c>
      <c r="U111" s="9" t="str">
        <f t="shared" ca="1" si="10"/>
        <v/>
      </c>
      <c r="V111" s="1" t="str">
        <f ca="1">IF(OR($A111=0,$A111="S",$A111&gt;CFF!$A$9),"",MAX(V$12:OFFSET(V111,-1,0))+1)</f>
        <v/>
      </c>
      <c r="W111" s="4" t="str">
        <f t="shared" si="11"/>
        <v>SINAPI-97597</v>
      </c>
      <c r="X111" s="1">
        <f t="shared" ca="1" si="12"/>
        <v>3272</v>
      </c>
      <c r="Y111" s="102">
        <f t="shared" ca="1" si="13"/>
        <v>75.510000000000005</v>
      </c>
      <c r="Z111" s="112">
        <f ca="1">ROUND(IF(ISNUMBER(R111),R111,IF(LEFT(R111,3)="BDI",HLOOKUP(R111,DADOS!$T$37:$X$38,2,FALSE),0)),15-11*$X$5)</f>
        <v>0.26379999999999998</v>
      </c>
      <c r="AA111" s="1"/>
    </row>
    <row r="112" spans="1:27" ht="25.5" x14ac:dyDescent="0.2">
      <c r="A112" t="str">
        <f t="shared" si="0"/>
        <v>S</v>
      </c>
      <c r="B112">
        <f t="shared" si="1"/>
        <v>0</v>
      </c>
      <c r="C112">
        <f t="shared" ca="1" si="2"/>
        <v>1</v>
      </c>
      <c r="D112">
        <f t="shared" ca="1" si="3"/>
        <v>12</v>
      </c>
      <c r="E112">
        <f t="shared" ca="1" si="4"/>
        <v>0</v>
      </c>
      <c r="F112">
        <f t="shared" ca="1" si="5"/>
        <v>0</v>
      </c>
      <c r="G112">
        <f t="shared" ca="1" si="6"/>
        <v>26</v>
      </c>
      <c r="H112">
        <f ca="1">IF(OR($A112="S",$A112=0),0,MATCH(0,OFFSET($B112,1,$A112,ROW($A$275)-ROW($A112)),0))</f>
        <v>0</v>
      </c>
      <c r="I112">
        <f ca="1">IF(OR($A112="S",$A112=0),0,MATCH(OFFSET($B112,0,$A112)+1,OFFSET($B112,1,$A112,ROW($A$275)-ROW($A112)),0))</f>
        <v>0</v>
      </c>
      <c r="J112" s="101" t="s">
        <v>103</v>
      </c>
      <c r="K112" s="137" t="str">
        <f t="shared" ca="1" si="7"/>
        <v>1.12.26.</v>
      </c>
      <c r="L112" s="176" t="s">
        <v>237</v>
      </c>
      <c r="M112" s="176" t="s">
        <v>441</v>
      </c>
      <c r="N112" s="197" t="str">
        <f ca="1">IF($A112="S",Referencia.Descricao,"(digite a descrição aqui)")</f>
        <v>DISJUNTOR BIPOLAR TIPO DIN, CORRENTE NOMINAL DE 16A - FORNECIMENTO E INSTALAÇÃO. AF_10/2020</v>
      </c>
      <c r="O112" s="196" t="str">
        <f ca="1">Referencia.Unidade</f>
        <v>UN</v>
      </c>
      <c r="P112" s="199">
        <v>5</v>
      </c>
      <c r="Q112" s="195">
        <f t="shared" ca="1" si="19"/>
        <v>50.54</v>
      </c>
      <c r="R112" s="198" t="s">
        <v>7</v>
      </c>
      <c r="S112" s="102">
        <f t="shared" ca="1" si="8"/>
        <v>63.87</v>
      </c>
      <c r="T112" s="82">
        <f t="shared" ca="1" si="9"/>
        <v>319.35000000000002</v>
      </c>
      <c r="U112" s="9" t="str">
        <f t="shared" ca="1" si="10"/>
        <v/>
      </c>
      <c r="V112" s="1" t="str">
        <f ca="1">IF(OR($A112=0,$A112="S",$A112&gt;CFF!$A$9),"",MAX(V$12:OFFSET(V112,-1,0))+1)</f>
        <v/>
      </c>
      <c r="W112" s="4" t="str">
        <f t="shared" si="11"/>
        <v>SINAPI-93661</v>
      </c>
      <c r="X112" s="1">
        <f t="shared" ca="1" si="12"/>
        <v>3137</v>
      </c>
      <c r="Y112" s="102">
        <f t="shared" ca="1" si="13"/>
        <v>50.54</v>
      </c>
      <c r="Z112" s="112">
        <f ca="1">ROUND(IF(ISNUMBER(R112),R112,IF(LEFT(R112,3)="BDI",HLOOKUP(R112,DADOS!$T$37:$X$38,2,FALSE),0)),15-11*$X$5)</f>
        <v>0.26379999999999998</v>
      </c>
      <c r="AA112" s="1"/>
    </row>
    <row r="113" spans="1:27" ht="25.5" x14ac:dyDescent="0.2">
      <c r="A113" t="str">
        <f t="shared" si="0"/>
        <v>S</v>
      </c>
      <c r="B113">
        <f t="shared" si="1"/>
        <v>0</v>
      </c>
      <c r="C113">
        <f t="shared" ca="1" si="2"/>
        <v>1</v>
      </c>
      <c r="D113">
        <f t="shared" ca="1" si="3"/>
        <v>12</v>
      </c>
      <c r="E113">
        <f t="shared" ca="1" si="4"/>
        <v>0</v>
      </c>
      <c r="F113">
        <f t="shared" ca="1" si="5"/>
        <v>0</v>
      </c>
      <c r="G113">
        <f t="shared" ca="1" si="6"/>
        <v>27</v>
      </c>
      <c r="H113">
        <f ca="1">IF(OR($A113="S",$A113=0),0,MATCH(0,OFFSET($B113,1,$A113,ROW($A$275)-ROW($A113)),0))</f>
        <v>0</v>
      </c>
      <c r="I113">
        <f ca="1">IF(OR($A113="S",$A113=0),0,MATCH(OFFSET($B113,0,$A113)+1,OFFSET($B113,1,$A113,ROW($A$275)-ROW($A113)),0))</f>
        <v>0</v>
      </c>
      <c r="J113" s="101" t="s">
        <v>103</v>
      </c>
      <c r="K113" s="137" t="str">
        <f t="shared" ca="1" si="7"/>
        <v>1.12.27.</v>
      </c>
      <c r="L113" s="176" t="s">
        <v>237</v>
      </c>
      <c r="M113" s="176" t="s">
        <v>442</v>
      </c>
      <c r="N113" s="197" t="str">
        <f ca="1">IF($A113="S",Referencia.Descricao,"(digite a descrição aqui)")</f>
        <v>DISJUNTOR BIPOLAR TIPO DIN, CORRENTE NOMINAL DE 32A - FORNECIMENTO E INSTALAÇÃO. AF_10/2020</v>
      </c>
      <c r="O113" s="196" t="str">
        <f ca="1">Referencia.Unidade</f>
        <v>UN</v>
      </c>
      <c r="P113" s="199">
        <v>5</v>
      </c>
      <c r="Q113" s="195">
        <f t="shared" ca="1" si="19"/>
        <v>55.97</v>
      </c>
      <c r="R113" s="198" t="s">
        <v>7</v>
      </c>
      <c r="S113" s="102">
        <f t="shared" ca="1" si="8"/>
        <v>70.73</v>
      </c>
      <c r="T113" s="82">
        <f t="shared" ca="1" si="9"/>
        <v>353.65</v>
      </c>
      <c r="U113" s="9" t="str">
        <f t="shared" ca="1" si="10"/>
        <v/>
      </c>
      <c r="V113" s="1" t="str">
        <f ca="1">IF(OR($A113=0,$A113="S",$A113&gt;CFF!$A$9),"",MAX(V$12:OFFSET(V113,-1,0))+1)</f>
        <v/>
      </c>
      <c r="W113" s="4" t="str">
        <f t="shared" si="11"/>
        <v>SINAPI-93664</v>
      </c>
      <c r="X113" s="1">
        <f t="shared" ca="1" si="12"/>
        <v>3140</v>
      </c>
      <c r="Y113" s="102">
        <f t="shared" ca="1" si="13"/>
        <v>55.97</v>
      </c>
      <c r="Z113" s="112">
        <f ca="1">ROUND(IF(ISNUMBER(R113),R113,IF(LEFT(R113,3)="BDI",HLOOKUP(R113,DADOS!$T$37:$X$38,2,FALSE),0)),15-11*$X$5)</f>
        <v>0.26379999999999998</v>
      </c>
      <c r="AA113" s="1"/>
    </row>
    <row r="114" spans="1:27" ht="25.5" x14ac:dyDescent="0.2">
      <c r="A114" t="str">
        <f t="shared" si="0"/>
        <v>S</v>
      </c>
      <c r="B114">
        <f t="shared" si="1"/>
        <v>0</v>
      </c>
      <c r="C114">
        <f t="shared" ca="1" si="2"/>
        <v>1</v>
      </c>
      <c r="D114">
        <f t="shared" ca="1" si="3"/>
        <v>12</v>
      </c>
      <c r="E114">
        <f t="shared" ca="1" si="4"/>
        <v>0</v>
      </c>
      <c r="F114">
        <f t="shared" ca="1" si="5"/>
        <v>0</v>
      </c>
      <c r="G114">
        <f t="shared" ca="1" si="6"/>
        <v>28</v>
      </c>
      <c r="H114">
        <f ca="1">IF(OR($A114="S",$A114=0),0,MATCH(0,OFFSET($B114,1,$A114,ROW($A$275)-ROW($A114)),0))</f>
        <v>0</v>
      </c>
      <c r="I114">
        <f ca="1">IF(OR($A114="S",$A114=0),0,MATCH(OFFSET($B114,0,$A114)+1,OFFSET($B114,1,$A114,ROW($A$275)-ROW($A114)),0))</f>
        <v>0</v>
      </c>
      <c r="J114" s="101" t="s">
        <v>103</v>
      </c>
      <c r="K114" s="137" t="str">
        <f t="shared" ca="1" si="7"/>
        <v>1.12.28.</v>
      </c>
      <c r="L114" s="176" t="s">
        <v>237</v>
      </c>
      <c r="M114" s="176" t="s">
        <v>443</v>
      </c>
      <c r="N114" s="197" t="str">
        <f ca="1">IF($A114="S",Referencia.Descricao,"(digite a descrição aqui)")</f>
        <v>DISJUNTOR BIPOLAR TIPO DIN, CORRENTE NOMINAL DE 20A - FORNECIMENTO E INSTALAÇÃO. AF_10/2020</v>
      </c>
      <c r="O114" s="196" t="str">
        <f ca="1">Referencia.Unidade</f>
        <v>UN</v>
      </c>
      <c r="P114" s="199">
        <v>16</v>
      </c>
      <c r="Q114" s="195">
        <f t="shared" ca="1" si="19"/>
        <v>53</v>
      </c>
      <c r="R114" s="198" t="s">
        <v>7</v>
      </c>
      <c r="S114" s="102">
        <f t="shared" ca="1" si="8"/>
        <v>66.98</v>
      </c>
      <c r="T114" s="82">
        <f t="shared" ca="1" si="9"/>
        <v>1071.68</v>
      </c>
      <c r="U114" s="9" t="str">
        <f t="shared" ca="1" si="10"/>
        <v/>
      </c>
      <c r="V114" s="1" t="str">
        <f ca="1">IF(OR($A114=0,$A114="S",$A114&gt;CFF!$A$9),"",MAX(V$12:OFFSET(V114,-1,0))+1)</f>
        <v/>
      </c>
      <c r="W114" s="4" t="str">
        <f t="shared" si="11"/>
        <v>SINAPI-93662</v>
      </c>
      <c r="X114" s="1">
        <f t="shared" ca="1" si="12"/>
        <v>3138</v>
      </c>
      <c r="Y114" s="102">
        <f t="shared" ca="1" si="13"/>
        <v>53</v>
      </c>
      <c r="Z114" s="112">
        <f ca="1">ROUND(IF(ISNUMBER(R114),R114,IF(LEFT(R114,3)="BDI",HLOOKUP(R114,DADOS!$T$37:$X$38,2,FALSE),0)),15-11*$X$5)</f>
        <v>0.26379999999999998</v>
      </c>
      <c r="AA114" s="1"/>
    </row>
    <row r="115" spans="1:27" ht="25.5" x14ac:dyDescent="0.2">
      <c r="A115" t="str">
        <f t="shared" si="0"/>
        <v>S</v>
      </c>
      <c r="B115">
        <f t="shared" si="1"/>
        <v>0</v>
      </c>
      <c r="C115">
        <f t="shared" ca="1" si="2"/>
        <v>1</v>
      </c>
      <c r="D115">
        <f t="shared" ca="1" si="3"/>
        <v>12</v>
      </c>
      <c r="E115">
        <f t="shared" ca="1" si="4"/>
        <v>0</v>
      </c>
      <c r="F115">
        <f t="shared" ca="1" si="5"/>
        <v>0</v>
      </c>
      <c r="G115">
        <f t="shared" ca="1" si="6"/>
        <v>29</v>
      </c>
      <c r="H115">
        <f ca="1">IF(OR($A115="S",$A115=0),0,MATCH(0,OFFSET($B115,1,$A115,ROW($A$275)-ROW($A115)),0))</f>
        <v>0</v>
      </c>
      <c r="I115">
        <f ca="1">IF(OR($A115="S",$A115=0),0,MATCH(OFFSET($B115,0,$A115)+1,OFFSET($B115,1,$A115,ROW($A$275)-ROW($A115)),0))</f>
        <v>0</v>
      </c>
      <c r="J115" s="101" t="s">
        <v>103</v>
      </c>
      <c r="K115" s="137" t="str">
        <f t="shared" ca="1" si="7"/>
        <v>1.12.29.</v>
      </c>
      <c r="L115" s="176" t="s">
        <v>237</v>
      </c>
      <c r="M115" s="176" t="s">
        <v>445</v>
      </c>
      <c r="N115" s="197" t="str">
        <f ca="1">IF($A115="S",Referencia.Descricao,"(digite a descrição aqui)")</f>
        <v>AR CONDICIONADO SPLIT ON/OFF, CASSETE (TETO), 18000 BTU/H, CICLO QUENTE/FRIO - FORNECIMENTO E INSTALAÇÃO. AF_11/2021_PE</v>
      </c>
      <c r="O115" s="196" t="str">
        <f ca="1">Referencia.Unidade</f>
        <v>UN</v>
      </c>
      <c r="P115" s="199">
        <v>5</v>
      </c>
      <c r="Q115" s="195">
        <f t="shared" ca="1" si="19"/>
        <v>7972.75</v>
      </c>
      <c r="R115" s="198" t="s">
        <v>7</v>
      </c>
      <c r="S115" s="102">
        <f t="shared" ca="1" si="8"/>
        <v>10075.959999999999</v>
      </c>
      <c r="T115" s="82">
        <f t="shared" ca="1" si="9"/>
        <v>50379.8</v>
      </c>
      <c r="U115" s="9" t="str">
        <f t="shared" ca="1" si="10"/>
        <v/>
      </c>
      <c r="V115" s="1" t="str">
        <f ca="1">IF(OR($A115=0,$A115="S",$A115&gt;CFF!$A$9),"",MAX(V$12:OFFSET(V115,-1,0))+1)</f>
        <v/>
      </c>
      <c r="W115" s="4" t="str">
        <f t="shared" si="11"/>
        <v>SINAPI-103268</v>
      </c>
      <c r="X115" s="1">
        <f t="shared" ca="1" si="12"/>
        <v>3557</v>
      </c>
      <c r="Y115" s="102">
        <f t="shared" ca="1" si="13"/>
        <v>7972.75</v>
      </c>
      <c r="Z115" s="112">
        <f ca="1">ROUND(IF(ISNUMBER(R115),R115,IF(LEFT(R115,3)="BDI",HLOOKUP(R115,DADOS!$T$37:$X$38,2,FALSE),0)),15-11*$X$5)</f>
        <v>0.26379999999999998</v>
      </c>
      <c r="AA115" s="1"/>
    </row>
    <row r="116" spans="1:27" ht="25.5" x14ac:dyDescent="0.2">
      <c r="A116" t="str">
        <f t="shared" si="0"/>
        <v>S</v>
      </c>
      <c r="B116">
        <f t="shared" si="1"/>
        <v>0</v>
      </c>
      <c r="C116">
        <f t="shared" ca="1" si="2"/>
        <v>1</v>
      </c>
      <c r="D116">
        <f t="shared" ca="1" si="3"/>
        <v>12</v>
      </c>
      <c r="E116">
        <f t="shared" ca="1" si="4"/>
        <v>0</v>
      </c>
      <c r="F116">
        <f t="shared" ca="1" si="5"/>
        <v>0</v>
      </c>
      <c r="G116">
        <f t="shared" ca="1" si="6"/>
        <v>30</v>
      </c>
      <c r="H116">
        <f ca="1">IF(OR($A116="S",$A116=0),0,MATCH(0,OFFSET($B116,1,$A116,ROW($A$275)-ROW($A116)),0))</f>
        <v>0</v>
      </c>
      <c r="I116">
        <f ca="1">IF(OR($A116="S",$A116=0),0,MATCH(OFFSET($B116,0,$A116)+1,OFFSET($B116,1,$A116,ROW($A$275)-ROW($A116)),0))</f>
        <v>0</v>
      </c>
      <c r="J116" s="101" t="s">
        <v>103</v>
      </c>
      <c r="K116" s="137" t="str">
        <f t="shared" ca="1" si="7"/>
        <v>1.12.30.</v>
      </c>
      <c r="L116" s="176" t="s">
        <v>237</v>
      </c>
      <c r="M116" s="176" t="s">
        <v>446</v>
      </c>
      <c r="N116" s="197" t="str">
        <f ca="1">IF($A116="S",Referencia.Descricao,"(digite a descrição aqui)")</f>
        <v>AR CONDICIONADO SPLIT ON/OFF, CASSETE (TETO), 24000 BTU/H, CICLO QUENTE/FRIO - FORNECIMENTO E INSTALAÇÃO. AF_11/2021_PE</v>
      </c>
      <c r="O116" s="196" t="str">
        <f ca="1">Referencia.Unidade</f>
        <v>UN</v>
      </c>
      <c r="P116" s="199">
        <v>2</v>
      </c>
      <c r="Q116" s="195">
        <f t="shared" ca="1" si="19"/>
        <v>8570.23</v>
      </c>
      <c r="R116" s="198" t="s">
        <v>7</v>
      </c>
      <c r="S116" s="102">
        <f t="shared" ca="1" si="8"/>
        <v>10831.06</v>
      </c>
      <c r="T116" s="82">
        <f t="shared" ca="1" si="9"/>
        <v>21662.12</v>
      </c>
      <c r="U116" s="9" t="str">
        <f t="shared" ca="1" si="10"/>
        <v/>
      </c>
      <c r="V116" s="1" t="str">
        <f ca="1">IF(OR($A116=0,$A116="S",$A116&gt;CFF!$A$9),"",MAX(V$12:OFFSET(V116,-1,0))+1)</f>
        <v/>
      </c>
      <c r="W116" s="4" t="str">
        <f t="shared" si="11"/>
        <v>SINAPI-103270</v>
      </c>
      <c r="X116" s="1">
        <f t="shared" ca="1" si="12"/>
        <v>3559</v>
      </c>
      <c r="Y116" s="102">
        <f t="shared" ca="1" si="13"/>
        <v>8570.23</v>
      </c>
      <c r="Z116" s="112">
        <f ca="1">ROUND(IF(ISNUMBER(R116),R116,IF(LEFT(R116,3)="BDI",HLOOKUP(R116,DADOS!$T$37:$X$38,2,FALSE),0)),15-11*$X$5)</f>
        <v>0.26379999999999998</v>
      </c>
      <c r="AA116" s="1"/>
    </row>
    <row r="117" spans="1:27" ht="25.5" x14ac:dyDescent="0.2">
      <c r="A117" t="str">
        <f t="shared" si="0"/>
        <v>S</v>
      </c>
      <c r="B117">
        <f t="shared" si="1"/>
        <v>0</v>
      </c>
      <c r="C117">
        <f t="shared" ca="1" si="2"/>
        <v>1</v>
      </c>
      <c r="D117">
        <f t="shared" ca="1" si="3"/>
        <v>12</v>
      </c>
      <c r="E117">
        <f t="shared" ca="1" si="4"/>
        <v>0</v>
      </c>
      <c r="F117">
        <f t="shared" ca="1" si="5"/>
        <v>0</v>
      </c>
      <c r="G117">
        <f t="shared" ca="1" si="6"/>
        <v>31</v>
      </c>
      <c r="H117">
        <f ca="1">IF(OR($A117="S",$A117=0),0,MATCH(0,OFFSET($B117,1,$A117,ROW($A$275)-ROW($A117)),0))</f>
        <v>0</v>
      </c>
      <c r="I117">
        <f ca="1">IF(OR($A117="S",$A117=0),0,MATCH(OFFSET($B117,0,$A117)+1,OFFSET($B117,1,$A117,ROW($A$275)-ROW($A117)),0))</f>
        <v>0</v>
      </c>
      <c r="J117" s="101" t="s">
        <v>103</v>
      </c>
      <c r="K117" s="137" t="str">
        <f t="shared" ca="1" si="7"/>
        <v>1.12.31.</v>
      </c>
      <c r="L117" s="176" t="s">
        <v>237</v>
      </c>
      <c r="M117" s="176" t="s">
        <v>447</v>
      </c>
      <c r="N117" s="197" t="str">
        <f ca="1">IF($A117="S",Referencia.Descricao,"(digite a descrição aqui)")</f>
        <v>AR CONDICIONADO SPLIT ON/OFF, HI-WALL (PAREDE), 12000 BTUS/H, CICLO QUENTE/FRIO - FORNECIMENTO E INSTALAÇÃO. AF_11/2021_PE</v>
      </c>
      <c r="O117" s="196" t="str">
        <f ca="1">Referencia.Unidade</f>
        <v>UN</v>
      </c>
      <c r="P117" s="199">
        <v>2</v>
      </c>
      <c r="Q117" s="195">
        <f t="shared" ca="1" si="19"/>
        <v>2565.44</v>
      </c>
      <c r="R117" s="198" t="s">
        <v>7</v>
      </c>
      <c r="S117" s="102">
        <f t="shared" ca="1" si="8"/>
        <v>3242.2</v>
      </c>
      <c r="T117" s="82">
        <f t="shared" ca="1" si="9"/>
        <v>6484.4</v>
      </c>
      <c r="U117" s="9" t="str">
        <f t="shared" ca="1" si="10"/>
        <v/>
      </c>
      <c r="V117" s="1" t="str">
        <f ca="1">IF(OR($A117=0,$A117="S",$A117&gt;CFF!$A$9),"",MAX(V$12:OFFSET(V117,-1,0))+1)</f>
        <v/>
      </c>
      <c r="W117" s="4" t="str">
        <f t="shared" si="11"/>
        <v>SINAPI-103249</v>
      </c>
      <c r="X117" s="1">
        <f t="shared" ca="1" si="12"/>
        <v>3538</v>
      </c>
      <c r="Y117" s="102">
        <f t="shared" ca="1" si="13"/>
        <v>2565.44</v>
      </c>
      <c r="Z117" s="112">
        <f ca="1">ROUND(IF(ISNUMBER(R117),R117,IF(LEFT(R117,3)="BDI",HLOOKUP(R117,DADOS!$T$37:$X$38,2,FALSE),0)),15-11*$X$5)</f>
        <v>0.26379999999999998</v>
      </c>
      <c r="AA117" s="1"/>
    </row>
    <row r="118" spans="1:27" x14ac:dyDescent="0.2">
      <c r="A118">
        <f t="shared" si="0"/>
        <v>2</v>
      </c>
      <c r="B118">
        <f t="shared" ca="1" si="1"/>
        <v>26</v>
      </c>
      <c r="C118">
        <f t="shared" ca="1" si="2"/>
        <v>1</v>
      </c>
      <c r="D118">
        <f t="shared" ca="1" si="3"/>
        <v>13</v>
      </c>
      <c r="E118">
        <f t="shared" ca="1" si="4"/>
        <v>0</v>
      </c>
      <c r="F118">
        <f t="shared" ca="1" si="5"/>
        <v>0</v>
      </c>
      <c r="G118">
        <f t="shared" ca="1" si="6"/>
        <v>0</v>
      </c>
      <c r="H118">
        <f ca="1">IF(OR($A118="S",$A118=0),0,MATCH(0,OFFSET($B118,1,$A118,ROW($A$275)-ROW($A118)),0))</f>
        <v>157</v>
      </c>
      <c r="I118">
        <f ca="1">IF(OR($A118="S",$A118=0),0,MATCH(OFFSET($B118,0,$A118)+1,OFFSET($B118,1,$A118,ROW($A$275)-ROW($A118)),0))</f>
        <v>26</v>
      </c>
      <c r="J118" s="101" t="s">
        <v>100</v>
      </c>
      <c r="K118" s="137" t="str">
        <f t="shared" ca="1" si="7"/>
        <v>1.13.</v>
      </c>
      <c r="L118" s="176"/>
      <c r="M118" s="176"/>
      <c r="N118" s="197" t="s">
        <v>359</v>
      </c>
      <c r="O118" s="196" t="str">
        <f ca="1">Referencia.Unidade</f>
        <v/>
      </c>
      <c r="P118" s="199"/>
      <c r="Q118" s="195"/>
      <c r="R118" s="198" t="s">
        <v>7</v>
      </c>
      <c r="S118" s="102">
        <f t="shared" si="8"/>
        <v>0</v>
      </c>
      <c r="T118" s="82">
        <f t="shared" ca="1" si="9"/>
        <v>68338.17</v>
      </c>
      <c r="U118" s="9" t="str">
        <f t="shared" ca="1" si="10"/>
        <v/>
      </c>
      <c r="V118" s="1">
        <f ca="1">IF(OR($A118=0,$A118="S",$A118&gt;CFF!$A$9),"",MAX(V$12:OFFSET(V118,-1,0))+1)</f>
        <v>14</v>
      </c>
      <c r="W118" s="4" t="b">
        <f t="shared" si="11"/>
        <v>0</v>
      </c>
      <c r="X118" s="1" t="str">
        <f t="shared" ca="1" si="12"/>
        <v>X</v>
      </c>
      <c r="Y118" s="102">
        <f t="shared" ca="1" si="13"/>
        <v>0</v>
      </c>
      <c r="Z118" s="112">
        <f ca="1">ROUND(IF(ISNUMBER(R118),R118,IF(LEFT(R118,3)="BDI",HLOOKUP(R118,DADOS!$T$37:$X$38,2,FALSE),0)),15-11*$X$5)</f>
        <v>0.26379999999999998</v>
      </c>
      <c r="AA118" s="1"/>
    </row>
    <row r="119" spans="1:27" ht="25.5" x14ac:dyDescent="0.2">
      <c r="A119" t="str">
        <f t="shared" si="0"/>
        <v>S</v>
      </c>
      <c r="B119">
        <f t="shared" si="1"/>
        <v>0</v>
      </c>
      <c r="C119">
        <f t="shared" ca="1" si="2"/>
        <v>1</v>
      </c>
      <c r="D119">
        <f t="shared" ca="1" si="3"/>
        <v>13</v>
      </c>
      <c r="E119">
        <f t="shared" ca="1" si="4"/>
        <v>0</v>
      </c>
      <c r="F119">
        <f t="shared" ca="1" si="5"/>
        <v>0</v>
      </c>
      <c r="G119">
        <f t="shared" ca="1" si="6"/>
        <v>1</v>
      </c>
      <c r="H119">
        <f ca="1">IF(OR($A119="S",$A119=0),0,MATCH(0,OFFSET($B119,1,$A119,ROW($A$275)-ROW($A119)),0))</f>
        <v>0</v>
      </c>
      <c r="I119">
        <f ca="1">IF(OR($A119="S",$A119=0),0,MATCH(OFFSET($B119,0,$A119)+1,OFFSET($B119,1,$A119,ROW($A$275)-ROW($A119)),0))</f>
        <v>0</v>
      </c>
      <c r="J119" s="101" t="s">
        <v>103</v>
      </c>
      <c r="K119" s="137" t="str">
        <f t="shared" ca="1" si="7"/>
        <v>1.13.1.</v>
      </c>
      <c r="L119" s="176" t="s">
        <v>237</v>
      </c>
      <c r="M119" s="176" t="s">
        <v>360</v>
      </c>
      <c r="N119" s="197" t="str">
        <f ca="1">IF($A119="S",Referencia.Descricao,"(digite a descrição aqui)")</f>
        <v>CAIXA D´ÁGUA EM POLIÉSTER REFORÇADO COM FIBRA DE VIDRO, 5000 LITROS - FORNECIMENTO E INSTALAÇÃO. AF_06/2021</v>
      </c>
      <c r="O119" s="196" t="str">
        <f ca="1">Referencia.Unidade</f>
        <v>UN</v>
      </c>
      <c r="P119" s="199">
        <v>1</v>
      </c>
      <c r="Q119" s="195">
        <f t="shared" ref="Q119:Q143" ca="1" si="20">IF(Import.Desoneracao="sim",Referencia.Desonerado,Referencia.NaoDesonerado)</f>
        <v>3666.23</v>
      </c>
      <c r="R119" s="198" t="s">
        <v>7</v>
      </c>
      <c r="S119" s="102">
        <f t="shared" ca="1" si="8"/>
        <v>4633.38</v>
      </c>
      <c r="T119" s="82">
        <f t="shared" ca="1" si="9"/>
        <v>4633.38</v>
      </c>
      <c r="U119" s="9" t="str">
        <f t="shared" ca="1" si="10"/>
        <v/>
      </c>
      <c r="V119" s="1" t="str">
        <f ca="1">IF(OR($A119=0,$A119="S",$A119&gt;CFF!$A$9),"",MAX(V$12:OFFSET(V119,-1,0))+1)</f>
        <v/>
      </c>
      <c r="W119" s="4" t="str">
        <f t="shared" si="11"/>
        <v>SINAPI-102617</v>
      </c>
      <c r="X119" s="1">
        <f t="shared" ca="1" si="12"/>
        <v>5240</v>
      </c>
      <c r="Y119" s="102">
        <f t="shared" ca="1" si="13"/>
        <v>3666.23</v>
      </c>
      <c r="Z119" s="112">
        <f ca="1">ROUND(IF(ISNUMBER(R119),R119,IF(LEFT(R119,3)="BDI",HLOOKUP(R119,DADOS!$T$37:$X$38,2,FALSE),0)),15-11*$X$5)</f>
        <v>0.26379999999999998</v>
      </c>
      <c r="AA119" s="1"/>
    </row>
    <row r="120" spans="1:27" ht="25.5" x14ac:dyDescent="0.2">
      <c r="A120" t="str">
        <f t="shared" si="0"/>
        <v>S</v>
      </c>
      <c r="B120">
        <f t="shared" si="1"/>
        <v>0</v>
      </c>
      <c r="C120">
        <f t="shared" ca="1" si="2"/>
        <v>1</v>
      </c>
      <c r="D120">
        <f t="shared" ca="1" si="3"/>
        <v>13</v>
      </c>
      <c r="E120">
        <f t="shared" ca="1" si="4"/>
        <v>0</v>
      </c>
      <c r="F120">
        <f t="shared" ca="1" si="5"/>
        <v>0</v>
      </c>
      <c r="G120">
        <f t="shared" ca="1" si="6"/>
        <v>2</v>
      </c>
      <c r="H120">
        <f ca="1">IF(OR($A120="S",$A120=0),0,MATCH(0,OFFSET($B120,1,$A120,ROW($A$275)-ROW($A120)),0))</f>
        <v>0</v>
      </c>
      <c r="I120">
        <f ca="1">IF(OR($A120="S",$A120=0),0,MATCH(OFFSET($B120,0,$A120)+1,OFFSET($B120,1,$A120,ROW($A$275)-ROW($A120)),0))</f>
        <v>0</v>
      </c>
      <c r="J120" s="101" t="s">
        <v>103</v>
      </c>
      <c r="K120" s="137" t="str">
        <f t="shared" ca="1" si="7"/>
        <v>1.13.2.</v>
      </c>
      <c r="L120" s="176" t="s">
        <v>237</v>
      </c>
      <c r="M120" s="176" t="s">
        <v>361</v>
      </c>
      <c r="N120" s="197" t="str">
        <f ca="1">IF($A120="S",Referencia.Descricao,"(digite a descrição aqui)")</f>
        <v>TORNEIRA DE BOIA PARA CAIXA D'ÁGUA, ROSCÁVEL, 3/4" - FORNECIMENTO E INSTALAÇÃO. AF_08/2021</v>
      </c>
      <c r="O120" s="196" t="str">
        <f ca="1">Referencia.Unidade</f>
        <v>UN</v>
      </c>
      <c r="P120" s="199">
        <v>1</v>
      </c>
      <c r="Q120" s="195">
        <f t="shared" ca="1" si="20"/>
        <v>60.7</v>
      </c>
      <c r="R120" s="198" t="s">
        <v>7</v>
      </c>
      <c r="S120" s="102">
        <f t="shared" ca="1" si="8"/>
        <v>76.709999999999994</v>
      </c>
      <c r="T120" s="82">
        <f t="shared" ca="1" si="9"/>
        <v>76.709999999999994</v>
      </c>
      <c r="U120" s="9" t="str">
        <f t="shared" ca="1" si="10"/>
        <v/>
      </c>
      <c r="V120" s="1" t="str">
        <f ca="1">IF(OR($A120=0,$A120="S",$A120&gt;CFF!$A$9),"",MAX(V$12:OFFSET(V120,-1,0))+1)</f>
        <v/>
      </c>
      <c r="W120" s="4" t="str">
        <f t="shared" si="11"/>
        <v>SINAPI-94796</v>
      </c>
      <c r="X120" s="1">
        <f t="shared" ca="1" si="12"/>
        <v>5438</v>
      </c>
      <c r="Y120" s="102">
        <f t="shared" ca="1" si="13"/>
        <v>60.7</v>
      </c>
      <c r="Z120" s="112">
        <f ca="1">ROUND(IF(ISNUMBER(R120),R120,IF(LEFT(R120,3)="BDI",HLOOKUP(R120,DADOS!$T$37:$X$38,2,FALSE),0)),15-11*$X$5)</f>
        <v>0.26379999999999998</v>
      </c>
      <c r="AA120" s="1"/>
    </row>
    <row r="121" spans="1:27" ht="38.25" x14ac:dyDescent="0.2">
      <c r="A121" t="str">
        <f t="shared" si="0"/>
        <v>S</v>
      </c>
      <c r="B121">
        <f t="shared" si="1"/>
        <v>0</v>
      </c>
      <c r="C121">
        <f t="shared" ca="1" si="2"/>
        <v>1</v>
      </c>
      <c r="D121">
        <f t="shared" ca="1" si="3"/>
        <v>13</v>
      </c>
      <c r="E121">
        <f t="shared" ca="1" si="4"/>
        <v>0</v>
      </c>
      <c r="F121">
        <f t="shared" ca="1" si="5"/>
        <v>0</v>
      </c>
      <c r="G121">
        <f t="shared" ca="1" si="6"/>
        <v>3</v>
      </c>
      <c r="H121">
        <f ca="1">IF(OR($A121="S",$A121=0),0,MATCH(0,OFFSET($B121,1,$A121,ROW($A$275)-ROW($A121)),0))</f>
        <v>0</v>
      </c>
      <c r="I121">
        <f ca="1">IF(OR($A121="S",$A121=0),0,MATCH(OFFSET($B121,0,$A121)+1,OFFSET($B121,1,$A121,ROW($A$275)-ROW($A121)),0))</f>
        <v>0</v>
      </c>
      <c r="J121" s="101" t="s">
        <v>103</v>
      </c>
      <c r="K121" s="137" t="str">
        <f t="shared" ca="1" si="7"/>
        <v>1.13.3.</v>
      </c>
      <c r="L121" s="176" t="s">
        <v>237</v>
      </c>
      <c r="M121" s="176" t="s">
        <v>404</v>
      </c>
      <c r="N121" s="197" t="str">
        <f ca="1">IF($A121="S",Referencia.Descricao,"(digite a descrição aqui)")</f>
        <v>TANQUE SÉPTICO CIRCULAR, EM CONCRETO PRÉ-MOLDADO, DIÂMETRO INTERNO = 1,40 M, ALTURA INTERNA = 2,50 M, VOLUME ÚTIL: 3463,6 L (PARA 13 CONTRIBUINTES). AF_12/2020_PA</v>
      </c>
      <c r="O121" s="196" t="str">
        <f ca="1">Referencia.Unidade</f>
        <v>UN</v>
      </c>
      <c r="P121" s="199">
        <v>1</v>
      </c>
      <c r="Q121" s="195">
        <f t="shared" ca="1" si="20"/>
        <v>2778.75</v>
      </c>
      <c r="R121" s="198" t="s">
        <v>7</v>
      </c>
      <c r="S121" s="102">
        <f t="shared" ca="1" si="8"/>
        <v>3511.78</v>
      </c>
      <c r="T121" s="82">
        <f t="shared" ca="1" si="9"/>
        <v>3511.78</v>
      </c>
      <c r="U121" s="9" t="str">
        <f t="shared" ca="1" si="10"/>
        <v/>
      </c>
      <c r="V121" s="1" t="str">
        <f ca="1">IF(OR($A121=0,$A121="S",$A121&gt;CFF!$A$9),"",MAX(V$12:OFFSET(V121,-1,0))+1)</f>
        <v/>
      </c>
      <c r="W121" s="4" t="str">
        <f t="shared" si="11"/>
        <v>SINAPI-98053</v>
      </c>
      <c r="X121" s="1">
        <f t="shared" ca="1" si="12"/>
        <v>5361</v>
      </c>
      <c r="Y121" s="102">
        <f t="shared" ca="1" si="13"/>
        <v>2778.75</v>
      </c>
      <c r="Z121" s="112">
        <f ca="1">ROUND(IF(ISNUMBER(R121),R121,IF(LEFT(R121,3)="BDI",HLOOKUP(R121,DADOS!$T$37:$X$38,2,FALSE),0)),15-11*$X$5)</f>
        <v>0.26379999999999998</v>
      </c>
      <c r="AA121" s="1"/>
    </row>
    <row r="122" spans="1:27" ht="38.25" x14ac:dyDescent="0.2">
      <c r="A122" t="str">
        <f t="shared" si="0"/>
        <v>S</v>
      </c>
      <c r="B122">
        <f t="shared" si="1"/>
        <v>0</v>
      </c>
      <c r="C122">
        <f t="shared" ca="1" si="2"/>
        <v>1</v>
      </c>
      <c r="D122">
        <f t="shared" ca="1" si="3"/>
        <v>13</v>
      </c>
      <c r="E122">
        <f t="shared" ca="1" si="4"/>
        <v>0</v>
      </c>
      <c r="F122">
        <f t="shared" ca="1" si="5"/>
        <v>0</v>
      </c>
      <c r="G122">
        <f t="shared" ca="1" si="6"/>
        <v>4</v>
      </c>
      <c r="H122">
        <f ca="1">IF(OR($A122="S",$A122=0),0,MATCH(0,OFFSET($B122,1,$A122,ROW($A$275)-ROW($A122)),0))</f>
        <v>0</v>
      </c>
      <c r="I122">
        <f ca="1">IF(OR($A122="S",$A122=0),0,MATCH(OFFSET($B122,0,$A122)+1,OFFSET($B122,1,$A122,ROW($A$275)-ROW($A122)),0))</f>
        <v>0</v>
      </c>
      <c r="J122" s="101" t="s">
        <v>103</v>
      </c>
      <c r="K122" s="137" t="str">
        <f t="shared" ca="1" si="7"/>
        <v>1.13.4.</v>
      </c>
      <c r="L122" s="176" t="s">
        <v>237</v>
      </c>
      <c r="M122" s="176" t="s">
        <v>405</v>
      </c>
      <c r="N122" s="197" t="str">
        <f ca="1">IF($A122="S",Referencia.Descricao,"(digite a descrição aqui)")</f>
        <v>TANQUE SÉPTICO CIRCULAR, EM CONCRETO PRÉ-MOLDADO, DIÂMETRO INTERNO = 1,88 M, ALTURA INTERNA = 2,50 M, VOLUME ÚTIL: 6245,8 L (PARA 32 CONTRIBUINTES). AF_12/2020_PA</v>
      </c>
      <c r="O122" s="196" t="str">
        <f ca="1">Referencia.Unidade</f>
        <v>UN</v>
      </c>
      <c r="P122" s="199">
        <v>1</v>
      </c>
      <c r="Q122" s="195">
        <f t="shared" ca="1" si="20"/>
        <v>4550.26</v>
      </c>
      <c r="R122" s="198" t="s">
        <v>7</v>
      </c>
      <c r="S122" s="102">
        <f t="shared" ca="1" si="8"/>
        <v>5750.62</v>
      </c>
      <c r="T122" s="82">
        <f t="shared" ca="1" si="9"/>
        <v>5750.62</v>
      </c>
      <c r="U122" s="9" t="str">
        <f t="shared" ca="1" si="10"/>
        <v/>
      </c>
      <c r="V122" s="1" t="str">
        <f ca="1">IF(OR($A122=0,$A122="S",$A122&gt;CFF!$A$9),"",MAX(V$12:OFFSET(V122,-1,0))+1)</f>
        <v/>
      </c>
      <c r="W122" s="4" t="str">
        <f t="shared" si="11"/>
        <v>SINAPI-98054</v>
      </c>
      <c r="X122" s="1">
        <f t="shared" ca="1" si="12"/>
        <v>5362</v>
      </c>
      <c r="Y122" s="102">
        <f t="shared" ca="1" si="13"/>
        <v>4550.26</v>
      </c>
      <c r="Z122" s="112">
        <f ca="1">ROUND(IF(ISNUMBER(R122),R122,IF(LEFT(R122,3)="BDI",HLOOKUP(R122,DADOS!$T$37:$X$38,2,FALSE),0)),15-11*$X$5)</f>
        <v>0.26379999999999998</v>
      </c>
      <c r="AA122" s="1"/>
    </row>
    <row r="123" spans="1:27" ht="38.25" x14ac:dyDescent="0.2">
      <c r="A123" t="str">
        <f t="shared" si="0"/>
        <v>S</v>
      </c>
      <c r="B123">
        <f t="shared" si="1"/>
        <v>0</v>
      </c>
      <c r="C123">
        <f t="shared" ca="1" si="2"/>
        <v>1</v>
      </c>
      <c r="D123">
        <f t="shared" ca="1" si="3"/>
        <v>13</v>
      </c>
      <c r="E123">
        <f t="shared" ca="1" si="4"/>
        <v>0</v>
      </c>
      <c r="F123">
        <f t="shared" ca="1" si="5"/>
        <v>0</v>
      </c>
      <c r="G123">
        <f t="shared" ca="1" si="6"/>
        <v>5</v>
      </c>
      <c r="H123">
        <f ca="1">IF(OR($A123="S",$A123=0),0,MATCH(0,OFFSET($B123,1,$A123,ROW($A$275)-ROW($A123)),0))</f>
        <v>0</v>
      </c>
      <c r="I123">
        <f ca="1">IF(OR($A123="S",$A123=0),0,MATCH(OFFSET($B123,0,$A123)+1,OFFSET($B123,1,$A123,ROW($A$275)-ROW($A123)),0))</f>
        <v>0</v>
      </c>
      <c r="J123" s="101" t="s">
        <v>103</v>
      </c>
      <c r="K123" s="137" t="str">
        <f t="shared" ca="1" si="7"/>
        <v>1.13.5.</v>
      </c>
      <c r="L123" s="176" t="s">
        <v>237</v>
      </c>
      <c r="M123" s="176" t="s">
        <v>406</v>
      </c>
      <c r="N123" s="197" t="str">
        <f ca="1">IF($A123="S",Referencia.Descricao,"(digite a descrição aqui)")</f>
        <v>FILTRO ANAERÓBIO CIRCULAR, EM CONCRETO PRÉ-MOLDADO, DIÂMETRO INTERNO = 1,88 M, ALTURA INTERNA = 1,50 M, VOLUME ÚTIL: 3331,1 L (PARA 19 CONTRIBUINTES). AF_12/2020_PA</v>
      </c>
      <c r="O123" s="196" t="str">
        <f ca="1">Referencia.Unidade</f>
        <v>UN</v>
      </c>
      <c r="P123" s="199">
        <v>3</v>
      </c>
      <c r="Q123" s="195">
        <f t="shared" ca="1" si="20"/>
        <v>3743.27</v>
      </c>
      <c r="R123" s="198" t="s">
        <v>7</v>
      </c>
      <c r="S123" s="102">
        <f t="shared" ca="1" si="8"/>
        <v>4730.74</v>
      </c>
      <c r="T123" s="82">
        <f t="shared" ca="1" si="9"/>
        <v>14192.22</v>
      </c>
      <c r="U123" s="9" t="str">
        <f t="shared" ca="1" si="10"/>
        <v/>
      </c>
      <c r="V123" s="1" t="str">
        <f ca="1">IF(OR($A123=0,$A123="S",$A123&gt;CFF!$A$9),"",MAX(V$12:OFFSET(V123,-1,0))+1)</f>
        <v/>
      </c>
      <c r="W123" s="4" t="str">
        <f t="shared" si="11"/>
        <v>SINAPI-98059</v>
      </c>
      <c r="X123" s="1">
        <f t="shared" ca="1" si="12"/>
        <v>5367</v>
      </c>
      <c r="Y123" s="102">
        <f t="shared" ca="1" si="13"/>
        <v>3743.27</v>
      </c>
      <c r="Z123" s="112">
        <f ca="1">ROUND(IF(ISNUMBER(R123),R123,IF(LEFT(R123,3)="BDI",HLOOKUP(R123,DADOS!$T$37:$X$38,2,FALSE),0)),15-11*$X$5)</f>
        <v>0.26379999999999998</v>
      </c>
      <c r="AA123" s="1"/>
    </row>
    <row r="124" spans="1:27" ht="25.5" x14ac:dyDescent="0.2">
      <c r="A124" t="str">
        <f t="shared" si="0"/>
        <v>S</v>
      </c>
      <c r="B124">
        <f t="shared" si="1"/>
        <v>0</v>
      </c>
      <c r="C124">
        <f t="shared" ca="1" si="2"/>
        <v>1</v>
      </c>
      <c r="D124">
        <f t="shared" ca="1" si="3"/>
        <v>13</v>
      </c>
      <c r="E124">
        <f t="shared" ca="1" si="4"/>
        <v>0</v>
      </c>
      <c r="F124">
        <f t="shared" ca="1" si="5"/>
        <v>0</v>
      </c>
      <c r="G124">
        <f t="shared" ca="1" si="6"/>
        <v>6</v>
      </c>
      <c r="H124">
        <f ca="1">IF(OR($A124="S",$A124=0),0,MATCH(0,OFFSET($B124,1,$A124,ROW($A$275)-ROW($A124)),0))</f>
        <v>0</v>
      </c>
      <c r="I124">
        <f ca="1">IF(OR($A124="S",$A124=0),0,MATCH(OFFSET($B124,0,$A124)+1,OFFSET($B124,1,$A124,ROW($A$275)-ROW($A124)),0))</f>
        <v>0</v>
      </c>
      <c r="J124" s="101" t="s">
        <v>103</v>
      </c>
      <c r="K124" s="137" t="str">
        <f t="shared" ca="1" si="7"/>
        <v>1.13.6.</v>
      </c>
      <c r="L124" s="176" t="s">
        <v>237</v>
      </c>
      <c r="M124" s="176" t="s">
        <v>408</v>
      </c>
      <c r="N124" s="197" t="str">
        <f ca="1">IF($A124="S",Referencia.Descricao,"(digite a descrição aqui)")</f>
        <v>CAIXA COM GRELHA RETANGULAR DE FERRO FUNDIDO, EM ALVENARIA COM BLOCOS DE CONCRETO, DIMENSÕES INTERNAS: 0,30 X 1,00 X 1,00. AF_12/2020</v>
      </c>
      <c r="O124" s="196" t="str">
        <f ca="1">Referencia.Unidade</f>
        <v>UN</v>
      </c>
      <c r="P124" s="199">
        <v>4</v>
      </c>
      <c r="Q124" s="195">
        <f t="shared" ca="1" si="20"/>
        <v>1088.06</v>
      </c>
      <c r="R124" s="198" t="s">
        <v>7</v>
      </c>
      <c r="S124" s="102">
        <f t="shared" ca="1" si="8"/>
        <v>1375.09</v>
      </c>
      <c r="T124" s="82">
        <f t="shared" ca="1" si="9"/>
        <v>5500.36</v>
      </c>
      <c r="U124" s="9" t="str">
        <f t="shared" ca="1" si="10"/>
        <v/>
      </c>
      <c r="V124" s="1" t="str">
        <f ca="1">IF(OR($A124=0,$A124="S",$A124&gt;CFF!$A$9),"",MAX(V$12:OFFSET(V124,-1,0))+1)</f>
        <v/>
      </c>
      <c r="W124" s="4" t="str">
        <f t="shared" si="11"/>
        <v>SINAPI-101801</v>
      </c>
      <c r="X124" s="1">
        <f t="shared" ca="1" si="12"/>
        <v>1947</v>
      </c>
      <c r="Y124" s="102">
        <f t="shared" ca="1" si="13"/>
        <v>1088.06</v>
      </c>
      <c r="Z124" s="112">
        <f ca="1">ROUND(IF(ISNUMBER(R124),R124,IF(LEFT(R124,3)="BDI",HLOOKUP(R124,DADOS!$T$37:$X$38,2,FALSE),0)),15-11*$X$5)</f>
        <v>0.26379999999999998</v>
      </c>
      <c r="AA124" s="1"/>
    </row>
    <row r="125" spans="1:27" ht="38.25" x14ac:dyDescent="0.2">
      <c r="A125" t="str">
        <f t="shared" si="0"/>
        <v>S</v>
      </c>
      <c r="B125">
        <f t="shared" si="1"/>
        <v>0</v>
      </c>
      <c r="C125">
        <f t="shared" ca="1" si="2"/>
        <v>1</v>
      </c>
      <c r="D125">
        <f t="shared" ca="1" si="3"/>
        <v>13</v>
      </c>
      <c r="E125">
        <f t="shared" ca="1" si="4"/>
        <v>0</v>
      </c>
      <c r="F125">
        <f t="shared" ca="1" si="5"/>
        <v>0</v>
      </c>
      <c r="G125">
        <f t="shared" ca="1" si="6"/>
        <v>7</v>
      </c>
      <c r="H125">
        <f ca="1">IF(OR($A125="S",$A125=0),0,MATCH(0,OFFSET($B125,1,$A125,ROW($A$275)-ROW($A125)),0))</f>
        <v>0</v>
      </c>
      <c r="I125">
        <f ca="1">IF(OR($A125="S",$A125=0),0,MATCH(OFFSET($B125,0,$A125)+1,OFFSET($B125,1,$A125,ROW($A$275)-ROW($A125)),0))</f>
        <v>0</v>
      </c>
      <c r="J125" s="101" t="s">
        <v>103</v>
      </c>
      <c r="K125" s="137" t="str">
        <f t="shared" ca="1" si="7"/>
        <v>1.13.7.</v>
      </c>
      <c r="L125" s="176" t="s">
        <v>237</v>
      </c>
      <c r="M125" s="176" t="s">
        <v>424</v>
      </c>
      <c r="N125" s="197" t="str">
        <f ca="1">IF($A125="S",Referencia.Descricao,"(digite a descrição aqui)")</f>
        <v>SUMIDOURO RETANGULAR, EM ALVENARIA COM BLOCOS DE CONCRETO, DIMENSÕES INTERNAS: 1,6 X 3,4 X H=3,0 M, ÁREA DE INFILTRAÇÃO: 32,9 M² (PARA 13 CONTRIBUINTES). . AF_12/2020</v>
      </c>
      <c r="O125" s="196" t="str">
        <f ca="1">Referencia.Unidade</f>
        <v>UN</v>
      </c>
      <c r="P125" s="199">
        <v>1</v>
      </c>
      <c r="Q125" s="195">
        <f t="shared" ca="1" si="20"/>
        <v>5901.34</v>
      </c>
      <c r="R125" s="198" t="s">
        <v>7</v>
      </c>
      <c r="S125" s="102">
        <f t="shared" ca="1" si="8"/>
        <v>7458.11</v>
      </c>
      <c r="T125" s="82">
        <f t="shared" ca="1" si="9"/>
        <v>7458.11</v>
      </c>
      <c r="U125" s="9" t="str">
        <f t="shared" ca="1" si="10"/>
        <v/>
      </c>
      <c r="V125" s="1" t="str">
        <f ca="1">IF(OR($A125=0,$A125="S",$A125&gt;CFF!$A$9),"",MAX(V$12:OFFSET(V125,-1,0))+1)</f>
        <v/>
      </c>
      <c r="W125" s="4" t="str">
        <f t="shared" si="11"/>
        <v>SINAPI-98100</v>
      </c>
      <c r="X125" s="1">
        <f t="shared" ca="1" si="12"/>
        <v>5404</v>
      </c>
      <c r="Y125" s="102">
        <f t="shared" ca="1" si="13"/>
        <v>5901.34</v>
      </c>
      <c r="Z125" s="112">
        <f ca="1">ROUND(IF(ISNUMBER(R125),R125,IF(LEFT(R125,3)="BDI",HLOOKUP(R125,DADOS!$T$37:$X$38,2,FALSE),0)),15-11*$X$5)</f>
        <v>0.26379999999999998</v>
      </c>
      <c r="AA125" s="1"/>
    </row>
    <row r="126" spans="1:27" ht="38.25" x14ac:dyDescent="0.2">
      <c r="A126" t="str">
        <f t="shared" si="0"/>
        <v>S</v>
      </c>
      <c r="B126">
        <f t="shared" si="1"/>
        <v>0</v>
      </c>
      <c r="C126">
        <f t="shared" ca="1" si="2"/>
        <v>1</v>
      </c>
      <c r="D126">
        <f t="shared" ca="1" si="3"/>
        <v>13</v>
      </c>
      <c r="E126">
        <f t="shared" ca="1" si="4"/>
        <v>0</v>
      </c>
      <c r="F126">
        <f t="shared" ca="1" si="5"/>
        <v>0</v>
      </c>
      <c r="G126">
        <f t="shared" ca="1" si="6"/>
        <v>8</v>
      </c>
      <c r="H126">
        <f ca="1">IF(OR($A126="S",$A126=0),0,MATCH(0,OFFSET($B126,1,$A126,ROW($A$275)-ROW($A126)),0))</f>
        <v>0</v>
      </c>
      <c r="I126">
        <f ca="1">IF(OR($A126="S",$A126=0),0,MATCH(OFFSET($B126,0,$A126)+1,OFFSET($B126,1,$A126,ROW($A$275)-ROW($A126)),0))</f>
        <v>0</v>
      </c>
      <c r="J126" s="101" t="s">
        <v>103</v>
      </c>
      <c r="K126" s="137" t="str">
        <f t="shared" ca="1" si="7"/>
        <v>1.13.8.</v>
      </c>
      <c r="L126" s="176" t="s">
        <v>237</v>
      </c>
      <c r="M126" s="176" t="s">
        <v>423</v>
      </c>
      <c r="N126" s="197" t="str">
        <f ca="1">IF($A126="S",Referencia.Descricao,"(digite a descrição aqui)")</f>
        <v>SUMIDOURO RETANGULAR, EM ALVENARIA COM BLOCOS DE CONCRETO, DIMENSÕES INTERNAS: 1,0 X 3,0 X H=3,0 M, ÁREA DE INFILTRAÇÃO: 25 M² (PARA 10 CONTRIBUINTES). AF_12/2020</v>
      </c>
      <c r="O126" s="196" t="str">
        <f ca="1">Referencia.Unidade</f>
        <v>UN</v>
      </c>
      <c r="P126" s="199">
        <v>1</v>
      </c>
      <c r="Q126" s="195">
        <f t="shared" ca="1" si="20"/>
        <v>4523.1099999999997</v>
      </c>
      <c r="R126" s="198" t="s">
        <v>7</v>
      </c>
      <c r="S126" s="102">
        <f t="shared" ca="1" si="8"/>
        <v>5716.31</v>
      </c>
      <c r="T126" s="82">
        <f t="shared" ca="1" si="9"/>
        <v>5716.31</v>
      </c>
      <c r="U126" s="9" t="str">
        <f t="shared" ca="1" si="10"/>
        <v/>
      </c>
      <c r="V126" s="1" t="str">
        <f ca="1">IF(OR($A126=0,$A126="S",$A126&gt;CFF!$A$9),"",MAX(V$12:OFFSET(V126,-1,0))+1)</f>
        <v/>
      </c>
      <c r="W126" s="4" t="str">
        <f t="shared" si="11"/>
        <v>SINAPI-98099</v>
      </c>
      <c r="X126" s="1">
        <f t="shared" ca="1" si="12"/>
        <v>5403</v>
      </c>
      <c r="Y126" s="102">
        <f t="shared" ca="1" si="13"/>
        <v>4523.1099999999997</v>
      </c>
      <c r="Z126" s="112">
        <f ca="1">ROUND(IF(ISNUMBER(R126),R126,IF(LEFT(R126,3)="BDI",HLOOKUP(R126,DADOS!$T$37:$X$38,2,FALSE),0)),15-11*$X$5)</f>
        <v>0.26379999999999998</v>
      </c>
      <c r="AA126" s="1"/>
    </row>
    <row r="127" spans="1:27" ht="38.25" x14ac:dyDescent="0.2">
      <c r="A127" t="str">
        <f t="shared" si="0"/>
        <v>S</v>
      </c>
      <c r="B127">
        <f t="shared" si="1"/>
        <v>0</v>
      </c>
      <c r="C127">
        <f t="shared" ca="1" si="2"/>
        <v>1</v>
      </c>
      <c r="D127">
        <f t="shared" ca="1" si="3"/>
        <v>13</v>
      </c>
      <c r="E127">
        <f t="shared" ca="1" si="4"/>
        <v>0</v>
      </c>
      <c r="F127">
        <f t="shared" ca="1" si="5"/>
        <v>0</v>
      </c>
      <c r="G127">
        <f t="shared" ca="1" si="6"/>
        <v>9</v>
      </c>
      <c r="H127">
        <f ca="1">IF(OR($A127="S",$A127=0),0,MATCH(0,OFFSET($B127,1,$A127,ROW($A$275)-ROW($A127)),0))</f>
        <v>0</v>
      </c>
      <c r="I127">
        <f ca="1">IF(OR($A127="S",$A127=0),0,MATCH(OFFSET($B127,0,$A127)+1,OFFSET($B127,1,$A127,ROW($A$275)-ROW($A127)),0))</f>
        <v>0</v>
      </c>
      <c r="J127" s="101" t="s">
        <v>103</v>
      </c>
      <c r="K127" s="137" t="str">
        <f t="shared" ca="1" si="7"/>
        <v>1.13.9.</v>
      </c>
      <c r="L127" s="176" t="s">
        <v>237</v>
      </c>
      <c r="M127" s="176" t="s">
        <v>409</v>
      </c>
      <c r="N127" s="197" t="str">
        <f ca="1">IF($A127="S",Referencia.Descricao,"(digite a descrição aqui)")</f>
        <v>CAIXA ENTERRADA HIDRÁULICA RETANGULAR EM ALVENARIA COM TIJOLOS CERÂMICOS MACIÇOS, DIMENSÕES INTERNAS: 0,6X0,6X0,6 M PARA REDE DE ESGOTO. AF_12/2020</v>
      </c>
      <c r="O127" s="196" t="str">
        <f ca="1">Referencia.Unidade</f>
        <v>UN</v>
      </c>
      <c r="P127" s="199">
        <v>4</v>
      </c>
      <c r="Q127" s="195">
        <f t="shared" ca="1" si="20"/>
        <v>549.29999999999995</v>
      </c>
      <c r="R127" s="198" t="s">
        <v>7</v>
      </c>
      <c r="S127" s="102">
        <f t="shared" ca="1" si="8"/>
        <v>694.21</v>
      </c>
      <c r="T127" s="82">
        <f t="shared" ca="1" si="9"/>
        <v>2776.84</v>
      </c>
      <c r="U127" s="9" t="str">
        <f t="shared" ca="1" si="10"/>
        <v/>
      </c>
      <c r="V127" s="1" t="str">
        <f ca="1">IF(OR($A127=0,$A127="S",$A127&gt;CFF!$A$9),"",MAX(V$12:OFFSET(V127,-1,0))+1)</f>
        <v/>
      </c>
      <c r="W127" s="4" t="str">
        <f t="shared" si="11"/>
        <v>SINAPI-97902</v>
      </c>
      <c r="X127" s="1">
        <f t="shared" ca="1" si="12"/>
        <v>5188</v>
      </c>
      <c r="Y127" s="102">
        <f t="shared" ca="1" si="13"/>
        <v>549.29999999999995</v>
      </c>
      <c r="Z127" s="112">
        <f ca="1">ROUND(IF(ISNUMBER(R127),R127,IF(LEFT(R127,3)="BDI",HLOOKUP(R127,DADOS!$T$37:$X$38,2,FALSE),0)),15-11*$X$5)</f>
        <v>0.26379999999999998</v>
      </c>
      <c r="AA127" s="1"/>
    </row>
    <row r="128" spans="1:27" ht="38.25" x14ac:dyDescent="0.2">
      <c r="A128" t="str">
        <f t="shared" si="0"/>
        <v>S</v>
      </c>
      <c r="B128">
        <f t="shared" si="1"/>
        <v>0</v>
      </c>
      <c r="C128">
        <f t="shared" ca="1" si="2"/>
        <v>1</v>
      </c>
      <c r="D128">
        <f t="shared" ca="1" si="3"/>
        <v>13</v>
      </c>
      <c r="E128">
        <f t="shared" ca="1" si="4"/>
        <v>0</v>
      </c>
      <c r="F128">
        <f t="shared" ca="1" si="5"/>
        <v>0</v>
      </c>
      <c r="G128">
        <f t="shared" ca="1" si="6"/>
        <v>10</v>
      </c>
      <c r="H128">
        <f ca="1">IF(OR($A128="S",$A128=0),0,MATCH(0,OFFSET($B128,1,$A128,ROW($A$275)-ROW($A128)),0))</f>
        <v>0</v>
      </c>
      <c r="I128">
        <f ca="1">IF(OR($A128="S",$A128=0),0,MATCH(OFFSET($B128,0,$A128)+1,OFFSET($B128,1,$A128,ROW($A$275)-ROW($A128)),0))</f>
        <v>0</v>
      </c>
      <c r="J128" s="101" t="s">
        <v>103</v>
      </c>
      <c r="K128" s="137" t="str">
        <f t="shared" ca="1" si="7"/>
        <v>1.13.10.</v>
      </c>
      <c r="L128" s="176" t="s">
        <v>237</v>
      </c>
      <c r="M128" s="176" t="s">
        <v>410</v>
      </c>
      <c r="N128" s="197" t="str">
        <f ca="1">IF($A128="S",Referencia.Descricao,"(digite a descrição aqui)")</f>
        <v>CAIXA DE GORDURA SIMPLES (CAPACIDADE: 36L), RETANGULAR, EM ALVENARIA COM TIJOLOS CERÂMICOS MACIÇOS, DIMENSÕES INTERNAS = 0,2X0,4 M, ALTURA INTERNA = 0,8 M. AF_12/2020</v>
      </c>
      <c r="O128" s="196" t="str">
        <f ca="1">Referencia.Unidade</f>
        <v>UN</v>
      </c>
      <c r="P128" s="199">
        <v>2</v>
      </c>
      <c r="Q128" s="195">
        <f t="shared" ca="1" si="20"/>
        <v>355.47</v>
      </c>
      <c r="R128" s="198" t="s">
        <v>7</v>
      </c>
      <c r="S128" s="102">
        <f t="shared" ca="1" si="8"/>
        <v>449.24</v>
      </c>
      <c r="T128" s="82">
        <f t="shared" ca="1" si="9"/>
        <v>898.48</v>
      </c>
      <c r="U128" s="9" t="str">
        <f t="shared" ca="1" si="10"/>
        <v/>
      </c>
      <c r="V128" s="1" t="str">
        <f ca="1">IF(OR($A128=0,$A128="S",$A128&gt;CFF!$A$9),"",MAX(V$12:OFFSET(V128,-1,0))+1)</f>
        <v/>
      </c>
      <c r="W128" s="4" t="str">
        <f t="shared" si="11"/>
        <v>SINAPI-98104</v>
      </c>
      <c r="X128" s="1">
        <f t="shared" ca="1" si="12"/>
        <v>5196</v>
      </c>
      <c r="Y128" s="102">
        <f t="shared" ca="1" si="13"/>
        <v>355.47</v>
      </c>
      <c r="Z128" s="112">
        <f ca="1">ROUND(IF(ISNUMBER(R128),R128,IF(LEFT(R128,3)="BDI",HLOOKUP(R128,DADOS!$T$37:$X$38,2,FALSE),0)),15-11*$X$5)</f>
        <v>0.26379999999999998</v>
      </c>
      <c r="AA128" s="1"/>
    </row>
    <row r="129" spans="1:27" x14ac:dyDescent="0.2">
      <c r="A129" t="str">
        <f t="shared" si="0"/>
        <v>S</v>
      </c>
      <c r="B129">
        <f t="shared" si="1"/>
        <v>0</v>
      </c>
      <c r="C129">
        <f t="shared" ca="1" si="2"/>
        <v>1</v>
      </c>
      <c r="D129">
        <f t="shared" ca="1" si="3"/>
        <v>13</v>
      </c>
      <c r="E129">
        <f t="shared" ca="1" si="4"/>
        <v>0</v>
      </c>
      <c r="F129">
        <f t="shared" ca="1" si="5"/>
        <v>0</v>
      </c>
      <c r="G129">
        <f t="shared" ca="1" si="6"/>
        <v>11</v>
      </c>
      <c r="H129">
        <f ca="1">IF(OR($A129="S",$A129=0),0,MATCH(0,OFFSET($B129,1,$A129,ROW($A$275)-ROW($A129)),0))</f>
        <v>0</v>
      </c>
      <c r="I129">
        <f ca="1">IF(OR($A129="S",$A129=0),0,MATCH(OFFSET($B129,0,$A129)+1,OFFSET($B129,1,$A129,ROW($A$275)-ROW($A129)),0))</f>
        <v>0</v>
      </c>
      <c r="J129" s="101" t="s">
        <v>103</v>
      </c>
      <c r="K129" s="137" t="str">
        <f t="shared" ca="1" si="7"/>
        <v>1.13.11.</v>
      </c>
      <c r="L129" s="176" t="s">
        <v>249</v>
      </c>
      <c r="M129" s="176" t="s">
        <v>411</v>
      </c>
      <c r="N129" s="197" t="str">
        <f ca="1">IF($A129="S",Referencia.Descricao,"(digite a descrição aqui)")</f>
        <v xml:space="preserve">TAMPA DE CONCRETO ARMADO PARA FOSSA, D = *0,90* M, E = 0,05 M                                                                                                                                                                                                                                                                                                                                                                                                                                             </v>
      </c>
      <c r="O129" s="196" t="str">
        <f ca="1">Referencia.Unidade</f>
        <v xml:space="preserve">UN    </v>
      </c>
      <c r="P129" s="199">
        <v>5</v>
      </c>
      <c r="Q129" s="195">
        <f t="shared" ca="1" si="20"/>
        <v>119.83</v>
      </c>
      <c r="R129" s="198" t="s">
        <v>7</v>
      </c>
      <c r="S129" s="102">
        <f t="shared" ca="1" si="8"/>
        <v>151.44</v>
      </c>
      <c r="T129" s="82">
        <f t="shared" ca="1" si="9"/>
        <v>757.2</v>
      </c>
      <c r="U129" s="9" t="str">
        <f t="shared" ca="1" si="10"/>
        <v/>
      </c>
      <c r="V129" s="1" t="str">
        <f ca="1">IF(OR($A129=0,$A129="S",$A129&gt;CFF!$A$9),"",MAX(V$12:OFFSET(V129,-1,0))+1)</f>
        <v/>
      </c>
      <c r="W129" s="4" t="str">
        <f t="shared" si="11"/>
        <v>SINAPI-I-41613</v>
      </c>
      <c r="X129" s="1">
        <f t="shared" ca="1" si="12"/>
        <v>11627</v>
      </c>
      <c r="Y129" s="102">
        <f t="shared" ca="1" si="13"/>
        <v>119.83</v>
      </c>
      <c r="Z129" s="112">
        <f ca="1">ROUND(IF(ISNUMBER(R129),R129,IF(LEFT(R129,3)="BDI",HLOOKUP(R129,DADOS!$T$37:$X$38,2,FALSE),0)),15-11*$X$5)</f>
        <v>0.26379999999999998</v>
      </c>
      <c r="AA129" s="1"/>
    </row>
    <row r="130" spans="1:27" ht="25.5" x14ac:dyDescent="0.2">
      <c r="A130" t="str">
        <f t="shared" si="0"/>
        <v>S</v>
      </c>
      <c r="B130">
        <f t="shared" si="1"/>
        <v>0</v>
      </c>
      <c r="C130">
        <f t="shared" ca="1" si="2"/>
        <v>1</v>
      </c>
      <c r="D130">
        <f t="shared" ca="1" si="3"/>
        <v>13</v>
      </c>
      <c r="E130">
        <f t="shared" ca="1" si="4"/>
        <v>0</v>
      </c>
      <c r="F130">
        <f t="shared" ca="1" si="5"/>
        <v>0</v>
      </c>
      <c r="G130">
        <f t="shared" ca="1" si="6"/>
        <v>12</v>
      </c>
      <c r="H130">
        <f ca="1">IF(OR($A130="S",$A130=0),0,MATCH(0,OFFSET($B130,1,$A130,ROW($A$275)-ROW($A130)),0))</f>
        <v>0</v>
      </c>
      <c r="I130">
        <f ca="1">IF(OR($A130="S",$A130=0),0,MATCH(OFFSET($B130,0,$A130)+1,OFFSET($B130,1,$A130,ROW($A$275)-ROW($A130)),0))</f>
        <v>0</v>
      </c>
      <c r="J130" s="101" t="s">
        <v>103</v>
      </c>
      <c r="K130" s="137" t="str">
        <f t="shared" ca="1" si="7"/>
        <v>1.13.12.</v>
      </c>
      <c r="L130" s="176" t="s">
        <v>237</v>
      </c>
      <c r="M130" s="176" t="s">
        <v>391</v>
      </c>
      <c r="N130" s="197" t="str">
        <f ca="1">IF($A130="S",Referencia.Descricao,"(digite a descrição aqui)")</f>
        <v>IMPERMEABILIZAÇÃO DE SUPERFÍCIE COM EMULSÃO ASFÁLTICA, 2 DEMÃOS. AF_09/2023</v>
      </c>
      <c r="O130" s="196" t="str">
        <f ca="1">Referencia.Unidade</f>
        <v>M2</v>
      </c>
      <c r="P130" s="199">
        <v>25.13</v>
      </c>
      <c r="Q130" s="195">
        <f t="shared" ca="1" si="20"/>
        <v>46.02</v>
      </c>
      <c r="R130" s="198" t="s">
        <v>7</v>
      </c>
      <c r="S130" s="102">
        <f t="shared" ca="1" si="8"/>
        <v>58.16</v>
      </c>
      <c r="T130" s="82">
        <f t="shared" ca="1" si="9"/>
        <v>1461.56</v>
      </c>
      <c r="U130" s="9" t="str">
        <f t="shared" ca="1" si="10"/>
        <v/>
      </c>
      <c r="V130" s="1" t="str">
        <f ca="1">IF(OR($A130=0,$A130="S",$A130&gt;CFF!$A$9),"",MAX(V$12:OFFSET(V130,-1,0))+1)</f>
        <v/>
      </c>
      <c r="W130" s="4" t="str">
        <f t="shared" si="11"/>
        <v>SINAPI-98557</v>
      </c>
      <c r="X130" s="1">
        <f t="shared" ca="1" si="12"/>
        <v>2916</v>
      </c>
      <c r="Y130" s="102">
        <f t="shared" ca="1" si="13"/>
        <v>46.02</v>
      </c>
      <c r="Z130" s="112">
        <f ca="1">ROUND(IF(ISNUMBER(R130),R130,IF(LEFT(R130,3)="BDI",HLOOKUP(R130,DADOS!$T$37:$X$38,2,FALSE),0)),15-11*$X$5)</f>
        <v>0.26379999999999998</v>
      </c>
      <c r="AA130" s="1"/>
    </row>
    <row r="131" spans="1:27" ht="25.5" x14ac:dyDescent="0.2">
      <c r="A131" t="str">
        <f t="shared" si="0"/>
        <v>S</v>
      </c>
      <c r="B131">
        <f t="shared" si="1"/>
        <v>0</v>
      </c>
      <c r="C131">
        <f t="shared" ca="1" si="2"/>
        <v>1</v>
      </c>
      <c r="D131">
        <f t="shared" ca="1" si="3"/>
        <v>13</v>
      </c>
      <c r="E131">
        <f t="shared" ca="1" si="4"/>
        <v>0</v>
      </c>
      <c r="F131">
        <f t="shared" ca="1" si="5"/>
        <v>0</v>
      </c>
      <c r="G131">
        <f t="shared" ca="1" si="6"/>
        <v>13</v>
      </c>
      <c r="H131">
        <f ca="1">IF(OR($A131="S",$A131=0),0,MATCH(0,OFFSET($B131,1,$A131,ROW($A$275)-ROW($A131)),0))</f>
        <v>0</v>
      </c>
      <c r="I131">
        <f ca="1">IF(OR($A131="S",$A131=0),0,MATCH(OFFSET($B131,0,$A131)+1,OFFSET($B131,1,$A131,ROW($A$275)-ROW($A131)),0))</f>
        <v>0</v>
      </c>
      <c r="J131" s="101" t="s">
        <v>103</v>
      </c>
      <c r="K131" s="137" t="str">
        <f t="shared" ca="1" si="7"/>
        <v>1.13.13.</v>
      </c>
      <c r="L131" s="176" t="s">
        <v>237</v>
      </c>
      <c r="M131" s="176" t="s">
        <v>412</v>
      </c>
      <c r="N131" s="197" t="str">
        <f ca="1">IF($A131="S",Referencia.Descricao,"(digite a descrição aqui)")</f>
        <v>TUBO PVC, SERIE NORMAL, ESGOTO PREDIAL, DN 50 MM, FORNECIDO E INSTALADO EM PRUMADA DE ESGOTO SANITÁRIO OU VENTILAÇÃO. AF_08/2022</v>
      </c>
      <c r="O131" s="196" t="str">
        <f ca="1">Referencia.Unidade</f>
        <v>M</v>
      </c>
      <c r="P131" s="199">
        <f>(6*4)+12</f>
        <v>36</v>
      </c>
      <c r="Q131" s="195">
        <f t="shared" ca="1" si="20"/>
        <v>13.98</v>
      </c>
      <c r="R131" s="198" t="s">
        <v>7</v>
      </c>
      <c r="S131" s="102">
        <f t="shared" ca="1" si="8"/>
        <v>17.670000000000002</v>
      </c>
      <c r="T131" s="82">
        <f t="shared" ca="1" si="9"/>
        <v>636.12</v>
      </c>
      <c r="U131" s="9" t="str">
        <f t="shared" ca="1" si="10"/>
        <v/>
      </c>
      <c r="V131" s="1" t="str">
        <f ca="1">IF(OR($A131=0,$A131="S",$A131&gt;CFF!$A$9),"",MAX(V$12:OFFSET(V131,-1,0))+1)</f>
        <v/>
      </c>
      <c r="W131" s="4" t="str">
        <f t="shared" si="11"/>
        <v>SINAPI-89798</v>
      </c>
      <c r="X131" s="1">
        <f t="shared" ca="1" si="12"/>
        <v>3627</v>
      </c>
      <c r="Y131" s="102">
        <f t="shared" ca="1" si="13"/>
        <v>13.98</v>
      </c>
      <c r="Z131" s="112">
        <f ca="1">ROUND(IF(ISNUMBER(R131),R131,IF(LEFT(R131,3)="BDI",HLOOKUP(R131,DADOS!$T$37:$X$38,2,FALSE),0)),15-11*$X$5)</f>
        <v>0.26379999999999998</v>
      </c>
      <c r="AA131" s="1"/>
    </row>
    <row r="132" spans="1:27" ht="38.25" x14ac:dyDescent="0.2">
      <c r="A132" t="str">
        <f t="shared" si="0"/>
        <v>S</v>
      </c>
      <c r="B132">
        <f t="shared" si="1"/>
        <v>0</v>
      </c>
      <c r="C132">
        <f t="shared" ca="1" si="2"/>
        <v>1</v>
      </c>
      <c r="D132">
        <f t="shared" ca="1" si="3"/>
        <v>13</v>
      </c>
      <c r="E132">
        <f t="shared" ca="1" si="4"/>
        <v>0</v>
      </c>
      <c r="F132">
        <f t="shared" ca="1" si="5"/>
        <v>0</v>
      </c>
      <c r="G132">
        <f t="shared" ca="1" si="6"/>
        <v>14</v>
      </c>
      <c r="H132">
        <f ca="1">IF(OR($A132="S",$A132=0),0,MATCH(0,OFFSET($B132,1,$A132,ROW($A$275)-ROW($A132)),0))</f>
        <v>0</v>
      </c>
      <c r="I132">
        <f ca="1">IF(OR($A132="S",$A132=0),0,MATCH(OFFSET($B132,0,$A132)+1,OFFSET($B132,1,$A132,ROW($A$275)-ROW($A132)),0))</f>
        <v>0</v>
      </c>
      <c r="J132" s="101" t="s">
        <v>103</v>
      </c>
      <c r="K132" s="137" t="str">
        <f t="shared" ca="1" si="7"/>
        <v>1.13.14.</v>
      </c>
      <c r="L132" s="176" t="s">
        <v>237</v>
      </c>
      <c r="M132" s="176" t="s">
        <v>413</v>
      </c>
      <c r="N132" s="197" t="str">
        <f ca="1">IF($A132="S",Referencia.Descricao,"(digite a descrição aqui)")</f>
        <v>TUBO PVC, SERIE NORMAL, ESGOTO PREDIAL, DN 75 MM, FORNECIDO E INSTALADO EM RAMAL DE DESCARGA OU RAMAL DE ESGOTO SANITÁRIO. AF_08/2022</v>
      </c>
      <c r="O132" s="196" t="str">
        <f ca="1">Referencia.Unidade</f>
        <v>M</v>
      </c>
      <c r="P132" s="199">
        <f>4*6</f>
        <v>24</v>
      </c>
      <c r="Q132" s="195">
        <f t="shared" ca="1" si="20"/>
        <v>33.659999999999997</v>
      </c>
      <c r="R132" s="198" t="s">
        <v>7</v>
      </c>
      <c r="S132" s="102">
        <f t="shared" ca="1" si="8"/>
        <v>42.54</v>
      </c>
      <c r="T132" s="82">
        <f t="shared" ca="1" si="9"/>
        <v>1020.96</v>
      </c>
      <c r="U132" s="9" t="str">
        <f t="shared" ca="1" si="10"/>
        <v/>
      </c>
      <c r="V132" s="1" t="str">
        <f ca="1">IF(OR($A132=0,$A132="S",$A132&gt;CFF!$A$9),"",MAX(V$12:OFFSET(V132,-1,0))+1)</f>
        <v/>
      </c>
      <c r="W132" s="4" t="str">
        <f t="shared" si="11"/>
        <v>SINAPI-89713</v>
      </c>
      <c r="X132" s="1">
        <f t="shared" ca="1" si="12"/>
        <v>3619</v>
      </c>
      <c r="Y132" s="102">
        <f t="shared" ca="1" si="13"/>
        <v>33.659999999999997</v>
      </c>
      <c r="Z132" s="112">
        <f ca="1">ROUND(IF(ISNUMBER(R132),R132,IF(LEFT(R132,3)="BDI",HLOOKUP(R132,DADOS!$T$37:$X$38,2,FALSE),0)),15-11*$X$5)</f>
        <v>0.26379999999999998</v>
      </c>
      <c r="AA132" s="1"/>
    </row>
    <row r="133" spans="1:27" ht="25.5" x14ac:dyDescent="0.2">
      <c r="A133" t="str">
        <f t="shared" si="0"/>
        <v>S</v>
      </c>
      <c r="B133">
        <f t="shared" si="1"/>
        <v>0</v>
      </c>
      <c r="C133">
        <f t="shared" ca="1" si="2"/>
        <v>1</v>
      </c>
      <c r="D133">
        <f t="shared" ca="1" si="3"/>
        <v>13</v>
      </c>
      <c r="E133">
        <f t="shared" ca="1" si="4"/>
        <v>0</v>
      </c>
      <c r="F133">
        <f t="shared" ca="1" si="5"/>
        <v>0</v>
      </c>
      <c r="G133">
        <f t="shared" ca="1" si="6"/>
        <v>15</v>
      </c>
      <c r="H133">
        <f ca="1">IF(OR($A133="S",$A133=0),0,MATCH(0,OFFSET($B133,1,$A133,ROW($A$275)-ROW($A133)),0))</f>
        <v>0</v>
      </c>
      <c r="I133">
        <f ca="1">IF(OR($A133="S",$A133=0),0,MATCH(OFFSET($B133,0,$A133)+1,OFFSET($B133,1,$A133,ROW($A$275)-ROW($A133)),0))</f>
        <v>0</v>
      </c>
      <c r="J133" s="101" t="s">
        <v>103</v>
      </c>
      <c r="K133" s="137" t="str">
        <f t="shared" ca="1" si="7"/>
        <v>1.13.15.</v>
      </c>
      <c r="L133" s="176" t="s">
        <v>237</v>
      </c>
      <c r="M133" s="176" t="s">
        <v>412</v>
      </c>
      <c r="N133" s="197" t="str">
        <f ca="1">IF($A133="S",Referencia.Descricao,"(digite a descrição aqui)")</f>
        <v>TUBO PVC, SERIE NORMAL, ESGOTO PREDIAL, DN 50 MM, FORNECIDO E INSTALADO EM PRUMADA DE ESGOTO SANITÁRIO OU VENTILAÇÃO. AF_08/2022</v>
      </c>
      <c r="O133" s="196" t="str">
        <f ca="1">Referencia.Unidade</f>
        <v>M</v>
      </c>
      <c r="P133" s="199">
        <f>4*6</f>
        <v>24</v>
      </c>
      <c r="Q133" s="195">
        <f t="shared" ca="1" si="20"/>
        <v>13.98</v>
      </c>
      <c r="R133" s="198" t="s">
        <v>7</v>
      </c>
      <c r="S133" s="102">
        <f t="shared" ca="1" si="8"/>
        <v>17.670000000000002</v>
      </c>
      <c r="T133" s="82">
        <f t="shared" ca="1" si="9"/>
        <v>424.08</v>
      </c>
      <c r="U133" s="9" t="str">
        <f t="shared" ca="1" si="10"/>
        <v/>
      </c>
      <c r="V133" s="1" t="str">
        <f ca="1">IF(OR($A133=0,$A133="S",$A133&gt;CFF!$A$9),"",MAX(V$12:OFFSET(V133,-1,0))+1)</f>
        <v/>
      </c>
      <c r="W133" s="4" t="str">
        <f t="shared" si="11"/>
        <v>SINAPI-89798</v>
      </c>
      <c r="X133" s="1">
        <f t="shared" ca="1" si="12"/>
        <v>3627</v>
      </c>
      <c r="Y133" s="102">
        <f t="shared" ca="1" si="13"/>
        <v>13.98</v>
      </c>
      <c r="Z133" s="112">
        <f ca="1">ROUND(IF(ISNUMBER(R133),R133,IF(LEFT(R133,3)="BDI",HLOOKUP(R133,DADOS!$T$37:$X$38,2,FALSE),0)),15-11*$X$5)</f>
        <v>0.26379999999999998</v>
      </c>
      <c r="AA133" s="1"/>
    </row>
    <row r="134" spans="1:27" ht="38.25" x14ac:dyDescent="0.2">
      <c r="A134" t="str">
        <f t="shared" si="0"/>
        <v>S</v>
      </c>
      <c r="B134">
        <f t="shared" si="1"/>
        <v>0</v>
      </c>
      <c r="C134">
        <f t="shared" ca="1" si="2"/>
        <v>1</v>
      </c>
      <c r="D134">
        <f t="shared" ca="1" si="3"/>
        <v>13</v>
      </c>
      <c r="E134">
        <f t="shared" ca="1" si="4"/>
        <v>0</v>
      </c>
      <c r="F134">
        <f t="shared" ca="1" si="5"/>
        <v>0</v>
      </c>
      <c r="G134">
        <f t="shared" ca="1" si="6"/>
        <v>16</v>
      </c>
      <c r="H134">
        <f ca="1">IF(OR($A134="S",$A134=0),0,MATCH(0,OFFSET($B134,1,$A134,ROW($A$275)-ROW($A134)),0))</f>
        <v>0</v>
      </c>
      <c r="I134">
        <f ca="1">IF(OR($A134="S",$A134=0),0,MATCH(OFFSET($B134,0,$A134)+1,OFFSET($B134,1,$A134,ROW($A$275)-ROW($A134)),0))</f>
        <v>0</v>
      </c>
      <c r="J134" s="101" t="s">
        <v>103</v>
      </c>
      <c r="K134" s="137" t="str">
        <f t="shared" ca="1" si="7"/>
        <v>1.13.16.</v>
      </c>
      <c r="L134" s="176" t="s">
        <v>237</v>
      </c>
      <c r="M134" s="176" t="s">
        <v>414</v>
      </c>
      <c r="N134" s="197" t="str">
        <f ca="1">IF($A134="S",Referencia.Descricao,"(digite a descrição aqui)")</f>
        <v>TUBO PVC, SERIE NORMAL, ESGOTO PREDIAL, DN 40 MM, FORNECIDO E INSTALADO EM RAMAL DE DESCARGA OU RAMAL DE ESGOTO SANITÁRIO. AF_08/2022</v>
      </c>
      <c r="O134" s="196" t="str">
        <f ca="1">Referencia.Unidade</f>
        <v>M</v>
      </c>
      <c r="P134" s="199">
        <f>5*6</f>
        <v>30</v>
      </c>
      <c r="Q134" s="195">
        <f t="shared" ca="1" si="20"/>
        <v>21.03</v>
      </c>
      <c r="R134" s="198" t="s">
        <v>7</v>
      </c>
      <c r="S134" s="102">
        <f t="shared" ca="1" si="8"/>
        <v>26.58</v>
      </c>
      <c r="T134" s="82">
        <f t="shared" ca="1" si="9"/>
        <v>797.4</v>
      </c>
      <c r="U134" s="9" t="str">
        <f t="shared" ca="1" si="10"/>
        <v/>
      </c>
      <c r="V134" s="1" t="str">
        <f ca="1">IF(OR($A134=0,$A134="S",$A134&gt;CFF!$A$9),"",MAX(V$12:OFFSET(V134,-1,0))+1)</f>
        <v/>
      </c>
      <c r="W134" s="4" t="str">
        <f t="shared" si="11"/>
        <v>SINAPI-89711</v>
      </c>
      <c r="X134" s="1">
        <f t="shared" ca="1" si="12"/>
        <v>3617</v>
      </c>
      <c r="Y134" s="102">
        <f t="shared" ca="1" si="13"/>
        <v>21.03</v>
      </c>
      <c r="Z134" s="112">
        <f ca="1">ROUND(IF(ISNUMBER(R134),R134,IF(LEFT(R134,3)="BDI",HLOOKUP(R134,DADOS!$T$37:$X$38,2,FALSE),0)),15-11*$X$5)</f>
        <v>0.26379999999999998</v>
      </c>
      <c r="AA134" s="1"/>
    </row>
    <row r="135" spans="1:27" ht="38.25" x14ac:dyDescent="0.2">
      <c r="A135" t="str">
        <f t="shared" si="0"/>
        <v>S</v>
      </c>
      <c r="B135">
        <f t="shared" si="1"/>
        <v>0</v>
      </c>
      <c r="C135">
        <f t="shared" ca="1" si="2"/>
        <v>1</v>
      </c>
      <c r="D135">
        <f t="shared" ca="1" si="3"/>
        <v>13</v>
      </c>
      <c r="E135">
        <f t="shared" ca="1" si="4"/>
        <v>0</v>
      </c>
      <c r="F135">
        <f t="shared" ca="1" si="5"/>
        <v>0</v>
      </c>
      <c r="G135">
        <f t="shared" ca="1" si="6"/>
        <v>17</v>
      </c>
      <c r="H135">
        <f ca="1">IF(OR($A135="S",$A135=0),0,MATCH(0,OFFSET($B135,1,$A135,ROW($A$275)-ROW($A135)),0))</f>
        <v>0</v>
      </c>
      <c r="I135">
        <f ca="1">IF(OR($A135="S",$A135=0),0,MATCH(OFFSET($B135,0,$A135)+1,OFFSET($B135,1,$A135,ROW($A$275)-ROW($A135)),0))</f>
        <v>0</v>
      </c>
      <c r="J135" s="101" t="s">
        <v>103</v>
      </c>
      <c r="K135" s="137" t="str">
        <f t="shared" ca="1" si="7"/>
        <v>1.13.17.</v>
      </c>
      <c r="L135" s="176" t="s">
        <v>237</v>
      </c>
      <c r="M135" s="176" t="s">
        <v>415</v>
      </c>
      <c r="N135" s="197" t="str">
        <f ca="1">IF($A135="S",Referencia.Descricao,"(digite a descrição aqui)")</f>
        <v>TUBO PVC, SERIE NORMAL, ESGOTO PREDIAL, DN 100 MM, FORNECIDO E INSTALADO EM RAMAL DE DESCARGA OU RAMAL DE ESGOTO SANITÁRIO. AF_08/2022</v>
      </c>
      <c r="O135" s="196" t="str">
        <f ca="1">Referencia.Unidade</f>
        <v>M</v>
      </c>
      <c r="P135" s="199">
        <f>17*6</f>
        <v>102</v>
      </c>
      <c r="Q135" s="195">
        <f t="shared" ca="1" si="20"/>
        <v>37.520000000000003</v>
      </c>
      <c r="R135" s="198" t="s">
        <v>7</v>
      </c>
      <c r="S135" s="102">
        <f t="shared" ca="1" si="8"/>
        <v>47.42</v>
      </c>
      <c r="T135" s="82">
        <f t="shared" ca="1" si="9"/>
        <v>4836.84</v>
      </c>
      <c r="U135" s="9" t="str">
        <f t="shared" ca="1" si="10"/>
        <v/>
      </c>
      <c r="V135" s="1" t="str">
        <f ca="1">IF(OR($A135=0,$A135="S",$A135&gt;CFF!$A$9),"",MAX(V$12:OFFSET(V135,-1,0))+1)</f>
        <v/>
      </c>
      <c r="W135" s="4" t="str">
        <f t="shared" si="11"/>
        <v>SINAPI-89714</v>
      </c>
      <c r="X135" s="1">
        <f t="shared" ca="1" si="12"/>
        <v>3620</v>
      </c>
      <c r="Y135" s="102">
        <f t="shared" ca="1" si="13"/>
        <v>37.520000000000003</v>
      </c>
      <c r="Z135" s="112">
        <f ca="1">ROUND(IF(ISNUMBER(R135),R135,IF(LEFT(R135,3)="BDI",HLOOKUP(R135,DADOS!$T$37:$X$38,2,FALSE),0)),15-11*$X$5)</f>
        <v>0.26379999999999998</v>
      </c>
      <c r="AA135" s="1"/>
    </row>
    <row r="136" spans="1:27" ht="38.25" x14ac:dyDescent="0.2">
      <c r="A136" t="str">
        <f t="shared" si="0"/>
        <v>S</v>
      </c>
      <c r="B136">
        <f t="shared" si="1"/>
        <v>0</v>
      </c>
      <c r="C136">
        <f t="shared" ca="1" si="2"/>
        <v>1</v>
      </c>
      <c r="D136">
        <f t="shared" ca="1" si="3"/>
        <v>13</v>
      </c>
      <c r="E136">
        <f t="shared" ca="1" si="4"/>
        <v>0</v>
      </c>
      <c r="F136">
        <f t="shared" ca="1" si="5"/>
        <v>0</v>
      </c>
      <c r="G136">
        <f t="shared" ca="1" si="6"/>
        <v>18</v>
      </c>
      <c r="H136">
        <f ca="1">IF(OR($A136="S",$A136=0),0,MATCH(0,OFFSET($B136,1,$A136,ROW($A$275)-ROW($A136)),0))</f>
        <v>0</v>
      </c>
      <c r="I136">
        <f ca="1">IF(OR($A136="S",$A136=0),0,MATCH(OFFSET($B136,0,$A136)+1,OFFSET($B136,1,$A136,ROW($A$275)-ROW($A136)),0))</f>
        <v>0</v>
      </c>
      <c r="J136" s="101" t="s">
        <v>103</v>
      </c>
      <c r="K136" s="137" t="str">
        <f t="shared" ca="1" si="7"/>
        <v>1.13.18.</v>
      </c>
      <c r="L136" s="176" t="s">
        <v>237</v>
      </c>
      <c r="M136" s="176" t="s">
        <v>416</v>
      </c>
      <c r="N136" s="197" t="str">
        <f ca="1">IF($A136="S",Referencia.Descricao,"(digite a descrição aqui)")</f>
        <v>TUBO EM COBRE FLEXÍVEL, DN 5/8", COM ISOLAMENTO, INSTALADO EM FORRO, PARA RAMAL DE ALIMENTAÇÃO DE AR CONDICIONADO, INCLUSO FIXADOR. AF_11/2021_PA</v>
      </c>
      <c r="O136" s="196" t="str">
        <f ca="1">Referencia.Unidade</f>
        <v>M</v>
      </c>
      <c r="P136" s="199">
        <v>15</v>
      </c>
      <c r="Q136" s="195">
        <f t="shared" ca="1" si="20"/>
        <v>73.25</v>
      </c>
      <c r="R136" s="198" t="s">
        <v>7</v>
      </c>
      <c r="S136" s="102">
        <f t="shared" ca="1" si="8"/>
        <v>92.57</v>
      </c>
      <c r="T136" s="82">
        <f t="shared" ca="1" si="9"/>
        <v>1388.55</v>
      </c>
      <c r="U136" s="9" t="str">
        <f t="shared" ca="1" si="10"/>
        <v/>
      </c>
      <c r="V136" s="1" t="str">
        <f ca="1">IF(OR($A136=0,$A136="S",$A136&gt;CFF!$A$9),"",MAX(V$12:OFFSET(V136,-1,0))+1)</f>
        <v/>
      </c>
      <c r="W136" s="4" t="str">
        <f t="shared" si="11"/>
        <v>SINAPI-103292</v>
      </c>
      <c r="X136" s="1">
        <f t="shared" ca="1" si="12"/>
        <v>3572</v>
      </c>
      <c r="Y136" s="102">
        <f t="shared" ca="1" si="13"/>
        <v>73.25</v>
      </c>
      <c r="Z136" s="112">
        <f ca="1">ROUND(IF(ISNUMBER(R136),R136,IF(LEFT(R136,3)="BDI",HLOOKUP(R136,DADOS!$T$37:$X$38,2,FALSE),0)),15-11*$X$5)</f>
        <v>0.26379999999999998</v>
      </c>
      <c r="AA136" s="1"/>
    </row>
    <row r="137" spans="1:27" ht="38.25" x14ac:dyDescent="0.2">
      <c r="A137" t="str">
        <f t="shared" si="0"/>
        <v>S</v>
      </c>
      <c r="B137">
        <f t="shared" si="1"/>
        <v>0</v>
      </c>
      <c r="C137">
        <f t="shared" ca="1" si="2"/>
        <v>1</v>
      </c>
      <c r="D137">
        <f t="shared" ca="1" si="3"/>
        <v>13</v>
      </c>
      <c r="E137">
        <f t="shared" ca="1" si="4"/>
        <v>0</v>
      </c>
      <c r="F137">
        <f t="shared" ca="1" si="5"/>
        <v>0</v>
      </c>
      <c r="G137">
        <f t="shared" ca="1" si="6"/>
        <v>19</v>
      </c>
      <c r="H137">
        <f ca="1">IF(OR($A137="S",$A137=0),0,MATCH(0,OFFSET($B137,1,$A137,ROW($A$275)-ROW($A137)),0))</f>
        <v>0</v>
      </c>
      <c r="I137">
        <f ca="1">IF(OR($A137="S",$A137=0),0,MATCH(OFFSET($B137,0,$A137)+1,OFFSET($B137,1,$A137,ROW($A$275)-ROW($A137)),0))</f>
        <v>0</v>
      </c>
      <c r="J137" s="101" t="s">
        <v>103</v>
      </c>
      <c r="K137" s="137" t="str">
        <f t="shared" ca="1" si="7"/>
        <v>1.13.19.</v>
      </c>
      <c r="L137" s="176" t="s">
        <v>237</v>
      </c>
      <c r="M137" s="176" t="s">
        <v>417</v>
      </c>
      <c r="N137" s="197" t="str">
        <f ca="1">IF($A137="S",Referencia.Descricao,"(digite a descrição aqui)")</f>
        <v>TUBO EM COBRE FLEXÍVEL, DN 1/2", COM ISOLAMENTO, INSTALADO EM FORRO, PARA RAMAL DE ALIMENTAÇÃO DE AR CONDICIONADO, INCLUSO FIXADOR. AF_11/2021_PA</v>
      </c>
      <c r="O137" s="196" t="str">
        <f ca="1">Referencia.Unidade</f>
        <v>M</v>
      </c>
      <c r="P137" s="199">
        <v>15</v>
      </c>
      <c r="Q137" s="195">
        <f t="shared" ca="1" si="20"/>
        <v>60.67</v>
      </c>
      <c r="R137" s="198" t="s">
        <v>7</v>
      </c>
      <c r="S137" s="102">
        <f t="shared" ca="1" si="8"/>
        <v>76.67</v>
      </c>
      <c r="T137" s="82">
        <f t="shared" ca="1" si="9"/>
        <v>1150.05</v>
      </c>
      <c r="U137" s="9" t="str">
        <f t="shared" ca="1" si="10"/>
        <v/>
      </c>
      <c r="V137" s="1" t="str">
        <f ca="1">IF(OR($A137=0,$A137="S",$A137&gt;CFF!$A$9),"",MAX(V$12:OFFSET(V137,-1,0))+1)</f>
        <v/>
      </c>
      <c r="W137" s="4" t="str">
        <f t="shared" si="11"/>
        <v>SINAPI-103291</v>
      </c>
      <c r="X137" s="1">
        <f t="shared" ca="1" si="12"/>
        <v>3571</v>
      </c>
      <c r="Y137" s="102">
        <f t="shared" ca="1" si="13"/>
        <v>60.67</v>
      </c>
      <c r="Z137" s="112">
        <f ca="1">ROUND(IF(ISNUMBER(R137),R137,IF(LEFT(R137,3)="BDI",HLOOKUP(R137,DADOS!$T$37:$X$38,2,FALSE),0)),15-11*$X$5)</f>
        <v>0.26379999999999998</v>
      </c>
      <c r="AA137" s="1"/>
    </row>
    <row r="138" spans="1:27" ht="38.25" x14ac:dyDescent="0.2">
      <c r="A138" t="str">
        <f t="shared" si="0"/>
        <v>S</v>
      </c>
      <c r="B138">
        <f t="shared" si="1"/>
        <v>0</v>
      </c>
      <c r="C138">
        <f t="shared" ca="1" si="2"/>
        <v>1</v>
      </c>
      <c r="D138">
        <f t="shared" ca="1" si="3"/>
        <v>13</v>
      </c>
      <c r="E138">
        <f t="shared" ca="1" si="4"/>
        <v>0</v>
      </c>
      <c r="F138">
        <f t="shared" ca="1" si="5"/>
        <v>0</v>
      </c>
      <c r="G138">
        <f t="shared" ca="1" si="6"/>
        <v>20</v>
      </c>
      <c r="H138">
        <f ca="1">IF(OR($A138="S",$A138=0),0,MATCH(0,OFFSET($B138,1,$A138,ROW($A$275)-ROW($A138)),0))</f>
        <v>0</v>
      </c>
      <c r="I138">
        <f ca="1">IF(OR($A138="S",$A138=0),0,MATCH(OFFSET($B138,0,$A138)+1,OFFSET($B138,1,$A138,ROW($A$275)-ROW($A138)),0))</f>
        <v>0</v>
      </c>
      <c r="J138" s="101" t="s">
        <v>103</v>
      </c>
      <c r="K138" s="137" t="str">
        <f t="shared" ca="1" si="7"/>
        <v>1.13.20.</v>
      </c>
      <c r="L138" s="176" t="s">
        <v>237</v>
      </c>
      <c r="M138" s="176" t="s">
        <v>419</v>
      </c>
      <c r="N138" s="197" t="str">
        <f ca="1">IF($A138="S",Referencia.Descricao,"(digite a descrição aqui)")</f>
        <v>TUBO PEAD LISO PARA REDE DE ÁGUA OU ESGOTO, DIÂMETRO DE 32 MM, JUNTA SOLDADA (NÃO INCLUI A EXECUÇÃO DE SOLDA) - FORNECIMENTO E ASSENTAMENTO. AF_12/2021</v>
      </c>
      <c r="O138" s="196" t="str">
        <f ca="1">Referencia.Unidade</f>
        <v>M</v>
      </c>
      <c r="P138" s="199">
        <v>30</v>
      </c>
      <c r="Q138" s="195">
        <f t="shared" ca="1" si="20"/>
        <v>10.29</v>
      </c>
      <c r="R138" s="198" t="s">
        <v>7</v>
      </c>
      <c r="S138" s="102">
        <f t="shared" ca="1" si="8"/>
        <v>13</v>
      </c>
      <c r="T138" s="82">
        <f t="shared" ca="1" si="9"/>
        <v>390</v>
      </c>
      <c r="U138" s="9" t="str">
        <f t="shared" ca="1" si="10"/>
        <v/>
      </c>
      <c r="V138" s="1" t="str">
        <f ca="1">IF(OR($A138=0,$A138="S",$A138&gt;CFF!$A$9),"",MAX(V$12:OFFSET(V138,-1,0))+1)</f>
        <v/>
      </c>
      <c r="W138" s="4" t="str">
        <f t="shared" si="11"/>
        <v>SINAPI-103373</v>
      </c>
      <c r="X138" s="1">
        <f t="shared" ca="1" si="12"/>
        <v>456</v>
      </c>
      <c r="Y138" s="102">
        <f t="shared" ca="1" si="13"/>
        <v>10.29</v>
      </c>
      <c r="Z138" s="112">
        <f ca="1">ROUND(IF(ISNUMBER(R138),R138,IF(LEFT(R138,3)="BDI",HLOOKUP(R138,DADOS!$T$37:$X$38,2,FALSE),0)),15-11*$X$5)</f>
        <v>0.26379999999999998</v>
      </c>
      <c r="AA138" s="1"/>
    </row>
    <row r="139" spans="1:27" ht="25.5" x14ac:dyDescent="0.2">
      <c r="A139" t="str">
        <f t="shared" si="0"/>
        <v>S</v>
      </c>
      <c r="B139">
        <f t="shared" si="1"/>
        <v>0</v>
      </c>
      <c r="C139">
        <f t="shared" ca="1" si="2"/>
        <v>1</v>
      </c>
      <c r="D139">
        <f t="shared" ca="1" si="3"/>
        <v>13</v>
      </c>
      <c r="E139">
        <f t="shared" ca="1" si="4"/>
        <v>0</v>
      </c>
      <c r="F139">
        <f t="shared" ca="1" si="5"/>
        <v>0</v>
      </c>
      <c r="G139">
        <f t="shared" ca="1" si="6"/>
        <v>21</v>
      </c>
      <c r="H139">
        <f ca="1">IF(OR($A139="S",$A139=0),0,MATCH(0,OFFSET($B139,1,$A139,ROW($A$275)-ROW($A139)),0))</f>
        <v>0</v>
      </c>
      <c r="I139">
        <f ca="1">IF(OR($A139="S",$A139=0),0,MATCH(OFFSET($B139,0,$A139)+1,OFFSET($B139,1,$A139,ROW($A$275)-ROW($A139)),0))</f>
        <v>0</v>
      </c>
      <c r="J139" s="101" t="s">
        <v>103</v>
      </c>
      <c r="K139" s="137" t="str">
        <f t="shared" ca="1" si="7"/>
        <v>1.13.21.</v>
      </c>
      <c r="L139" s="176" t="s">
        <v>237</v>
      </c>
      <c r="M139" s="176" t="s">
        <v>420</v>
      </c>
      <c r="N139" s="197" t="str">
        <f ca="1">IF($A139="S",Referencia.Descricao,"(digite a descrição aqui)")</f>
        <v>TUBO, PVC, SOLDÁVEL, DE 50MM, INSTALADO EM RAMAL DE DISTRIBUIÇÃO DE ÁGUA - FORNECIMENTO E INSTALAÇÃO. AF_06/2022</v>
      </c>
      <c r="O139" s="196" t="str">
        <f ca="1">Referencia.Unidade</f>
        <v>M</v>
      </c>
      <c r="P139" s="199">
        <v>30</v>
      </c>
      <c r="Q139" s="195">
        <f t="shared" ca="1" si="20"/>
        <v>29.25</v>
      </c>
      <c r="R139" s="198" t="s">
        <v>7</v>
      </c>
      <c r="S139" s="102">
        <f t="shared" ca="1" si="8"/>
        <v>36.97</v>
      </c>
      <c r="T139" s="82">
        <f t="shared" ca="1" si="9"/>
        <v>1109.0999999999999</v>
      </c>
      <c r="U139" s="9" t="str">
        <f t="shared" ca="1" si="10"/>
        <v/>
      </c>
      <c r="V139" s="1" t="str">
        <f ca="1">IF(OR($A139=0,$A139="S",$A139&gt;CFF!$A$9),"",MAX(V$12:OFFSET(V139,-1,0))+1)</f>
        <v/>
      </c>
      <c r="W139" s="4" t="str">
        <f t="shared" si="11"/>
        <v>SINAPI-103979</v>
      </c>
      <c r="X139" s="1">
        <f t="shared" ca="1" si="12"/>
        <v>3824</v>
      </c>
      <c r="Y139" s="102">
        <f t="shared" ca="1" si="13"/>
        <v>29.25</v>
      </c>
      <c r="Z139" s="112">
        <f ca="1">ROUND(IF(ISNUMBER(R139),R139,IF(LEFT(R139,3)="BDI",HLOOKUP(R139,DADOS!$T$37:$X$38,2,FALSE),0)),15-11*$X$5)</f>
        <v>0.26379999999999998</v>
      </c>
      <c r="AA139" s="1"/>
    </row>
    <row r="140" spans="1:27" ht="25.5" x14ac:dyDescent="0.2">
      <c r="A140" t="str">
        <f t="shared" si="0"/>
        <v>S</v>
      </c>
      <c r="B140">
        <f t="shared" si="1"/>
        <v>0</v>
      </c>
      <c r="C140">
        <f t="shared" ca="1" si="2"/>
        <v>1</v>
      </c>
      <c r="D140">
        <f t="shared" ca="1" si="3"/>
        <v>13</v>
      </c>
      <c r="E140">
        <f t="shared" ca="1" si="4"/>
        <v>0</v>
      </c>
      <c r="F140">
        <f t="shared" ca="1" si="5"/>
        <v>0</v>
      </c>
      <c r="G140">
        <f t="shared" ca="1" si="6"/>
        <v>22</v>
      </c>
      <c r="H140">
        <f ca="1">IF(OR($A140="S",$A140=0),0,MATCH(0,OFFSET($B140,1,$A140,ROW($A$275)-ROW($A140)),0))</f>
        <v>0</v>
      </c>
      <c r="I140">
        <f ca="1">IF(OR($A140="S",$A140=0),0,MATCH(OFFSET($B140,0,$A140)+1,OFFSET($B140,1,$A140,ROW($A$275)-ROW($A140)),0))</f>
        <v>0</v>
      </c>
      <c r="J140" s="101" t="s">
        <v>103</v>
      </c>
      <c r="K140" s="137" t="str">
        <f t="shared" ca="1" si="7"/>
        <v>1.13.22.</v>
      </c>
      <c r="L140" s="176" t="s">
        <v>237</v>
      </c>
      <c r="M140" s="176" t="s">
        <v>421</v>
      </c>
      <c r="N140" s="197" t="str">
        <f ca="1">IF($A140="S",Referencia.Descricao,"(digite a descrição aqui)")</f>
        <v>TUBO, PVC, SOLDÁVEL, DE 32MM, INSTALADO EM DRENO DE AR CONDICIONADO - FORNECIMENTO E INSTALAÇÃO. AF_08/2022</v>
      </c>
      <c r="O140" s="196" t="str">
        <f ca="1">Referencia.Unidade</f>
        <v>M</v>
      </c>
      <c r="P140" s="199">
        <v>20</v>
      </c>
      <c r="Q140" s="195">
        <f t="shared" ca="1" si="20"/>
        <v>22.53</v>
      </c>
      <c r="R140" s="198" t="s">
        <v>7</v>
      </c>
      <c r="S140" s="102">
        <f t="shared" ca="1" si="8"/>
        <v>28.47</v>
      </c>
      <c r="T140" s="82">
        <f t="shared" ca="1" si="9"/>
        <v>569.4</v>
      </c>
      <c r="U140" s="9" t="str">
        <f t="shared" ca="1" si="10"/>
        <v/>
      </c>
      <c r="V140" s="1" t="str">
        <f ca="1">IF(OR($A140=0,$A140="S",$A140&gt;CFF!$A$9),"",MAX(V$12:OFFSET(V140,-1,0))+1)</f>
        <v/>
      </c>
      <c r="W140" s="4" t="str">
        <f t="shared" si="11"/>
        <v>SINAPI-104316</v>
      </c>
      <c r="X140" s="1">
        <f t="shared" ca="1" si="12"/>
        <v>3830</v>
      </c>
      <c r="Y140" s="102">
        <f t="shared" ca="1" si="13"/>
        <v>22.53</v>
      </c>
      <c r="Z140" s="112">
        <f ca="1">ROUND(IF(ISNUMBER(R140),R140,IF(LEFT(R140,3)="BDI",HLOOKUP(R140,DADOS!$T$37:$X$38,2,FALSE),0)),15-11*$X$5)</f>
        <v>0.26379999999999998</v>
      </c>
      <c r="AA140" s="1"/>
    </row>
    <row r="141" spans="1:27" ht="25.5" x14ac:dyDescent="0.2">
      <c r="A141" t="str">
        <f t="shared" si="0"/>
        <v>S</v>
      </c>
      <c r="B141">
        <f t="shared" si="1"/>
        <v>0</v>
      </c>
      <c r="C141">
        <f t="shared" ca="1" si="2"/>
        <v>1</v>
      </c>
      <c r="D141">
        <f t="shared" ca="1" si="3"/>
        <v>13</v>
      </c>
      <c r="E141">
        <f t="shared" ca="1" si="4"/>
        <v>0</v>
      </c>
      <c r="F141">
        <f t="shared" ca="1" si="5"/>
        <v>0</v>
      </c>
      <c r="G141">
        <f t="shared" ca="1" si="6"/>
        <v>23</v>
      </c>
      <c r="H141">
        <f ca="1">IF(OR($A141="S",$A141=0),0,MATCH(0,OFFSET($B141,1,$A141,ROW($A$275)-ROW($A141)),0))</f>
        <v>0</v>
      </c>
      <c r="I141">
        <f ca="1">IF(OR($A141="S",$A141=0),0,MATCH(OFFSET($B141,0,$A141)+1,OFFSET($B141,1,$A141,ROW($A$275)-ROW($A141)),0))</f>
        <v>0</v>
      </c>
      <c r="J141" s="101" t="s">
        <v>103</v>
      </c>
      <c r="K141" s="137" t="str">
        <f t="shared" ca="1" si="7"/>
        <v>1.13.23.</v>
      </c>
      <c r="L141" s="176" t="s">
        <v>237</v>
      </c>
      <c r="M141" s="176" t="s">
        <v>421</v>
      </c>
      <c r="N141" s="197" t="str">
        <f ca="1">IF($A141="S",Referencia.Descricao,"(digite a descrição aqui)")</f>
        <v>TUBO, PVC, SOLDÁVEL, DE 32MM, INSTALADO EM DRENO DE AR CONDICIONADO - FORNECIMENTO E INSTALAÇÃO. AF_08/2022</v>
      </c>
      <c r="O141" s="196" t="str">
        <f ca="1">Referencia.Unidade</f>
        <v>M</v>
      </c>
      <c r="P141" s="199">
        <v>70</v>
      </c>
      <c r="Q141" s="195">
        <f t="shared" ca="1" si="20"/>
        <v>22.53</v>
      </c>
      <c r="R141" s="198" t="s">
        <v>7</v>
      </c>
      <c r="S141" s="102">
        <f t="shared" ca="1" si="8"/>
        <v>28.47</v>
      </c>
      <c r="T141" s="82">
        <f t="shared" ca="1" si="9"/>
        <v>1992.9</v>
      </c>
      <c r="U141" s="9" t="str">
        <f t="shared" ca="1" si="10"/>
        <v/>
      </c>
      <c r="V141" s="1" t="str">
        <f ca="1">IF(OR($A141=0,$A141="S",$A141&gt;CFF!$A$9),"",MAX(V$12:OFFSET(V141,-1,0))+1)</f>
        <v/>
      </c>
      <c r="W141" s="4" t="str">
        <f t="shared" si="11"/>
        <v>SINAPI-104316</v>
      </c>
      <c r="X141" s="1">
        <f t="shared" ca="1" si="12"/>
        <v>3830</v>
      </c>
      <c r="Y141" s="102">
        <f t="shared" ca="1" si="13"/>
        <v>22.53</v>
      </c>
      <c r="Z141" s="112">
        <f ca="1">ROUND(IF(ISNUMBER(R141),R141,IF(LEFT(R141,3)="BDI",HLOOKUP(R141,DADOS!$T$37:$X$38,2,FALSE),0)),15-11*$X$5)</f>
        <v>0.26379999999999998</v>
      </c>
      <c r="AA141" s="1"/>
    </row>
    <row r="142" spans="1:27" ht="25.5" x14ac:dyDescent="0.2">
      <c r="A142" t="str">
        <f t="shared" si="0"/>
        <v>S</v>
      </c>
      <c r="B142">
        <f t="shared" si="1"/>
        <v>0</v>
      </c>
      <c r="C142">
        <f t="shared" ca="1" si="2"/>
        <v>1</v>
      </c>
      <c r="D142">
        <f t="shared" ca="1" si="3"/>
        <v>13</v>
      </c>
      <c r="E142">
        <f t="shared" ca="1" si="4"/>
        <v>0</v>
      </c>
      <c r="F142">
        <f t="shared" ca="1" si="5"/>
        <v>0</v>
      </c>
      <c r="G142">
        <f t="shared" ca="1" si="6"/>
        <v>24</v>
      </c>
      <c r="H142">
        <f ca="1">IF(OR($A142="S",$A142=0),0,MATCH(0,OFFSET($B142,1,$A142,ROW($A$275)-ROW($A142)),0))</f>
        <v>0</v>
      </c>
      <c r="I142">
        <f ca="1">IF(OR($A142="S",$A142=0),0,MATCH(OFFSET($B142,0,$A142)+1,OFFSET($B142,1,$A142,ROW($A$275)-ROW($A142)),0))</f>
        <v>0</v>
      </c>
      <c r="J142" s="101" t="s">
        <v>103</v>
      </c>
      <c r="K142" s="137" t="str">
        <f t="shared" ca="1" si="7"/>
        <v>1.13.24.</v>
      </c>
      <c r="L142" s="176" t="s">
        <v>237</v>
      </c>
      <c r="M142" s="176" t="s">
        <v>422</v>
      </c>
      <c r="N142" s="197" t="str">
        <f ca="1">IF($A142="S",Referencia.Descricao,"(digite a descrição aqui)")</f>
        <v>TUBO, PVC, SOLDÁVEL, DE 25MM, INSTALADO EM RAMAL DE DISTRIBUIÇÃO DE ÁGUA - FORNECIMENTO E INSTALAÇÃO. AF_06/2022</v>
      </c>
      <c r="O142" s="196" t="str">
        <f ca="1">Referencia.Unidade</f>
        <v>M</v>
      </c>
      <c r="P142" s="199">
        <v>30</v>
      </c>
      <c r="Q142" s="195">
        <f t="shared" ca="1" si="20"/>
        <v>12</v>
      </c>
      <c r="R142" s="198" t="s">
        <v>7</v>
      </c>
      <c r="S142" s="102">
        <f t="shared" ca="1" si="8"/>
        <v>15.17</v>
      </c>
      <c r="T142" s="82">
        <f t="shared" ca="1" si="9"/>
        <v>455.1</v>
      </c>
      <c r="U142" s="9" t="str">
        <f t="shared" ca="1" si="10"/>
        <v/>
      </c>
      <c r="V142" s="1" t="str">
        <f ca="1">IF(OR($A142=0,$A142="S",$A142&gt;CFF!$A$9),"",MAX(V$12:OFFSET(V142,-1,0))+1)</f>
        <v/>
      </c>
      <c r="W142" s="4" t="str">
        <f t="shared" si="11"/>
        <v>SINAPI-89402</v>
      </c>
      <c r="X142" s="1">
        <f t="shared" ca="1" si="12"/>
        <v>3597</v>
      </c>
      <c r="Y142" s="102">
        <f t="shared" ca="1" si="13"/>
        <v>12</v>
      </c>
      <c r="Z142" s="112">
        <f ca="1">ROUND(IF(ISNUMBER(R142),R142,IF(LEFT(R142,3)="BDI",HLOOKUP(R142,DADOS!$T$37:$X$38,2,FALSE),0)),15-11*$X$5)</f>
        <v>0.26379999999999998</v>
      </c>
      <c r="AA142" s="1"/>
    </row>
    <row r="143" spans="1:27" ht="38.25" x14ac:dyDescent="0.2">
      <c r="A143" t="str">
        <f>CHOOSE(1+LOG(1+2*(J143="Meta")+4*(J143="Nível 2")+8*(J143="Nível 3")+16*(J143="Nível 4")+32*(J143="Serviço"),2),0,1,2,3,4,"S")</f>
        <v>S</v>
      </c>
      <c r="B143">
        <f>IF(OR(A143="S",A143=0),0,IF(ISERROR(I143),H143,SMALL(H143:I143,1)))</f>
        <v>0</v>
      </c>
      <c r="C143">
        <f ca="1">IF($A143=1,OFFSET(C143,-1,0)+1,OFFSET(C143,-1,0))</f>
        <v>1</v>
      </c>
      <c r="D143">
        <f ca="1">IF($A143=1,0,IF($A143=2,OFFSET(D143,-1,0)+1,OFFSET(D143,-1,0)))</f>
        <v>13</v>
      </c>
      <c r="E143">
        <f ca="1">IF(AND($A143&lt;=2,$A143&lt;&gt;0),0,IF($A143=3,OFFSET(E143,-1,0)+1,OFFSET(E143,-1,0)))</f>
        <v>0</v>
      </c>
      <c r="F143">
        <f ca="1">IF(AND($A143&lt;=3,$A143&lt;&gt;0),0,IF($A143=4,OFFSET(F143,-1,0)+1,OFFSET(F143,-1,0)))</f>
        <v>0</v>
      </c>
      <c r="G143">
        <f ca="1">IF(AND($A143&lt;=4,$A143&lt;&gt;0),0,IF($A143="S",OFFSET(G143,-1,0)+1,OFFSET(G143,-1,0)))</f>
        <v>25</v>
      </c>
      <c r="H143">
        <f ca="1">IF(OR($A143="S",$A143=0),0,MATCH(0,OFFSET($B143,1,$A143,ROW($A$275)-ROW($A143)),0))</f>
        <v>0</v>
      </c>
      <c r="I143">
        <f ca="1">IF(OR($A143="S",$A143=0),0,MATCH(OFFSET($B143,0,$A143)+1,OFFSET($B143,1,$A143,ROW($A$275)-ROW($A143)),0))</f>
        <v>0</v>
      </c>
      <c r="J143" s="101" t="s">
        <v>103</v>
      </c>
      <c r="K143" s="137" t="str">
        <f ca="1">IF($A143=0,"-",CONCATENATE(C143&amp;".",IF(AND($A$5&gt;=2,$A143&gt;=2),D143&amp;".",""),IF(AND($A$5&gt;=3,$A143&gt;=3),E143&amp;".",""),IF(AND($A$5&gt;=4,$A143&gt;=4),F143&amp;".",""),IF($A143="S",G143&amp;".","")))</f>
        <v>1.13.25.</v>
      </c>
      <c r="L143" s="176" t="s">
        <v>237</v>
      </c>
      <c r="M143" s="176" t="s">
        <v>439</v>
      </c>
      <c r="N143" s="197" t="str">
        <f ca="1">IF($A143="S",Referencia.Descricao,"(digite a descrição aqui)")</f>
        <v>RASGO LINEAR MECANIZADO EM ALVENARIA, PARA RAMAIS/ DISTRIBUIÇÃO DE INSTALAÇÕES HIDRÁULICAS, DIÂMETROS MENORES OU IGUAIS A 40 MM. AF_09/2023</v>
      </c>
      <c r="O143" s="196" t="str">
        <f ca="1">Referencia.Unidade</f>
        <v>M</v>
      </c>
      <c r="P143" s="199">
        <f>((9+6)*3)+50</f>
        <v>95</v>
      </c>
      <c r="Q143" s="195">
        <f t="shared" ca="1" si="20"/>
        <v>6.95</v>
      </c>
      <c r="R143" s="198" t="s">
        <v>7</v>
      </c>
      <c r="S143" s="102">
        <f ca="1">IF($A143="S",IF($Q$10="Preço Unitário (R$)",PO.CustoUnitario,ROUND(PO.CustoUnitario*(1+$Z143),15-13*$X$6)),0)</f>
        <v>8.7799999999999994</v>
      </c>
      <c r="T143" s="82">
        <f ca="1">IF($A143="S",VTOTAL1,IF($A143=0,0,ROUND(SomaAgrup,15-13*$X$7)))</f>
        <v>834.1</v>
      </c>
      <c r="U143" s="9" t="str">
        <f ca="1">IF($J143="","",IF($N143="","DESCRIÇÃO",IF(AND($J143="Serviço",$O143=""),"UNIDADE",IF($T143&lt;=0,"SEM VALOR",IF(AND($Y143&lt;&gt;"",$Q143&gt;$Y143),"ACIMA REF.","")))))</f>
        <v/>
      </c>
      <c r="V143" s="1" t="str">
        <f ca="1">IF(OR($A143=0,$A143="S",$A143&gt;CFF!$A$9),"",MAX(V$12:OFFSET(V143,-1,0))+1)</f>
        <v/>
      </c>
      <c r="W143" s="4" t="str">
        <f>IF(AND($J143="Serviço",$M143&lt;&gt;""),IF($L143="",$M143,CONCATENATE($L143,"-",$M143)))</f>
        <v>SINAPI-104779</v>
      </c>
      <c r="X143" s="1">
        <f ca="1">IF(AND(Fonte&lt;&gt;"",Código&lt;&gt;""),MATCH(Fonte&amp;" "&amp;IF(Fonte="sinapi",SUBSTITUTE(SUBSTITUTE(Código,"/00","/"),"/0","/"),Código),INDIRECT("'[Referência "&amp;_xlnm.Database&amp;".xls]Banco'!$a:$a"),0),"X")</f>
        <v>5634</v>
      </c>
      <c r="Y143" s="102">
        <f ca="1">IF(Import.Desoneracao="sim",Referencia.Desonerado,Referencia.NaoDesonerado)</f>
        <v>6.95</v>
      </c>
      <c r="Z143" s="112">
        <f ca="1">ROUND(IF(ISNUMBER(R143),R143,IF(LEFT(R143,3)="BDI",HLOOKUP(R143,DADOS!$T$37:$X$38,2,FALSE),0)),15-11*$X$5)</f>
        <v>0.26379999999999998</v>
      </c>
      <c r="AA143" s="1"/>
    </row>
    <row r="144" spans="1:27" x14ac:dyDescent="0.2">
      <c r="A144">
        <f t="shared" si="0"/>
        <v>2</v>
      </c>
      <c r="B144">
        <f t="shared" ca="1" si="1"/>
        <v>22</v>
      </c>
      <c r="C144">
        <f t="shared" ca="1" si="2"/>
        <v>1</v>
      </c>
      <c r="D144">
        <f t="shared" ca="1" si="3"/>
        <v>14</v>
      </c>
      <c r="E144">
        <f t="shared" ca="1" si="4"/>
        <v>0</v>
      </c>
      <c r="F144">
        <f t="shared" ca="1" si="5"/>
        <v>0</v>
      </c>
      <c r="G144">
        <f t="shared" ca="1" si="6"/>
        <v>0</v>
      </c>
      <c r="H144">
        <f ca="1">IF(OR($A144="S",$A144=0),0,MATCH(0,OFFSET($B144,1,$A144,ROW($A$275)-ROW($A144)),0))</f>
        <v>131</v>
      </c>
      <c r="I144">
        <f ca="1">IF(OR($A144="S",$A144=0),0,MATCH(OFFSET($B144,0,$A144)+1,OFFSET($B144,1,$A144,ROW($A$275)-ROW($A144)),0))</f>
        <v>22</v>
      </c>
      <c r="J144" s="101" t="s">
        <v>100</v>
      </c>
      <c r="K144" s="137" t="str">
        <f t="shared" ca="1" si="7"/>
        <v>1.14.</v>
      </c>
      <c r="L144" s="176"/>
      <c r="M144" s="176"/>
      <c r="N144" s="197" t="s">
        <v>326</v>
      </c>
      <c r="O144" s="196" t="str">
        <f ca="1">Referencia.Unidade</f>
        <v/>
      </c>
      <c r="P144" s="199"/>
      <c r="Q144" s="195"/>
      <c r="R144" s="198" t="s">
        <v>7</v>
      </c>
      <c r="S144" s="102">
        <f t="shared" si="8"/>
        <v>0</v>
      </c>
      <c r="T144" s="82">
        <f t="shared" ca="1" si="9"/>
        <v>6979.42</v>
      </c>
      <c r="U144" s="9" t="str">
        <f t="shared" ca="1" si="10"/>
        <v/>
      </c>
      <c r="V144" s="1">
        <f ca="1">IF(OR($A144=0,$A144="S",$A144&gt;CFF!$A$9),"",MAX(V$12:OFFSET(V144,-1,0))+1)</f>
        <v>15</v>
      </c>
      <c r="W144" s="4" t="b">
        <f t="shared" si="11"/>
        <v>0</v>
      </c>
      <c r="X144" s="1" t="str">
        <f t="shared" ca="1" si="12"/>
        <v>X</v>
      </c>
      <c r="Y144" s="102">
        <f t="shared" ca="1" si="13"/>
        <v>0</v>
      </c>
      <c r="Z144" s="112">
        <f ca="1">ROUND(IF(ISNUMBER(R144),R144,IF(LEFT(R144,3)="BDI",HLOOKUP(R144,DADOS!$T$37:$X$38,2,FALSE),0)),15-11*$X$5)</f>
        <v>0.26379999999999998</v>
      </c>
      <c r="AA144" s="1"/>
    </row>
    <row r="145" spans="1:27" ht="25.5" x14ac:dyDescent="0.2">
      <c r="A145" t="str">
        <f t="shared" si="0"/>
        <v>S</v>
      </c>
      <c r="B145">
        <f t="shared" si="1"/>
        <v>0</v>
      </c>
      <c r="C145">
        <f t="shared" ca="1" si="2"/>
        <v>1</v>
      </c>
      <c r="D145">
        <f t="shared" ca="1" si="3"/>
        <v>14</v>
      </c>
      <c r="E145">
        <f t="shared" ca="1" si="4"/>
        <v>0</v>
      </c>
      <c r="F145">
        <f t="shared" ca="1" si="5"/>
        <v>0</v>
      </c>
      <c r="G145">
        <f t="shared" ca="1" si="6"/>
        <v>1</v>
      </c>
      <c r="H145">
        <f ca="1">IF(OR($A145="S",$A145=0),0,MATCH(0,OFFSET($B145,1,$A145,ROW($A$275)-ROW($A145)),0))</f>
        <v>0</v>
      </c>
      <c r="I145">
        <f ca="1">IF(OR($A145="S",$A145=0),0,MATCH(OFFSET($B145,0,$A145)+1,OFFSET($B145,1,$A145,ROW($A$275)-ROW($A145)),0))</f>
        <v>0</v>
      </c>
      <c r="J145" s="101" t="s">
        <v>103</v>
      </c>
      <c r="K145" s="137" t="str">
        <f t="shared" ca="1" si="7"/>
        <v>1.14.1.</v>
      </c>
      <c r="L145" s="176" t="s">
        <v>237</v>
      </c>
      <c r="M145" s="176" t="s">
        <v>327</v>
      </c>
      <c r="N145" s="197" t="str">
        <f ca="1">IF($A145="S",Referencia.Descricao,"(digite a descrição aqui)")</f>
        <v>EXECUÇÃO DE RADIER, ESPESSURA DE 10 CM, FCK = 30 MPA, COM USO DE FORMAS EM MADEIRA SERRADA. AF_09/2021</v>
      </c>
      <c r="O145" s="196" t="str">
        <f ca="1">Referencia.Unidade</f>
        <v>M2</v>
      </c>
      <c r="P145" s="199">
        <v>2.76</v>
      </c>
      <c r="Q145" s="195">
        <f t="shared" ref="Q145:Q165" ca="1" si="21">IF(Import.Desoneracao="sim",Referencia.Desonerado,Referencia.NaoDesonerado)</f>
        <v>173.9</v>
      </c>
      <c r="R145" s="198" t="s">
        <v>7</v>
      </c>
      <c r="S145" s="102">
        <f t="shared" ca="1" si="8"/>
        <v>219.77</v>
      </c>
      <c r="T145" s="82">
        <f t="shared" ca="1" si="9"/>
        <v>606.57000000000005</v>
      </c>
      <c r="U145" s="9" t="str">
        <f t="shared" ca="1" si="10"/>
        <v/>
      </c>
      <c r="V145" s="1" t="str">
        <f ca="1">IF(OR($A145=0,$A145="S",$A145&gt;CFF!$A$9),"",MAX(V$12:OFFSET(V145,-1,0))+1)</f>
        <v/>
      </c>
      <c r="W145" s="4" t="str">
        <f t="shared" si="11"/>
        <v>SINAPI-97101</v>
      </c>
      <c r="X145" s="1">
        <f t="shared" ca="1" si="12"/>
        <v>2359</v>
      </c>
      <c r="Y145" s="102">
        <f t="shared" ca="1" si="13"/>
        <v>173.9</v>
      </c>
      <c r="Z145" s="112">
        <f ca="1">ROUND(IF(ISNUMBER(R145),R145,IF(LEFT(R145,3)="BDI",HLOOKUP(R145,DADOS!$T$37:$X$38,2,FALSE),0)),15-11*$X$5)</f>
        <v>0.26379999999999998</v>
      </c>
      <c r="AA145" s="1"/>
    </row>
    <row r="146" spans="1:27" ht="25.5" x14ac:dyDescent="0.2">
      <c r="A146" t="str">
        <f t="shared" si="0"/>
        <v>S</v>
      </c>
      <c r="B146">
        <f t="shared" si="1"/>
        <v>0</v>
      </c>
      <c r="C146">
        <f t="shared" ca="1" si="2"/>
        <v>1</v>
      </c>
      <c r="D146">
        <f t="shared" ca="1" si="3"/>
        <v>14</v>
      </c>
      <c r="E146">
        <f t="shared" ca="1" si="4"/>
        <v>0</v>
      </c>
      <c r="F146">
        <f t="shared" ca="1" si="5"/>
        <v>0</v>
      </c>
      <c r="G146">
        <f t="shared" ca="1" si="6"/>
        <v>2</v>
      </c>
      <c r="H146">
        <f ca="1">IF(OR($A146="S",$A146=0),0,MATCH(0,OFFSET($B146,1,$A146,ROW($A$275)-ROW($A146)),0))</f>
        <v>0</v>
      </c>
      <c r="I146">
        <f ca="1">IF(OR($A146="S",$A146=0),0,MATCH(OFFSET($B146,0,$A146)+1,OFFSET($B146,1,$A146,ROW($A$275)-ROW($A146)),0))</f>
        <v>0</v>
      </c>
      <c r="J146" s="101" t="s">
        <v>103</v>
      </c>
      <c r="K146" s="137" t="str">
        <f t="shared" ca="1" si="7"/>
        <v>1.14.2.</v>
      </c>
      <c r="L146" s="176" t="s">
        <v>237</v>
      </c>
      <c r="M146" s="176" t="s">
        <v>328</v>
      </c>
      <c r="N146" s="197" t="str">
        <f ca="1">IF($A146="S",Referencia.Descricao,"(digite a descrição aqui)")</f>
        <v>ACABAMENTO POLIDO PARA PISO DE CONCRETO ARMADO OU LAJE SOBRE SOLO DE ALTA RESISTÊNCIA. AF_09/2021</v>
      </c>
      <c r="O146" s="196" t="str">
        <f ca="1">Referencia.Unidade</f>
        <v>M2</v>
      </c>
      <c r="P146" s="199">
        <v>2.76</v>
      </c>
      <c r="Q146" s="195">
        <f t="shared" ca="1" si="21"/>
        <v>39.68</v>
      </c>
      <c r="R146" s="198" t="s">
        <v>7</v>
      </c>
      <c r="S146" s="102">
        <f t="shared" ca="1" si="8"/>
        <v>50.15</v>
      </c>
      <c r="T146" s="82">
        <f t="shared" ca="1" si="9"/>
        <v>138.41</v>
      </c>
      <c r="U146" s="9" t="str">
        <f t="shared" ca="1" si="10"/>
        <v/>
      </c>
      <c r="V146" s="1" t="str">
        <f ca="1">IF(OR($A146=0,$A146="S",$A146&gt;CFF!$A$9),"",MAX(V$12:OFFSET(V146,-1,0))+1)</f>
        <v/>
      </c>
      <c r="W146" s="4" t="str">
        <f t="shared" si="11"/>
        <v>SINAPI-97097</v>
      </c>
      <c r="X146" s="1">
        <f t="shared" ca="1" si="12"/>
        <v>2358</v>
      </c>
      <c r="Y146" s="102">
        <f t="shared" ca="1" si="13"/>
        <v>39.68</v>
      </c>
      <c r="Z146" s="112">
        <f ca="1">ROUND(IF(ISNUMBER(R146),R146,IF(LEFT(R146,3)="BDI",HLOOKUP(R146,DADOS!$T$37:$X$38,2,FALSE),0)),15-11*$X$5)</f>
        <v>0.26379999999999998</v>
      </c>
      <c r="AA146" s="1"/>
    </row>
    <row r="147" spans="1:27" ht="25.5" x14ac:dyDescent="0.2">
      <c r="A147" t="str">
        <f t="shared" si="0"/>
        <v>S</v>
      </c>
      <c r="B147">
        <f t="shared" si="1"/>
        <v>0</v>
      </c>
      <c r="C147">
        <f t="shared" ca="1" si="2"/>
        <v>1</v>
      </c>
      <c r="D147">
        <f t="shared" ca="1" si="3"/>
        <v>14</v>
      </c>
      <c r="E147">
        <f t="shared" ca="1" si="4"/>
        <v>0</v>
      </c>
      <c r="F147">
        <f t="shared" ca="1" si="5"/>
        <v>0</v>
      </c>
      <c r="G147">
        <f t="shared" ca="1" si="6"/>
        <v>3</v>
      </c>
      <c r="H147">
        <f ca="1">IF(OR($A147="S",$A147=0),0,MATCH(0,OFFSET($B147,1,$A147,ROW($A$275)-ROW($A147)),0))</f>
        <v>0</v>
      </c>
      <c r="I147">
        <f ca="1">IF(OR($A147="S",$A147=0),0,MATCH(OFFSET($B147,0,$A147)+1,OFFSET($B147,1,$A147,ROW($A$275)-ROW($A147)),0))</f>
        <v>0</v>
      </c>
      <c r="J147" s="101" t="s">
        <v>103</v>
      </c>
      <c r="K147" s="137" t="str">
        <f t="shared" ca="1" si="7"/>
        <v>1.14.3.</v>
      </c>
      <c r="L147" s="176" t="s">
        <v>237</v>
      </c>
      <c r="M147" s="176" t="s">
        <v>329</v>
      </c>
      <c r="N147" s="197" t="str">
        <f ca="1">IF($A147="S",Referencia.Descricao,"(digite a descrição aqui)")</f>
        <v>ALVENARIA DE BLOCOS DE CONCRETO ESTRUTURAL 14X19X29 CM (ESPESSURA 14 CM), FBK = 14 MPA, UTILIZANDO COLHER DE PEDREIRO. AF_10/2022</v>
      </c>
      <c r="O147" s="196" t="str">
        <f ca="1">Referencia.Unidade</f>
        <v>M2</v>
      </c>
      <c r="P147" s="199">
        <v>7.6</v>
      </c>
      <c r="Q147" s="195">
        <f t="shared" ca="1" si="21"/>
        <v>160.31</v>
      </c>
      <c r="R147" s="198" t="s">
        <v>7</v>
      </c>
      <c r="S147" s="102">
        <f t="shared" ca="1" si="8"/>
        <v>202.6</v>
      </c>
      <c r="T147" s="82">
        <f t="shared" ca="1" si="9"/>
        <v>1539.76</v>
      </c>
      <c r="U147" s="9" t="str">
        <f t="shared" ca="1" si="10"/>
        <v/>
      </c>
      <c r="V147" s="1" t="str">
        <f ca="1">IF(OR($A147=0,$A147="S",$A147&gt;CFF!$A$9),"",MAX(V$12:OFFSET(V147,-1,0))+1)</f>
        <v/>
      </c>
      <c r="W147" s="4" t="str">
        <f t="shared" si="11"/>
        <v>SINAPI-89480</v>
      </c>
      <c r="X147" s="1">
        <f t="shared" ca="1" si="12"/>
        <v>5992</v>
      </c>
      <c r="Y147" s="102">
        <f t="shared" ca="1" si="13"/>
        <v>160.31</v>
      </c>
      <c r="Z147" s="112">
        <f ca="1">ROUND(IF(ISNUMBER(R147),R147,IF(LEFT(R147,3)="BDI",HLOOKUP(R147,DADOS!$T$37:$X$38,2,FALSE),0)),15-11*$X$5)</f>
        <v>0.26379999999999998</v>
      </c>
      <c r="AA147" s="1"/>
    </row>
    <row r="148" spans="1:27" ht="38.25" x14ac:dyDescent="0.2">
      <c r="A148" t="str">
        <f t="shared" si="0"/>
        <v>S</v>
      </c>
      <c r="B148">
        <f t="shared" si="1"/>
        <v>0</v>
      </c>
      <c r="C148">
        <f t="shared" ca="1" si="2"/>
        <v>1</v>
      </c>
      <c r="D148">
        <f t="shared" ca="1" si="3"/>
        <v>14</v>
      </c>
      <c r="E148">
        <f t="shared" ca="1" si="4"/>
        <v>0</v>
      </c>
      <c r="F148">
        <f t="shared" ca="1" si="5"/>
        <v>0</v>
      </c>
      <c r="G148">
        <f t="shared" ca="1" si="6"/>
        <v>4</v>
      </c>
      <c r="H148">
        <f ca="1">IF(OR($A148="S",$A148=0),0,MATCH(0,OFFSET($B148,1,$A148,ROW($A$275)-ROW($A148)),0))</f>
        <v>0</v>
      </c>
      <c r="I148">
        <f ca="1">IF(OR($A148="S",$A148=0),0,MATCH(OFFSET($B148,0,$A148)+1,OFFSET($B148,1,$A148,ROW($A$275)-ROW($A148)),0))</f>
        <v>0</v>
      </c>
      <c r="J148" s="101" t="s">
        <v>103</v>
      </c>
      <c r="K148" s="137" t="str">
        <f t="shared" ca="1" si="7"/>
        <v>1.14.4.</v>
      </c>
      <c r="L148" s="176" t="s">
        <v>237</v>
      </c>
      <c r="M148" s="176" t="s">
        <v>331</v>
      </c>
      <c r="N148" s="197" t="str">
        <f ca="1">IF($A148="S",Referencia.Descricao,"(digite a descrição aqui)")</f>
        <v>LAJE PRÉ-MOLDADA UNIDIRECIONAL, BIAPOIADA, PARA PISO, ENCHIMENTO EM CERÂMICA, VIGOTA CONVENCIONAL, ALTURA TOTAL DA LAJE (ENCHIMENTO+CAPA) = (8+4). AF_11/2020_PA</v>
      </c>
      <c r="O148" s="196" t="str">
        <f ca="1">Referencia.Unidade</f>
        <v>M2</v>
      </c>
      <c r="P148" s="199">
        <v>1.8</v>
      </c>
      <c r="Q148" s="195">
        <f t="shared" ca="1" si="21"/>
        <v>181.91</v>
      </c>
      <c r="R148" s="198" t="s">
        <v>7</v>
      </c>
      <c r="S148" s="102">
        <f t="shared" ca="1" si="8"/>
        <v>229.9</v>
      </c>
      <c r="T148" s="82">
        <f t="shared" ca="1" si="9"/>
        <v>413.82</v>
      </c>
      <c r="U148" s="9" t="str">
        <f t="shared" ca="1" si="10"/>
        <v/>
      </c>
      <c r="V148" s="1" t="str">
        <f ca="1">IF(OR($A148=0,$A148="S",$A148&gt;CFF!$A$9),"",MAX(V$12:OFFSET(V148,-1,0))+1)</f>
        <v/>
      </c>
      <c r="W148" s="4" t="str">
        <f t="shared" si="11"/>
        <v>SINAPI-101963</v>
      </c>
      <c r="X148" s="1">
        <f t="shared" ca="1" si="12"/>
        <v>2774</v>
      </c>
      <c r="Y148" s="102">
        <f t="shared" ca="1" si="13"/>
        <v>181.91</v>
      </c>
      <c r="Z148" s="112">
        <f ca="1">ROUND(IF(ISNUMBER(R148),R148,IF(LEFT(R148,3)="BDI",HLOOKUP(R148,DADOS!$T$37:$X$38,2,FALSE),0)),15-11*$X$5)</f>
        <v>0.26379999999999998</v>
      </c>
      <c r="AA148" s="1"/>
    </row>
    <row r="149" spans="1:27" ht="38.25" x14ac:dyDescent="0.2">
      <c r="A149" t="str">
        <f t="shared" si="0"/>
        <v>S</v>
      </c>
      <c r="B149">
        <f t="shared" si="1"/>
        <v>0</v>
      </c>
      <c r="C149">
        <f t="shared" ca="1" si="2"/>
        <v>1</v>
      </c>
      <c r="D149">
        <f t="shared" ca="1" si="3"/>
        <v>14</v>
      </c>
      <c r="E149">
        <f t="shared" ca="1" si="4"/>
        <v>0</v>
      </c>
      <c r="F149">
        <f t="shared" ca="1" si="5"/>
        <v>0</v>
      </c>
      <c r="G149">
        <f t="shared" ca="1" si="6"/>
        <v>5</v>
      </c>
      <c r="H149">
        <f ca="1">IF(OR($A149="S",$A149=0),0,MATCH(0,OFFSET($B149,1,$A149,ROW($A$275)-ROW($A149)),0))</f>
        <v>0</v>
      </c>
      <c r="I149">
        <f ca="1">IF(OR($A149="S",$A149=0),0,MATCH(OFFSET($B149,0,$A149)+1,OFFSET($B149,1,$A149,ROW($A$275)-ROW($A149)),0))</f>
        <v>0</v>
      </c>
      <c r="J149" s="101" t="s">
        <v>103</v>
      </c>
      <c r="K149" s="137" t="str">
        <f t="shared" ca="1" si="7"/>
        <v>1.14.5.</v>
      </c>
      <c r="L149" s="176" t="s">
        <v>237</v>
      </c>
      <c r="M149" s="176" t="s">
        <v>332</v>
      </c>
      <c r="N149" s="197" t="str">
        <f ca="1">IF($A149="S",Referencia.Descricao,"(digite a descrição aqui)")</f>
        <v>CONCRETAGEM DE VIGAS E LAJES, FCK=25 MPA, PARA QUALQUER TIPO DE LAJE COM BALDES EM EDIFICAÇÃO TÉRREA - LANÇAMENTO, ADENSAMENTO E ACABAMENTO. AF_02/2022</v>
      </c>
      <c r="O149" s="196" t="str">
        <f ca="1">Referencia.Unidade</f>
        <v>M3</v>
      </c>
      <c r="P149" s="199">
        <f>0.06*2.2</f>
        <v>0.13200000000000001</v>
      </c>
      <c r="Q149" s="195">
        <f t="shared" ca="1" si="21"/>
        <v>955.23</v>
      </c>
      <c r="R149" s="198" t="s">
        <v>7</v>
      </c>
      <c r="S149" s="102">
        <f t="shared" ca="1" si="8"/>
        <v>1207.22</v>
      </c>
      <c r="T149" s="82">
        <f t="shared" ca="1" si="9"/>
        <v>156.94</v>
      </c>
      <c r="U149" s="9" t="str">
        <f t="shared" ca="1" si="10"/>
        <v/>
      </c>
      <c r="V149" s="1" t="str">
        <f ca="1">IF(OR($A149=0,$A149="S",$A149&gt;CFF!$A$9),"",MAX(V$12:OFFSET(V149,-1,0))+1)</f>
        <v/>
      </c>
      <c r="W149" s="4" t="str">
        <f t="shared" si="11"/>
        <v>SINAPI-103682</v>
      </c>
      <c r="X149" s="1">
        <f t="shared" ca="1" si="12"/>
        <v>2764</v>
      </c>
      <c r="Y149" s="102">
        <f t="shared" ca="1" si="13"/>
        <v>955.23</v>
      </c>
      <c r="Z149" s="112">
        <f ca="1">ROUND(IF(ISNUMBER(R149),R149,IF(LEFT(R149,3)="BDI",HLOOKUP(R149,DADOS!$T$37:$X$38,2,FALSE),0)),15-11*$X$5)</f>
        <v>0.26379999999999998</v>
      </c>
      <c r="AA149" s="1"/>
    </row>
    <row r="150" spans="1:27" ht="25.5" x14ac:dyDescent="0.2">
      <c r="A150" t="str">
        <f t="shared" si="0"/>
        <v>S</v>
      </c>
      <c r="B150">
        <f t="shared" si="1"/>
        <v>0</v>
      </c>
      <c r="C150">
        <f t="shared" ca="1" si="2"/>
        <v>1</v>
      </c>
      <c r="D150">
        <f t="shared" ca="1" si="3"/>
        <v>14</v>
      </c>
      <c r="E150">
        <f t="shared" ca="1" si="4"/>
        <v>0</v>
      </c>
      <c r="F150">
        <f t="shared" ca="1" si="5"/>
        <v>0</v>
      </c>
      <c r="G150">
        <f t="shared" ca="1" si="6"/>
        <v>6</v>
      </c>
      <c r="H150">
        <f ca="1">IF(OR($A150="S",$A150=0),0,MATCH(0,OFFSET($B150,1,$A150,ROW($A$275)-ROW($A150)),0))</f>
        <v>0</v>
      </c>
      <c r="I150">
        <f ca="1">IF(OR($A150="S",$A150=0),0,MATCH(OFFSET($B150,0,$A150)+1,OFFSET($B150,1,$A150,ROW($A$275)-ROW($A150)),0))</f>
        <v>0</v>
      </c>
      <c r="J150" s="101" t="s">
        <v>103</v>
      </c>
      <c r="K150" s="137" t="str">
        <f t="shared" ca="1" si="7"/>
        <v>1.14.6.</v>
      </c>
      <c r="L150" s="176" t="s">
        <v>237</v>
      </c>
      <c r="M150" s="176" t="s">
        <v>333</v>
      </c>
      <c r="N150" s="197" t="str">
        <f ca="1">IF($A150="S",Referencia.Descricao,"(digite a descrição aqui)")</f>
        <v>CONCRETAGEM DE PILARES, FCK = 25 MPA,  COM USO DE BALDES - LANÇAMENTO, ADENSAMENTO E ACABAMENTO. AF_02/2022</v>
      </c>
      <c r="O150" s="196" t="str">
        <f ca="1">Referencia.Unidade</f>
        <v>M3</v>
      </c>
      <c r="P150" s="199">
        <f>4*0.12*0.25*2</f>
        <v>0.24</v>
      </c>
      <c r="Q150" s="195">
        <f t="shared" ca="1" si="21"/>
        <v>938.17</v>
      </c>
      <c r="R150" s="198" t="s">
        <v>7</v>
      </c>
      <c r="S150" s="102">
        <f t="shared" ca="1" si="8"/>
        <v>1185.6600000000001</v>
      </c>
      <c r="T150" s="82">
        <f t="shared" ca="1" si="9"/>
        <v>284.56</v>
      </c>
      <c r="U150" s="9" t="str">
        <f t="shared" ca="1" si="10"/>
        <v/>
      </c>
      <c r="V150" s="1" t="str">
        <f ca="1">IF(OR($A150=0,$A150="S",$A150&gt;CFF!$A$9),"",MAX(V$12:OFFSET(V150,-1,0))+1)</f>
        <v/>
      </c>
      <c r="W150" s="4" t="str">
        <f t="shared" si="11"/>
        <v>SINAPI-103669</v>
      </c>
      <c r="X150" s="1">
        <f t="shared" ca="1" si="12"/>
        <v>2751</v>
      </c>
      <c r="Y150" s="102">
        <f t="shared" ca="1" si="13"/>
        <v>938.17</v>
      </c>
      <c r="Z150" s="112">
        <f ca="1">ROUND(IF(ISNUMBER(R150),R150,IF(LEFT(R150,3)="BDI",HLOOKUP(R150,DADOS!$T$37:$X$38,2,FALSE),0)),15-11*$X$5)</f>
        <v>0.26379999999999998</v>
      </c>
      <c r="AA150" s="1"/>
    </row>
    <row r="151" spans="1:27" ht="25.5" x14ac:dyDescent="0.2">
      <c r="A151" t="str">
        <f t="shared" si="0"/>
        <v>S</v>
      </c>
      <c r="B151">
        <f t="shared" si="1"/>
        <v>0</v>
      </c>
      <c r="C151">
        <f t="shared" ca="1" si="2"/>
        <v>1</v>
      </c>
      <c r="D151">
        <f t="shared" ca="1" si="3"/>
        <v>14</v>
      </c>
      <c r="E151">
        <f t="shared" ca="1" si="4"/>
        <v>0</v>
      </c>
      <c r="F151">
        <f t="shared" ca="1" si="5"/>
        <v>0</v>
      </c>
      <c r="G151">
        <f t="shared" ca="1" si="6"/>
        <v>7</v>
      </c>
      <c r="H151">
        <f ca="1">IF(OR($A151="S",$A151=0),0,MATCH(0,OFFSET($B151,1,$A151,ROW($A$275)-ROW($A151)),0))</f>
        <v>0</v>
      </c>
      <c r="I151">
        <f ca="1">IF(OR($A151="S",$A151=0),0,MATCH(OFFSET($B151,0,$A151)+1,OFFSET($B151,1,$A151,ROW($A$275)-ROW($A151)),0))</f>
        <v>0</v>
      </c>
      <c r="J151" s="101" t="s">
        <v>103</v>
      </c>
      <c r="K151" s="137" t="str">
        <f t="shared" ca="1" si="7"/>
        <v>1.14.7.</v>
      </c>
      <c r="L151" s="176" t="s">
        <v>237</v>
      </c>
      <c r="M151" s="176" t="s">
        <v>334</v>
      </c>
      <c r="N151" s="197" t="str">
        <f ca="1">IF($A151="S",Referencia.Descricao,"(digite a descrição aqui)")</f>
        <v>ARMAÇÃO DE PILAR OU VIGA DE ESTRUTURA CONVENCIONAL DE CONCRETO ARMADO UTILIZANDO AÇO CA-50 DE 10,0 MM - MONTAGEM. AF_06/2022</v>
      </c>
      <c r="O151" s="196" t="str">
        <f ca="1">Referencia.Unidade</f>
        <v>KG</v>
      </c>
      <c r="P151" s="199">
        <v>15.17</v>
      </c>
      <c r="Q151" s="195">
        <f t="shared" ca="1" si="21"/>
        <v>11.07</v>
      </c>
      <c r="R151" s="198" t="s">
        <v>7</v>
      </c>
      <c r="S151" s="102">
        <f t="shared" ca="1" si="8"/>
        <v>13.99</v>
      </c>
      <c r="T151" s="82">
        <f t="shared" ca="1" si="9"/>
        <v>212.23</v>
      </c>
      <c r="U151" s="9" t="str">
        <f t="shared" ca="1" si="10"/>
        <v/>
      </c>
      <c r="V151" s="1" t="str">
        <f ca="1">IF(OR($A151=0,$A151="S",$A151&gt;CFF!$A$9),"",MAX(V$12:OFFSET(V151,-1,0))+1)</f>
        <v/>
      </c>
      <c r="W151" s="4" t="str">
        <f t="shared" si="11"/>
        <v>SINAPI-92762</v>
      </c>
      <c r="X151" s="1">
        <f t="shared" ca="1" si="12"/>
        <v>2606</v>
      </c>
      <c r="Y151" s="102">
        <f t="shared" ca="1" si="13"/>
        <v>11.07</v>
      </c>
      <c r="Z151" s="112">
        <f ca="1">ROUND(IF(ISNUMBER(R151),R151,IF(LEFT(R151,3)="BDI",HLOOKUP(R151,DADOS!$T$37:$X$38,2,FALSE),0)),15-11*$X$5)</f>
        <v>0.26379999999999998</v>
      </c>
      <c r="AA151" s="1"/>
    </row>
    <row r="152" spans="1:27" ht="25.5" x14ac:dyDescent="0.2">
      <c r="A152" t="str">
        <f t="shared" si="0"/>
        <v>S</v>
      </c>
      <c r="B152">
        <f t="shared" si="1"/>
        <v>0</v>
      </c>
      <c r="C152">
        <f t="shared" ca="1" si="2"/>
        <v>1</v>
      </c>
      <c r="D152">
        <f t="shared" ca="1" si="3"/>
        <v>14</v>
      </c>
      <c r="E152">
        <f t="shared" ca="1" si="4"/>
        <v>0</v>
      </c>
      <c r="F152">
        <f t="shared" ca="1" si="5"/>
        <v>0</v>
      </c>
      <c r="G152">
        <f t="shared" ca="1" si="6"/>
        <v>8</v>
      </c>
      <c r="H152">
        <f ca="1">IF(OR($A152="S",$A152=0),0,MATCH(0,OFFSET($B152,1,$A152,ROW($A$275)-ROW($A152)),0))</f>
        <v>0</v>
      </c>
      <c r="I152">
        <f ca="1">IF(OR($A152="S",$A152=0),0,MATCH(OFFSET($B152,0,$A152)+1,OFFSET($B152,1,$A152,ROW($A$275)-ROW($A152)),0))</f>
        <v>0</v>
      </c>
      <c r="J152" s="101" t="s">
        <v>103</v>
      </c>
      <c r="K152" s="137" t="str">
        <f t="shared" ca="1" si="7"/>
        <v>1.14.8.</v>
      </c>
      <c r="L152" s="176" t="s">
        <v>237</v>
      </c>
      <c r="M152" s="176" t="s">
        <v>245</v>
      </c>
      <c r="N152" s="197" t="str">
        <f ca="1">IF($A152="S",Referencia.Descricao,"(digite a descrição aqui)")</f>
        <v>ARMAÇÃO DE PILAR OU VIGA DE ESTRUTURA CONVENCIONAL DE CONCRETO ARMADO UTILIZANDO AÇO CA-60 DE 5,0 MM - MONTAGEM. AF_06/2022</v>
      </c>
      <c r="O152" s="196" t="str">
        <f ca="1">Referencia.Unidade</f>
        <v>KG</v>
      </c>
      <c r="P152" s="199">
        <f>(2/0.12)*4*0.78*0.154</f>
        <v>8.0080000000000009</v>
      </c>
      <c r="Q152" s="195">
        <f t="shared" ca="1" si="21"/>
        <v>13.69</v>
      </c>
      <c r="R152" s="198" t="s">
        <v>7</v>
      </c>
      <c r="S152" s="102">
        <f t="shared" ca="1" si="8"/>
        <v>17.3</v>
      </c>
      <c r="T152" s="82">
        <f t="shared" ca="1" si="9"/>
        <v>138.57</v>
      </c>
      <c r="U152" s="9" t="str">
        <f t="shared" ca="1" si="10"/>
        <v/>
      </c>
      <c r="V152" s="1" t="str">
        <f ca="1">IF(OR($A152=0,$A152="S",$A152&gt;CFF!$A$9),"",MAX(V$12:OFFSET(V152,-1,0))+1)</f>
        <v/>
      </c>
      <c r="W152" s="4" t="str">
        <f t="shared" si="11"/>
        <v>SINAPI-92759</v>
      </c>
      <c r="X152" s="1">
        <f t="shared" ca="1" si="12"/>
        <v>2603</v>
      </c>
      <c r="Y152" s="102">
        <f t="shared" ca="1" si="13"/>
        <v>13.69</v>
      </c>
      <c r="Z152" s="112">
        <f ca="1">ROUND(IF(ISNUMBER(R152),R152,IF(LEFT(R152,3)="BDI",HLOOKUP(R152,DADOS!$T$37:$X$38,2,FALSE),0)),15-11*$X$5)</f>
        <v>0.26379999999999998</v>
      </c>
      <c r="AA152" s="1"/>
    </row>
    <row r="153" spans="1:27" ht="25.5" x14ac:dyDescent="0.2">
      <c r="A153" t="str">
        <f t="shared" si="0"/>
        <v>S</v>
      </c>
      <c r="B153">
        <f t="shared" si="1"/>
        <v>0</v>
      </c>
      <c r="C153">
        <f t="shared" ca="1" si="2"/>
        <v>1</v>
      </c>
      <c r="D153">
        <f t="shared" ca="1" si="3"/>
        <v>14</v>
      </c>
      <c r="E153">
        <f t="shared" ca="1" si="4"/>
        <v>0</v>
      </c>
      <c r="F153">
        <f t="shared" ca="1" si="5"/>
        <v>0</v>
      </c>
      <c r="G153">
        <f t="shared" ca="1" si="6"/>
        <v>9</v>
      </c>
      <c r="H153">
        <f ca="1">IF(OR($A153="S",$A153=0),0,MATCH(0,OFFSET($B153,1,$A153,ROW($A$275)-ROW($A153)),0))</f>
        <v>0</v>
      </c>
      <c r="I153">
        <f ca="1">IF(OR($A153="S",$A153=0),0,MATCH(OFFSET($B153,0,$A153)+1,OFFSET($B153,1,$A153,ROW($A$275)-ROW($A153)),0))</f>
        <v>0</v>
      </c>
      <c r="J153" s="101" t="s">
        <v>103</v>
      </c>
      <c r="K153" s="137" t="str">
        <f t="shared" ca="1" si="7"/>
        <v>1.14.9.</v>
      </c>
      <c r="L153" s="176" t="s">
        <v>237</v>
      </c>
      <c r="M153" s="176" t="s">
        <v>256</v>
      </c>
      <c r="N153" s="197" t="str">
        <f ca="1">IF($A153="S",Referencia.Descricao,"(digite a descrição aqui)")</f>
        <v>APLICAÇÃO MANUAL DE FUNDO SELADOR ACRÍLICO EM PAREDES EXTERNAS DE CASAS. AF_03/2024</v>
      </c>
      <c r="O153" s="196" t="str">
        <f ca="1">Referencia.Unidade</f>
        <v>M2</v>
      </c>
      <c r="P153" s="199">
        <f>15.78*2</f>
        <v>31.56</v>
      </c>
      <c r="Q153" s="195">
        <f t="shared" ca="1" si="21"/>
        <v>3.97</v>
      </c>
      <c r="R153" s="198" t="s">
        <v>7</v>
      </c>
      <c r="S153" s="102">
        <f t="shared" ca="1" si="8"/>
        <v>5.0199999999999996</v>
      </c>
      <c r="T153" s="82">
        <f t="shared" ca="1" si="9"/>
        <v>158.43</v>
      </c>
      <c r="U153" s="9" t="str">
        <f t="shared" ca="1" si="10"/>
        <v/>
      </c>
      <c r="V153" s="1" t="str">
        <f ca="1">IF(OR($A153=0,$A153="S",$A153&gt;CFF!$A$9),"",MAX(V$12:OFFSET(V153,-1,0))+1)</f>
        <v/>
      </c>
      <c r="W153" s="4" t="str">
        <f t="shared" si="11"/>
        <v>SINAPI-88415</v>
      </c>
      <c r="X153" s="1">
        <f t="shared" ca="1" si="12"/>
        <v>6282</v>
      </c>
      <c r="Y153" s="102">
        <f t="shared" ca="1" si="13"/>
        <v>3.97</v>
      </c>
      <c r="Z153" s="112">
        <f ca="1">ROUND(IF(ISNUMBER(R153),R153,IF(LEFT(R153,3)="BDI",HLOOKUP(R153,DADOS!$T$37:$X$38,2,FALSE),0)),15-11*$X$5)</f>
        <v>0.26379999999999998</v>
      </c>
      <c r="AA153" s="1"/>
    </row>
    <row r="154" spans="1:27" ht="25.5" x14ac:dyDescent="0.2">
      <c r="A154" t="str">
        <f>CHOOSE(1+LOG(1+2*(J154="Meta")+4*(J154="Nível 2")+8*(J154="Nível 3")+16*(J154="Nível 4")+32*(J154="Serviço"),2),0,1,2,3,4,"S")</f>
        <v>S</v>
      </c>
      <c r="B154">
        <f>IF(OR(A154="S",A154=0),0,IF(ISERROR(I154),H154,SMALL(H154:I154,1)))</f>
        <v>0</v>
      </c>
      <c r="C154">
        <f ca="1">IF($A154=1,OFFSET(C154,-1,0)+1,OFFSET(C154,-1,0))</f>
        <v>1</v>
      </c>
      <c r="D154">
        <f ca="1">IF($A154=1,0,IF($A154=2,OFFSET(D154,-1,0)+1,OFFSET(D154,-1,0)))</f>
        <v>14</v>
      </c>
      <c r="E154">
        <f ca="1">IF(AND($A154&lt;=2,$A154&lt;&gt;0),0,IF($A154=3,OFFSET(E154,-1,0)+1,OFFSET(E154,-1,0)))</f>
        <v>0</v>
      </c>
      <c r="F154">
        <f ca="1">IF(AND($A154&lt;=3,$A154&lt;&gt;0),0,IF($A154=4,OFFSET(F154,-1,0)+1,OFFSET(F154,-1,0)))</f>
        <v>0</v>
      </c>
      <c r="G154">
        <f ca="1">IF(AND($A154&lt;=4,$A154&lt;&gt;0),0,IF($A154="S",OFFSET(G154,-1,0)+1,OFFSET(G154,-1,0)))</f>
        <v>10</v>
      </c>
      <c r="H154">
        <f ca="1">IF(OR($A154="S",$A154=0),0,MATCH(0,OFFSET($B154,1,$A154,ROW($A$275)-ROW($A154)),0))</f>
        <v>0</v>
      </c>
      <c r="I154">
        <f ca="1">IF(OR($A154="S",$A154=0),0,MATCH(OFFSET($B154,0,$A154)+1,OFFSET($B154,1,$A154,ROW($A$275)-ROW($A154)),0))</f>
        <v>0</v>
      </c>
      <c r="J154" s="101" t="s">
        <v>103</v>
      </c>
      <c r="K154" s="137" t="str">
        <f ca="1">IF($A154=0,"-",CONCATENATE(C154&amp;".",IF(AND($A$5&gt;=2,$A154&gt;=2),D154&amp;".",""),IF(AND($A$5&gt;=3,$A154&gt;=3),E154&amp;".",""),IF(AND($A$5&gt;=4,$A154&gt;=4),F154&amp;".",""),IF($A154="S",G154&amp;".","")))</f>
        <v>1.14.10.</v>
      </c>
      <c r="L154" s="176" t="s">
        <v>237</v>
      </c>
      <c r="M154" s="176" t="s">
        <v>288</v>
      </c>
      <c r="N154" s="197" t="str">
        <f ca="1">IF($A154="S",Referencia.Descricao,"(digite a descrição aqui)")</f>
        <v>APLICAÇÃO MANUAL DE PINTURA COM TINTA TEXTURIZADA ACRÍLICA EM PAREDES EXTERNAS DE CASAS, UMA COR. AF_03/2024</v>
      </c>
      <c r="O154" s="196" t="str">
        <f ca="1">Referencia.Unidade</f>
        <v>M2</v>
      </c>
      <c r="P154" s="199">
        <v>15.78</v>
      </c>
      <c r="Q154" s="195">
        <f t="shared" ca="1" si="21"/>
        <v>22.62</v>
      </c>
      <c r="R154" s="198" t="s">
        <v>7</v>
      </c>
      <c r="S154" s="102">
        <f ca="1">IF($A154="S",IF($Q$10="Preço Unitário (R$)",PO.CustoUnitario,ROUND(PO.CustoUnitario*(1+$Z154),15-13*$X$6)),0)</f>
        <v>28.59</v>
      </c>
      <c r="T154" s="82">
        <f ca="1">IF($A154="S",VTOTAL1,IF($A154=0,0,ROUND(SomaAgrup,15-13*$X$7)))</f>
        <v>451.15</v>
      </c>
      <c r="U154" s="9" t="str">
        <f ca="1">IF($J154="","",IF($N154="","DESCRIÇÃO",IF(AND($J154="Serviço",$O154=""),"UNIDADE",IF($T154&lt;=0,"SEM VALOR",IF(AND($Y154&lt;&gt;"",$Q154&gt;$Y154),"ACIMA REF.","")))))</f>
        <v/>
      </c>
      <c r="V154" s="1" t="str">
        <f ca="1">IF(OR($A154=0,$A154="S",$A154&gt;CFF!$A$9),"",MAX(V$12:OFFSET(V154,-1,0))+1)</f>
        <v/>
      </c>
      <c r="W154" s="4" t="str">
        <f>IF(AND($J154="Serviço",$M154&lt;&gt;""),IF($L154="",$M154,CONCATENATE($L154,"-",$M154)))</f>
        <v>SINAPI-88423</v>
      </c>
      <c r="X154" s="1">
        <f ca="1">IF(AND(Fonte&lt;&gt;"",Código&lt;&gt;""),MATCH(Fonte&amp;" "&amp;IF(Fonte="sinapi",SUBSTITUTE(SUBSTITUTE(Código,"/00","/"),"/0","/"),Código),INDIRECT("'[Referência "&amp;_xlnm.Database&amp;".xls]Banco'!$a:$a"),0),"X")</f>
        <v>6287</v>
      </c>
      <c r="Y154" s="102">
        <f ca="1">IF(Import.Desoneracao="sim",Referencia.Desonerado,Referencia.NaoDesonerado)</f>
        <v>22.62</v>
      </c>
      <c r="Z154" s="112">
        <f ca="1">ROUND(IF(ISNUMBER(R154),R154,IF(LEFT(R154,3)="BDI",HLOOKUP(R154,DADOS!$T$37:$X$38,2,FALSE),0)),15-11*$X$5)</f>
        <v>0.26379999999999998</v>
      </c>
      <c r="AA154" s="1"/>
    </row>
    <row r="155" spans="1:27" ht="25.5" x14ac:dyDescent="0.2">
      <c r="A155" t="str">
        <f t="shared" si="0"/>
        <v>S</v>
      </c>
      <c r="B155">
        <f t="shared" si="1"/>
        <v>0</v>
      </c>
      <c r="C155">
        <f t="shared" ca="1" si="2"/>
        <v>1</v>
      </c>
      <c r="D155">
        <f t="shared" ca="1" si="3"/>
        <v>14</v>
      </c>
      <c r="E155">
        <f t="shared" ca="1" si="4"/>
        <v>0</v>
      </c>
      <c r="F155">
        <f t="shared" ca="1" si="5"/>
        <v>0</v>
      </c>
      <c r="G155">
        <f t="shared" ca="1" si="6"/>
        <v>11</v>
      </c>
      <c r="H155">
        <f ca="1">IF(OR($A155="S",$A155=0),0,MATCH(0,OFFSET($B155,1,$A155,ROW($A$275)-ROW($A155)),0))</f>
        <v>0</v>
      </c>
      <c r="I155">
        <f ca="1">IF(OR($A155="S",$A155=0),0,MATCH(OFFSET($B155,0,$A155)+1,OFFSET($B155,1,$A155,ROW($A$275)-ROW($A155)),0))</f>
        <v>0</v>
      </c>
      <c r="J155" s="101" t="s">
        <v>103</v>
      </c>
      <c r="K155" s="137" t="str">
        <f t="shared" ca="1" si="7"/>
        <v>1.14.11.</v>
      </c>
      <c r="L155" s="176" t="s">
        <v>237</v>
      </c>
      <c r="M155" s="176" t="s">
        <v>330</v>
      </c>
      <c r="N155" s="197" t="str">
        <f ca="1">IF($A155="S",Referencia.Descricao,"(digite a descrição aqui)")</f>
        <v>IMPERMEABILIZAÇÃO DE SUPERFÍCIE COM ARGAMASSA POLIMÉRICA / MEMBRANA ACRÍLICA, 3 DEMÃOS. AF_09/2023</v>
      </c>
      <c r="O155" s="196" t="str">
        <f ca="1">Referencia.Unidade</f>
        <v>M2</v>
      </c>
      <c r="P155" s="199">
        <v>2.2000000000000002</v>
      </c>
      <c r="Q155" s="195">
        <f t="shared" ca="1" si="21"/>
        <v>30.8</v>
      </c>
      <c r="R155" s="198" t="s">
        <v>7</v>
      </c>
      <c r="S155" s="102">
        <f t="shared" ca="1" si="8"/>
        <v>38.93</v>
      </c>
      <c r="T155" s="82">
        <f t="shared" ca="1" si="9"/>
        <v>85.65</v>
      </c>
      <c r="U155" s="9" t="str">
        <f t="shared" ca="1" si="10"/>
        <v/>
      </c>
      <c r="V155" s="1" t="str">
        <f ca="1">IF(OR($A155=0,$A155="S",$A155&gt;CFF!$A$9),"",MAX(V$12:OFFSET(V155,-1,0))+1)</f>
        <v/>
      </c>
      <c r="W155" s="4" t="str">
        <f t="shared" si="11"/>
        <v>SINAPI-98555</v>
      </c>
      <c r="X155" s="1">
        <f t="shared" ca="1" si="12"/>
        <v>2908</v>
      </c>
      <c r="Y155" s="102">
        <f t="shared" ca="1" si="13"/>
        <v>30.8</v>
      </c>
      <c r="Z155" s="112">
        <f ca="1">ROUND(IF(ISNUMBER(R155),R155,IF(LEFT(R155,3)="BDI",HLOOKUP(R155,DADOS!$T$37:$X$38,2,FALSE),0)),15-11*$X$5)</f>
        <v>0.26379999999999998</v>
      </c>
      <c r="AA155" s="1"/>
    </row>
    <row r="156" spans="1:27" ht="38.25" x14ac:dyDescent="0.2">
      <c r="A156" t="str">
        <f t="shared" si="0"/>
        <v>S</v>
      </c>
      <c r="B156">
        <f t="shared" si="1"/>
        <v>0</v>
      </c>
      <c r="C156">
        <f t="shared" ca="1" si="2"/>
        <v>1</v>
      </c>
      <c r="D156">
        <f t="shared" ca="1" si="3"/>
        <v>14</v>
      </c>
      <c r="E156">
        <f t="shared" ca="1" si="4"/>
        <v>0</v>
      </c>
      <c r="F156">
        <f t="shared" ca="1" si="5"/>
        <v>0</v>
      </c>
      <c r="G156">
        <f t="shared" ca="1" si="6"/>
        <v>12</v>
      </c>
      <c r="H156">
        <f ca="1">IF(OR($A156="S",$A156=0),0,MATCH(0,OFFSET($B156,1,$A156,ROW($A$275)-ROW($A156)),0))</f>
        <v>0</v>
      </c>
      <c r="I156">
        <f ca="1">IF(OR($A156="S",$A156=0),0,MATCH(OFFSET($B156,0,$A156)+1,OFFSET($B156,1,$A156,ROW($A$275)-ROW($A156)),0))</f>
        <v>0</v>
      </c>
      <c r="J156" s="101" t="s">
        <v>103</v>
      </c>
      <c r="K156" s="137" t="str">
        <f t="shared" ca="1" si="7"/>
        <v>1.14.12.</v>
      </c>
      <c r="L156" s="176" t="s">
        <v>237</v>
      </c>
      <c r="M156" s="176" t="s">
        <v>335</v>
      </c>
      <c r="N156" s="197" t="str">
        <f ca="1">IF($A156="S",Referencia.Descricao,"(digite a descrição aqui)")</f>
        <v>KIT CAVALETE PARA GÁS - SEM MEDIDOR OU REGULADOR - ENTRADA INDIVIDUAL PRINCIPAL, EM AÇO GALVANIZADO DN 15 E 25 MM (1/2" E 1") - FORNECIMENTO E INSTALAÇÃO. AF_01/2020</v>
      </c>
      <c r="O156" s="196" t="str">
        <f ca="1">Referencia.Unidade</f>
        <v>UN</v>
      </c>
      <c r="P156" s="199">
        <v>1</v>
      </c>
      <c r="Q156" s="195">
        <f t="shared" ca="1" si="21"/>
        <v>751.96</v>
      </c>
      <c r="R156" s="198" t="s">
        <v>7</v>
      </c>
      <c r="S156" s="102">
        <f t="shared" ca="1" si="8"/>
        <v>950.33</v>
      </c>
      <c r="T156" s="82">
        <f t="shared" ca="1" si="9"/>
        <v>950.33</v>
      </c>
      <c r="U156" s="9" t="str">
        <f t="shared" ca="1" si="10"/>
        <v/>
      </c>
      <c r="V156" s="1" t="str">
        <f ca="1">IF(OR($A156=0,$A156="S",$A156&gt;CFF!$A$9),"",MAX(V$12:OFFSET(V156,-1,0))+1)</f>
        <v/>
      </c>
      <c r="W156" s="4" t="str">
        <f t="shared" si="11"/>
        <v>SINAPI-100788</v>
      </c>
      <c r="X156" s="1">
        <f t="shared" ca="1" si="12"/>
        <v>3776</v>
      </c>
      <c r="Y156" s="102">
        <f t="shared" ca="1" si="13"/>
        <v>751.96</v>
      </c>
      <c r="Z156" s="112">
        <f ca="1">ROUND(IF(ISNUMBER(R156),R156,IF(LEFT(R156,3)="BDI",HLOOKUP(R156,DADOS!$T$37:$X$38,2,FALSE),0)),15-11*$X$5)</f>
        <v>0.26379999999999998</v>
      </c>
      <c r="AA156" s="1"/>
    </row>
    <row r="157" spans="1:27" ht="38.25" x14ac:dyDescent="0.2">
      <c r="A157" t="str">
        <f t="shared" si="0"/>
        <v>S</v>
      </c>
      <c r="B157">
        <f t="shared" si="1"/>
        <v>0</v>
      </c>
      <c r="C157">
        <f t="shared" ca="1" si="2"/>
        <v>1</v>
      </c>
      <c r="D157">
        <f t="shared" ca="1" si="3"/>
        <v>14</v>
      </c>
      <c r="E157">
        <f t="shared" ca="1" si="4"/>
        <v>0</v>
      </c>
      <c r="F157">
        <f t="shared" ca="1" si="5"/>
        <v>0</v>
      </c>
      <c r="G157">
        <f t="shared" ca="1" si="6"/>
        <v>13</v>
      </c>
      <c r="H157">
        <f ca="1">IF(OR($A157="S",$A157=0),0,MATCH(0,OFFSET($B157,1,$A157,ROW($A$275)-ROW($A157)),0))</f>
        <v>0</v>
      </c>
      <c r="I157">
        <f ca="1">IF(OR($A157="S",$A157=0),0,MATCH(OFFSET($B157,0,$A157)+1,OFFSET($B157,1,$A157,ROW($A$275)-ROW($A157)),0))</f>
        <v>0</v>
      </c>
      <c r="J157" s="101" t="s">
        <v>103</v>
      </c>
      <c r="K157" s="137" t="str">
        <f t="shared" ca="1" si="7"/>
        <v>1.14.13.</v>
      </c>
      <c r="L157" s="176" t="s">
        <v>237</v>
      </c>
      <c r="M157" s="176" t="s">
        <v>336</v>
      </c>
      <c r="N157" s="197" t="str">
        <f ca="1">IF($A157="S",Referencia.Descricao,"(digite a descrição aqui)")</f>
        <v>TUBO DE AÇO GALVANIZADO COM COSTURA, CLASSE MÉDIA, CONEXÃO ROSQUEADA, DN 20 (3/4"), INSTALADO EM RAMAIS E SUB-RAMAIS DE GÁS - FORNECIMENTO E INSTALAÇÃO. AF_10/2020</v>
      </c>
      <c r="O157" s="196" t="str">
        <f ca="1">Referencia.Unidade</f>
        <v>M</v>
      </c>
      <c r="P157" s="199">
        <v>15</v>
      </c>
      <c r="Q157" s="195">
        <f t="shared" ca="1" si="21"/>
        <v>36.76</v>
      </c>
      <c r="R157" s="198" t="s">
        <v>7</v>
      </c>
      <c r="S157" s="102">
        <f t="shared" ca="1" si="8"/>
        <v>46.46</v>
      </c>
      <c r="T157" s="82">
        <f t="shared" ca="1" si="9"/>
        <v>696.9</v>
      </c>
      <c r="U157" s="9" t="str">
        <f t="shared" ca="1" si="10"/>
        <v/>
      </c>
      <c r="V157" s="1" t="str">
        <f ca="1">IF(OR($A157=0,$A157="S",$A157&gt;CFF!$A$9),"",MAX(V$12:OFFSET(V157,-1,0))+1)</f>
        <v/>
      </c>
      <c r="W157" s="4" t="str">
        <f t="shared" si="11"/>
        <v>SINAPI-92688</v>
      </c>
      <c r="X157" s="1">
        <f t="shared" ca="1" si="12"/>
        <v>3685</v>
      </c>
      <c r="Y157" s="102">
        <f t="shared" ca="1" si="13"/>
        <v>36.76</v>
      </c>
      <c r="Z157" s="112">
        <f ca="1">ROUND(IF(ISNUMBER(R157),R157,IF(LEFT(R157,3)="BDI",HLOOKUP(R157,DADOS!$T$37:$X$38,2,FALSE),0)),15-11*$X$5)</f>
        <v>0.26379999999999998</v>
      </c>
      <c r="AA157" s="1"/>
    </row>
    <row r="158" spans="1:27" ht="38.25" x14ac:dyDescent="0.2">
      <c r="A158" t="str">
        <f t="shared" si="0"/>
        <v>S</v>
      </c>
      <c r="B158">
        <f t="shared" si="1"/>
        <v>0</v>
      </c>
      <c r="C158">
        <f t="shared" ca="1" si="2"/>
        <v>1</v>
      </c>
      <c r="D158">
        <f t="shared" ca="1" si="3"/>
        <v>14</v>
      </c>
      <c r="E158">
        <f t="shared" ca="1" si="4"/>
        <v>0</v>
      </c>
      <c r="F158">
        <f t="shared" ca="1" si="5"/>
        <v>0</v>
      </c>
      <c r="G158">
        <f t="shared" ca="1" si="6"/>
        <v>14</v>
      </c>
      <c r="H158">
        <f ca="1">IF(OR($A158="S",$A158=0),0,MATCH(0,OFFSET($B158,1,$A158,ROW($A$275)-ROW($A158)),0))</f>
        <v>0</v>
      </c>
      <c r="I158">
        <f ca="1">IF(OR($A158="S",$A158=0),0,MATCH(OFFSET($B158,0,$A158)+1,OFFSET($B158,1,$A158,ROW($A$275)-ROW($A158)),0))</f>
        <v>0</v>
      </c>
      <c r="J158" s="101" t="s">
        <v>103</v>
      </c>
      <c r="K158" s="137" t="str">
        <f t="shared" ca="1" si="7"/>
        <v>1.14.14.</v>
      </c>
      <c r="L158" s="176" t="s">
        <v>237</v>
      </c>
      <c r="M158" s="176" t="s">
        <v>337</v>
      </c>
      <c r="N158" s="197" t="str">
        <f ca="1">IF($A158="S",Referencia.Descricao,"(digite a descrição aqui)")</f>
        <v>JOELHO 45 GRAUS, EM FERRO GALVANIZADO, CONEXÃO ROSQUEADA, DN 20 (3/4"), INSTALADO EM RAMAIS E SUB-RAMAIS DE GÁS - FORNECIMENTO E INSTALAÇÃO. AF_10/2020</v>
      </c>
      <c r="O158" s="196" t="str">
        <f ca="1">Referencia.Unidade</f>
        <v>UN</v>
      </c>
      <c r="P158" s="199">
        <v>8</v>
      </c>
      <c r="Q158" s="195">
        <f t="shared" ca="1" si="21"/>
        <v>32.85</v>
      </c>
      <c r="R158" s="198" t="s">
        <v>7</v>
      </c>
      <c r="S158" s="102">
        <f t="shared" ca="1" si="8"/>
        <v>41.52</v>
      </c>
      <c r="T158" s="82">
        <f t="shared" ca="1" si="9"/>
        <v>332.16</v>
      </c>
      <c r="U158" s="9" t="str">
        <f t="shared" ca="1" si="10"/>
        <v/>
      </c>
      <c r="V158" s="1" t="str">
        <f ca="1">IF(OR($A158=0,$A158="S",$A158&gt;CFF!$A$9),"",MAX(V$12:OFFSET(V158,-1,0))+1)</f>
        <v/>
      </c>
      <c r="W158" s="4" t="str">
        <f t="shared" si="11"/>
        <v>SINAPI-92700</v>
      </c>
      <c r="X158" s="1">
        <f t="shared" ca="1" si="12"/>
        <v>4361</v>
      </c>
      <c r="Y158" s="102">
        <f t="shared" ca="1" si="13"/>
        <v>32.85</v>
      </c>
      <c r="Z158" s="112">
        <f ca="1">ROUND(IF(ISNUMBER(R158),R158,IF(LEFT(R158,3)="BDI",HLOOKUP(R158,DADOS!$T$37:$X$38,2,FALSE),0)),15-11*$X$5)</f>
        <v>0.26379999999999998</v>
      </c>
      <c r="AA158" s="1"/>
    </row>
    <row r="159" spans="1:27" ht="25.5" x14ac:dyDescent="0.2">
      <c r="A159" t="str">
        <f t="shared" si="0"/>
        <v>S</v>
      </c>
      <c r="B159">
        <f t="shared" si="1"/>
        <v>0</v>
      </c>
      <c r="C159">
        <f t="shared" ca="1" si="2"/>
        <v>1</v>
      </c>
      <c r="D159">
        <f t="shared" ca="1" si="3"/>
        <v>14</v>
      </c>
      <c r="E159">
        <f t="shared" ca="1" si="4"/>
        <v>0</v>
      </c>
      <c r="F159">
        <f t="shared" ca="1" si="5"/>
        <v>0</v>
      </c>
      <c r="G159">
        <f t="shared" ca="1" si="6"/>
        <v>15</v>
      </c>
      <c r="H159">
        <f ca="1">IF(OR($A159="S",$A159=0),0,MATCH(0,OFFSET($B159,1,$A159,ROW($A$275)-ROW($A159)),0))</f>
        <v>0</v>
      </c>
      <c r="I159">
        <f ca="1">IF(OR($A159="S",$A159=0),0,MATCH(OFFSET($B159,0,$A159)+1,OFFSET($B159,1,$A159,ROW($A$275)-ROW($A159)),0))</f>
        <v>0</v>
      </c>
      <c r="J159" s="101" t="s">
        <v>103</v>
      </c>
      <c r="K159" s="137" t="str">
        <f t="shared" ca="1" si="7"/>
        <v>1.14.15.</v>
      </c>
      <c r="L159" s="176" t="s">
        <v>237</v>
      </c>
      <c r="M159" s="176" t="s">
        <v>338</v>
      </c>
      <c r="N159" s="197" t="str">
        <f ca="1">IF($A159="S",Referencia.Descricao,"(digite a descrição aqui)")</f>
        <v>REGISTRO OU REGULADOR DE GÁS DE COZINHA - FORNECIMENTO E INSTALAÇÃO. AF_08/2021</v>
      </c>
      <c r="O159" s="196" t="str">
        <f ca="1">Referencia.Unidade</f>
        <v>UN</v>
      </c>
      <c r="P159" s="199">
        <v>1</v>
      </c>
      <c r="Q159" s="195">
        <f t="shared" ca="1" si="21"/>
        <v>53.22</v>
      </c>
      <c r="R159" s="198" t="s">
        <v>7</v>
      </c>
      <c r="S159" s="102">
        <f t="shared" ca="1" si="8"/>
        <v>67.260000000000005</v>
      </c>
      <c r="T159" s="82">
        <f t="shared" ca="1" si="9"/>
        <v>67.260000000000005</v>
      </c>
      <c r="U159" s="9" t="str">
        <f t="shared" ca="1" si="10"/>
        <v/>
      </c>
      <c r="V159" s="1" t="str">
        <f ca="1">IF(OR($A159=0,$A159="S",$A159&gt;CFF!$A$9),"",MAX(V$12:OFFSET(V159,-1,0))+1)</f>
        <v/>
      </c>
      <c r="W159" s="4" t="str">
        <f t="shared" si="11"/>
        <v>SINAPI-103029</v>
      </c>
      <c r="X159" s="1">
        <f t="shared" ca="1" si="12"/>
        <v>5478</v>
      </c>
      <c r="Y159" s="102">
        <f t="shared" ca="1" si="13"/>
        <v>53.22</v>
      </c>
      <c r="Z159" s="112">
        <f ca="1">ROUND(IF(ISNUMBER(R159),R159,IF(LEFT(R159,3)="BDI",HLOOKUP(R159,DADOS!$T$37:$X$38,2,FALSE),0)),15-11*$X$5)</f>
        <v>0.26379999999999998</v>
      </c>
      <c r="AA159" s="1"/>
    </row>
    <row r="160" spans="1:27" x14ac:dyDescent="0.2">
      <c r="A160" t="str">
        <f t="shared" si="0"/>
        <v>S</v>
      </c>
      <c r="B160">
        <f t="shared" si="1"/>
        <v>0</v>
      </c>
      <c r="C160">
        <f t="shared" ca="1" si="2"/>
        <v>1</v>
      </c>
      <c r="D160">
        <f t="shared" ca="1" si="3"/>
        <v>14</v>
      </c>
      <c r="E160">
        <f t="shared" ca="1" si="4"/>
        <v>0</v>
      </c>
      <c r="F160">
        <f t="shared" ca="1" si="5"/>
        <v>0</v>
      </c>
      <c r="G160">
        <f t="shared" ca="1" si="6"/>
        <v>16</v>
      </c>
      <c r="H160">
        <f ca="1">IF(OR($A160="S",$A160=0),0,MATCH(0,OFFSET($B160,1,$A160,ROW($A$275)-ROW($A160)),0))</f>
        <v>0</v>
      </c>
      <c r="I160">
        <f ca="1">IF(OR($A160="S",$A160=0),0,MATCH(OFFSET($B160,0,$A160)+1,OFFSET($B160,1,$A160,ROW($A$275)-ROW($A160)),0))</f>
        <v>0</v>
      </c>
      <c r="J160" s="101" t="s">
        <v>103</v>
      </c>
      <c r="K160" s="137" t="str">
        <f t="shared" ca="1" si="7"/>
        <v>1.14.16.</v>
      </c>
      <c r="L160" s="176" t="s">
        <v>249</v>
      </c>
      <c r="M160" s="176" t="s">
        <v>398</v>
      </c>
      <c r="N160" s="197" t="str">
        <f ca="1">IF($A160="S",Referencia.Descricao,"(digite a descrição aqui)")</f>
        <v xml:space="preserve">MANGUEIRA CRISTAL, LISA, PVC TRANSPARENTE, 3/4" X 2 MM                                                                                                                                                                                                                                                                                                                                                                                                                                                    </v>
      </c>
      <c r="O160" s="196" t="str">
        <f ca="1">Referencia.Unidade</f>
        <v xml:space="preserve">M     </v>
      </c>
      <c r="P160" s="199">
        <v>2</v>
      </c>
      <c r="Q160" s="195">
        <f t="shared" ca="1" si="21"/>
        <v>6.71</v>
      </c>
      <c r="R160" s="198" t="s">
        <v>7</v>
      </c>
      <c r="S160" s="102">
        <f t="shared" ca="1" si="8"/>
        <v>8.48</v>
      </c>
      <c r="T160" s="82">
        <f t="shared" ca="1" si="9"/>
        <v>16.96</v>
      </c>
      <c r="U160" s="9" t="str">
        <f t="shared" ca="1" si="10"/>
        <v/>
      </c>
      <c r="V160" s="1" t="str">
        <f ca="1">IF(OR($A160=0,$A160="S",$A160&gt;CFF!$A$9),"",MAX(V$12:OFFSET(V160,-1,0))+1)</f>
        <v/>
      </c>
      <c r="W160" s="4" t="str">
        <f t="shared" si="11"/>
        <v>SINAPI-I-37459</v>
      </c>
      <c r="X160" s="1">
        <f t="shared" ca="1" si="12"/>
        <v>10586</v>
      </c>
      <c r="Y160" s="102">
        <f t="shared" ca="1" si="13"/>
        <v>6.71</v>
      </c>
      <c r="Z160" s="112">
        <f ca="1">ROUND(IF(ISNUMBER(R160),R160,IF(LEFT(R160,3)="BDI",HLOOKUP(R160,DADOS!$T$37:$X$38,2,FALSE),0)),15-11*$X$5)</f>
        <v>0.26379999999999998</v>
      </c>
      <c r="AA160" s="1"/>
    </row>
    <row r="161" spans="1:27" ht="25.5" x14ac:dyDescent="0.2">
      <c r="A161" t="str">
        <f t="shared" si="0"/>
        <v>S</v>
      </c>
      <c r="B161">
        <f t="shared" si="1"/>
        <v>0</v>
      </c>
      <c r="C161">
        <f t="shared" ca="1" si="2"/>
        <v>1</v>
      </c>
      <c r="D161">
        <f t="shared" ca="1" si="3"/>
        <v>14</v>
      </c>
      <c r="E161">
        <f t="shared" ca="1" si="4"/>
        <v>0</v>
      </c>
      <c r="F161">
        <f t="shared" ca="1" si="5"/>
        <v>0</v>
      </c>
      <c r="G161">
        <f t="shared" ca="1" si="6"/>
        <v>17</v>
      </c>
      <c r="H161">
        <f ca="1">IF(OR($A161="S",$A161=0),0,MATCH(0,OFFSET($B161,1,$A161,ROW($A$275)-ROW($A161)),0))</f>
        <v>0</v>
      </c>
      <c r="I161">
        <f ca="1">IF(OR($A161="S",$A161=0),0,MATCH(OFFSET($B161,0,$A161)+1,OFFSET($B161,1,$A161,ROW($A$275)-ROW($A161)),0))</f>
        <v>0</v>
      </c>
      <c r="J161" s="101" t="s">
        <v>103</v>
      </c>
      <c r="K161" s="137" t="str">
        <f t="shared" ca="1" si="7"/>
        <v>1.14.17.</v>
      </c>
      <c r="L161" s="176" t="s">
        <v>237</v>
      </c>
      <c r="M161" s="176" t="s">
        <v>399</v>
      </c>
      <c r="N161" s="197" t="str">
        <f ca="1">IF($A161="S",Referencia.Descricao,"(digite a descrição aqui)")</f>
        <v>MANÔMETRO 0 A 200 PSI (0 A 14 KGF/CM2), D = 50MM - FORNECIMENTO E INSTALAÇÃO. AF_10/2020</v>
      </c>
      <c r="O161" s="196" t="str">
        <f ca="1">Referencia.Unidade</f>
        <v>UN</v>
      </c>
      <c r="P161" s="199">
        <v>1</v>
      </c>
      <c r="Q161" s="195">
        <f t="shared" ca="1" si="21"/>
        <v>177.2</v>
      </c>
      <c r="R161" s="198" t="s">
        <v>7</v>
      </c>
      <c r="S161" s="102">
        <f t="shared" ca="1" si="8"/>
        <v>223.95</v>
      </c>
      <c r="T161" s="82">
        <f t="shared" ca="1" si="9"/>
        <v>223.95</v>
      </c>
      <c r="U161" s="9" t="str">
        <f t="shared" ca="1" si="10"/>
        <v/>
      </c>
      <c r="V161" s="1" t="str">
        <f ca="1">IF(OR($A161=0,$A161="S",$A161&gt;CFF!$A$9),"",MAX(V$12:OFFSET(V161,-1,0))+1)</f>
        <v/>
      </c>
      <c r="W161" s="4" t="str">
        <f t="shared" si="11"/>
        <v>SINAPI-101917</v>
      </c>
      <c r="X161" s="1">
        <f t="shared" ca="1" si="12"/>
        <v>3486</v>
      </c>
      <c r="Y161" s="102">
        <f t="shared" ca="1" si="13"/>
        <v>177.2</v>
      </c>
      <c r="Z161" s="112">
        <f ca="1">ROUND(IF(ISNUMBER(R161),R161,IF(LEFT(R161,3)="BDI",HLOOKUP(R161,DADOS!$T$37:$X$38,2,FALSE),0)),15-11*$X$5)</f>
        <v>0.26379999999999998</v>
      </c>
      <c r="AA161" s="1"/>
    </row>
    <row r="162" spans="1:27" ht="25.5" x14ac:dyDescent="0.2">
      <c r="A162" t="str">
        <f t="shared" si="0"/>
        <v>S</v>
      </c>
      <c r="B162">
        <f t="shared" si="1"/>
        <v>0</v>
      </c>
      <c r="C162">
        <f t="shared" ca="1" si="2"/>
        <v>1</v>
      </c>
      <c r="D162">
        <f t="shared" ca="1" si="3"/>
        <v>14</v>
      </c>
      <c r="E162">
        <f t="shared" ca="1" si="4"/>
        <v>0</v>
      </c>
      <c r="F162">
        <f t="shared" ca="1" si="5"/>
        <v>0</v>
      </c>
      <c r="G162">
        <f t="shared" ca="1" si="6"/>
        <v>18</v>
      </c>
      <c r="H162">
        <f ca="1">IF(OR($A162="S",$A162=0),0,MATCH(0,OFFSET($B162,1,$A162,ROW($A$275)-ROW($A162)),0))</f>
        <v>0</v>
      </c>
      <c r="I162">
        <f ca="1">IF(OR($A162="S",$A162=0),0,MATCH(OFFSET($B162,0,$A162)+1,OFFSET($B162,1,$A162,ROW($A$275)-ROW($A162)),0))</f>
        <v>0</v>
      </c>
      <c r="J162" s="101" t="s">
        <v>103</v>
      </c>
      <c r="K162" s="137" t="str">
        <f t="shared" ca="1" si="7"/>
        <v>1.14.18.</v>
      </c>
      <c r="L162" s="176" t="s">
        <v>237</v>
      </c>
      <c r="M162" s="176" t="s">
        <v>400</v>
      </c>
      <c r="N162" s="197" t="str">
        <f ca="1">IF($A162="S",Referencia.Descricao,"(digite a descrição aqui)")</f>
        <v>NIPLE, EM FERRO GALVANIZADO, CONEXÃO ROSQUEADA, DN 15 (1/2"), INSTALADO EM RAMAIS E SUB-RAMAIS DE GÁS - FORNECIMENTO E INSTALAÇÃO. AF_10/2020</v>
      </c>
      <c r="O162" s="196" t="str">
        <f ca="1">Referencia.Unidade</f>
        <v>UN</v>
      </c>
      <c r="P162" s="199">
        <v>3</v>
      </c>
      <c r="Q162" s="195">
        <f t="shared" ca="1" si="21"/>
        <v>13.65</v>
      </c>
      <c r="R162" s="198" t="s">
        <v>7</v>
      </c>
      <c r="S162" s="102">
        <f t="shared" ca="1" si="8"/>
        <v>17.25</v>
      </c>
      <c r="T162" s="82">
        <f t="shared" ca="1" si="9"/>
        <v>51.75</v>
      </c>
      <c r="U162" s="9" t="str">
        <f t="shared" ca="1" si="10"/>
        <v/>
      </c>
      <c r="V162" s="1" t="str">
        <f ca="1">IF(OR($A162=0,$A162="S",$A162&gt;CFF!$A$9),"",MAX(V$12:OFFSET(V162,-1,0))+1)</f>
        <v/>
      </c>
      <c r="W162" s="4" t="str">
        <f t="shared" si="11"/>
        <v>SINAPI-92692</v>
      </c>
      <c r="X162" s="1">
        <f t="shared" ca="1" si="12"/>
        <v>4353</v>
      </c>
      <c r="Y162" s="102">
        <f t="shared" ca="1" si="13"/>
        <v>13.65</v>
      </c>
      <c r="Z162" s="112">
        <f ca="1">ROUND(IF(ISNUMBER(R162),R162,IF(LEFT(R162,3)="BDI",HLOOKUP(R162,DADOS!$T$37:$X$38,2,FALSE),0)),15-11*$X$5)</f>
        <v>0.26379999999999998</v>
      </c>
      <c r="AA162" s="1"/>
    </row>
    <row r="163" spans="1:27" ht="25.5" x14ac:dyDescent="0.2">
      <c r="A163" t="str">
        <f t="shared" si="0"/>
        <v>S</v>
      </c>
      <c r="B163">
        <f t="shared" si="1"/>
        <v>0</v>
      </c>
      <c r="C163">
        <f t="shared" ca="1" si="2"/>
        <v>1</v>
      </c>
      <c r="D163">
        <f t="shared" ca="1" si="3"/>
        <v>14</v>
      </c>
      <c r="E163">
        <f t="shared" ca="1" si="4"/>
        <v>0</v>
      </c>
      <c r="F163">
        <f t="shared" ca="1" si="5"/>
        <v>0</v>
      </c>
      <c r="G163">
        <f t="shared" ca="1" si="6"/>
        <v>19</v>
      </c>
      <c r="H163">
        <f ca="1">IF(OR($A163="S",$A163=0),0,MATCH(0,OFFSET($B163,1,$A163,ROW($A$275)-ROW($A163)),0))</f>
        <v>0</v>
      </c>
      <c r="I163">
        <f ca="1">IF(OR($A163="S",$A163=0),0,MATCH(OFFSET($B163,0,$A163)+1,OFFSET($B163,1,$A163,ROW($A$275)-ROW($A163)),0))</f>
        <v>0</v>
      </c>
      <c r="J163" s="101" t="s">
        <v>103</v>
      </c>
      <c r="K163" s="137" t="str">
        <f t="shared" ca="1" si="7"/>
        <v>1.14.19.</v>
      </c>
      <c r="L163" s="176" t="s">
        <v>237</v>
      </c>
      <c r="M163" s="176" t="s">
        <v>401</v>
      </c>
      <c r="N163" s="197" t="str">
        <f ca="1">IF($A163="S",Referencia.Descricao,"(digite a descrição aqui)")</f>
        <v>UNIÃO, EM FERRO GALVANIZADO, CONEXÃO ROSQUEADA, DN 20 (3/4"), INSTALADO EM RAMAIS E SUB-RAMAIS DE GÁS - FORNECIMENTO E INSTALAÇÃO. AF_10/2020</v>
      </c>
      <c r="O163" s="196" t="str">
        <f ca="1">Referencia.Unidade</f>
        <v>UN</v>
      </c>
      <c r="P163" s="199">
        <v>2</v>
      </c>
      <c r="Q163" s="195">
        <f t="shared" ca="1" si="21"/>
        <v>44.59</v>
      </c>
      <c r="R163" s="198" t="s">
        <v>7</v>
      </c>
      <c r="S163" s="102">
        <f t="shared" ca="1" si="8"/>
        <v>56.35</v>
      </c>
      <c r="T163" s="82">
        <f t="shared" ca="1" si="9"/>
        <v>112.7</v>
      </c>
      <c r="U163" s="9" t="str">
        <f t="shared" ca="1" si="10"/>
        <v/>
      </c>
      <c r="V163" s="1" t="str">
        <f ca="1">IF(OR($A163=0,$A163="S",$A163&gt;CFF!$A$9),"",MAX(V$12:OFFSET(V163,-1,0))+1)</f>
        <v/>
      </c>
      <c r="W163" s="4" t="str">
        <f t="shared" si="11"/>
        <v>SINAPI-92905</v>
      </c>
      <c r="X163" s="1">
        <f t="shared" ca="1" si="12"/>
        <v>4384</v>
      </c>
      <c r="Y163" s="102">
        <f t="shared" ca="1" si="13"/>
        <v>44.59</v>
      </c>
      <c r="Z163" s="112">
        <f ca="1">ROUND(IF(ISNUMBER(R163),R163,IF(LEFT(R163,3)="BDI",HLOOKUP(R163,DADOS!$T$37:$X$38,2,FALSE),0)),15-11*$X$5)</f>
        <v>0.26379999999999998</v>
      </c>
      <c r="AA163" s="1"/>
    </row>
    <row r="164" spans="1:27" x14ac:dyDescent="0.2">
      <c r="A164" t="str">
        <f t="shared" si="0"/>
        <v>S</v>
      </c>
      <c r="B164">
        <f t="shared" si="1"/>
        <v>0</v>
      </c>
      <c r="C164">
        <f t="shared" ca="1" si="2"/>
        <v>1</v>
      </c>
      <c r="D164">
        <f t="shared" ca="1" si="3"/>
        <v>14</v>
      </c>
      <c r="E164">
        <f t="shared" ca="1" si="4"/>
        <v>0</v>
      </c>
      <c r="F164">
        <f t="shared" ca="1" si="5"/>
        <v>0</v>
      </c>
      <c r="G164">
        <f t="shared" ca="1" si="6"/>
        <v>20</v>
      </c>
      <c r="H164">
        <f ca="1">IF(OR($A164="S",$A164=0),0,MATCH(0,OFFSET($B164,1,$A164,ROW($A$275)-ROW($A164)),0))</f>
        <v>0</v>
      </c>
      <c r="I164">
        <f ca="1">IF(OR($A164="S",$A164=0),0,MATCH(OFFSET($B164,0,$A164)+1,OFFSET($B164,1,$A164,ROW($A$275)-ROW($A164)),0))</f>
        <v>0</v>
      </c>
      <c r="J164" s="101" t="s">
        <v>103</v>
      </c>
      <c r="K164" s="137" t="str">
        <f t="shared" ca="1" si="7"/>
        <v>1.14.20.</v>
      </c>
      <c r="L164" s="176" t="s">
        <v>237</v>
      </c>
      <c r="M164" s="176" t="s">
        <v>339</v>
      </c>
      <c r="N164" s="197" t="str">
        <f ca="1">IF($A164="S",Referencia.Descricao,"(digite a descrição aqui)")</f>
        <v>ESCAVAÇÃO MANUAL DE VALA. AF_09/2024</v>
      </c>
      <c r="O164" s="196" t="str">
        <f ca="1">Referencia.Unidade</f>
        <v>M3</v>
      </c>
      <c r="P164" s="199">
        <f>5*0.3*1</f>
        <v>1.5</v>
      </c>
      <c r="Q164" s="195">
        <f t="shared" ca="1" si="21"/>
        <v>81.72</v>
      </c>
      <c r="R164" s="198" t="s">
        <v>7</v>
      </c>
      <c r="S164" s="102">
        <f t="shared" ca="1" si="8"/>
        <v>103.28</v>
      </c>
      <c r="T164" s="82">
        <f t="shared" ca="1" si="9"/>
        <v>154.91999999999999</v>
      </c>
      <c r="U164" s="9" t="str">
        <f t="shared" ca="1" si="10"/>
        <v/>
      </c>
      <c r="V164" s="1" t="str">
        <f ca="1">IF(OR($A164=0,$A164="S",$A164&gt;CFF!$A$9),"",MAX(V$12:OFFSET(V164,-1,0))+1)</f>
        <v/>
      </c>
      <c r="W164" s="4" t="str">
        <f t="shared" si="11"/>
        <v>SINAPI-93358</v>
      </c>
      <c r="X164" s="1">
        <f t="shared" ca="1" si="12"/>
        <v>5823</v>
      </c>
      <c r="Y164" s="102">
        <f t="shared" ca="1" si="13"/>
        <v>81.72</v>
      </c>
      <c r="Z164" s="112">
        <f ca="1">ROUND(IF(ISNUMBER(R164),R164,IF(LEFT(R164,3)="BDI",HLOOKUP(R164,DADOS!$T$37:$X$38,2,FALSE),0)),15-11*$X$5)</f>
        <v>0.26379999999999998</v>
      </c>
      <c r="AA164" s="1"/>
    </row>
    <row r="165" spans="1:27" x14ac:dyDescent="0.2">
      <c r="A165" t="str">
        <f t="shared" si="0"/>
        <v>S</v>
      </c>
      <c r="B165">
        <f t="shared" si="1"/>
        <v>0</v>
      </c>
      <c r="C165">
        <f t="shared" ca="1" si="2"/>
        <v>1</v>
      </c>
      <c r="D165">
        <f t="shared" ca="1" si="3"/>
        <v>14</v>
      </c>
      <c r="E165">
        <f t="shared" ca="1" si="4"/>
        <v>0</v>
      </c>
      <c r="F165">
        <f t="shared" ca="1" si="5"/>
        <v>0</v>
      </c>
      <c r="G165">
        <f t="shared" ca="1" si="6"/>
        <v>21</v>
      </c>
      <c r="H165">
        <f ca="1">IF(OR($A165="S",$A165=0),0,MATCH(0,OFFSET($B165,1,$A165,ROW($A$275)-ROW($A165)),0))</f>
        <v>0</v>
      </c>
      <c r="I165">
        <f ca="1">IF(OR($A165="S",$A165=0),0,MATCH(OFFSET($B165,0,$A165)+1,OFFSET($B165,1,$A165,ROW($A$275)-ROW($A165)),0))</f>
        <v>0</v>
      </c>
      <c r="J165" s="101" t="s">
        <v>103</v>
      </c>
      <c r="K165" s="137" t="str">
        <f t="shared" ca="1" si="7"/>
        <v>1.14.21.</v>
      </c>
      <c r="L165" s="176" t="s">
        <v>237</v>
      </c>
      <c r="M165" s="176" t="s">
        <v>340</v>
      </c>
      <c r="N165" s="197" t="str">
        <f ca="1">IF($A165="S",Referencia.Descricao,"(digite a descrição aqui)")</f>
        <v>ATERRO MANUAL DE VALAS COM SOLO ARGILO-ARENOSO. AF_08/2023</v>
      </c>
      <c r="O165" s="196" t="str">
        <f ca="1">Referencia.Unidade</f>
        <v>M3</v>
      </c>
      <c r="P165" s="199">
        <f>P164*1.3</f>
        <v>1.9500000000000002</v>
      </c>
      <c r="Q165" s="195">
        <f t="shared" ca="1" si="21"/>
        <v>75.64</v>
      </c>
      <c r="R165" s="198" t="s">
        <v>7</v>
      </c>
      <c r="S165" s="102">
        <f t="shared" ca="1" si="8"/>
        <v>95.59</v>
      </c>
      <c r="T165" s="82">
        <f t="shared" ca="1" si="9"/>
        <v>186.4</v>
      </c>
      <c r="U165" s="9" t="str">
        <f t="shared" ca="1" si="10"/>
        <v/>
      </c>
      <c r="V165" s="1" t="str">
        <f ca="1">IF(OR($A165=0,$A165="S",$A165&gt;CFF!$A$9),"",MAX(V$12:OFFSET(V165,-1,0))+1)</f>
        <v/>
      </c>
      <c r="W165" s="4" t="str">
        <f t="shared" si="11"/>
        <v>SINAPI-94319</v>
      </c>
      <c r="X165" s="1">
        <f t="shared" ca="1" si="12"/>
        <v>5883</v>
      </c>
      <c r="Y165" s="102">
        <f t="shared" ca="1" si="13"/>
        <v>75.64</v>
      </c>
      <c r="Z165" s="112">
        <f ca="1">ROUND(IF(ISNUMBER(R165),R165,IF(LEFT(R165,3)="BDI",HLOOKUP(R165,DADOS!$T$37:$X$38,2,FALSE),0)),15-11*$X$5)</f>
        <v>0.26379999999999998</v>
      </c>
      <c r="AA165" s="1"/>
    </row>
    <row r="166" spans="1:27" x14ac:dyDescent="0.2">
      <c r="A166">
        <f t="shared" si="0"/>
        <v>2</v>
      </c>
      <c r="B166">
        <f t="shared" ca="1" si="1"/>
        <v>14</v>
      </c>
      <c r="C166">
        <f t="shared" ca="1" si="2"/>
        <v>1</v>
      </c>
      <c r="D166">
        <f t="shared" ca="1" si="3"/>
        <v>15</v>
      </c>
      <c r="E166">
        <f t="shared" ca="1" si="4"/>
        <v>0</v>
      </c>
      <c r="F166">
        <f t="shared" ca="1" si="5"/>
        <v>0</v>
      </c>
      <c r="G166">
        <f t="shared" ca="1" si="6"/>
        <v>0</v>
      </c>
      <c r="H166">
        <f ca="1">IF(OR($A166="S",$A166=0),0,MATCH(0,OFFSET($B166,1,$A166,ROW($A$275)-ROW($A166)),0))</f>
        <v>109</v>
      </c>
      <c r="I166">
        <f ca="1">IF(OR($A166="S",$A166=0),0,MATCH(OFFSET($B166,0,$A166)+1,OFFSET($B166,1,$A166,ROW($A$275)-ROW($A166)),0))</f>
        <v>14</v>
      </c>
      <c r="J166" s="101" t="s">
        <v>100</v>
      </c>
      <c r="K166" s="137" t="str">
        <f t="shared" ca="1" si="7"/>
        <v>1.15.</v>
      </c>
      <c r="L166" s="176"/>
      <c r="M166" s="176"/>
      <c r="N166" s="197" t="s">
        <v>305</v>
      </c>
      <c r="O166" s="196" t="str">
        <f ca="1">Referencia.Unidade</f>
        <v/>
      </c>
      <c r="P166" s="199"/>
      <c r="Q166" s="195"/>
      <c r="R166" s="198" t="s">
        <v>7</v>
      </c>
      <c r="S166" s="102">
        <f t="shared" si="8"/>
        <v>0</v>
      </c>
      <c r="T166" s="82">
        <f t="shared" ca="1" si="9"/>
        <v>147603.43</v>
      </c>
      <c r="U166" s="9" t="str">
        <f t="shared" ca="1" si="10"/>
        <v/>
      </c>
      <c r="V166" s="1">
        <f ca="1">IF(OR($A166=0,$A166="S",$A166&gt;CFF!$A$9),"",MAX(V$12:OFFSET(V166,-1,0))+1)</f>
        <v>16</v>
      </c>
      <c r="W166" s="4" t="b">
        <f t="shared" si="11"/>
        <v>0</v>
      </c>
      <c r="X166" s="1" t="str">
        <f t="shared" ca="1" si="12"/>
        <v>X</v>
      </c>
      <c r="Y166" s="102">
        <f t="shared" ca="1" si="13"/>
        <v>0</v>
      </c>
      <c r="Z166" s="112">
        <f ca="1">ROUND(IF(ISNUMBER(R166),R166,IF(LEFT(R166,3)="BDI",HLOOKUP(R166,DADOS!$T$37:$X$38,2,FALSE),0)),15-11*$X$5)</f>
        <v>0.26379999999999998</v>
      </c>
      <c r="AA166" s="1"/>
    </row>
    <row r="167" spans="1:27" ht="38.25" x14ac:dyDescent="0.2">
      <c r="A167" t="str">
        <f t="shared" si="0"/>
        <v>S</v>
      </c>
      <c r="B167">
        <f t="shared" si="1"/>
        <v>0</v>
      </c>
      <c r="C167">
        <f t="shared" ca="1" si="2"/>
        <v>1</v>
      </c>
      <c r="D167">
        <f t="shared" ca="1" si="3"/>
        <v>15</v>
      </c>
      <c r="E167">
        <f t="shared" ca="1" si="4"/>
        <v>0</v>
      </c>
      <c r="F167">
        <f t="shared" ca="1" si="5"/>
        <v>0</v>
      </c>
      <c r="G167">
        <f t="shared" ca="1" si="6"/>
        <v>1</v>
      </c>
      <c r="H167">
        <f ca="1">IF(OR($A167="S",$A167=0),0,MATCH(0,OFFSET($B167,1,$A167,ROW($A$275)-ROW($A167)),0))</f>
        <v>0</v>
      </c>
      <c r="I167">
        <f ca="1">IF(OR($A167="S",$A167=0),0,MATCH(OFFSET($B167,0,$A167)+1,OFFSET($B167,1,$A167,ROW($A$275)-ROW($A167)),0))</f>
        <v>0</v>
      </c>
      <c r="J167" s="101" t="s">
        <v>103</v>
      </c>
      <c r="K167" s="137" t="str">
        <f t="shared" ca="1" si="7"/>
        <v>1.15.1.</v>
      </c>
      <c r="L167" s="176" t="s">
        <v>237</v>
      </c>
      <c r="M167" s="176" t="s">
        <v>243</v>
      </c>
      <c r="N167" s="197" t="str">
        <f t="shared" ca="1" si="18"/>
        <v>ALVENARIA DE VEDAÇÃO DE BLOCOS CERÂMICOS FURADOS NA HORIZONTAL DE 11,5X19X19 CM (ESPESSURA 11,5 CM) E ARGAMASSA DE ASSENTAMENTO COM PREPARO EM BETONEIRA. AF_12/2021</v>
      </c>
      <c r="O167" s="196" t="str">
        <f ca="1">Referencia.Unidade</f>
        <v>M2</v>
      </c>
      <c r="P167" s="199">
        <v>57</v>
      </c>
      <c r="Q167" s="195">
        <f t="shared" ref="Q167:Q188" ca="1" si="22">IF(Import.Desoneracao="sim",Referencia.Desonerado,Referencia.NaoDesonerado)</f>
        <v>78.28</v>
      </c>
      <c r="R167" s="198" t="s">
        <v>7</v>
      </c>
      <c r="S167" s="102">
        <f t="shared" ca="1" si="8"/>
        <v>98.93</v>
      </c>
      <c r="T167" s="82">
        <f t="shared" ca="1" si="9"/>
        <v>5639.01</v>
      </c>
      <c r="U167" s="9" t="str">
        <f t="shared" ca="1" si="10"/>
        <v/>
      </c>
      <c r="V167" s="1" t="str">
        <f ca="1">IF(OR($A167=0,$A167="S",$A167&gt;CFF!$A$9),"",MAX(V$12:OFFSET(V167,-1,0))+1)</f>
        <v/>
      </c>
      <c r="W167" s="4" t="str">
        <f t="shared" si="11"/>
        <v>SINAPI-103330</v>
      </c>
      <c r="X167" s="1">
        <f t="shared" ca="1" si="12"/>
        <v>5950</v>
      </c>
      <c r="Y167" s="102">
        <f t="shared" ca="1" si="13"/>
        <v>78.28</v>
      </c>
      <c r="Z167" s="112">
        <f ca="1">ROUND(IF(ISNUMBER(R167),R167,IF(LEFT(R167,3)="BDI",HLOOKUP(R167,DADOS!$T$37:$X$38,2,FALSE),0)),15-11*$X$5)</f>
        <v>0.26379999999999998</v>
      </c>
      <c r="AA167" s="1"/>
    </row>
    <row r="168" spans="1:27" ht="38.25" x14ac:dyDescent="0.2">
      <c r="A168" t="str">
        <f t="shared" si="0"/>
        <v>S</v>
      </c>
      <c r="B168">
        <f t="shared" si="1"/>
        <v>0</v>
      </c>
      <c r="C168">
        <f t="shared" ca="1" si="2"/>
        <v>1</v>
      </c>
      <c r="D168">
        <f t="shared" ca="1" si="3"/>
        <v>15</v>
      </c>
      <c r="E168">
        <f t="shared" ca="1" si="4"/>
        <v>0</v>
      </c>
      <c r="F168">
        <f t="shared" ca="1" si="5"/>
        <v>0</v>
      </c>
      <c r="G168">
        <f t="shared" ca="1" si="6"/>
        <v>2</v>
      </c>
      <c r="H168">
        <f ca="1">IF(OR($A168="S",$A168=0),0,MATCH(0,OFFSET($B168,1,$A168,ROW($A$275)-ROW($A168)),0))</f>
        <v>0</v>
      </c>
      <c r="I168">
        <f ca="1">IF(OR($A168="S",$A168=0),0,MATCH(OFFSET($B168,0,$A168)+1,OFFSET($B168,1,$A168,ROW($A$275)-ROW($A168)),0))</f>
        <v>0</v>
      </c>
      <c r="J168" s="101" t="s">
        <v>103</v>
      </c>
      <c r="K168" s="137" t="str">
        <f t="shared" ca="1" si="7"/>
        <v>1.15.2.</v>
      </c>
      <c r="L168" s="176" t="s">
        <v>237</v>
      </c>
      <c r="M168" s="176" t="s">
        <v>252</v>
      </c>
      <c r="N168" s="197" t="str">
        <f ca="1">IF($A168="S",Referencia.Descricao,"(digite a descrição aqui)")</f>
        <v>CHAPISCO APLICADO EM ALVENARIA (COM PRESENÇA DE VÃOS) E ESTRUTURAS DE CONCRETO DE FACHADA, COM COLHER DE PEDREIRO.  ARGAMASSA TRAÇO 1:3 COM PREPARO EM BETONEIRA 400L. AF_10/2022</v>
      </c>
      <c r="O168" s="196" t="str">
        <f ca="1">Referencia.Unidade</f>
        <v>M2</v>
      </c>
      <c r="P168" s="199">
        <f>2*57</f>
        <v>114</v>
      </c>
      <c r="Q168" s="195">
        <f t="shared" ca="1" si="22"/>
        <v>7.65</v>
      </c>
      <c r="R168" s="198" t="s">
        <v>7</v>
      </c>
      <c r="S168" s="102">
        <f t="shared" ca="1" si="8"/>
        <v>9.67</v>
      </c>
      <c r="T168" s="82">
        <f t="shared" ca="1" si="9"/>
        <v>1102.3800000000001</v>
      </c>
      <c r="U168" s="9" t="str">
        <f t="shared" ca="1" si="10"/>
        <v/>
      </c>
      <c r="V168" s="1" t="str">
        <f ca="1">IF(OR($A168=0,$A168="S",$A168&gt;CFF!$A$9),"",MAX(V$12:OFFSET(V168,-1,0))+1)</f>
        <v/>
      </c>
      <c r="W168" s="4" t="str">
        <f t="shared" si="11"/>
        <v>SINAPI-87905</v>
      </c>
      <c r="X168" s="1">
        <f t="shared" ca="1" si="12"/>
        <v>6575</v>
      </c>
      <c r="Y168" s="102">
        <f t="shared" ca="1" si="13"/>
        <v>7.65</v>
      </c>
      <c r="Z168" s="112">
        <f ca="1">ROUND(IF(ISNUMBER(R168),R168,IF(LEFT(R168,3)="BDI",HLOOKUP(R168,DADOS!$T$37:$X$38,2,FALSE),0)),15-11*$X$5)</f>
        <v>0.26379999999999998</v>
      </c>
      <c r="AA168" s="1"/>
    </row>
    <row r="169" spans="1:27" ht="38.25" x14ac:dyDescent="0.2">
      <c r="A169" t="str">
        <f t="shared" si="0"/>
        <v>S</v>
      </c>
      <c r="B169">
        <f t="shared" si="1"/>
        <v>0</v>
      </c>
      <c r="C169">
        <f t="shared" ca="1" si="2"/>
        <v>1</v>
      </c>
      <c r="D169">
        <f t="shared" ca="1" si="3"/>
        <v>15</v>
      </c>
      <c r="E169">
        <f t="shared" ca="1" si="4"/>
        <v>0</v>
      </c>
      <c r="F169">
        <f t="shared" ca="1" si="5"/>
        <v>0</v>
      </c>
      <c r="G169">
        <f t="shared" ca="1" si="6"/>
        <v>3</v>
      </c>
      <c r="H169">
        <f ca="1">IF(OR($A169="S",$A169=0),0,MATCH(0,OFFSET($B169,1,$A169,ROW($A$275)-ROW($A169)),0))</f>
        <v>0</v>
      </c>
      <c r="I169">
        <f ca="1">IF(OR($A169="S",$A169=0),0,MATCH(OFFSET($B169,0,$A169)+1,OFFSET($B169,1,$A169,ROW($A$275)-ROW($A169)),0))</f>
        <v>0</v>
      </c>
      <c r="J169" s="101" t="s">
        <v>103</v>
      </c>
      <c r="K169" s="137" t="str">
        <f t="shared" ca="1" si="7"/>
        <v>1.15.3.</v>
      </c>
      <c r="L169" s="176" t="s">
        <v>237</v>
      </c>
      <c r="M169" s="176" t="s">
        <v>251</v>
      </c>
      <c r="N169" s="197" t="str">
        <f ca="1">IF($A169="S",Referencia.Descricao,"(digite a descrição aqui)")</f>
        <v>MASSA ÚNICA, EM ARGAMASSA TRAÇO 1:2:8, PREPARO MECÂNICO, APLICADA MANUALMENTE EM PAREDES INTERNAS DE AMBIENTES COM ÁREA ENTRE 5M² E 10M², E = 10MM, COM TALISCAS. AF_03/2024</v>
      </c>
      <c r="O169" s="196" t="str">
        <f ca="1">Referencia.Unidade</f>
        <v>M2</v>
      </c>
      <c r="P169" s="199">
        <f>2*57</f>
        <v>114</v>
      </c>
      <c r="Q169" s="195">
        <f t="shared" ca="1" si="22"/>
        <v>24.66</v>
      </c>
      <c r="R169" s="198" t="s">
        <v>7</v>
      </c>
      <c r="S169" s="102">
        <f t="shared" ca="1" si="8"/>
        <v>31.17</v>
      </c>
      <c r="T169" s="82">
        <f t="shared" ca="1" si="9"/>
        <v>3553.38</v>
      </c>
      <c r="U169" s="9" t="str">
        <f t="shared" ca="1" si="10"/>
        <v/>
      </c>
      <c r="V169" s="1" t="str">
        <f ca="1">IF(OR($A169=0,$A169="S",$A169&gt;CFF!$A$9),"",MAX(V$12:OFFSET(V169,-1,0))+1)</f>
        <v/>
      </c>
      <c r="W169" s="4" t="str">
        <f t="shared" si="11"/>
        <v>SINAPI-87547</v>
      </c>
      <c r="X169" s="1">
        <f t="shared" ca="1" si="12"/>
        <v>6608</v>
      </c>
      <c r="Y169" s="102">
        <f t="shared" ca="1" si="13"/>
        <v>24.66</v>
      </c>
      <c r="Z169" s="112">
        <f ca="1">ROUND(IF(ISNUMBER(R169),R169,IF(LEFT(R169,3)="BDI",HLOOKUP(R169,DADOS!$T$37:$X$38,2,FALSE),0)),15-11*$X$5)</f>
        <v>0.26379999999999998</v>
      </c>
      <c r="AA169" s="1"/>
    </row>
    <row r="170" spans="1:27" ht="38.25" x14ac:dyDescent="0.2">
      <c r="A170" t="str">
        <f>CHOOSE(1+LOG(1+2*(J170="Meta")+4*(J170="Nível 2")+8*(J170="Nível 3")+16*(J170="Nível 4")+32*(J170="Serviço"),2),0,1,2,3,4,"S")</f>
        <v>S</v>
      </c>
      <c r="B170">
        <f>IF(OR(A170="S",A170=0),0,IF(ISERROR(I170),H170,SMALL(H170:I170,1)))</f>
        <v>0</v>
      </c>
      <c r="C170">
        <f ca="1">IF($A170=1,OFFSET(C170,-1,0)+1,OFFSET(C170,-1,0))</f>
        <v>1</v>
      </c>
      <c r="D170">
        <f ca="1">IF($A170=1,0,IF($A170=2,OFFSET(D170,-1,0)+1,OFFSET(D170,-1,0)))</f>
        <v>15</v>
      </c>
      <c r="E170">
        <f ca="1">IF(AND($A170&lt;=2,$A170&lt;&gt;0),0,IF($A170=3,OFFSET(E170,-1,0)+1,OFFSET(E170,-1,0)))</f>
        <v>0</v>
      </c>
      <c r="F170">
        <f ca="1">IF(AND($A170&lt;=3,$A170&lt;&gt;0),0,IF($A170=4,OFFSET(F170,-1,0)+1,OFFSET(F170,-1,0)))</f>
        <v>0</v>
      </c>
      <c r="G170">
        <f ca="1">IF(AND($A170&lt;=4,$A170&lt;&gt;0),0,IF($A170="S",OFFSET(G170,-1,0)+1,OFFSET(G170,-1,0)))</f>
        <v>4</v>
      </c>
      <c r="H170">
        <f ca="1">IF(OR($A170="S",$A170=0),0,MATCH(0,OFFSET($B170,1,$A170,ROW($A$275)-ROW($A170)),0))</f>
        <v>0</v>
      </c>
      <c r="I170">
        <f ca="1">IF(OR($A170="S",$A170=0),0,MATCH(OFFSET($B170,0,$A170)+1,OFFSET($B170,1,$A170,ROW($A$275)-ROW($A170)),0))</f>
        <v>0</v>
      </c>
      <c r="J170" s="101" t="s">
        <v>103</v>
      </c>
      <c r="K170" s="137" t="str">
        <f ca="1">IF($A170=0,"-",CONCATENATE(C170&amp;".",IF(AND($A$5&gt;=2,$A170&gt;=2),D170&amp;".",""),IF(AND($A$5&gt;=3,$A170&gt;=3),E170&amp;".",""),IF(AND($A$5&gt;=4,$A170&gt;=4),F170&amp;".",""),IF($A170="S",G170&amp;".","")))</f>
        <v>1.15.4.</v>
      </c>
      <c r="L170" s="176" t="s">
        <v>237</v>
      </c>
      <c r="M170" s="176" t="s">
        <v>253</v>
      </c>
      <c r="N170" s="197" t="str">
        <f ca="1">IF($A170="S",Referencia.Descricao,"(digite a descrição aqui)")</f>
        <v>EMBOÇO OU MASSA ÚNICA EM ARGAMASSA TRAÇO 1:2:8, PREPARO MECÂNICO COM BETONEIRA 400 L, APLICADA MANUALMENTE EM PANOS CEGOS DE FACHADA (SEM PRESENÇA DE VÃOS), ESPESSURA DE 25 MM. AF_08/2022</v>
      </c>
      <c r="O170" s="196" t="str">
        <f ca="1">Referencia.Unidade</f>
        <v>M2</v>
      </c>
      <c r="P170" s="199">
        <f>2*57</f>
        <v>114</v>
      </c>
      <c r="Q170" s="195">
        <f ca="1">IF(Import.Desoneracao="sim",Referencia.Desonerado,Referencia.NaoDesonerado)</f>
        <v>38.54</v>
      </c>
      <c r="R170" s="198" t="s">
        <v>7</v>
      </c>
      <c r="S170" s="102">
        <f ca="1">IF($A170="S",IF($Q$10="Preço Unitário (R$)",PO.CustoUnitario,ROUND(PO.CustoUnitario*(1+$Z170),15-13*$X$6)),0)</f>
        <v>48.71</v>
      </c>
      <c r="T170" s="82">
        <f ca="1">IF($A170="S",VTOTAL1,IF($A170=0,0,ROUND(SomaAgrup,15-13*$X$7)))</f>
        <v>5552.94</v>
      </c>
      <c r="U170" s="9" t="str">
        <f ca="1">IF($J170="","",IF($N170="","DESCRIÇÃO",IF(AND($J170="Serviço",$O170=""),"UNIDADE",IF($T170&lt;=0,"SEM VALOR",IF(AND($Y170&lt;&gt;"",$Q170&gt;$Y170),"ACIMA REF.","")))))</f>
        <v/>
      </c>
      <c r="V170" s="1" t="str">
        <f ca="1">IF(OR($A170=0,$A170="S",$A170&gt;CFF!$A$9),"",MAX(V$12:OFFSET(V170,-1,0))+1)</f>
        <v/>
      </c>
      <c r="W170" s="4" t="str">
        <f>IF(AND($J170="Serviço",$M170&lt;&gt;""),IF($L170="",$M170,CONCATENATE($L170,"-",$M170)))</f>
        <v>SINAPI-87792</v>
      </c>
      <c r="X170" s="1">
        <f ca="1">IF(AND(Fonte&lt;&gt;"",Código&lt;&gt;""),MATCH(Fonte&amp;" "&amp;IF(Fonte="sinapi",SUBSTITUTE(SUBSTITUTE(Código,"/00","/"),"/0","/"),Código),INDIRECT("'[Referência "&amp;_xlnm.Database&amp;".xls]Banco'!$a:$a"),0),"X")</f>
        <v>6627</v>
      </c>
      <c r="Y170" s="102">
        <f ca="1">IF(Import.Desoneracao="sim",Referencia.Desonerado,Referencia.NaoDesonerado)</f>
        <v>38.54</v>
      </c>
      <c r="Z170" s="112">
        <f ca="1">ROUND(IF(ISNUMBER(R170),R170,IF(LEFT(R170,3)="BDI",HLOOKUP(R170,DADOS!$T$37:$X$38,2,FALSE),0)),15-11*$X$5)</f>
        <v>0.26379999999999998</v>
      </c>
      <c r="AA170" s="1"/>
    </row>
    <row r="171" spans="1:27" ht="38.25" x14ac:dyDescent="0.2">
      <c r="A171" t="str">
        <f t="shared" si="0"/>
        <v>S</v>
      </c>
      <c r="B171">
        <f t="shared" si="1"/>
        <v>0</v>
      </c>
      <c r="C171">
        <f t="shared" ca="1" si="2"/>
        <v>1</v>
      </c>
      <c r="D171">
        <f t="shared" ca="1" si="3"/>
        <v>15</v>
      </c>
      <c r="E171">
        <f t="shared" ca="1" si="4"/>
        <v>0</v>
      </c>
      <c r="F171">
        <f t="shared" ca="1" si="5"/>
        <v>0</v>
      </c>
      <c r="G171">
        <f t="shared" ca="1" si="6"/>
        <v>5</v>
      </c>
      <c r="H171">
        <f ca="1">IF(OR($A171="S",$A171=0),0,MATCH(0,OFFSET($B171,1,$A171,ROW($A$275)-ROW($A171)),0))</f>
        <v>0</v>
      </c>
      <c r="I171">
        <f ca="1">IF(OR($A171="S",$A171=0),0,MATCH(OFFSET($B171,0,$A171)+1,OFFSET($B171,1,$A171,ROW($A$275)-ROW($A171)),0))</f>
        <v>0</v>
      </c>
      <c r="J171" s="101" t="s">
        <v>103</v>
      </c>
      <c r="K171" s="137" t="str">
        <f t="shared" ca="1" si="7"/>
        <v>1.15.5.</v>
      </c>
      <c r="L171" s="176" t="s">
        <v>237</v>
      </c>
      <c r="M171" s="176" t="s">
        <v>246</v>
      </c>
      <c r="N171" s="197" t="str">
        <f t="shared" ca="1" si="18"/>
        <v>FABRICAÇÃO E INSTALAÇÃO DE TESOURA INTEIRA EM MADEIRA NÃO APARELHADA, VÃO DE 6 M, PARA TELHA ONDULADA DE FIBROCIMENTO, METÁLICA, PLÁSTICA OU TERMOACÚSTICA, INCLUSO IÇAMENTO. AF_07/2019</v>
      </c>
      <c r="O171" s="196" t="str">
        <f ca="1">Referencia.Unidade</f>
        <v>UN</v>
      </c>
      <c r="P171" s="199">
        <f>5+2+5</f>
        <v>12</v>
      </c>
      <c r="Q171" s="195">
        <f t="shared" ca="1" si="22"/>
        <v>1111.24</v>
      </c>
      <c r="R171" s="198" t="s">
        <v>7</v>
      </c>
      <c r="S171" s="102">
        <f t="shared" ca="1" si="8"/>
        <v>1404.39</v>
      </c>
      <c r="T171" s="82">
        <f t="shared" ca="1" si="9"/>
        <v>16852.68</v>
      </c>
      <c r="U171" s="9" t="str">
        <f t="shared" ca="1" si="10"/>
        <v/>
      </c>
      <c r="V171" s="1" t="str">
        <f ca="1">IF(OR($A171=0,$A171="S",$A171&gt;CFF!$A$9),"",MAX(V$12:OFFSET(V171,-1,0))+1)</f>
        <v/>
      </c>
      <c r="W171" s="4" t="str">
        <f t="shared" si="11"/>
        <v>SINAPI-92558</v>
      </c>
      <c r="X171" s="1">
        <f t="shared" ca="1" si="12"/>
        <v>1484</v>
      </c>
      <c r="Y171" s="102">
        <f t="shared" ca="1" si="13"/>
        <v>1111.24</v>
      </c>
      <c r="Z171" s="112">
        <f ca="1">ROUND(IF(ISNUMBER(R171),R171,IF(LEFT(R171,3)="BDI",HLOOKUP(R171,DADOS!$T$37:$X$38,2,FALSE),0)),15-11*$X$5)</f>
        <v>0.26379999999999998</v>
      </c>
      <c r="AA171" s="1"/>
    </row>
    <row r="172" spans="1:27" ht="38.25" x14ac:dyDescent="0.2">
      <c r="A172" t="str">
        <f>CHOOSE(1+LOG(1+2*(J172="Meta")+4*(J172="Nível 2")+8*(J172="Nível 3")+16*(J172="Nível 4")+32*(J172="Serviço"),2),0,1,2,3,4,"S")</f>
        <v>S</v>
      </c>
      <c r="B172">
        <f>IF(OR(A172="S",A172=0),0,IF(ISERROR(I172),H172,SMALL(H172:I172,1)))</f>
        <v>0</v>
      </c>
      <c r="C172">
        <f ca="1">IF($A172=1,OFFSET(C172,-1,0)+1,OFFSET(C172,-1,0))</f>
        <v>1</v>
      </c>
      <c r="D172">
        <f ca="1">IF($A172=1,0,IF($A172=2,OFFSET(D172,-1,0)+1,OFFSET(D172,-1,0)))</f>
        <v>15</v>
      </c>
      <c r="E172">
        <f ca="1">IF(AND($A172&lt;=2,$A172&lt;&gt;0),0,IF($A172=3,OFFSET(E172,-1,0)+1,OFFSET(E172,-1,0)))</f>
        <v>0</v>
      </c>
      <c r="F172">
        <f ca="1">IF(AND($A172&lt;=3,$A172&lt;&gt;0),0,IF($A172=4,OFFSET(F172,-1,0)+1,OFFSET(F172,-1,0)))</f>
        <v>0</v>
      </c>
      <c r="G172">
        <f ca="1">IF(AND($A172&lt;=4,$A172&lt;&gt;0),0,IF($A172="S",OFFSET(G172,-1,0)+1,OFFSET(G172,-1,0)))</f>
        <v>6</v>
      </c>
      <c r="H172">
        <f ca="1">IF(OR($A172="S",$A172=0),0,MATCH(0,OFFSET($B172,1,$A172,ROW($A$275)-ROW($A172)),0))</f>
        <v>0</v>
      </c>
      <c r="I172">
        <f ca="1">IF(OR($A172="S",$A172=0),0,MATCH(OFFSET($B172,0,$A172)+1,OFFSET($B172,1,$A172,ROW($A$275)-ROW($A172)),0))</f>
        <v>0</v>
      </c>
      <c r="J172" s="101" t="s">
        <v>103</v>
      </c>
      <c r="K172" s="137" t="str">
        <f ca="1">IF($A172=0,"-",CONCATENATE(C172&amp;".",IF(AND($A$5&gt;=2,$A172&gt;=2),D172&amp;".",""),IF(AND($A$5&gt;=3,$A172&gt;=3),E172&amp;".",""),IF(AND($A$5&gt;=4,$A172&gt;=4),F172&amp;".",""),IF($A172="S",G172&amp;".","")))</f>
        <v>1.15.6.</v>
      </c>
      <c r="L172" s="176" t="s">
        <v>237</v>
      </c>
      <c r="M172" s="176" t="s">
        <v>303</v>
      </c>
      <c r="N172" s="197" t="str">
        <f ca="1">IF($A172="S",Referencia.Descricao,"(digite a descrição aqui)")</f>
        <v>FABRICAÇÃO E INSTALAÇÃO DE TESOURA INTEIRA EM MADEIRA NÃO APARELHADA, VÃO DE 9 M, PARA TELHA ONDULADA DE FIBROCIMENTO, METÁLICA, PLÁSTICA OU TERMOACÚSTICA, INCLUSO IÇAMENTO. AF_07/2019</v>
      </c>
      <c r="O172" s="196" t="str">
        <f ca="1">Referencia.Unidade</f>
        <v>UN</v>
      </c>
      <c r="P172" s="199">
        <v>2</v>
      </c>
      <c r="Q172" s="195">
        <f ca="1">IF(Import.Desoneracao="sim",Referencia.Desonerado,Referencia.NaoDesonerado)</f>
        <v>1806.91</v>
      </c>
      <c r="R172" s="198" t="s">
        <v>7</v>
      </c>
      <c r="S172" s="102">
        <f ca="1">IF($A172="S",IF($Q$10="Preço Unitário (R$)",PO.CustoUnitario,ROUND(PO.CustoUnitario*(1+$Z172),15-13*$X$6)),0)</f>
        <v>2283.5700000000002</v>
      </c>
      <c r="T172" s="82">
        <f ca="1">IF($A172="S",VTOTAL1,IF($A172=0,0,ROUND(SomaAgrup,15-13*$X$7)))</f>
        <v>4567.1400000000003</v>
      </c>
      <c r="U172" s="9" t="str">
        <f ca="1">IF($J172="","",IF($N172="","DESCRIÇÃO",IF(AND($J172="Serviço",$O172=""),"UNIDADE",IF($T172&lt;=0,"SEM VALOR",IF(AND($Y172&lt;&gt;"",$Q172&gt;$Y172),"ACIMA REF.","")))))</f>
        <v/>
      </c>
      <c r="V172" s="1" t="str">
        <f ca="1">IF(OR($A172=0,$A172="S",$A172&gt;CFF!$A$9),"",MAX(V$12:OFFSET(V172,-1,0))+1)</f>
        <v/>
      </c>
      <c r="W172" s="4" t="str">
        <f>IF(AND($J172="Serviço",$M172&lt;&gt;""),IF($L172="",$M172,CONCATENATE($L172,"-",$M172)))</f>
        <v>SINAPI-92561</v>
      </c>
      <c r="X172" s="1">
        <f ca="1">IF(AND(Fonte&lt;&gt;"",Código&lt;&gt;""),MATCH(Fonte&amp;" "&amp;IF(Fonte="sinapi",SUBSTITUTE(SUBSTITUTE(Código,"/00","/"),"/0","/"),Código),INDIRECT("'[Referência "&amp;_xlnm.Database&amp;".xls]Banco'!$a:$a"),0),"X")</f>
        <v>1487</v>
      </c>
      <c r="Y172" s="102">
        <f ca="1">IF(Import.Desoneracao="sim",Referencia.Desonerado,Referencia.NaoDesonerado)</f>
        <v>1806.91</v>
      </c>
      <c r="Z172" s="112">
        <f ca="1">ROUND(IF(ISNUMBER(R172),R172,IF(LEFT(R172,3)="BDI",HLOOKUP(R172,DADOS!$T$37:$X$38,2,FALSE),0)),15-11*$X$5)</f>
        <v>0.26379999999999998</v>
      </c>
      <c r="AA172" s="1"/>
    </row>
    <row r="173" spans="1:27" ht="38.25" x14ac:dyDescent="0.2">
      <c r="A173" t="str">
        <f>CHOOSE(1+LOG(1+2*(J173="Meta")+4*(J173="Nível 2")+8*(J173="Nível 3")+16*(J173="Nível 4")+32*(J173="Serviço"),2),0,1,2,3,4,"S")</f>
        <v>S</v>
      </c>
      <c r="B173">
        <f>IF(OR(A173="S",A173=0),0,IF(ISERROR(I173),H173,SMALL(H173:I173,1)))</f>
        <v>0</v>
      </c>
      <c r="C173">
        <f ca="1">IF($A173=1,OFFSET(C173,-1,0)+1,OFFSET(C173,-1,0))</f>
        <v>1</v>
      </c>
      <c r="D173">
        <f ca="1">IF($A173=1,0,IF($A173=2,OFFSET(D173,-1,0)+1,OFFSET(D173,-1,0)))</f>
        <v>15</v>
      </c>
      <c r="E173">
        <f ca="1">IF(AND($A173&lt;=2,$A173&lt;&gt;0),0,IF($A173=3,OFFSET(E173,-1,0)+1,OFFSET(E173,-1,0)))</f>
        <v>0</v>
      </c>
      <c r="F173">
        <f ca="1">IF(AND($A173&lt;=3,$A173&lt;&gt;0),0,IF($A173=4,OFFSET(F173,-1,0)+1,OFFSET(F173,-1,0)))</f>
        <v>0</v>
      </c>
      <c r="G173">
        <f ca="1">IF(AND($A173&lt;=4,$A173&lt;&gt;0),0,IF($A173="S",OFFSET(G173,-1,0)+1,OFFSET(G173,-1,0)))</f>
        <v>7</v>
      </c>
      <c r="H173">
        <f ca="1">IF(OR($A173="S",$A173=0),0,MATCH(0,OFFSET($B173,1,$A173,ROW($A$275)-ROW($A173)),0))</f>
        <v>0</v>
      </c>
      <c r="I173">
        <f ca="1">IF(OR($A173="S",$A173=0),0,MATCH(OFFSET($B173,0,$A173)+1,OFFSET($B173,1,$A173,ROW($A$275)-ROW($A173)),0))</f>
        <v>0</v>
      </c>
      <c r="J173" s="101" t="s">
        <v>103</v>
      </c>
      <c r="K173" s="137" t="str">
        <f ca="1">IF($A173=0,"-",CONCATENATE(C173&amp;".",IF(AND($A$5&gt;=2,$A173&gt;=2),D173&amp;".",""),IF(AND($A$5&gt;=3,$A173&gt;=3),E173&amp;".",""),IF(AND($A$5&gt;=4,$A173&gt;=4),F173&amp;".",""),IF($A173="S",G173&amp;".","")))</f>
        <v>1.15.7.</v>
      </c>
      <c r="L173" s="176" t="s">
        <v>237</v>
      </c>
      <c r="M173" s="176" t="s">
        <v>302</v>
      </c>
      <c r="N173" s="197" t="str">
        <f ca="1">IF($A173="S",Referencia.Descricao,"(digite a descrição aqui)")</f>
        <v>FABRICAÇÃO E INSTALAÇÃO DE TESOURA INTEIRA EM MADEIRA NÃO APARELHADA, VÃO DE 7 M, PARA TELHA ONDULADA DE FIBROCIMENTO, METÁLICA, PLÁSTICA OU TERMOACÚSTICA, INCLUSO IÇAMENTO. AF_07/2019</v>
      </c>
      <c r="O173" s="196" t="str">
        <f ca="1">Referencia.Unidade</f>
        <v>UN</v>
      </c>
      <c r="P173" s="199">
        <v>10</v>
      </c>
      <c r="Q173" s="195">
        <f ca="1">IF(Import.Desoneracao="sim",Referencia.Desonerado,Referencia.NaoDesonerado)</f>
        <v>1405.02</v>
      </c>
      <c r="R173" s="198" t="s">
        <v>7</v>
      </c>
      <c r="S173" s="102">
        <f ca="1">IF($A173="S",IF($Q$10="Preço Unitário (R$)",PO.CustoUnitario,ROUND(PO.CustoUnitario*(1+$Z173),15-13*$X$6)),0)</f>
        <v>1775.66</v>
      </c>
      <c r="T173" s="82">
        <f ca="1">IF($A173="S",VTOTAL1,IF($A173=0,0,ROUND(SomaAgrup,15-13*$X$7)))</f>
        <v>17756.599999999999</v>
      </c>
      <c r="U173" s="9" t="str">
        <f ca="1">IF($J173="","",IF($N173="","DESCRIÇÃO",IF(AND($J173="Serviço",$O173=""),"UNIDADE",IF($T173&lt;=0,"SEM VALOR",IF(AND($Y173&lt;&gt;"",$Q173&gt;$Y173),"ACIMA REF.","")))))</f>
        <v/>
      </c>
      <c r="V173" s="1" t="str">
        <f ca="1">IF(OR($A173=0,$A173="S",$A173&gt;CFF!$A$9),"",MAX(V$12:OFFSET(V173,-1,0))+1)</f>
        <v/>
      </c>
      <c r="W173" s="4" t="str">
        <f>IF(AND($J173="Serviço",$M173&lt;&gt;""),IF($L173="",$M173,CONCATENATE($L173,"-",$M173)))</f>
        <v>SINAPI-92559</v>
      </c>
      <c r="X173" s="1">
        <f ca="1">IF(AND(Fonte&lt;&gt;"",Código&lt;&gt;""),MATCH(Fonte&amp;" "&amp;IF(Fonte="sinapi",SUBSTITUTE(SUBSTITUTE(Código,"/00","/"),"/0","/"),Código),INDIRECT("'[Referência "&amp;_xlnm.Database&amp;".xls]Banco'!$a:$a"),0),"X")</f>
        <v>1485</v>
      </c>
      <c r="Y173" s="102">
        <f ca="1">IF(Import.Desoneracao="sim",Referencia.Desonerado,Referencia.NaoDesonerado)</f>
        <v>1405.02</v>
      </c>
      <c r="Z173" s="112">
        <f ca="1">ROUND(IF(ISNUMBER(R173),R173,IF(LEFT(R173,3)="BDI",HLOOKUP(R173,DADOS!$T$37:$X$38,2,FALSE),0)),15-11*$X$5)</f>
        <v>0.26379999999999998</v>
      </c>
      <c r="AA173" s="1"/>
    </row>
    <row r="174" spans="1:27" ht="38.25" x14ac:dyDescent="0.2">
      <c r="A174" t="str">
        <f>CHOOSE(1+LOG(1+2*(J174="Meta")+4*(J174="Nível 2")+8*(J174="Nível 3")+16*(J174="Nível 4")+32*(J174="Serviço"),2),0,1,2,3,4,"S")</f>
        <v>S</v>
      </c>
      <c r="B174">
        <f>IF(OR(A174="S",A174=0),0,IF(ISERROR(I174),H174,SMALL(H174:I174,1)))</f>
        <v>0</v>
      </c>
      <c r="C174">
        <f ca="1">IF($A174=1,OFFSET(C174,-1,0)+1,OFFSET(C174,-1,0))</f>
        <v>1</v>
      </c>
      <c r="D174">
        <f ca="1">IF($A174=1,0,IF($A174=2,OFFSET(D174,-1,0)+1,OFFSET(D174,-1,0)))</f>
        <v>15</v>
      </c>
      <c r="E174">
        <f ca="1">IF(AND($A174&lt;=2,$A174&lt;&gt;0),0,IF($A174=3,OFFSET(E174,-1,0)+1,OFFSET(E174,-1,0)))</f>
        <v>0</v>
      </c>
      <c r="F174">
        <f ca="1">IF(AND($A174&lt;=3,$A174&lt;&gt;0),0,IF($A174=4,OFFSET(F174,-1,0)+1,OFFSET(F174,-1,0)))</f>
        <v>0</v>
      </c>
      <c r="G174">
        <f ca="1">IF(AND($A174&lt;=4,$A174&lt;&gt;0),0,IF($A174="S",OFFSET(G174,-1,0)+1,OFFSET(G174,-1,0)))</f>
        <v>8</v>
      </c>
      <c r="H174">
        <f ca="1">IF(OR($A174="S",$A174=0),0,MATCH(0,OFFSET($B174,1,$A174,ROW($A$275)-ROW($A174)),0))</f>
        <v>0</v>
      </c>
      <c r="I174">
        <f ca="1">IF(OR($A174="S",$A174=0),0,MATCH(OFFSET($B174,0,$A174)+1,OFFSET($B174,1,$A174,ROW($A$275)-ROW($A174)),0))</f>
        <v>0</v>
      </c>
      <c r="J174" s="101" t="s">
        <v>103</v>
      </c>
      <c r="K174" s="137" t="str">
        <f ca="1">IF($A174=0,"-",CONCATENATE(C174&amp;".",IF(AND($A$5&gt;=2,$A174&gt;=2),D174&amp;".",""),IF(AND($A$5&gt;=3,$A174&gt;=3),E174&amp;".",""),IF(AND($A$5&gt;=4,$A174&gt;=4),F174&amp;".",""),IF($A174="S",G174&amp;".","")))</f>
        <v>1.15.8.</v>
      </c>
      <c r="L174" s="176" t="s">
        <v>237</v>
      </c>
      <c r="M174" s="176" t="s">
        <v>247</v>
      </c>
      <c r="N174" s="197" t="str">
        <f ca="1">IF($A174="S",Referencia.Descricao,"(digite a descrição aqui)")</f>
        <v>TRAMA DE MADEIRA COMPOSTA POR TERÇAS PARA TELHADOS DE ATÉ 2 ÁGUAS PARA TELHA ONDULADA DE FIBROCIMENTO, METÁLICA, PLÁSTICA OU TERMOACÚSTICA, INCLUSO TRANSPORTE VERTICAL. AF_07/2019</v>
      </c>
      <c r="O174" s="196" t="str">
        <f ca="1">Referencia.Unidade</f>
        <v>M2</v>
      </c>
      <c r="P174" s="199">
        <v>461</v>
      </c>
      <c r="Q174" s="195">
        <f ca="1">IF(Import.Desoneracao="sim",Referencia.Desonerado,Referencia.NaoDesonerado)</f>
        <v>15.72</v>
      </c>
      <c r="R174" s="198" t="s">
        <v>7</v>
      </c>
      <c r="S174" s="102">
        <f ca="1">IF($A174="S",IF($Q$10="Preço Unitário (R$)",PO.CustoUnitario,ROUND(PO.CustoUnitario*(1+$Z174),15-13*$X$6)),0)</f>
        <v>19.87</v>
      </c>
      <c r="T174" s="82">
        <f ca="1">IF($A174="S",VTOTAL1,IF($A174=0,0,ROUND(SomaAgrup,15-13*$X$7)))</f>
        <v>9160.07</v>
      </c>
      <c r="U174" s="9" t="str">
        <f ca="1">IF($J174="","",IF($N174="","DESCRIÇÃO",IF(AND($J174="Serviço",$O174=""),"UNIDADE",IF($T174&lt;=0,"SEM VALOR",IF(AND($Y174&lt;&gt;"",$Q174&gt;$Y174),"ACIMA REF.","")))))</f>
        <v/>
      </c>
      <c r="V174" s="1" t="str">
        <f ca="1">IF(OR($A174=0,$A174="S",$A174&gt;CFF!$A$9),"",MAX(V$12:OFFSET(V174,-1,0))+1)</f>
        <v/>
      </c>
      <c r="W174" s="4" t="str">
        <f>IF(AND($J174="Serviço",$M174&lt;&gt;""),IF($L174="",$M174,CONCATENATE($L174,"-",$M174)))</f>
        <v>SINAPI-92543</v>
      </c>
      <c r="X174" s="1">
        <f ca="1">IF(AND(Fonte&lt;&gt;"",Código&lt;&gt;""),MATCH(Fonte&amp;" "&amp;IF(Fonte="sinapi",SUBSTITUTE(SUBSTITUTE(Código,"/00","/"),"/0","/"),Código),INDIRECT("'[Referência "&amp;_xlnm.Database&amp;".xls]Banco'!$a:$a"),0),"X")</f>
        <v>1469</v>
      </c>
      <c r="Y174" s="102">
        <f ca="1">IF(Import.Desoneracao="sim",Referencia.Desonerado,Referencia.NaoDesonerado)</f>
        <v>15.72</v>
      </c>
      <c r="Z174" s="112">
        <f ca="1">ROUND(IF(ISNUMBER(R174),R174,IF(LEFT(R174,3)="BDI",HLOOKUP(R174,DADOS!$T$37:$X$38,2,FALSE),0)),15-11*$X$5)</f>
        <v>0.26379999999999998</v>
      </c>
      <c r="AA174" s="1"/>
    </row>
    <row r="175" spans="1:27" ht="25.5" x14ac:dyDescent="0.2">
      <c r="A175" t="str">
        <f t="shared" si="0"/>
        <v>S</v>
      </c>
      <c r="B175">
        <f t="shared" si="1"/>
        <v>0</v>
      </c>
      <c r="C175">
        <f t="shared" ca="1" si="2"/>
        <v>1</v>
      </c>
      <c r="D175">
        <f t="shared" ca="1" si="3"/>
        <v>15</v>
      </c>
      <c r="E175">
        <f t="shared" ca="1" si="4"/>
        <v>0</v>
      </c>
      <c r="F175">
        <f t="shared" ca="1" si="5"/>
        <v>0</v>
      </c>
      <c r="G175">
        <f t="shared" ca="1" si="6"/>
        <v>9</v>
      </c>
      <c r="H175">
        <f ca="1">IF(OR($A175="S",$A175=0),0,MATCH(0,OFFSET($B175,1,$A175,ROW($A$275)-ROW($A175)),0))</f>
        <v>0</v>
      </c>
      <c r="I175">
        <f ca="1">IF(OR($A175="S",$A175=0),0,MATCH(OFFSET($B175,0,$A175)+1,OFFSET($B175,1,$A175,ROW($A$275)-ROW($A175)),0))</f>
        <v>0</v>
      </c>
      <c r="J175" s="101" t="s">
        <v>103</v>
      </c>
      <c r="K175" s="137" t="str">
        <f t="shared" ca="1" si="7"/>
        <v>1.15.9.</v>
      </c>
      <c r="L175" s="176" t="s">
        <v>238</v>
      </c>
      <c r="M175" s="176" t="s">
        <v>257</v>
      </c>
      <c r="N175" s="197" t="str">
        <f t="shared" ca="1" si="18"/>
        <v>ESPELHO PARA BEIRAL EM MADEIRA MACARANDUBA, ANGELIM OU EQUIVALENTE DA REGIÃO, ALTURA: 15CM, INCLUSO PINTURA NA COR BRANCA.</v>
      </c>
      <c r="O175" s="196" t="str">
        <f ca="1">Referencia.Unidade</f>
        <v>M2</v>
      </c>
      <c r="P175" s="199">
        <v>13.72</v>
      </c>
      <c r="Q175" s="195">
        <f t="shared" ca="1" si="22"/>
        <v>109.92999999999999</v>
      </c>
      <c r="R175" s="198" t="s">
        <v>7</v>
      </c>
      <c r="S175" s="102">
        <f t="shared" ca="1" si="8"/>
        <v>138.93</v>
      </c>
      <c r="T175" s="82">
        <f t="shared" ca="1" si="9"/>
        <v>1906.12</v>
      </c>
      <c r="U175" s="9" t="str">
        <f t="shared" ca="1" si="10"/>
        <v/>
      </c>
      <c r="V175" s="1" t="str">
        <f ca="1">IF(OR($A175=0,$A175="S",$A175&gt;CFF!$A$9),"",MAX(V$12:OFFSET(V175,-1,0))+1)</f>
        <v/>
      </c>
      <c r="W175" s="4" t="str">
        <f t="shared" si="11"/>
        <v>COMPOSIÇÃO-COMP2</v>
      </c>
      <c r="X175" s="1">
        <f t="shared" ca="1" si="12"/>
        <v>8</v>
      </c>
      <c r="Y175" s="102">
        <f t="shared" ca="1" si="13"/>
        <v>109.92999999999999</v>
      </c>
      <c r="Z175" s="112">
        <f ca="1">ROUND(IF(ISNUMBER(R175),R175,IF(LEFT(R175,3)="BDI",HLOOKUP(R175,DADOS!$T$37:$X$38,2,FALSE),0)),15-11*$X$5)</f>
        <v>0.26379999999999998</v>
      </c>
      <c r="AA175" s="1"/>
    </row>
    <row r="176" spans="1:27" ht="38.25" x14ac:dyDescent="0.2">
      <c r="A176" t="str">
        <f>CHOOSE(1+LOG(1+2*(J176="Meta")+4*(J176="Nível 2")+8*(J176="Nível 3")+16*(J176="Nível 4")+32*(J176="Serviço"),2),0,1,2,3,4,"S")</f>
        <v>S</v>
      </c>
      <c r="B176">
        <f>IF(OR(A176="S",A176=0),0,IF(ISERROR(I176),H176,SMALL(H176:I176,1)))</f>
        <v>0</v>
      </c>
      <c r="C176">
        <f ca="1">IF($A176=1,OFFSET(C176,-1,0)+1,OFFSET(C176,-1,0))</f>
        <v>1</v>
      </c>
      <c r="D176">
        <f ca="1">IF($A176=1,0,IF($A176=2,OFFSET(D176,-1,0)+1,OFFSET(D176,-1,0)))</f>
        <v>15</v>
      </c>
      <c r="E176">
        <f ca="1">IF(AND($A176&lt;=2,$A176&lt;&gt;0),0,IF($A176=3,OFFSET(E176,-1,0)+1,OFFSET(E176,-1,0)))</f>
        <v>0</v>
      </c>
      <c r="F176">
        <f ca="1">IF(AND($A176&lt;=3,$A176&lt;&gt;0),0,IF($A176=4,OFFSET(F176,-1,0)+1,OFFSET(F176,-1,0)))</f>
        <v>0</v>
      </c>
      <c r="G176">
        <f ca="1">IF(AND($A176&lt;=4,$A176&lt;&gt;0),0,IF($A176="S",OFFSET(G176,-1,0)+1,OFFSET(G176,-1,0)))</f>
        <v>10</v>
      </c>
      <c r="H176">
        <f ca="1">IF(OR($A176="S",$A176=0),0,MATCH(0,OFFSET($B176,1,$A176,ROW($A$275)-ROW($A176)),0))</f>
        <v>0</v>
      </c>
      <c r="I176">
        <f ca="1">IF(OR($A176="S",$A176=0),0,MATCH(OFFSET($B176,0,$A176)+1,OFFSET($B176,1,$A176,ROW($A$275)-ROW($A176)),0))</f>
        <v>0</v>
      </c>
      <c r="J176" s="101" t="s">
        <v>103</v>
      </c>
      <c r="K176" s="137" t="str">
        <f ca="1">IF($A176=0,"-",CONCATENATE(C176&amp;".",IF(AND($A$5&gt;=2,$A176&gt;=2),D176&amp;".",""),IF(AND($A$5&gt;=3,$A176&gt;=3),E176&amp;".",""),IF(AND($A$5&gt;=4,$A176&gt;=4),F176&amp;".",""),IF($A176="S",G176&amp;".","")))</f>
        <v>1.15.10.</v>
      </c>
      <c r="L176" s="176" t="s">
        <v>238</v>
      </c>
      <c r="M176" s="176" t="s">
        <v>300</v>
      </c>
      <c r="N176" s="197" t="str">
        <f ca="1">IF($A176="S",Referencia.Descricao,"(digite a descrição aqui)")</f>
        <v>TELHAMENTO COM TELHA TRAPEZOIDAL TIPO SANDUICHE (TP40/980 0,50 + EPS 30MM + TP40/980 0,43), Cor externa azul (Incluso transporte, içamento, instalação, cumeeira, bobina, parafusos, calços).</v>
      </c>
      <c r="O176" s="196" t="str">
        <f ca="1">Referencia.Unidade</f>
        <v xml:space="preserve">M2    </v>
      </c>
      <c r="P176" s="199">
        <v>461</v>
      </c>
      <c r="Q176" s="195">
        <f ca="1">IF(Import.Desoneracao="sim",Referencia.Desonerado,Referencia.NaoDesonerado)</f>
        <v>130.28</v>
      </c>
      <c r="R176" s="198" t="s">
        <v>7</v>
      </c>
      <c r="S176" s="102">
        <f ca="1">IF($A176="S",IF($Q$10="Preço Unitário (R$)",PO.CustoUnitario,ROUND(PO.CustoUnitario*(1+$Z176),15-13*$X$6)),0)</f>
        <v>164.65</v>
      </c>
      <c r="T176" s="82">
        <f ca="1">IF($A176="S",VTOTAL1,IF($A176=0,0,ROUND(SomaAgrup,15-13*$X$7)))</f>
        <v>75903.649999999994</v>
      </c>
      <c r="U176" s="9" t="str">
        <f ca="1">IF($J176="","",IF($N176="","DESCRIÇÃO",IF(AND($J176="Serviço",$O176=""),"UNIDADE",IF($T176&lt;=0,"SEM VALOR",IF(AND($Y176&lt;&gt;"",$Q176&gt;$Y176),"ACIMA REF.","")))))</f>
        <v/>
      </c>
      <c r="V176" s="1" t="str">
        <f ca="1">IF(OR($A176=0,$A176="S",$A176&gt;CFF!$A$9),"",MAX(V$12:OFFSET(V176,-1,0))+1)</f>
        <v/>
      </c>
      <c r="W176" s="4" t="str">
        <f>IF(AND($J176="Serviço",$M176&lt;&gt;""),IF($L176="",$M176,CONCATENATE($L176,"-",$M176)))</f>
        <v>COMPOSIÇÃO-COMP14</v>
      </c>
      <c r="X176" s="1">
        <f ca="1">IF(AND(Fonte&lt;&gt;"",Código&lt;&gt;""),MATCH(Fonte&amp;" "&amp;IF(Fonte="sinapi",SUBSTITUTE(SUBSTITUTE(Código,"/00","/"),"/0","/"),Código),INDIRECT("'[Referência "&amp;_xlnm.Database&amp;".xls]Banco'!$a:$a"),0),"X")</f>
        <v>20</v>
      </c>
      <c r="Y176" s="102">
        <f ca="1">IF(Import.Desoneracao="sim",Referencia.Desonerado,Referencia.NaoDesonerado)</f>
        <v>130.28</v>
      </c>
      <c r="Z176" s="112">
        <f ca="1">ROUND(IF(ISNUMBER(R176),R176,IF(LEFT(R176,3)="BDI",HLOOKUP(R176,DADOS!$T$37:$X$38,2,FALSE),0)),15-11*$X$5)</f>
        <v>0.26379999999999998</v>
      </c>
      <c r="AA176" s="1"/>
    </row>
    <row r="177" spans="1:27" ht="25.5" x14ac:dyDescent="0.2">
      <c r="A177" t="str">
        <f>CHOOSE(1+LOG(1+2*(J177="Meta")+4*(J177="Nível 2")+8*(J177="Nível 3")+16*(J177="Nível 4")+32*(J177="Serviço"),2),0,1,2,3,4,"S")</f>
        <v>S</v>
      </c>
      <c r="B177">
        <f>IF(OR(A177="S",A177=0),0,IF(ISERROR(I177),H177,SMALL(H177:I177,1)))</f>
        <v>0</v>
      </c>
      <c r="C177">
        <f ca="1">IF($A177=1,OFFSET(C177,-1,0)+1,OFFSET(C177,-1,0))</f>
        <v>1</v>
      </c>
      <c r="D177">
        <f ca="1">IF($A177=1,0,IF($A177=2,OFFSET(D177,-1,0)+1,OFFSET(D177,-1,0)))</f>
        <v>15</v>
      </c>
      <c r="E177">
        <f ca="1">IF(AND($A177&lt;=2,$A177&lt;&gt;0),0,IF($A177=3,OFFSET(E177,-1,0)+1,OFFSET(E177,-1,0)))</f>
        <v>0</v>
      </c>
      <c r="F177">
        <f ca="1">IF(AND($A177&lt;=3,$A177&lt;&gt;0),0,IF($A177=4,OFFSET(F177,-1,0)+1,OFFSET(F177,-1,0)))</f>
        <v>0</v>
      </c>
      <c r="G177">
        <f ca="1">IF(AND($A177&lt;=4,$A177&lt;&gt;0),0,IF($A177="S",OFFSET(G177,-1,0)+1,OFFSET(G177,-1,0)))</f>
        <v>11</v>
      </c>
      <c r="H177">
        <f ca="1">IF(OR($A177="S",$A177=0),0,MATCH(0,OFFSET($B177,1,$A177,ROW($A$275)-ROW($A177)),0))</f>
        <v>0</v>
      </c>
      <c r="I177">
        <f ca="1">IF(OR($A177="S",$A177=0),0,MATCH(OFFSET($B177,0,$A177)+1,OFFSET($B177,1,$A177,ROW($A$275)-ROW($A177)),0))</f>
        <v>0</v>
      </c>
      <c r="J177" s="101" t="s">
        <v>103</v>
      </c>
      <c r="K177" s="137" t="str">
        <f ca="1">IF($A177=0,"-",CONCATENATE(C177&amp;".",IF(AND($A$5&gt;=2,$A177&gt;=2),D177&amp;".",""),IF(AND($A$5&gt;=3,$A177&gt;=3),E177&amp;".",""),IF(AND($A$5&gt;=4,$A177&gt;=4),F177&amp;".",""),IF($A177="S",G177&amp;".","")))</f>
        <v>1.15.11.</v>
      </c>
      <c r="L177" s="176" t="s">
        <v>237</v>
      </c>
      <c r="M177" s="176" t="s">
        <v>301</v>
      </c>
      <c r="N177" s="197" t="str">
        <f ca="1">IF($A177="S",Referencia.Descricao,"(digite a descrição aqui)")</f>
        <v>RUFO EM CHAPA DE AÇO GALVANIZADO NÚMERO 24, CORTE DE 25 CM, INCLUSO TRANSPORTE VERTICAL. AF_07/2019</v>
      </c>
      <c r="O177" s="196" t="str">
        <f ca="1">Referencia.Unidade</f>
        <v>M</v>
      </c>
      <c r="P177" s="199">
        <f>12.25+6.6+6.6</f>
        <v>25.450000000000003</v>
      </c>
      <c r="Q177" s="195">
        <f ca="1">IF(Import.Desoneracao="sim",Referencia.Desonerado,Referencia.NaoDesonerado)</f>
        <v>57.5</v>
      </c>
      <c r="R177" s="198" t="s">
        <v>7</v>
      </c>
      <c r="S177" s="102">
        <f ca="1">IF($A177="S",IF($Q$10="Preço Unitário (R$)",PO.CustoUnitario,ROUND(PO.CustoUnitario*(1+$Z177),15-13*$X$6)),0)</f>
        <v>72.67</v>
      </c>
      <c r="T177" s="82">
        <f ca="1">IF($A177="S",VTOTAL1,IF($A177=0,0,ROUND(SomaAgrup,15-13*$X$7)))</f>
        <v>1849.45</v>
      </c>
      <c r="U177" s="9" t="str">
        <f ca="1">IF($J177="","",IF($N177="","DESCRIÇÃO",IF(AND($J177="Serviço",$O177=""),"UNIDADE",IF($T177&lt;=0,"SEM VALOR",IF(AND($Y177&lt;&gt;"",$Q177&gt;$Y177),"ACIMA REF.","")))))</f>
        <v/>
      </c>
      <c r="V177" s="1" t="str">
        <f ca="1">IF(OR($A177=0,$A177="S",$A177&gt;CFF!$A$9),"",MAX(V$12:OFFSET(V177,-1,0))+1)</f>
        <v/>
      </c>
      <c r="W177" s="4" t="str">
        <f>IF(AND($J177="Serviço",$M177&lt;&gt;""),IF($L177="",$M177,CONCATENATE($L177,"-",$M177)))</f>
        <v>SINAPI-94231</v>
      </c>
      <c r="X177" s="1">
        <f ca="1">IF(AND(Fonte&lt;&gt;"",Código&lt;&gt;""),MATCH(Fonte&amp;" "&amp;IF(Fonte="sinapi",SUBSTITUTE(SUBSTITUTE(Código,"/00","/"),"/0","/"),Código),INDIRECT("'[Referência "&amp;_xlnm.Database&amp;".xls]Banco'!$a:$a"),0),"X")</f>
        <v>1546</v>
      </c>
      <c r="Y177" s="102">
        <f ca="1">IF(Import.Desoneracao="sim",Referencia.Desonerado,Referencia.NaoDesonerado)</f>
        <v>57.5</v>
      </c>
      <c r="Z177" s="112">
        <f ca="1">ROUND(IF(ISNUMBER(R177),R177,IF(LEFT(R177,3)="BDI",HLOOKUP(R177,DADOS!$T$37:$X$38,2,FALSE),0)),15-11*$X$5)</f>
        <v>0.26379999999999998</v>
      </c>
      <c r="AA177" s="1"/>
    </row>
    <row r="178" spans="1:27" ht="25.5" x14ac:dyDescent="0.2">
      <c r="A178" t="str">
        <f t="shared" ref="A178" si="23">CHOOSE(1+LOG(1+2*(J178="Meta")+4*(J178="Nível 2")+8*(J178="Nível 3")+16*(J178="Nível 4")+32*(J178="Serviço"),2),0,1,2,3,4,"S")</f>
        <v>S</v>
      </c>
      <c r="B178">
        <f t="shared" ref="B178" si="24">IF(OR(A178="S",A178=0),0,IF(ISERROR(I178),H178,SMALL(H178:I178,1)))</f>
        <v>0</v>
      </c>
      <c r="C178">
        <f t="shared" ref="C178" ca="1" si="25">IF($A178=1,OFFSET(C178,-1,0)+1,OFFSET(C178,-1,0))</f>
        <v>1</v>
      </c>
      <c r="D178">
        <f t="shared" ref="D178" ca="1" si="26">IF($A178=1,0,IF($A178=2,OFFSET(D178,-1,0)+1,OFFSET(D178,-1,0)))</f>
        <v>15</v>
      </c>
      <c r="E178">
        <f t="shared" ref="E178" ca="1" si="27">IF(AND($A178&lt;=2,$A178&lt;&gt;0),0,IF($A178=3,OFFSET(E178,-1,0)+1,OFFSET(E178,-1,0)))</f>
        <v>0</v>
      </c>
      <c r="F178">
        <f t="shared" ref="F178" ca="1" si="28">IF(AND($A178&lt;=3,$A178&lt;&gt;0),0,IF($A178=4,OFFSET(F178,-1,0)+1,OFFSET(F178,-1,0)))</f>
        <v>0</v>
      </c>
      <c r="G178">
        <f t="shared" ref="G178" ca="1" si="29">IF(AND($A178&lt;=4,$A178&lt;&gt;0),0,IF($A178="S",OFFSET(G178,-1,0)+1,OFFSET(G178,-1,0)))</f>
        <v>12</v>
      </c>
      <c r="H178">
        <f ca="1">IF(OR($A178="S",$A178=0),0,MATCH(0,OFFSET($B178,1,$A178,ROW($A$275)-ROW($A178)),0))</f>
        <v>0</v>
      </c>
      <c r="I178">
        <f ca="1">IF(OR($A178="S",$A178=0),0,MATCH(OFFSET($B178,0,$A178)+1,OFFSET($B178,1,$A178,ROW($A$275)-ROW($A178)),0))</f>
        <v>0</v>
      </c>
      <c r="J178" s="101" t="s">
        <v>103</v>
      </c>
      <c r="K178" s="137" t="str">
        <f t="shared" ref="K178" ca="1" si="30">IF($A178=0,"-",CONCATENATE(C178&amp;".",IF(AND($A$5&gt;=2,$A178&gt;=2),D178&amp;".",""),IF(AND($A$5&gt;=3,$A178&gt;=3),E178&amp;".",""),IF(AND($A$5&gt;=4,$A178&gt;=4),F178&amp;".",""),IF($A178="S",G178&amp;".","")))</f>
        <v>1.15.12.</v>
      </c>
      <c r="L178" s="176" t="s">
        <v>237</v>
      </c>
      <c r="M178" s="176" t="s">
        <v>248</v>
      </c>
      <c r="N178" s="197" t="str">
        <f ca="1">IF($A178="S",Referencia.Descricao,"(digite a descrição aqui)")</f>
        <v>CALHA EM CHAPA DE AÇO GALVANIZADO NÚMERO 24, DESENVOLVIMENTO DE 33 CM, INCLUSO TRANSPORTE VERTICAL. AF_07/2019</v>
      </c>
      <c r="O178" s="196" t="str">
        <f ca="1">Referencia.Unidade</f>
        <v>M</v>
      </c>
      <c r="P178" s="199">
        <v>23.7</v>
      </c>
      <c r="Q178" s="195">
        <f ca="1">IF(Import.Desoneracao="sim",Referencia.Desonerado,Referencia.NaoDesonerado)</f>
        <v>70.94</v>
      </c>
      <c r="R178" s="198" t="s">
        <v>7</v>
      </c>
      <c r="S178" s="102">
        <f ca="1">IF($A178="S",IF($Q$10="Preço Unitário (R$)",PO.CustoUnitario,ROUND(PO.CustoUnitario*(1+$Z178),15-13*$X$6)),0)</f>
        <v>89.65</v>
      </c>
      <c r="T178" s="82">
        <f ca="1">IF($A178="S",VTOTAL1,IF($A178=0,0,ROUND(SomaAgrup,15-13*$X$7)))</f>
        <v>2124.71</v>
      </c>
      <c r="U178" s="9" t="str">
        <f t="shared" ref="U178" ca="1" si="31">IF($J178="","",IF($N178="","DESCRIÇÃO",IF(AND($J178="Serviço",$O178=""),"UNIDADE",IF($T178&lt;=0,"SEM VALOR",IF(AND($Y178&lt;&gt;"",$Q178&gt;$Y178),"ACIMA REF.","")))))</f>
        <v/>
      </c>
      <c r="V178" s="1" t="str">
        <f ca="1">IF(OR($A178=0,$A178="S",$A178&gt;CFF!$A$9),"",MAX(V$12:OFFSET(V178,-1,0))+1)</f>
        <v/>
      </c>
      <c r="W178" s="4" t="str">
        <f t="shared" ref="W178" si="32">IF(AND($J178="Serviço",$M178&lt;&gt;""),IF($L178="",$M178,CONCATENATE($L178,"-",$M178)))</f>
        <v>SINAPI-94227</v>
      </c>
      <c r="X178" s="1">
        <f ca="1">IF(AND(Fonte&lt;&gt;"",Código&lt;&gt;""),MATCH(Fonte&amp;" "&amp;IF(Fonte="sinapi",SUBSTITUTE(SUBSTITUTE(Código,"/00","/"),"/0","/"),Código),INDIRECT("'[Referência "&amp;_xlnm.Database&amp;".xls]Banco'!$a:$a"),0),"X")</f>
        <v>1543</v>
      </c>
      <c r="Y178" s="102">
        <f ca="1">IF(Import.Desoneracao="sim",Referencia.Desonerado,Referencia.NaoDesonerado)</f>
        <v>70.94</v>
      </c>
      <c r="Z178" s="112">
        <f ca="1">ROUND(IF(ISNUMBER(R178),R178,IF(LEFT(R178,3)="BDI",HLOOKUP(R178,DADOS!$T$37:$X$38,2,FALSE),0)),15-11*$X$5)</f>
        <v>0.26379999999999998</v>
      </c>
      <c r="AA178" s="1"/>
    </row>
    <row r="179" spans="1:27" ht="25.5" x14ac:dyDescent="0.2">
      <c r="A179" t="str">
        <f t="shared" si="0"/>
        <v>S</v>
      </c>
      <c r="B179">
        <f t="shared" si="1"/>
        <v>0</v>
      </c>
      <c r="C179">
        <f t="shared" ca="1" si="2"/>
        <v>1</v>
      </c>
      <c r="D179">
        <f t="shared" ca="1" si="3"/>
        <v>15</v>
      </c>
      <c r="E179">
        <f t="shared" ca="1" si="4"/>
        <v>0</v>
      </c>
      <c r="F179">
        <f t="shared" ca="1" si="5"/>
        <v>0</v>
      </c>
      <c r="G179">
        <f t="shared" ca="1" si="6"/>
        <v>13</v>
      </c>
      <c r="H179">
        <f ca="1">IF(OR($A179="S",$A179=0),0,MATCH(0,OFFSET($B179,1,$A179,ROW($A$275)-ROW($A179)),0))</f>
        <v>0</v>
      </c>
      <c r="I179">
        <f ca="1">IF(OR($A179="S",$A179=0),0,MATCH(OFFSET($B179,0,$A179)+1,OFFSET($B179,1,$A179,ROW($A$275)-ROW($A179)),0))</f>
        <v>0</v>
      </c>
      <c r="J179" s="101" t="s">
        <v>103</v>
      </c>
      <c r="K179" s="137" t="str">
        <f t="shared" ca="1" si="7"/>
        <v>1.15.13.</v>
      </c>
      <c r="L179" s="176" t="s">
        <v>249</v>
      </c>
      <c r="M179" s="176" t="s">
        <v>250</v>
      </c>
      <c r="N179" s="197" t="str">
        <f t="shared" ca="1" si="18"/>
        <v xml:space="preserve">SUPORTE METALICO PARA CALHA PLUVIAL, ZINCADO, DOBRADO, DIAMETRO ENTRE 119 E 170 MM, PARA DRENAGEM PLUVIAL PREDIAL                                                                                                                                                                                                                                                                                                                                                                                         </v>
      </c>
      <c r="O179" s="196" t="str">
        <f ca="1">Referencia.Unidade</f>
        <v xml:space="preserve">UN    </v>
      </c>
      <c r="P179" s="199">
        <v>30</v>
      </c>
      <c r="Q179" s="195">
        <f t="shared" ca="1" si="22"/>
        <v>43.13</v>
      </c>
      <c r="R179" s="198" t="s">
        <v>7</v>
      </c>
      <c r="S179" s="102">
        <f t="shared" ca="1" si="8"/>
        <v>54.51</v>
      </c>
      <c r="T179" s="82">
        <f t="shared" ca="1" si="9"/>
        <v>1635.3</v>
      </c>
      <c r="U179" s="9" t="str">
        <f t="shared" ca="1" si="10"/>
        <v/>
      </c>
      <c r="V179" s="1" t="str">
        <f ca="1">IF(OR($A179=0,$A179="S",$A179&gt;CFF!$A$9),"",MAX(V$12:OFFSET(V179,-1,0))+1)</f>
        <v/>
      </c>
      <c r="W179" s="4" t="str">
        <f t="shared" si="11"/>
        <v>SINAPI-I-12626</v>
      </c>
      <c r="X179" s="1">
        <f t="shared" ca="1" si="12"/>
        <v>11603</v>
      </c>
      <c r="Y179" s="102">
        <f t="shared" ca="1" si="13"/>
        <v>43.13</v>
      </c>
      <c r="Z179" s="112">
        <f ca="1">ROUND(IF(ISNUMBER(R179),R179,IF(LEFT(R179,3)="BDI",HLOOKUP(R179,DADOS!$T$37:$X$38,2,FALSE),0)),15-11*$X$5)</f>
        <v>0.26379999999999998</v>
      </c>
      <c r="AA179" s="1"/>
    </row>
    <row r="180" spans="1:27" x14ac:dyDescent="0.2">
      <c r="A180">
        <f t="shared" si="0"/>
        <v>2</v>
      </c>
      <c r="B180">
        <f t="shared" ca="1" si="1"/>
        <v>9</v>
      </c>
      <c r="C180">
        <f t="shared" ca="1" si="2"/>
        <v>1</v>
      </c>
      <c r="D180">
        <f t="shared" ca="1" si="3"/>
        <v>16</v>
      </c>
      <c r="E180">
        <f t="shared" ca="1" si="4"/>
        <v>0</v>
      </c>
      <c r="F180">
        <f t="shared" ca="1" si="5"/>
        <v>0</v>
      </c>
      <c r="G180">
        <f t="shared" ca="1" si="6"/>
        <v>0</v>
      </c>
      <c r="H180">
        <f ca="1">IF(OR($A180="S",$A180=0),0,MATCH(0,OFFSET($B180,1,$A180,ROW($A$275)-ROW($A180)),0))</f>
        <v>95</v>
      </c>
      <c r="I180">
        <f ca="1">IF(OR($A180="S",$A180=0),0,MATCH(OFFSET($B180,0,$A180)+1,OFFSET($B180,1,$A180,ROW($A$275)-ROW($A180)),0))</f>
        <v>9</v>
      </c>
      <c r="J180" s="101" t="s">
        <v>100</v>
      </c>
      <c r="K180" s="137" t="str">
        <f t="shared" ca="1" si="7"/>
        <v>1.16.</v>
      </c>
      <c r="L180" s="176"/>
      <c r="M180" s="176"/>
      <c r="N180" s="197" t="s">
        <v>394</v>
      </c>
      <c r="O180" s="196" t="str">
        <f ca="1">Referencia.Unidade</f>
        <v/>
      </c>
      <c r="P180" s="199"/>
      <c r="Q180" s="195"/>
      <c r="R180" s="198" t="s">
        <v>7</v>
      </c>
      <c r="S180" s="102">
        <f t="shared" si="8"/>
        <v>0</v>
      </c>
      <c r="T180" s="82">
        <f t="shared" ca="1" si="9"/>
        <v>20310.98</v>
      </c>
      <c r="U180" s="9" t="str">
        <f t="shared" ca="1" si="10"/>
        <v/>
      </c>
      <c r="V180" s="1">
        <f ca="1">IF(OR($A180=0,$A180="S",$A180&gt;CFF!$A$9),"",MAX(V$12:OFFSET(V180,-1,0))+1)</f>
        <v>17</v>
      </c>
      <c r="W180" s="4" t="b">
        <f t="shared" si="11"/>
        <v>0</v>
      </c>
      <c r="X180" s="1" t="str">
        <f t="shared" ca="1" si="12"/>
        <v>X</v>
      </c>
      <c r="Y180" s="102">
        <f t="shared" ca="1" si="13"/>
        <v>0</v>
      </c>
      <c r="Z180" s="112">
        <f ca="1">ROUND(IF(ISNUMBER(R180),R180,IF(LEFT(R180,3)="BDI",HLOOKUP(R180,DADOS!$T$37:$X$38,2,FALSE),0)),15-11*$X$5)</f>
        <v>0.26379999999999998</v>
      </c>
      <c r="AA180" s="1"/>
    </row>
    <row r="181" spans="1:27" ht="38.25" x14ac:dyDescent="0.2">
      <c r="A181" t="str">
        <f t="shared" si="0"/>
        <v>S</v>
      </c>
      <c r="B181">
        <f t="shared" si="1"/>
        <v>0</v>
      </c>
      <c r="C181">
        <f t="shared" ca="1" si="2"/>
        <v>1</v>
      </c>
      <c r="D181">
        <f t="shared" ca="1" si="3"/>
        <v>16</v>
      </c>
      <c r="E181">
        <f t="shared" ca="1" si="4"/>
        <v>0</v>
      </c>
      <c r="F181">
        <f t="shared" ca="1" si="5"/>
        <v>0</v>
      </c>
      <c r="G181">
        <f t="shared" ca="1" si="6"/>
        <v>1</v>
      </c>
      <c r="H181">
        <f ca="1">IF(OR($A181="S",$A181=0),0,MATCH(0,OFFSET($B181,1,$A181,ROW($A$275)-ROW($A181)),0))</f>
        <v>0</v>
      </c>
      <c r="I181">
        <f ca="1">IF(OR($A181="S",$A181=0),0,MATCH(OFFSET($B181,0,$A181)+1,OFFSET($B181,1,$A181,ROW($A$275)-ROW($A181)),0))</f>
        <v>0</v>
      </c>
      <c r="J181" s="101" t="s">
        <v>103</v>
      </c>
      <c r="K181" s="137" t="str">
        <f t="shared" ca="1" si="7"/>
        <v>1.16.1.</v>
      </c>
      <c r="L181" s="176" t="s">
        <v>237</v>
      </c>
      <c r="M181" s="176" t="s">
        <v>366</v>
      </c>
      <c r="N181" s="197" t="str">
        <f t="shared" ca="1" si="18"/>
        <v>ESTRUTURA TRELIÇADA DE COBERTURA, TIPO FINK, COM LIGAÇÕES SOLDADAS, INCLUSOS PERFIS METÁLICOS, CHAPAS METÁLICAS, MÃO DE OBRA E TRANSPORTE COM GUINDASTE - FORNECIMENTO E INSTALAÇÃO. AF_01/2020_PSA</v>
      </c>
      <c r="O181" s="196" t="str">
        <f ca="1">Referencia.Unidade</f>
        <v>KG</v>
      </c>
      <c r="P181" s="199">
        <v>300</v>
      </c>
      <c r="Q181" s="195">
        <f t="shared" ca="1" si="22"/>
        <v>16.95</v>
      </c>
      <c r="R181" s="198" t="s">
        <v>7</v>
      </c>
      <c r="S181" s="102">
        <f t="shared" ca="1" si="8"/>
        <v>21.42</v>
      </c>
      <c r="T181" s="82">
        <f t="shared" ca="1" si="9"/>
        <v>6426</v>
      </c>
      <c r="U181" s="9" t="str">
        <f t="shared" ca="1" si="10"/>
        <v/>
      </c>
      <c r="V181" s="1" t="str">
        <f ca="1">IF(OR($A181=0,$A181="S",$A181&gt;CFF!$A$9),"",MAX(V$12:OFFSET(V181,-1,0))+1)</f>
        <v/>
      </c>
      <c r="W181" s="4" t="str">
        <f t="shared" si="11"/>
        <v>SINAPI-100775</v>
      </c>
      <c r="X181" s="1">
        <f t="shared" ca="1" si="12"/>
        <v>2854</v>
      </c>
      <c r="Y181" s="102">
        <f t="shared" ca="1" si="13"/>
        <v>16.95</v>
      </c>
      <c r="Z181" s="112">
        <f ca="1">ROUND(IF(ISNUMBER(R181),R181,IF(LEFT(R181,3)="BDI",HLOOKUP(R181,DADOS!$T$37:$X$38,2,FALSE),0)),15-11*$X$5)</f>
        <v>0.26379999999999998</v>
      </c>
      <c r="AA181" s="1"/>
    </row>
    <row r="182" spans="1:27" ht="38.25" x14ac:dyDescent="0.2">
      <c r="A182" t="str">
        <f t="shared" si="0"/>
        <v>S</v>
      </c>
      <c r="B182">
        <f t="shared" si="1"/>
        <v>0</v>
      </c>
      <c r="C182">
        <f t="shared" ca="1" si="2"/>
        <v>1</v>
      </c>
      <c r="D182">
        <f t="shared" ca="1" si="3"/>
        <v>16</v>
      </c>
      <c r="E182">
        <f t="shared" ca="1" si="4"/>
        <v>0</v>
      </c>
      <c r="F182">
        <f t="shared" ca="1" si="5"/>
        <v>0</v>
      </c>
      <c r="G182">
        <f t="shared" ca="1" si="6"/>
        <v>2</v>
      </c>
      <c r="H182">
        <f ca="1">IF(OR($A182="S",$A182=0),0,MATCH(0,OFFSET($B182,1,$A182,ROW($A$275)-ROW($A182)),0))</f>
        <v>0</v>
      </c>
      <c r="I182">
        <f ca="1">IF(OR($A182="S",$A182=0),0,MATCH(OFFSET($B182,0,$A182)+1,OFFSET($B182,1,$A182,ROW($A$275)-ROW($A182)),0))</f>
        <v>0</v>
      </c>
      <c r="J182" s="101" t="s">
        <v>103</v>
      </c>
      <c r="K182" s="137" t="str">
        <f t="shared" ca="1" si="7"/>
        <v>1.16.2.</v>
      </c>
      <c r="L182" s="176" t="s">
        <v>237</v>
      </c>
      <c r="M182" s="176" t="s">
        <v>367</v>
      </c>
      <c r="N182" s="197" t="str">
        <f t="shared" ca="1" si="18"/>
        <v>VIGA METÁLICA EM PERFIL LAMINADO OU SOLDADO EM AÇO ESTRUTURAL, COM CONEXÕES SOLDADAS, INCLUSOS MÃO DE OBRA, TRANSPORTE E IÇAMENTO UTILIZANDO GUINDASTE - FORNECIMENTO E INSTALAÇÃO. AF_01/2020_PA</v>
      </c>
      <c r="O182" s="196" t="str">
        <f ca="1">Referencia.Unidade</f>
        <v>KG</v>
      </c>
      <c r="P182" s="199">
        <v>100</v>
      </c>
      <c r="Q182" s="195">
        <f t="shared" ca="1" si="22"/>
        <v>20.55</v>
      </c>
      <c r="R182" s="198" t="s">
        <v>7</v>
      </c>
      <c r="S182" s="102">
        <f t="shared" ca="1" si="8"/>
        <v>25.97</v>
      </c>
      <c r="T182" s="82">
        <f t="shared" ca="1" si="9"/>
        <v>2597</v>
      </c>
      <c r="U182" s="9" t="str">
        <f t="shared" ca="1" si="10"/>
        <v/>
      </c>
      <c r="V182" s="1" t="str">
        <f ca="1">IF(OR($A182=0,$A182="S",$A182&gt;CFF!$A$9),"",MAX(V$12:OFFSET(V182,-1,0))+1)</f>
        <v/>
      </c>
      <c r="W182" s="4" t="str">
        <f t="shared" si="11"/>
        <v>SINAPI-100764</v>
      </c>
      <c r="X182" s="1">
        <f t="shared" ca="1" si="12"/>
        <v>2843</v>
      </c>
      <c r="Y182" s="102">
        <f t="shared" ca="1" si="13"/>
        <v>20.55</v>
      </c>
      <c r="Z182" s="112">
        <f ca="1">ROUND(IF(ISNUMBER(R182),R182,IF(LEFT(R182,3)="BDI",HLOOKUP(R182,DADOS!$T$37:$X$38,2,FALSE),0)),15-11*$X$5)</f>
        <v>0.26379999999999998</v>
      </c>
      <c r="AA182" s="1"/>
    </row>
    <row r="183" spans="1:27" ht="38.25" x14ac:dyDescent="0.2">
      <c r="A183" t="str">
        <f t="shared" si="0"/>
        <v>S</v>
      </c>
      <c r="B183">
        <f t="shared" si="1"/>
        <v>0</v>
      </c>
      <c r="C183">
        <f t="shared" ca="1" si="2"/>
        <v>1</v>
      </c>
      <c r="D183">
        <f t="shared" ca="1" si="3"/>
        <v>16</v>
      </c>
      <c r="E183">
        <f t="shared" ca="1" si="4"/>
        <v>0</v>
      </c>
      <c r="F183">
        <f t="shared" ca="1" si="5"/>
        <v>0</v>
      </c>
      <c r="G183">
        <f t="shared" ca="1" si="6"/>
        <v>3</v>
      </c>
      <c r="H183">
        <f ca="1">IF(OR($A183="S",$A183=0),0,MATCH(0,OFFSET($B183,1,$A183,ROW($A$275)-ROW($A183)),0))</f>
        <v>0</v>
      </c>
      <c r="I183">
        <f ca="1">IF(OR($A183="S",$A183=0),0,MATCH(OFFSET($B183,0,$A183)+1,OFFSET($B183,1,$A183,ROW($A$275)-ROW($A183)),0))</f>
        <v>0</v>
      </c>
      <c r="J183" s="101" t="s">
        <v>103</v>
      </c>
      <c r="K183" s="137" t="str">
        <f t="shared" ca="1" si="7"/>
        <v>1.16.3.</v>
      </c>
      <c r="L183" s="176" t="s">
        <v>237</v>
      </c>
      <c r="M183" s="176" t="s">
        <v>368</v>
      </c>
      <c r="N183" s="197" t="str">
        <f t="shared" ca="1" si="18"/>
        <v>TRAMA DE AÇO COMPOSTA POR TERÇAS PARA TELHADOS DE ATÉ 2 ÁGUAS PARA TELHA ONDULADA DE FIBROCIMENTO, METÁLICA, PLÁSTICA OU TERMOACÚSTICA, INCLUSO TRANSPORTE VERTICAL. AF_07/2019</v>
      </c>
      <c r="O183" s="196" t="str">
        <f ca="1">Referencia.Unidade</f>
        <v>M2</v>
      </c>
      <c r="P183" s="199">
        <v>39.11</v>
      </c>
      <c r="Q183" s="195">
        <f t="shared" ca="1" si="22"/>
        <v>63.86</v>
      </c>
      <c r="R183" s="198" t="s">
        <v>7</v>
      </c>
      <c r="S183" s="102">
        <f t="shared" ca="1" si="8"/>
        <v>80.709999999999994</v>
      </c>
      <c r="T183" s="82">
        <f t="shared" ca="1" si="9"/>
        <v>3156.57</v>
      </c>
      <c r="U183" s="9" t="str">
        <f t="shared" ca="1" si="10"/>
        <v/>
      </c>
      <c r="V183" s="1" t="str">
        <f ca="1">IF(OR($A183=0,$A183="S",$A183&gt;CFF!$A$9),"",MAX(V$12:OFFSET(V183,-1,0))+1)</f>
        <v/>
      </c>
      <c r="W183" s="4" t="str">
        <f t="shared" si="11"/>
        <v>SINAPI-92580</v>
      </c>
      <c r="X183" s="1">
        <f t="shared" ca="1" si="12"/>
        <v>1564</v>
      </c>
      <c r="Y183" s="102">
        <f t="shared" ca="1" si="13"/>
        <v>63.86</v>
      </c>
      <c r="Z183" s="112">
        <f ca="1">ROUND(IF(ISNUMBER(R183),R183,IF(LEFT(R183,3)="BDI",HLOOKUP(R183,DADOS!$T$37:$X$38,2,FALSE),0)),15-11*$X$5)</f>
        <v>0.26379999999999998</v>
      </c>
      <c r="AA183" s="1"/>
    </row>
    <row r="184" spans="1:27" x14ac:dyDescent="0.2">
      <c r="A184" t="str">
        <f t="shared" si="0"/>
        <v>S</v>
      </c>
      <c r="B184">
        <f t="shared" si="1"/>
        <v>0</v>
      </c>
      <c r="C184">
        <f t="shared" ca="1" si="2"/>
        <v>1</v>
      </c>
      <c r="D184">
        <f t="shared" ca="1" si="3"/>
        <v>16</v>
      </c>
      <c r="E184">
        <f t="shared" ca="1" si="4"/>
        <v>0</v>
      </c>
      <c r="F184">
        <f t="shared" ca="1" si="5"/>
        <v>0</v>
      </c>
      <c r="G184">
        <f t="shared" ca="1" si="6"/>
        <v>4</v>
      </c>
      <c r="H184">
        <f ca="1">IF(OR($A184="S",$A184=0),0,MATCH(0,OFFSET($B184,1,$A184,ROW($A$275)-ROW($A184)),0))</f>
        <v>0</v>
      </c>
      <c r="I184">
        <f ca="1">IF(OR($A184="S",$A184=0),0,MATCH(OFFSET($B184,0,$A184)+1,OFFSET($B184,1,$A184,ROW($A$275)-ROW($A184)),0))</f>
        <v>0</v>
      </c>
      <c r="J184" s="101" t="s">
        <v>103</v>
      </c>
      <c r="K184" s="137" t="str">
        <f t="shared" ca="1" si="7"/>
        <v>1.16.4.</v>
      </c>
      <c r="L184" s="176" t="s">
        <v>237</v>
      </c>
      <c r="M184" s="176" t="s">
        <v>369</v>
      </c>
      <c r="N184" s="197" t="str">
        <f t="shared" ca="1" si="18"/>
        <v>MONTADOR DE ESTRUTURA METÁLICA COM ENCARGOS COMPLEMENTARES</v>
      </c>
      <c r="O184" s="196" t="str">
        <f ca="1">Referencia.Unidade</f>
        <v>H</v>
      </c>
      <c r="P184" s="199">
        <v>16</v>
      </c>
      <c r="Q184" s="195">
        <f t="shared" ca="1" si="22"/>
        <v>28.23</v>
      </c>
      <c r="R184" s="198" t="s">
        <v>7</v>
      </c>
      <c r="S184" s="102">
        <f t="shared" ca="1" si="8"/>
        <v>35.68</v>
      </c>
      <c r="T184" s="82">
        <f t="shared" ca="1" si="9"/>
        <v>570.88</v>
      </c>
      <c r="U184" s="9" t="str">
        <f t="shared" ca="1" si="10"/>
        <v/>
      </c>
      <c r="V184" s="1" t="str">
        <f ca="1">IF(OR($A184=0,$A184="S",$A184&gt;CFF!$A$9),"",MAX(V$12:OFFSET(V184,-1,0))+1)</f>
        <v/>
      </c>
      <c r="W184" s="4" t="str">
        <f t="shared" si="11"/>
        <v>SINAPI-88278</v>
      </c>
      <c r="X184" s="1">
        <f t="shared" ca="1" si="12"/>
        <v>7434</v>
      </c>
      <c r="Y184" s="102">
        <f t="shared" ca="1" si="13"/>
        <v>28.23</v>
      </c>
      <c r="Z184" s="112">
        <f ca="1">ROUND(IF(ISNUMBER(R184),R184,IF(LEFT(R184,3)="BDI",HLOOKUP(R184,DADOS!$T$37:$X$38,2,FALSE),0)),15-11*$X$5)</f>
        <v>0.26379999999999998</v>
      </c>
      <c r="AA184" s="1"/>
    </row>
    <row r="185" spans="1:27" x14ac:dyDescent="0.2">
      <c r="A185" t="str">
        <f t="shared" si="0"/>
        <v>S</v>
      </c>
      <c r="B185">
        <f t="shared" si="1"/>
        <v>0</v>
      </c>
      <c r="C185">
        <f t="shared" ca="1" si="2"/>
        <v>1</v>
      </c>
      <c r="D185">
        <f t="shared" ca="1" si="3"/>
        <v>16</v>
      </c>
      <c r="E185">
        <f t="shared" ca="1" si="4"/>
        <v>0</v>
      </c>
      <c r="F185">
        <f t="shared" ca="1" si="5"/>
        <v>0</v>
      </c>
      <c r="G185">
        <f t="shared" ca="1" si="6"/>
        <v>5</v>
      </c>
      <c r="H185">
        <f ca="1">IF(OR($A185="S",$A185=0),0,MATCH(0,OFFSET($B185,1,$A185,ROW($A$275)-ROW($A185)),0))</f>
        <v>0</v>
      </c>
      <c r="I185">
        <f ca="1">IF(OR($A185="S",$A185=0),0,MATCH(OFFSET($B185,0,$A185)+1,OFFSET($B185,1,$A185,ROW($A$275)-ROW($A185)),0))</f>
        <v>0</v>
      </c>
      <c r="J185" s="101" t="s">
        <v>103</v>
      </c>
      <c r="K185" s="137" t="str">
        <f t="shared" ca="1" si="7"/>
        <v>1.16.5.</v>
      </c>
      <c r="L185" s="176" t="s">
        <v>238</v>
      </c>
      <c r="M185" s="176" t="s">
        <v>402</v>
      </c>
      <c r="N185" s="197" t="str">
        <f t="shared" ca="1" si="18"/>
        <v>FACHADA COM FECHAMENTO DE ESTRUTURA METÁLICA COM ACM 3MM</v>
      </c>
      <c r="O185" s="196" t="str">
        <f ca="1">Referencia.Unidade</f>
        <v>M2</v>
      </c>
      <c r="P185" s="199">
        <f>14*1.1</f>
        <v>15.400000000000002</v>
      </c>
      <c r="Q185" s="195">
        <f t="shared" ca="1" si="22"/>
        <v>140.82000000000002</v>
      </c>
      <c r="R185" s="198" t="s">
        <v>7</v>
      </c>
      <c r="S185" s="102">
        <f t="shared" ca="1" si="8"/>
        <v>177.97</v>
      </c>
      <c r="T185" s="82">
        <f t="shared" ca="1" si="9"/>
        <v>2740.74</v>
      </c>
      <c r="U185" s="9" t="str">
        <f t="shared" ca="1" si="10"/>
        <v/>
      </c>
      <c r="V185" s="1" t="str">
        <f ca="1">IF(OR($A185=0,$A185="S",$A185&gt;CFF!$A$9),"",MAX(V$12:OFFSET(V185,-1,0))+1)</f>
        <v/>
      </c>
      <c r="W185" s="4" t="str">
        <f t="shared" si="11"/>
        <v>COMPOSIÇÃO-COMP3</v>
      </c>
      <c r="X185" s="1">
        <f t="shared" ca="1" si="12"/>
        <v>9</v>
      </c>
      <c r="Y185" s="102">
        <f t="shared" ca="1" si="13"/>
        <v>140.82000000000002</v>
      </c>
      <c r="Z185" s="112">
        <f ca="1">ROUND(IF(ISNUMBER(R185),R185,IF(LEFT(R185,3)="BDI",HLOOKUP(R185,DADOS!$T$37:$X$38,2,FALSE),0)),15-11*$X$5)</f>
        <v>0.26379999999999998</v>
      </c>
      <c r="AA185" s="1"/>
    </row>
    <row r="186" spans="1:27" x14ac:dyDescent="0.2">
      <c r="A186" t="str">
        <f t="shared" si="0"/>
        <v>S</v>
      </c>
      <c r="B186">
        <f t="shared" si="1"/>
        <v>0</v>
      </c>
      <c r="C186">
        <f t="shared" ca="1" si="2"/>
        <v>1</v>
      </c>
      <c r="D186">
        <f t="shared" ca="1" si="3"/>
        <v>16</v>
      </c>
      <c r="E186">
        <f t="shared" ca="1" si="4"/>
        <v>0</v>
      </c>
      <c r="F186">
        <f t="shared" ca="1" si="5"/>
        <v>0</v>
      </c>
      <c r="G186">
        <f t="shared" ca="1" si="6"/>
        <v>6</v>
      </c>
      <c r="H186">
        <f ca="1">IF(OR($A186="S",$A186=0),0,MATCH(0,OFFSET($B186,1,$A186,ROW($A$275)-ROW($A186)),0))</f>
        <v>0</v>
      </c>
      <c r="I186">
        <f ca="1">IF(OR($A186="S",$A186=0),0,MATCH(OFFSET($B186,0,$A186)+1,OFFSET($B186,1,$A186,ROW($A$275)-ROW($A186)),0))</f>
        <v>0</v>
      </c>
      <c r="J186" s="101" t="s">
        <v>103</v>
      </c>
      <c r="K186" s="137" t="str">
        <f t="shared" ca="1" si="7"/>
        <v>1.16.6.</v>
      </c>
      <c r="L186" s="176" t="s">
        <v>238</v>
      </c>
      <c r="M186" s="176" t="s">
        <v>402</v>
      </c>
      <c r="N186" s="197" t="str">
        <f t="shared" ca="1" si="18"/>
        <v>FACHADA COM FECHAMENTO DE ESTRUTURA METÁLICA COM ACM 3MM</v>
      </c>
      <c r="O186" s="196" t="str">
        <f ca="1">Referencia.Unidade</f>
        <v>M2</v>
      </c>
      <c r="P186" s="199">
        <f>7*1*1.2</f>
        <v>8.4</v>
      </c>
      <c r="Q186" s="195">
        <f t="shared" ca="1" si="22"/>
        <v>140.82000000000002</v>
      </c>
      <c r="R186" s="198" t="s">
        <v>7</v>
      </c>
      <c r="S186" s="102">
        <f t="shared" ca="1" si="8"/>
        <v>177.97</v>
      </c>
      <c r="T186" s="82">
        <f t="shared" ca="1" si="9"/>
        <v>1494.95</v>
      </c>
      <c r="U186" s="9" t="str">
        <f t="shared" ca="1" si="10"/>
        <v/>
      </c>
      <c r="V186" s="1" t="str">
        <f ca="1">IF(OR($A186=0,$A186="S",$A186&gt;CFF!$A$9),"",MAX(V$12:OFFSET(V186,-1,0))+1)</f>
        <v/>
      </c>
      <c r="W186" s="4" t="str">
        <f t="shared" si="11"/>
        <v>COMPOSIÇÃO-COMP3</v>
      </c>
      <c r="X186" s="1">
        <f t="shared" ca="1" si="12"/>
        <v>9</v>
      </c>
      <c r="Y186" s="102">
        <f t="shared" ca="1" si="13"/>
        <v>140.82000000000002</v>
      </c>
      <c r="Z186" s="112">
        <f ca="1">ROUND(IF(ISNUMBER(R186),R186,IF(LEFT(R186,3)="BDI",HLOOKUP(R186,DADOS!$T$37:$X$38,2,FALSE),0)),15-11*$X$5)</f>
        <v>0.26379999999999998</v>
      </c>
      <c r="AA186" s="1"/>
    </row>
    <row r="187" spans="1:27" x14ac:dyDescent="0.2">
      <c r="A187" t="str">
        <f>CHOOSE(1+LOG(1+2*(J187="Meta")+4*(J187="Nível 2")+8*(J187="Nível 3")+16*(J187="Nível 4")+32*(J187="Serviço"),2),0,1,2,3,4,"S")</f>
        <v>S</v>
      </c>
      <c r="B187">
        <f>IF(OR(A187="S",A187=0),0,IF(ISERROR(I187),H187,SMALL(H187:I187,1)))</f>
        <v>0</v>
      </c>
      <c r="C187">
        <f ca="1">IF($A187=1,OFFSET(C187,-1,0)+1,OFFSET(C187,-1,0))</f>
        <v>1</v>
      </c>
      <c r="D187">
        <f ca="1">IF($A187=1,0,IF($A187=2,OFFSET(D187,-1,0)+1,OFFSET(D187,-1,0)))</f>
        <v>16</v>
      </c>
      <c r="E187">
        <f ca="1">IF(AND($A187&lt;=2,$A187&lt;&gt;0),0,IF($A187=3,OFFSET(E187,-1,0)+1,OFFSET(E187,-1,0)))</f>
        <v>0</v>
      </c>
      <c r="F187">
        <f ca="1">IF(AND($A187&lt;=3,$A187&lt;&gt;0),0,IF($A187=4,OFFSET(F187,-1,0)+1,OFFSET(F187,-1,0)))</f>
        <v>0</v>
      </c>
      <c r="G187">
        <f ca="1">IF(AND($A187&lt;=4,$A187&lt;&gt;0),0,IF($A187="S",OFFSET(G187,-1,0)+1,OFFSET(G187,-1,0)))</f>
        <v>7</v>
      </c>
      <c r="H187">
        <f ca="1">IF(OR($A187="S",$A187=0),0,MATCH(0,OFFSET($B187,1,$A187,ROW($A$275)-ROW($A187)),0))</f>
        <v>0</v>
      </c>
      <c r="I187">
        <f ca="1">IF(OR($A187="S",$A187=0),0,MATCH(OFFSET($B187,0,$A187)+1,OFFSET($B187,1,$A187,ROW($A$275)-ROW($A187)),0))</f>
        <v>0</v>
      </c>
      <c r="J187" s="101" t="s">
        <v>103</v>
      </c>
      <c r="K187" s="137" t="str">
        <f ca="1">IF($A187=0,"-",CONCATENATE(C187&amp;".",IF(AND($A$5&gt;=2,$A187&gt;=2),D187&amp;".",""),IF(AND($A$5&gt;=3,$A187&gt;=3),E187&amp;".",""),IF(AND($A$5&gt;=4,$A187&gt;=4),F187&amp;".",""),IF($A187="S",G187&amp;".","")))</f>
        <v>1.16.7.</v>
      </c>
      <c r="L187" s="176" t="s">
        <v>238</v>
      </c>
      <c r="M187" s="176" t="s">
        <v>402</v>
      </c>
      <c r="N187" s="197" t="str">
        <f t="shared" ca="1" si="18"/>
        <v>FACHADA COM FECHAMENTO DE ESTRUTURA METÁLICA COM ACM 3MM</v>
      </c>
      <c r="O187" s="196" t="str">
        <f ca="1">Referencia.Unidade</f>
        <v>M2</v>
      </c>
      <c r="P187" s="199">
        <f>9*1.1</f>
        <v>9.9</v>
      </c>
      <c r="Q187" s="195">
        <f t="shared" ca="1" si="22"/>
        <v>140.82000000000002</v>
      </c>
      <c r="R187" s="198" t="s">
        <v>7</v>
      </c>
      <c r="S187" s="102">
        <f ca="1">IF($A187="S",IF($Q$10="Preço Unitário (R$)",PO.CustoUnitario,ROUND(PO.CustoUnitario*(1+$Z187),15-13*$X$6)),0)</f>
        <v>177.97</v>
      </c>
      <c r="T187" s="82">
        <f ca="1">IF($A187="S",VTOTAL1,IF($A187=0,0,ROUND(SomaAgrup,15-13*$X$7)))</f>
        <v>1761.9</v>
      </c>
      <c r="U187" s="9" t="str">
        <f ca="1">IF($J187="","",IF($N187="","DESCRIÇÃO",IF(AND($J187="Serviço",$O187=""),"UNIDADE",IF($T187&lt;=0,"SEM VALOR",IF(AND($Y187&lt;&gt;"",$Q187&gt;$Y187),"ACIMA REF.","")))))</f>
        <v/>
      </c>
      <c r="V187" s="1" t="str">
        <f ca="1">IF(OR($A187=0,$A187="S",$A187&gt;CFF!$A$9),"",MAX(V$12:OFFSET(V187,-1,0))+1)</f>
        <v/>
      </c>
      <c r="W187" s="4" t="str">
        <f>IF(AND($J187="Serviço",$M187&lt;&gt;""),IF($L187="",$M187,CONCATENATE($L187,"-",$M187)))</f>
        <v>COMPOSIÇÃO-COMP3</v>
      </c>
      <c r="X187" s="1">
        <f ca="1">IF(AND(Fonte&lt;&gt;"",Código&lt;&gt;""),MATCH(Fonte&amp;" "&amp;IF(Fonte="sinapi",SUBSTITUTE(SUBSTITUTE(Código,"/00","/"),"/0","/"),Código),INDIRECT("'[Referência "&amp;_xlnm.Database&amp;".xls]Banco'!$a:$a"),0),"X")</f>
        <v>9</v>
      </c>
      <c r="Y187" s="102">
        <f ca="1">IF(Import.Desoneracao="sim",Referencia.Desonerado,Referencia.NaoDesonerado)</f>
        <v>140.82000000000002</v>
      </c>
      <c r="Z187" s="112">
        <f ca="1">ROUND(IF(ISNUMBER(R187),R187,IF(LEFT(R187,3)="BDI",HLOOKUP(R187,DADOS!$T$37:$X$38,2,FALSE),0)),15-11*$X$5)</f>
        <v>0.26379999999999998</v>
      </c>
      <c r="AA187" s="1"/>
    </row>
    <row r="188" spans="1:27" x14ac:dyDescent="0.2">
      <c r="A188" t="str">
        <f>CHOOSE(1+LOG(1+2*(J188="Meta")+4*(J188="Nível 2")+8*(J188="Nível 3")+16*(J188="Nível 4")+32*(J188="Serviço"),2),0,1,2,3,4,"S")</f>
        <v>S</v>
      </c>
      <c r="B188">
        <f>IF(OR(A188="S",A188=0),0,IF(ISERROR(I188),H188,SMALL(H188:I188,1)))</f>
        <v>0</v>
      </c>
      <c r="C188">
        <f ca="1">IF($A188=1,OFFSET(C188,-1,0)+1,OFFSET(C188,-1,0))</f>
        <v>1</v>
      </c>
      <c r="D188">
        <f ca="1">IF($A188=1,0,IF($A188=2,OFFSET(D188,-1,0)+1,OFFSET(D188,-1,0)))</f>
        <v>16</v>
      </c>
      <c r="E188">
        <f ca="1">IF(AND($A188&lt;=2,$A188&lt;&gt;0),0,IF($A188=3,OFFSET(E188,-1,0)+1,OFFSET(E188,-1,0)))</f>
        <v>0</v>
      </c>
      <c r="F188">
        <f ca="1">IF(AND($A188&lt;=3,$A188&lt;&gt;0),0,IF($A188=4,OFFSET(F188,-1,0)+1,OFFSET(F188,-1,0)))</f>
        <v>0</v>
      </c>
      <c r="G188">
        <f ca="1">IF(AND($A188&lt;=4,$A188&lt;&gt;0),0,IF($A188="S",OFFSET(G188,-1,0)+1,OFFSET(G188,-1,0)))</f>
        <v>8</v>
      </c>
      <c r="H188">
        <f ca="1">IF(OR($A188="S",$A188=0),0,MATCH(0,OFFSET($B188,1,$A188,ROW($A$275)-ROW($A188)),0))</f>
        <v>0</v>
      </c>
      <c r="I188">
        <f ca="1">IF(OR($A188="S",$A188=0),0,MATCH(OFFSET($B188,0,$A188)+1,OFFSET($B188,1,$A188,ROW($A$275)-ROW($A188)),0))</f>
        <v>0</v>
      </c>
      <c r="J188" s="101" t="s">
        <v>103</v>
      </c>
      <c r="K188" s="137" t="str">
        <f ca="1">IF($A188=0,"-",CONCATENATE(C188&amp;".",IF(AND($A$5&gt;=2,$A188&gt;=2),D188&amp;".",""),IF(AND($A$5&gt;=3,$A188&gt;=3),E188&amp;".",""),IF(AND($A$5&gt;=4,$A188&gt;=4),F188&amp;".",""),IF($A188="S",G188&amp;".","")))</f>
        <v>1.16.8.</v>
      </c>
      <c r="L188" s="176" t="s">
        <v>238</v>
      </c>
      <c r="M188" s="176" t="s">
        <v>403</v>
      </c>
      <c r="N188" s="197" t="str">
        <f ca="1">IF($A188="S",Referencia.Descricao,"(digite a descrição aqui)")</f>
        <v>LAUDO TÉCNICO DE DIMENSIONAMENTO DA ESTRUTURA, COM ART</v>
      </c>
      <c r="O188" s="196" t="str">
        <f ca="1">Referencia.Unidade</f>
        <v xml:space="preserve">UN    </v>
      </c>
      <c r="P188" s="199">
        <v>1</v>
      </c>
      <c r="Q188" s="195">
        <f t="shared" ca="1" si="22"/>
        <v>1236.6999999999998</v>
      </c>
      <c r="R188" s="198" t="s">
        <v>7</v>
      </c>
      <c r="S188" s="102">
        <f ca="1">IF($A188="S",IF($Q$10="Preço Unitário (R$)",PO.CustoUnitario,ROUND(PO.CustoUnitario*(1+$Z188),15-13*$X$6)),0)</f>
        <v>1562.94</v>
      </c>
      <c r="T188" s="82">
        <f ca="1">IF($A188="S",VTOTAL1,IF($A188=0,0,ROUND(SomaAgrup,15-13*$X$7)))</f>
        <v>1562.94</v>
      </c>
      <c r="U188" s="9" t="str">
        <f ca="1">IF($J188="","",IF($N188="","DESCRIÇÃO",IF(AND($J188="Serviço",$O188=""),"UNIDADE",IF($T188&lt;=0,"SEM VALOR",IF(AND($Y188&lt;&gt;"",$Q188&gt;$Y188),"ACIMA REF.","")))))</f>
        <v/>
      </c>
      <c r="V188" s="1" t="str">
        <f ca="1">IF(OR($A188=0,$A188="S",$A188&gt;CFF!$A$9),"",MAX(V$12:OFFSET(V188,-1,0))+1)</f>
        <v/>
      </c>
      <c r="W188" s="4" t="str">
        <f>IF(AND($J188="Serviço",$M188&lt;&gt;""),IF($L188="",$M188,CONCATENATE($L188,"-",$M188)))</f>
        <v>COMPOSIÇÃO-COMP20</v>
      </c>
      <c r="X188" s="1">
        <f ca="1">IF(AND(Fonte&lt;&gt;"",Código&lt;&gt;""),MATCH(Fonte&amp;" "&amp;IF(Fonte="sinapi",SUBSTITUTE(SUBSTITUTE(Código,"/00","/"),"/0","/"),Código),INDIRECT("'[Referência "&amp;_xlnm.Database&amp;".xls]Banco'!$a:$a"),0),"X")</f>
        <v>26</v>
      </c>
      <c r="Y188" s="102">
        <f ca="1">IF(Import.Desoneracao="sim",Referencia.Desonerado,Referencia.NaoDesonerado)</f>
        <v>1236.6999999999998</v>
      </c>
      <c r="Z188" s="112">
        <f ca="1">ROUND(IF(ISNUMBER(R188),R188,IF(LEFT(R188,3)="BDI",HLOOKUP(R188,DADOS!$T$37:$X$38,2,FALSE),0)),15-11*$X$5)</f>
        <v>0.26379999999999998</v>
      </c>
      <c r="AA188" s="1"/>
    </row>
    <row r="189" spans="1:27" x14ac:dyDescent="0.2">
      <c r="A189">
        <f t="shared" si="0"/>
        <v>2</v>
      </c>
      <c r="B189">
        <f t="shared" ca="1" si="1"/>
        <v>4</v>
      </c>
      <c r="C189">
        <f t="shared" ca="1" si="2"/>
        <v>1</v>
      </c>
      <c r="D189">
        <f t="shared" ca="1" si="3"/>
        <v>17</v>
      </c>
      <c r="E189">
        <f t="shared" ca="1" si="4"/>
        <v>0</v>
      </c>
      <c r="F189">
        <f t="shared" ca="1" si="5"/>
        <v>0</v>
      </c>
      <c r="G189">
        <f t="shared" ca="1" si="6"/>
        <v>0</v>
      </c>
      <c r="H189">
        <f ca="1">IF(OR($A189="S",$A189=0),0,MATCH(0,OFFSET($B189,1,$A189,ROW($A$275)-ROW($A189)),0))</f>
        <v>86</v>
      </c>
      <c r="I189">
        <f ca="1">IF(OR($A189="S",$A189=0),0,MATCH(OFFSET($B189,0,$A189)+1,OFFSET($B189,1,$A189,ROW($A$275)-ROW($A189)),0))</f>
        <v>4</v>
      </c>
      <c r="J189" s="101" t="s">
        <v>100</v>
      </c>
      <c r="K189" s="137" t="str">
        <f t="shared" ca="1" si="7"/>
        <v>1.17.</v>
      </c>
      <c r="L189" s="176"/>
      <c r="M189" s="176"/>
      <c r="N189" s="197" t="s">
        <v>259</v>
      </c>
      <c r="O189" s="196" t="str">
        <f ca="1">Referencia.Unidade</f>
        <v/>
      </c>
      <c r="P189" s="199"/>
      <c r="Q189" s="195"/>
      <c r="R189" s="198" t="s">
        <v>7</v>
      </c>
      <c r="S189" s="102">
        <f t="shared" si="8"/>
        <v>0</v>
      </c>
      <c r="T189" s="82">
        <f t="shared" ca="1" si="9"/>
        <v>76922.77</v>
      </c>
      <c r="U189" s="9" t="str">
        <f t="shared" ca="1" si="10"/>
        <v/>
      </c>
      <c r="V189" s="1">
        <f ca="1">IF(OR($A189=0,$A189="S",$A189&gt;CFF!$A$9),"",MAX(V$12:OFFSET(V189,-1,0))+1)</f>
        <v>18</v>
      </c>
      <c r="W189" s="4" t="b">
        <f t="shared" si="11"/>
        <v>0</v>
      </c>
      <c r="X189" s="1" t="str">
        <f t="shared" ca="1" si="12"/>
        <v>X</v>
      </c>
      <c r="Y189" s="102">
        <f t="shared" ca="1" si="13"/>
        <v>0</v>
      </c>
      <c r="Z189" s="112">
        <f ca="1">ROUND(IF(ISNUMBER(R189),R189,IF(LEFT(R189,3)="BDI",HLOOKUP(R189,DADOS!$T$37:$X$38,2,FALSE),0)),15-11*$X$5)</f>
        <v>0.26379999999999998</v>
      </c>
      <c r="AA189" s="1"/>
    </row>
    <row r="190" spans="1:27" ht="25.5" x14ac:dyDescent="0.2">
      <c r="A190" t="str">
        <f>CHOOSE(1+LOG(1+2*(J190="Meta")+4*(J190="Nível 2")+8*(J190="Nível 3")+16*(J190="Nível 4")+32*(J190="Serviço"),2),0,1,2,3,4,"S")</f>
        <v>S</v>
      </c>
      <c r="B190">
        <f>IF(OR(A190="S",A190=0),0,IF(ISERROR(I190),H190,SMALL(H190:I190,1)))</f>
        <v>0</v>
      </c>
      <c r="C190">
        <f ca="1">IF($A190=1,OFFSET(C190,-1,0)+1,OFFSET(C190,-1,0))</f>
        <v>1</v>
      </c>
      <c r="D190">
        <f ca="1">IF($A190=1,0,IF($A190=2,OFFSET(D190,-1,0)+1,OFFSET(D190,-1,0)))</f>
        <v>17</v>
      </c>
      <c r="E190">
        <f ca="1">IF(AND($A190&lt;=2,$A190&lt;&gt;0),0,IF($A190=3,OFFSET(E190,-1,0)+1,OFFSET(E190,-1,0)))</f>
        <v>0</v>
      </c>
      <c r="F190">
        <f ca="1">IF(AND($A190&lt;=3,$A190&lt;&gt;0),0,IF($A190=4,OFFSET(F190,-1,0)+1,OFFSET(F190,-1,0)))</f>
        <v>0</v>
      </c>
      <c r="G190">
        <f ca="1">IF(AND($A190&lt;=4,$A190&lt;&gt;0),0,IF($A190="S",OFFSET(G190,-1,0)+1,OFFSET(G190,-1,0)))</f>
        <v>1</v>
      </c>
      <c r="H190">
        <f ca="1">IF(OR($A190="S",$A190=0),0,MATCH(0,OFFSET($B190,1,$A190,ROW($A$275)-ROW($A190)),0))</f>
        <v>0</v>
      </c>
      <c r="I190">
        <f ca="1">IF(OR($A190="S",$A190=0),0,MATCH(OFFSET($B190,0,$A190)+1,OFFSET($B190,1,$A190,ROW($A$275)-ROW($A190)),0))</f>
        <v>0</v>
      </c>
      <c r="J190" s="101" t="s">
        <v>103</v>
      </c>
      <c r="K190" s="137" t="str">
        <f ca="1">IF($A190=0,"-",CONCATENATE(C190&amp;".",IF(AND($A$5&gt;=2,$A190&gt;=2),D190&amp;".",""),IF(AND($A$5&gt;=3,$A190&gt;=3),E190&amp;".",""),IF(AND($A$5&gt;=4,$A190&gt;=4),F190&amp;".",""),IF($A190="S",G190&amp;".","")))</f>
        <v>1.17.1.</v>
      </c>
      <c r="L190" s="176" t="s">
        <v>238</v>
      </c>
      <c r="M190" s="176" t="s">
        <v>304</v>
      </c>
      <c r="N190" s="197" t="str">
        <f ca="1">IF($A190="S",Referencia.Descricao,"(digite a descrição aqui)")</f>
        <v>FORRO EM RÉGUAS PVC BRANCO, LISO, PARA BEIRAL EXTERNO, REGUA DE 20 CM, INCLUSIVE ESTRUTURA METÁLICA DE FIXAÇÃO.</v>
      </c>
      <c r="O190" s="196" t="str">
        <f ca="1">Referencia.Unidade</f>
        <v xml:space="preserve">M2    </v>
      </c>
      <c r="P190" s="199">
        <v>73.03</v>
      </c>
      <c r="Q190" s="195">
        <f ca="1">IF(Import.Desoneracao="sim",Referencia.Desonerado,Referencia.NaoDesonerado)</f>
        <v>89.38000000000001</v>
      </c>
      <c r="R190" s="198" t="s">
        <v>7</v>
      </c>
      <c r="S190" s="102">
        <f ca="1">IF($A190="S",IF($Q$10="Preço Unitário (R$)",PO.CustoUnitario,ROUND(PO.CustoUnitario*(1+$Z190),15-13*$X$6)),0)</f>
        <v>112.96</v>
      </c>
      <c r="T190" s="82">
        <f ca="1">IF($A190="S",VTOTAL1,IF($A190=0,0,ROUND(SomaAgrup,15-13*$X$7)))</f>
        <v>8249.4699999999993</v>
      </c>
      <c r="U190" s="9" t="str">
        <f ca="1">IF($J190="","",IF($N190="","DESCRIÇÃO",IF(AND($J190="Serviço",$O190=""),"UNIDADE",IF($T190&lt;=0,"SEM VALOR",IF(AND($Y190&lt;&gt;"",$Q190&gt;$Y190),"ACIMA REF.","")))))</f>
        <v/>
      </c>
      <c r="V190" s="1" t="str">
        <f ca="1">IF(OR($A190=0,$A190="S",$A190&gt;CFF!$A$9),"",MAX(V$12:OFFSET(V190,-1,0))+1)</f>
        <v/>
      </c>
      <c r="W190" s="4" t="str">
        <f>IF(AND($J190="Serviço",$M190&lt;&gt;""),IF($L190="",$M190,CONCATENATE($L190,"-",$M190)))</f>
        <v>COMPOSIÇÃO-COMP13</v>
      </c>
      <c r="X190" s="1">
        <f ca="1">IF(AND(Fonte&lt;&gt;"",Código&lt;&gt;""),MATCH(Fonte&amp;" "&amp;IF(Fonte="sinapi",SUBSTITUTE(SUBSTITUTE(Código,"/00","/"),"/0","/"),Código),INDIRECT("'[Referência "&amp;_xlnm.Database&amp;".xls]Banco'!$a:$a"),0),"X")</f>
        <v>19</v>
      </c>
      <c r="Y190" s="102">
        <f ca="1">IF(Import.Desoneracao="sim",Referencia.Desonerado,Referencia.NaoDesonerado)</f>
        <v>89.38000000000001</v>
      </c>
      <c r="Z190" s="112">
        <f ca="1">ROUND(IF(ISNUMBER(R190),R190,IF(LEFT(R190,3)="BDI",HLOOKUP(R190,DADOS!$T$37:$X$38,2,FALSE),0)),15-11*$X$5)</f>
        <v>0.26379999999999998</v>
      </c>
      <c r="AA190" s="1"/>
    </row>
    <row r="191" spans="1:27" ht="25.5" x14ac:dyDescent="0.2">
      <c r="A191" t="str">
        <f t="shared" si="0"/>
        <v>S</v>
      </c>
      <c r="B191">
        <f t="shared" si="1"/>
        <v>0</v>
      </c>
      <c r="C191">
        <f t="shared" ca="1" si="2"/>
        <v>1</v>
      </c>
      <c r="D191">
        <f t="shared" ca="1" si="3"/>
        <v>17</v>
      </c>
      <c r="E191">
        <f t="shared" ca="1" si="4"/>
        <v>0</v>
      </c>
      <c r="F191">
        <f t="shared" ca="1" si="5"/>
        <v>0</v>
      </c>
      <c r="G191">
        <f t="shared" ca="1" si="6"/>
        <v>2</v>
      </c>
      <c r="H191">
        <f ca="1">IF(OR($A191="S",$A191=0),0,MATCH(0,OFFSET($B191,1,$A191,ROW($A$275)-ROW($A191)),0))</f>
        <v>0</v>
      </c>
      <c r="I191">
        <f ca="1">IF(OR($A191="S",$A191=0),0,MATCH(OFFSET($B191,0,$A191)+1,OFFSET($B191,1,$A191,ROW($A$275)-ROW($A191)),0))</f>
        <v>0</v>
      </c>
      <c r="J191" s="101" t="s">
        <v>103</v>
      </c>
      <c r="K191" s="137" t="str">
        <f t="shared" ca="1" si="7"/>
        <v>1.17.2.</v>
      </c>
      <c r="L191" s="176" t="s">
        <v>237</v>
      </c>
      <c r="M191" s="176" t="s">
        <v>260</v>
      </c>
      <c r="N191" s="197" t="str">
        <f t="shared" ca="1" si="18"/>
        <v>FORRO EM RÉGUAS DE PVC, LISO, PARA AMBIENTES COMERCIAIS, INCLUSIVE ESTRUTURA BIDIRECIONAL DE FIXAÇÃO. AF_08/2023_PS</v>
      </c>
      <c r="O191" s="196" t="str">
        <f ca="1">Referencia.Unidade</f>
        <v>M2</v>
      </c>
      <c r="P191" s="199">
        <v>464.19</v>
      </c>
      <c r="Q191" s="195">
        <f t="shared" ref="Q191:Q206" ca="1" si="33">IF(Import.Desoneracao="sim",Referencia.Desonerado,Referencia.NaoDesonerado)</f>
        <v>94.72</v>
      </c>
      <c r="R191" s="198" t="s">
        <v>7</v>
      </c>
      <c r="S191" s="102">
        <f t="shared" ca="1" si="8"/>
        <v>119.71</v>
      </c>
      <c r="T191" s="82">
        <f t="shared" ca="1" si="9"/>
        <v>55568.18</v>
      </c>
      <c r="U191" s="9" t="str">
        <f t="shared" ca="1" si="10"/>
        <v/>
      </c>
      <c r="V191" s="1" t="str">
        <f ca="1">IF(OR($A191=0,$A191="S",$A191&gt;CFF!$A$9),"",MAX(V$12:OFFSET(V191,-1,0))+1)</f>
        <v/>
      </c>
      <c r="W191" s="4" t="str">
        <f t="shared" si="11"/>
        <v>SINAPI-96486</v>
      </c>
      <c r="X191" s="1">
        <f t="shared" ca="1" si="12"/>
        <v>6807</v>
      </c>
      <c r="Y191" s="102">
        <f t="shared" ca="1" si="13"/>
        <v>94.72</v>
      </c>
      <c r="Z191" s="112">
        <f ca="1">ROUND(IF(ISNUMBER(R191),R191,IF(LEFT(R191,3)="BDI",HLOOKUP(R191,DADOS!$T$37:$X$38,2,FALSE),0)),15-11*$X$5)</f>
        <v>0.26379999999999998</v>
      </c>
      <c r="AA191" s="1"/>
    </row>
    <row r="192" spans="1:27" ht="25.5" x14ac:dyDescent="0.2">
      <c r="A192" t="str">
        <f t="shared" si="0"/>
        <v>S</v>
      </c>
      <c r="B192">
        <f t="shared" si="1"/>
        <v>0</v>
      </c>
      <c r="C192">
        <f t="shared" ca="1" si="2"/>
        <v>1</v>
      </c>
      <c r="D192">
        <f t="shared" ca="1" si="3"/>
        <v>17</v>
      </c>
      <c r="E192">
        <f t="shared" ca="1" si="4"/>
        <v>0</v>
      </c>
      <c r="F192">
        <f t="shared" ca="1" si="5"/>
        <v>0</v>
      </c>
      <c r="G192">
        <f t="shared" ca="1" si="6"/>
        <v>3</v>
      </c>
      <c r="H192">
        <f ca="1">IF(OR($A192="S",$A192=0),0,MATCH(0,OFFSET($B192,1,$A192,ROW($A$275)-ROW($A192)),0))</f>
        <v>0</v>
      </c>
      <c r="I192">
        <f ca="1">IF(OR($A192="S",$A192=0),0,MATCH(OFFSET($B192,0,$A192)+1,OFFSET($B192,1,$A192,ROW($A$275)-ROW($A192)),0))</f>
        <v>0</v>
      </c>
      <c r="J192" s="101" t="s">
        <v>103</v>
      </c>
      <c r="K192" s="137" t="str">
        <f t="shared" ca="1" si="7"/>
        <v>1.17.3.</v>
      </c>
      <c r="L192" s="176" t="s">
        <v>237</v>
      </c>
      <c r="M192" s="176" t="s">
        <v>261</v>
      </c>
      <c r="N192" s="197" t="str">
        <f t="shared" ca="1" si="18"/>
        <v>ACABAMENTOS PARA FORRO (RODA-FORRO EM PERFIL METÁLICO E PLÁSTICO). AF_08/2023</v>
      </c>
      <c r="O192" s="196" t="str">
        <f ca="1">Referencia.Unidade</f>
        <v>M</v>
      </c>
      <c r="P192" s="199">
        <f>(26.08+26.08+276.88)+(11.9+17.6+12.6+35.5+12.1+24.2+25.6+8.95+8.95+25.6+28.9+9.6+47.4+31.1+9+16.45+16.45+18.6+17.7+16.4)</f>
        <v>723.63999999999987</v>
      </c>
      <c r="Q192" s="195">
        <f t="shared" ca="1" si="33"/>
        <v>14.33</v>
      </c>
      <c r="R192" s="198" t="s">
        <v>7</v>
      </c>
      <c r="S192" s="102">
        <f t="shared" ca="1" si="8"/>
        <v>18.11</v>
      </c>
      <c r="T192" s="82">
        <f t="shared" ca="1" si="9"/>
        <v>13105.12</v>
      </c>
      <c r="U192" s="9" t="str">
        <f t="shared" ca="1" si="10"/>
        <v/>
      </c>
      <c r="V192" s="1" t="str">
        <f ca="1">IF(OR($A192=0,$A192="S",$A192&gt;CFF!$A$9),"",MAX(V$12:OFFSET(V192,-1,0))+1)</f>
        <v/>
      </c>
      <c r="W192" s="4" t="str">
        <f t="shared" si="11"/>
        <v>SINAPI-96121</v>
      </c>
      <c r="X192" s="1">
        <f t="shared" ca="1" si="12"/>
        <v>6805</v>
      </c>
      <c r="Y192" s="102">
        <f t="shared" ca="1" si="13"/>
        <v>14.33</v>
      </c>
      <c r="Z192" s="112">
        <f ca="1">ROUND(IF(ISNUMBER(R192),R192,IF(LEFT(R192,3)="BDI",HLOOKUP(R192,DADOS!$T$37:$X$38,2,FALSE),0)),15-11*$X$5)</f>
        <v>0.26379999999999998</v>
      </c>
      <c r="AA192" s="1"/>
    </row>
    <row r="193" spans="1:27" x14ac:dyDescent="0.2">
      <c r="A193">
        <f t="shared" si="0"/>
        <v>2</v>
      </c>
      <c r="B193">
        <f t="shared" ca="1" si="1"/>
        <v>14</v>
      </c>
      <c r="C193">
        <f t="shared" ca="1" si="2"/>
        <v>1</v>
      </c>
      <c r="D193">
        <f t="shared" ca="1" si="3"/>
        <v>18</v>
      </c>
      <c r="E193">
        <f t="shared" ca="1" si="4"/>
        <v>0</v>
      </c>
      <c r="F193">
        <f t="shared" ca="1" si="5"/>
        <v>0</v>
      </c>
      <c r="G193">
        <f t="shared" ca="1" si="6"/>
        <v>0</v>
      </c>
      <c r="H193">
        <f ca="1">IF(OR($A193="S",$A193=0),0,MATCH(0,OFFSET($B193,1,$A193,ROW($A$275)-ROW($A193)),0))</f>
        <v>82</v>
      </c>
      <c r="I193">
        <f ca="1">IF(OR($A193="S",$A193=0),0,MATCH(OFFSET($B193,0,$A193)+1,OFFSET($B193,1,$A193,ROW($A$275)-ROW($A193)),0))</f>
        <v>14</v>
      </c>
      <c r="J193" s="101" t="s">
        <v>100</v>
      </c>
      <c r="K193" s="137" t="str">
        <f t="shared" ca="1" si="7"/>
        <v>1.18.</v>
      </c>
      <c r="L193" s="176"/>
      <c r="M193" s="176"/>
      <c r="N193" s="197" t="s">
        <v>263</v>
      </c>
      <c r="O193" s="196" t="str">
        <f ca="1">Referencia.Unidade</f>
        <v/>
      </c>
      <c r="P193" s="199">
        <v>0</v>
      </c>
      <c r="Q193" s="195"/>
      <c r="R193" s="198" t="s">
        <v>7</v>
      </c>
      <c r="S193" s="102">
        <f t="shared" si="8"/>
        <v>0</v>
      </c>
      <c r="T193" s="82">
        <f t="shared" ca="1" si="9"/>
        <v>131723.79999999999</v>
      </c>
      <c r="U193" s="9" t="str">
        <f t="shared" ca="1" si="10"/>
        <v/>
      </c>
      <c r="V193" s="1">
        <f ca="1">IF(OR($A193=0,$A193="S",$A193&gt;CFF!$A$9),"",MAX(V$12:OFFSET(V193,-1,0))+1)</f>
        <v>19</v>
      </c>
      <c r="W193" s="4" t="b">
        <f t="shared" si="11"/>
        <v>0</v>
      </c>
      <c r="X193" s="1" t="str">
        <f t="shared" ca="1" si="12"/>
        <v>X</v>
      </c>
      <c r="Y193" s="102">
        <f t="shared" ca="1" si="13"/>
        <v>0</v>
      </c>
      <c r="Z193" s="112">
        <f ca="1">ROUND(IF(ISNUMBER(R193),R193,IF(LEFT(R193,3)="BDI",HLOOKUP(R193,DADOS!$T$37:$X$38,2,FALSE),0)),15-11*$X$5)</f>
        <v>0.26379999999999998</v>
      </c>
      <c r="AA193" s="1"/>
    </row>
    <row r="194" spans="1:27" ht="38.25" x14ac:dyDescent="0.2">
      <c r="A194" t="str">
        <f>CHOOSE(1+LOG(1+2*(J194="Meta")+4*(J194="Nível 2")+8*(J194="Nível 3")+16*(J194="Nível 4")+32*(J194="Serviço"),2),0,1,2,3,4,"S")</f>
        <v>S</v>
      </c>
      <c r="B194">
        <f>IF(OR(A194="S",A194=0),0,IF(ISERROR(I194),H194,SMALL(H194:I194,1)))</f>
        <v>0</v>
      </c>
      <c r="C194">
        <f ca="1">IF($A194=1,OFFSET(C194,-1,0)+1,OFFSET(C194,-1,0))</f>
        <v>1</v>
      </c>
      <c r="D194">
        <f ca="1">IF($A194=1,0,IF($A194=2,OFFSET(D194,-1,0)+1,OFFSET(D194,-1,0)))</f>
        <v>18</v>
      </c>
      <c r="E194">
        <f ca="1">IF(AND($A194&lt;=2,$A194&lt;&gt;0),0,IF($A194=3,OFFSET(E194,-1,0)+1,OFFSET(E194,-1,0)))</f>
        <v>0</v>
      </c>
      <c r="F194">
        <f ca="1">IF(AND($A194&lt;=3,$A194&lt;&gt;0),0,IF($A194=4,OFFSET(F194,-1,0)+1,OFFSET(F194,-1,0)))</f>
        <v>0</v>
      </c>
      <c r="G194">
        <f ca="1">IF(AND($A194&lt;=4,$A194&lt;&gt;0),0,IF($A194="S",OFFSET(G194,-1,0)+1,OFFSET(G194,-1,0)))</f>
        <v>1</v>
      </c>
      <c r="H194">
        <f ca="1">IF(OR($A194="S",$A194=0),0,MATCH(0,OFFSET($B194,1,$A194,ROW($A$275)-ROW($A194)),0))</f>
        <v>0</v>
      </c>
      <c r="I194">
        <f ca="1">IF(OR($A194="S",$A194=0),0,MATCH(OFFSET($B194,0,$A194)+1,OFFSET($B194,1,$A194,ROW($A$275)-ROW($A194)),0))</f>
        <v>0</v>
      </c>
      <c r="J194" s="101" t="s">
        <v>103</v>
      </c>
      <c r="K194" s="137" t="str">
        <f ca="1">IF($A194=0,"-",CONCATENATE(C194&amp;".",IF(AND($A$5&gt;=2,$A194&gt;=2),D194&amp;".",""),IF(AND($A$5&gt;=3,$A194&gt;=3),E194&amp;".",""),IF(AND($A$5&gt;=4,$A194&gt;=4),F194&amp;".",""),IF($A194="S",G194&amp;".","")))</f>
        <v>1.18.1.</v>
      </c>
      <c r="L194" s="176" t="s">
        <v>237</v>
      </c>
      <c r="M194" s="176" t="s">
        <v>313</v>
      </c>
      <c r="N194" s="197" t="str">
        <f ca="1">IF($A194="S",Referencia.Descricao,"(digite a descrição aqui)")</f>
        <v>JOGO DE FERRAGENS CROMADAS PARA PORTA DE VIDRO TEMPERADO, UMA FOLHA COMPOSTO DE DOBRADICAS SUPERIOR E INFERIOR, TRINCO, FECHADURA, CONTRA FECHADURA COM CAPUCHINHO SEM MOLA E PUXADOR. AF_01/2021</v>
      </c>
      <c r="O194" s="196" t="str">
        <f ca="1">Referencia.Unidade</f>
        <v>UN</v>
      </c>
      <c r="P194" s="199">
        <v>1</v>
      </c>
      <c r="Q194" s="195">
        <f t="shared" ca="1" si="33"/>
        <v>277.20999999999998</v>
      </c>
      <c r="R194" s="198" t="s">
        <v>7</v>
      </c>
      <c r="S194" s="102">
        <f t="shared" ref="S194:S206" ca="1" si="34">IF($A194="S",IF($Q$10="Preço Unitário (R$)",PO.CustoUnitario,ROUND(PO.CustoUnitario*(1+$Z194),15-13*$X$6)),0)</f>
        <v>350.34</v>
      </c>
      <c r="T194" s="82">
        <f t="shared" ref="T194:T206" ca="1" si="35">IF($A194="S",VTOTAL1,IF($A194=0,0,ROUND(SomaAgrup,15-13*$X$7)))</f>
        <v>350.34</v>
      </c>
      <c r="U194" s="9" t="str">
        <f ca="1">IF($J194="","",IF($N194="","DESCRIÇÃO",IF(AND($J194="Serviço",$O194=""),"UNIDADE",IF($T194&lt;=0,"SEM VALOR",IF(AND($Y194&lt;&gt;"",$Q194&gt;$Y194),"ACIMA REF.","")))))</f>
        <v/>
      </c>
      <c r="V194" s="1" t="str">
        <f ca="1">IF(OR($A194=0,$A194="S",$A194&gt;CFF!$A$9),"",MAX(V$12:OFFSET(V194,-1,0))+1)</f>
        <v/>
      </c>
      <c r="W194" s="4" t="str">
        <f>IF(AND($J194="Serviço",$M194&lt;&gt;""),IF($L194="",$M194,CONCATENATE($L194,"-",$M194)))</f>
        <v>SINAPI-102189</v>
      </c>
      <c r="X194" s="1">
        <f t="shared" ref="X194:X206" ca="1" si="36">IF(AND(Fonte&lt;&gt;"",Código&lt;&gt;""),MATCH(Fonte&amp;" "&amp;IF(Fonte="sinapi",SUBSTITUTE(SUBSTITUTE(Código,"/00","/"),"/0","/"),Código),INDIRECT("'[Referência "&amp;_xlnm.Database&amp;".xls]Banco'!$a:$a"),0),"X")</f>
        <v>2233</v>
      </c>
      <c r="Y194" s="102">
        <f ca="1">IF(Import.Desoneracao="sim",Referencia.Desonerado,Referencia.NaoDesonerado)</f>
        <v>277.20999999999998</v>
      </c>
      <c r="Z194" s="112">
        <f ca="1">ROUND(IF(ISNUMBER(R194),R194,IF(LEFT(R194,3)="BDI",HLOOKUP(R194,DADOS!$T$37:$X$38,2,FALSE),0)),15-11*$X$5)</f>
        <v>0.26379999999999998</v>
      </c>
      <c r="AA194" s="1"/>
    </row>
    <row r="195" spans="1:27" x14ac:dyDescent="0.2">
      <c r="A195" t="str">
        <f t="shared" ref="A195:A206" si="37">CHOOSE(1+LOG(1+2*(J195="Meta")+4*(J195="Nível 2")+8*(J195="Nível 3")+16*(J195="Nível 4")+32*(J195="Serviço"),2),0,1,2,3,4,"S")</f>
        <v>S</v>
      </c>
      <c r="B195">
        <f t="shared" ref="B195:B206" si="38">IF(OR(A195="S",A195=0),0,IF(ISERROR(I195),H195,SMALL(H195:I195,1)))</f>
        <v>0</v>
      </c>
      <c r="C195">
        <f t="shared" ref="C195:C206" ca="1" si="39">IF($A195=1,OFFSET(C195,-1,0)+1,OFFSET(C195,-1,0))</f>
        <v>1</v>
      </c>
      <c r="D195">
        <f t="shared" ref="D195:D206" ca="1" si="40">IF($A195=1,0,IF($A195=2,OFFSET(D195,-1,0)+1,OFFSET(D195,-1,0)))</f>
        <v>18</v>
      </c>
      <c r="E195">
        <f t="shared" ref="E195:E206" ca="1" si="41">IF(AND($A195&lt;=2,$A195&lt;&gt;0),0,IF($A195=3,OFFSET(E195,-1,0)+1,OFFSET(E195,-1,0)))</f>
        <v>0</v>
      </c>
      <c r="F195">
        <f t="shared" ref="F195:F206" ca="1" si="42">IF(AND($A195&lt;=3,$A195&lt;&gt;0),0,IF($A195=4,OFFSET(F195,-1,0)+1,OFFSET(F195,-1,0)))</f>
        <v>0</v>
      </c>
      <c r="G195">
        <f t="shared" ref="G195:G206" ca="1" si="43">IF(AND($A195&lt;=4,$A195&lt;&gt;0),0,IF($A195="S",OFFSET(G195,-1,0)+1,OFFSET(G195,-1,0)))</f>
        <v>2</v>
      </c>
      <c r="H195">
        <f ca="1">IF(OR($A195="S",$A195=0),0,MATCH(0,OFFSET($B195,1,$A195,ROW($A$275)-ROW($A195)),0))</f>
        <v>0</v>
      </c>
      <c r="I195">
        <f ca="1">IF(OR($A195="S",$A195=0),0,MATCH(OFFSET($B195,0,$A195)+1,OFFSET($B195,1,$A195,ROW($A$275)-ROW($A195)),0))</f>
        <v>0</v>
      </c>
      <c r="J195" s="101" t="s">
        <v>103</v>
      </c>
      <c r="K195" s="137" t="str">
        <f t="shared" ref="K195:K206" ca="1" si="44">IF($A195=0,"-",CONCATENATE(C195&amp;".",IF(AND($A$5&gt;=2,$A195&gt;=2),D195&amp;".",""),IF(AND($A$5&gt;=3,$A195&gt;=3),E195&amp;".",""),IF(AND($A$5&gt;=4,$A195&gt;=4),F195&amp;".",""),IF($A195="S",G195&amp;".","")))</f>
        <v>1.18.2.</v>
      </c>
      <c r="L195" s="176" t="s">
        <v>249</v>
      </c>
      <c r="M195" s="176" t="s">
        <v>315</v>
      </c>
      <c r="N195" s="197" t="str">
        <f ca="1">IF($A195="S",Referencia.Descricao,"(digite a descrição aqui)")</f>
        <v xml:space="preserve">BARRA ANTIPANICO DUPLA, PARA PORTA DE VIDRO, COR CINZA                                                                                                                                                                                                                                                                                                                                                                                                                                                    </v>
      </c>
      <c r="O195" s="196" t="str">
        <f ca="1">Referencia.Unidade</f>
        <v xml:space="preserve">PAR   </v>
      </c>
      <c r="P195" s="199">
        <v>1</v>
      </c>
      <c r="Q195" s="195">
        <f t="shared" ca="1" si="33"/>
        <v>1590.7</v>
      </c>
      <c r="R195" s="198" t="s">
        <v>7</v>
      </c>
      <c r="S195" s="102">
        <f t="shared" ca="1" si="34"/>
        <v>2010.33</v>
      </c>
      <c r="T195" s="82">
        <f t="shared" ca="1" si="35"/>
        <v>2010.33</v>
      </c>
      <c r="U195" s="9" t="str">
        <f t="shared" ref="U195:U206" ca="1" si="45">IF($J195="","",IF($N195="","DESCRIÇÃO",IF(AND($J195="Serviço",$O195=""),"UNIDADE",IF($T195&lt;=0,"SEM VALOR",IF(AND($Y195&lt;&gt;"",$Q195&gt;$Y195),"ACIMA REF.","")))))</f>
        <v/>
      </c>
      <c r="V195" s="1" t="str">
        <f ca="1">IF(OR($A195=0,$A195="S",$A195&gt;CFF!$A$9),"",MAX(V$12:OFFSET(V195,-1,0))+1)</f>
        <v/>
      </c>
      <c r="W195" s="4" t="str">
        <f t="shared" ref="W195:W206" si="46">IF(AND($J195="Serviço",$M195&lt;&gt;""),IF($L195="",$M195,CONCATENATE($L195,"-",$M195)))</f>
        <v>SINAPI-I-39624</v>
      </c>
      <c r="X195" s="1">
        <f t="shared" ca="1" si="36"/>
        <v>8184</v>
      </c>
      <c r="Y195" s="102">
        <f ca="1">IF(Import.Desoneracao="sim",Referencia.Desonerado,Referencia.NaoDesonerado)</f>
        <v>1590.7</v>
      </c>
      <c r="Z195" s="112">
        <f ca="1">ROUND(IF(ISNUMBER(R195),R195,IF(LEFT(R195,3)="BDI",HLOOKUP(R195,DADOS!$T$37:$X$38,2,FALSE),0)),15-11*$X$5)</f>
        <v>0.26379999999999998</v>
      </c>
      <c r="AA195" s="1"/>
    </row>
    <row r="196" spans="1:27" ht="25.5" x14ac:dyDescent="0.2">
      <c r="A196" t="str">
        <f t="shared" si="37"/>
        <v>S</v>
      </c>
      <c r="B196">
        <f t="shared" si="38"/>
        <v>0</v>
      </c>
      <c r="C196">
        <f t="shared" ca="1" si="39"/>
        <v>1</v>
      </c>
      <c r="D196">
        <f t="shared" ca="1" si="40"/>
        <v>18</v>
      </c>
      <c r="E196">
        <f t="shared" ca="1" si="41"/>
        <v>0</v>
      </c>
      <c r="F196">
        <f t="shared" ca="1" si="42"/>
        <v>0</v>
      </c>
      <c r="G196">
        <f t="shared" ca="1" si="43"/>
        <v>3</v>
      </c>
      <c r="H196">
        <f ca="1">IF(OR($A196="S",$A196=0),0,MATCH(0,OFFSET($B196,1,$A196,ROW($A$275)-ROW($A196)),0))</f>
        <v>0</v>
      </c>
      <c r="I196">
        <f ca="1">IF(OR($A196="S",$A196=0),0,MATCH(OFFSET($B196,0,$A196)+1,OFFSET($B196,1,$A196,ROW($A$275)-ROW($A196)),0))</f>
        <v>0</v>
      </c>
      <c r="J196" s="101" t="s">
        <v>103</v>
      </c>
      <c r="K196" s="137" t="str">
        <f t="shared" ca="1" si="44"/>
        <v>1.18.3.</v>
      </c>
      <c r="L196" s="176" t="s">
        <v>237</v>
      </c>
      <c r="M196" s="176" t="s">
        <v>314</v>
      </c>
      <c r="N196" s="197" t="str">
        <f ca="1">IF($A196="S",Referencia.Descricao,"(digite a descrição aqui)")</f>
        <v>PORTA DE ABRIR COM MOLA HIDRÁULICA, EM VIDRO TEMPERADO, 2 FOLHAS DE 90X210 CM, ESPESSURA DD 10MM, INCLUSIVE ACESSÓRIOS. AF_01/2021</v>
      </c>
      <c r="O196" s="196" t="str">
        <f ca="1">Referencia.Unidade</f>
        <v>UN</v>
      </c>
      <c r="P196" s="199">
        <v>1</v>
      </c>
      <c r="Q196" s="195">
        <f t="shared" ca="1" si="33"/>
        <v>3941.6</v>
      </c>
      <c r="R196" s="198" t="s">
        <v>7</v>
      </c>
      <c r="S196" s="102">
        <f t="shared" ca="1" si="34"/>
        <v>4981.3900000000003</v>
      </c>
      <c r="T196" s="82">
        <f t="shared" ca="1" si="35"/>
        <v>4981.3900000000003</v>
      </c>
      <c r="U196" s="9" t="str">
        <f t="shared" ca="1" si="45"/>
        <v/>
      </c>
      <c r="V196" s="1" t="str">
        <f ca="1">IF(OR($A196=0,$A196="S",$A196&gt;CFF!$A$9),"",MAX(V$12:OFFSET(V196,-1,0))+1)</f>
        <v/>
      </c>
      <c r="W196" s="4" t="str">
        <f t="shared" si="46"/>
        <v>SINAPI-102185</v>
      </c>
      <c r="X196" s="1">
        <f t="shared" ca="1" si="36"/>
        <v>2273</v>
      </c>
      <c r="Y196" s="102">
        <f ca="1">IF(Import.Desoneracao="sim",Referencia.Desonerado,Referencia.NaoDesonerado)</f>
        <v>3941.6</v>
      </c>
      <c r="Z196" s="112">
        <f ca="1">ROUND(IF(ISNUMBER(R196),R196,IF(LEFT(R196,3)="BDI",HLOOKUP(R196,DADOS!$T$37:$X$38,2,FALSE),0)),15-11*$X$5)</f>
        <v>0.26379999999999998</v>
      </c>
      <c r="AA196" s="1"/>
    </row>
    <row r="197" spans="1:27" ht="38.25" x14ac:dyDescent="0.2">
      <c r="A197" t="str">
        <f t="shared" si="37"/>
        <v>S</v>
      </c>
      <c r="B197">
        <f t="shared" si="38"/>
        <v>0</v>
      </c>
      <c r="C197">
        <f t="shared" ca="1" si="39"/>
        <v>1</v>
      </c>
      <c r="D197">
        <f t="shared" ca="1" si="40"/>
        <v>18</v>
      </c>
      <c r="E197">
        <f t="shared" ca="1" si="41"/>
        <v>0</v>
      </c>
      <c r="F197">
        <f t="shared" ca="1" si="42"/>
        <v>0</v>
      </c>
      <c r="G197">
        <f t="shared" ca="1" si="43"/>
        <v>4</v>
      </c>
      <c r="H197">
        <f ca="1">IF(OR($A197="S",$A197=0),0,MATCH(0,OFFSET($B197,1,$A197,ROW($A$275)-ROW($A197)),0))</f>
        <v>0</v>
      </c>
      <c r="I197">
        <f ca="1">IF(OR($A197="S",$A197=0),0,MATCH(OFFSET($B197,0,$A197)+1,OFFSET($B197,1,$A197,ROW($A$275)-ROW($A197)),0))</f>
        <v>0</v>
      </c>
      <c r="J197" s="101" t="s">
        <v>103</v>
      </c>
      <c r="K197" s="137" t="str">
        <f t="shared" ca="1" si="44"/>
        <v>1.18.4.</v>
      </c>
      <c r="L197" s="176" t="s">
        <v>238</v>
      </c>
      <c r="M197" s="176" t="s">
        <v>316</v>
      </c>
      <c r="N197" s="197" t="str">
        <f ca="1">IF($A197="S",Referencia.Descricao,"(digite a descrição aqui)")</f>
        <v>PORTA DE ABRIR ENTRADA PRINCIPAL COM MOLA HIDRÁULICA, EM VIDRO TEMPERADO, 2 FOLHAS DIMENSÃO 205X250 CM, ESPESSURA DD 10MM, INCLUSIVE ACESSÓRIOS. AF_01/2021</v>
      </c>
      <c r="O197" s="196" t="str">
        <f ca="1">Referencia.Unidade</f>
        <v>UND</v>
      </c>
      <c r="P197" s="199">
        <v>1</v>
      </c>
      <c r="Q197" s="195">
        <f t="shared" ca="1" si="33"/>
        <v>4373.5999999999995</v>
      </c>
      <c r="R197" s="198" t="s">
        <v>7</v>
      </c>
      <c r="S197" s="102">
        <f t="shared" ca="1" si="34"/>
        <v>5527.36</v>
      </c>
      <c r="T197" s="82">
        <f t="shared" ca="1" si="35"/>
        <v>5527.36</v>
      </c>
      <c r="U197" s="9" t="str">
        <f t="shared" ca="1" si="45"/>
        <v/>
      </c>
      <c r="V197" s="1" t="str">
        <f ca="1">IF(OR($A197=0,$A197="S",$A197&gt;CFF!$A$9),"",MAX(V$12:OFFSET(V197,-1,0))+1)</f>
        <v/>
      </c>
      <c r="W197" s="4" t="str">
        <f t="shared" si="46"/>
        <v>COMPOSIÇÃO-COMP15</v>
      </c>
      <c r="X197" s="1">
        <f t="shared" ca="1" si="36"/>
        <v>21</v>
      </c>
      <c r="Y197" s="102">
        <f ca="1">IF(Import.Desoneracao="sim",Referencia.Desonerado,Referencia.NaoDesonerado)</f>
        <v>4373.5999999999995</v>
      </c>
      <c r="Z197" s="112">
        <f ca="1">ROUND(IF(ISNUMBER(R197),R197,IF(LEFT(R197,3)="BDI",HLOOKUP(R197,DADOS!$T$37:$X$38,2,FALSE),0)),15-11*$X$5)</f>
        <v>0.26379999999999998</v>
      </c>
      <c r="AA197" s="1"/>
    </row>
    <row r="198" spans="1:27" ht="25.5" x14ac:dyDescent="0.2">
      <c r="A198" t="str">
        <f t="shared" si="37"/>
        <v>S</v>
      </c>
      <c r="B198">
        <f t="shared" si="38"/>
        <v>0</v>
      </c>
      <c r="C198">
        <f t="shared" ca="1" si="39"/>
        <v>1</v>
      </c>
      <c r="D198">
        <f t="shared" ca="1" si="40"/>
        <v>18</v>
      </c>
      <c r="E198">
        <f t="shared" ca="1" si="41"/>
        <v>0</v>
      </c>
      <c r="F198">
        <f t="shared" ca="1" si="42"/>
        <v>0</v>
      </c>
      <c r="G198">
        <f t="shared" ca="1" si="43"/>
        <v>5</v>
      </c>
      <c r="H198">
        <f ca="1">IF(OR($A198="S",$A198=0),0,MATCH(0,OFFSET($B198,1,$A198,ROW($A$275)-ROW($A198)),0))</f>
        <v>0</v>
      </c>
      <c r="I198">
        <f ca="1">IF(OR($A198="S",$A198=0),0,MATCH(OFFSET($B198,0,$A198)+1,OFFSET($B198,1,$A198,ROW($A$275)-ROW($A198)),0))</f>
        <v>0</v>
      </c>
      <c r="J198" s="101" t="s">
        <v>103</v>
      </c>
      <c r="K198" s="137" t="str">
        <f t="shared" ca="1" si="44"/>
        <v>1.18.5.</v>
      </c>
      <c r="L198" s="176" t="s">
        <v>237</v>
      </c>
      <c r="M198" s="176" t="s">
        <v>317</v>
      </c>
      <c r="N198" s="197" t="str">
        <f ca="1">IF($A198="S",Referencia.Descricao,"(digite a descrição aqui)")</f>
        <v>GRADIL EM FERRO FIXADO EM VÃOS DE JANELAS, FORMADO POR BARRAS CHATAS DE 25X4,8 MM. AF_04/2019</v>
      </c>
      <c r="O198" s="196" t="str">
        <f ca="1">Referencia.Unidade</f>
        <v>M2</v>
      </c>
      <c r="P198" s="199">
        <v>45.67</v>
      </c>
      <c r="Q198" s="195">
        <f t="shared" ca="1" si="33"/>
        <v>583.88</v>
      </c>
      <c r="R198" s="198" t="s">
        <v>7</v>
      </c>
      <c r="S198" s="102">
        <f t="shared" ca="1" si="34"/>
        <v>737.91</v>
      </c>
      <c r="T198" s="82">
        <f t="shared" ca="1" si="35"/>
        <v>33700.35</v>
      </c>
      <c r="U198" s="9" t="str">
        <f t="shared" ca="1" si="45"/>
        <v/>
      </c>
      <c r="V198" s="1" t="str">
        <f ca="1">IF(OR($A198=0,$A198="S",$A198&gt;CFF!$A$9),"",MAX(V$12:OFFSET(V198,-1,0))+1)</f>
        <v/>
      </c>
      <c r="W198" s="4" t="str">
        <f t="shared" si="46"/>
        <v>SINAPI-99861</v>
      </c>
      <c r="X198" s="1">
        <f t="shared" ca="1" si="36"/>
        <v>2223</v>
      </c>
      <c r="Y198" s="102">
        <f ca="1">IF(Import.Desoneracao="sim",Referencia.Desonerado,Referencia.NaoDesonerado)</f>
        <v>583.88</v>
      </c>
      <c r="Z198" s="112">
        <f ca="1">ROUND(IF(ISNUMBER(R198),R198,IF(LEFT(R198,3)="BDI",HLOOKUP(R198,DADOS!$T$37:$X$38,2,FALSE),0)),15-11*$X$5)</f>
        <v>0.26379999999999998</v>
      </c>
      <c r="AA198" s="1"/>
    </row>
    <row r="199" spans="1:27" ht="25.5" x14ac:dyDescent="0.2">
      <c r="A199" t="str">
        <f t="shared" si="37"/>
        <v>S</v>
      </c>
      <c r="B199">
        <f t="shared" si="38"/>
        <v>0</v>
      </c>
      <c r="C199">
        <f t="shared" ca="1" si="39"/>
        <v>1</v>
      </c>
      <c r="D199">
        <f t="shared" ca="1" si="40"/>
        <v>18</v>
      </c>
      <c r="E199">
        <f t="shared" ca="1" si="41"/>
        <v>0</v>
      </c>
      <c r="F199">
        <f t="shared" ca="1" si="42"/>
        <v>0</v>
      </c>
      <c r="G199">
        <f t="shared" ca="1" si="43"/>
        <v>6</v>
      </c>
      <c r="H199">
        <f ca="1">IF(OR($A199="S",$A199=0),0,MATCH(0,OFFSET($B199,1,$A199,ROW($A$275)-ROW($A199)),0))</f>
        <v>0</v>
      </c>
      <c r="I199">
        <f ca="1">IF(OR($A199="S",$A199=0),0,MATCH(OFFSET($B199,0,$A199)+1,OFFSET($B199,1,$A199,ROW($A$275)-ROW($A199)),0))</f>
        <v>0</v>
      </c>
      <c r="J199" s="101" t="s">
        <v>103</v>
      </c>
      <c r="K199" s="137" t="str">
        <f t="shared" ca="1" si="44"/>
        <v>1.18.6.</v>
      </c>
      <c r="L199" s="176" t="s">
        <v>237</v>
      </c>
      <c r="M199" s="176" t="s">
        <v>318</v>
      </c>
      <c r="N199" s="197" t="str">
        <f ca="1">IF($A199="S",Referencia.Descricao,"(digite a descrição aqui)")</f>
        <v>PORTA DE FERRO, DE ABRIR, TIPO GRADE COM CHAPA, COM GUARNIÇÕES. AF_12/2019</v>
      </c>
      <c r="O199" s="196" t="str">
        <f ca="1">Referencia.Unidade</f>
        <v>M2</v>
      </c>
      <c r="P199" s="199">
        <f>1.7*1.7</f>
        <v>2.8899999999999997</v>
      </c>
      <c r="Q199" s="195">
        <f t="shared" ca="1" si="33"/>
        <v>569.94000000000005</v>
      </c>
      <c r="R199" s="198" t="s">
        <v>7</v>
      </c>
      <c r="S199" s="102">
        <f t="shared" ca="1" si="34"/>
        <v>720.29</v>
      </c>
      <c r="T199" s="82">
        <f t="shared" ca="1" si="35"/>
        <v>2081.64</v>
      </c>
      <c r="U199" s="9" t="str">
        <f t="shared" ca="1" si="45"/>
        <v/>
      </c>
      <c r="V199" s="1" t="str">
        <f ca="1">IF(OR($A199=0,$A199="S",$A199&gt;CFF!$A$9),"",MAX(V$12:OFFSET(V199,-1,0))+1)</f>
        <v/>
      </c>
      <c r="W199" s="4" t="str">
        <f t="shared" si="46"/>
        <v>SINAPI-100701</v>
      </c>
      <c r="X199" s="1">
        <f t="shared" ca="1" si="36"/>
        <v>2213</v>
      </c>
      <c r="Y199" s="102">
        <f ca="1">IF(Import.Desoneracao="sim",Referencia.Desonerado,Referencia.NaoDesonerado)</f>
        <v>569.94000000000005</v>
      </c>
      <c r="Z199" s="112">
        <f ca="1">ROUND(IF(ISNUMBER(R199),R199,IF(LEFT(R199,3)="BDI",HLOOKUP(R199,DADOS!$T$37:$X$38,2,FALSE),0)),15-11*$X$5)</f>
        <v>0.26379999999999998</v>
      </c>
      <c r="AA199" s="1"/>
    </row>
    <row r="200" spans="1:27" ht="38.25" x14ac:dyDescent="0.2">
      <c r="A200" t="str">
        <f t="shared" si="37"/>
        <v>S</v>
      </c>
      <c r="B200">
        <f t="shared" si="38"/>
        <v>0</v>
      </c>
      <c r="C200">
        <f t="shared" ca="1" si="39"/>
        <v>1</v>
      </c>
      <c r="D200">
        <f t="shared" ca="1" si="40"/>
        <v>18</v>
      </c>
      <c r="E200">
        <f t="shared" ca="1" si="41"/>
        <v>0</v>
      </c>
      <c r="F200">
        <f t="shared" ca="1" si="42"/>
        <v>0</v>
      </c>
      <c r="G200">
        <f t="shared" ca="1" si="43"/>
        <v>7</v>
      </c>
      <c r="H200">
        <f ca="1">IF(OR($A200="S",$A200=0),0,MATCH(0,OFFSET($B200,1,$A200,ROW($A$275)-ROW($A200)),0))</f>
        <v>0</v>
      </c>
      <c r="I200">
        <f ca="1">IF(OR($A200="S",$A200=0),0,MATCH(OFFSET($B200,0,$A200)+1,OFFSET($B200,1,$A200,ROW($A$275)-ROW($A200)),0))</f>
        <v>0</v>
      </c>
      <c r="J200" s="101" t="s">
        <v>103</v>
      </c>
      <c r="K200" s="137" t="str">
        <f t="shared" ca="1" si="44"/>
        <v>1.18.7.</v>
      </c>
      <c r="L200" s="176" t="s">
        <v>237</v>
      </c>
      <c r="M200" s="176" t="s">
        <v>319</v>
      </c>
      <c r="N200" s="197" t="str">
        <f ca="1">IF($A200="S",Referencia.Descricao,"(digite a descrição aqui)")</f>
        <v>JANELA DE ALUMÍNIO TIPO MAXIM-AR, COM VIDROS, BATENTE E FERRAGENS. EXCLUSIVE ALIZAR, ACABAMENTO E CONTRAMARCO. FORNECIMENTO E INSTALAÇÃO. AF_12/2019</v>
      </c>
      <c r="O200" s="196" t="str">
        <f ca="1">Referencia.Unidade</f>
        <v>M2</v>
      </c>
      <c r="P200" s="199">
        <v>2.6</v>
      </c>
      <c r="Q200" s="195">
        <f t="shared" ca="1" si="33"/>
        <v>872.98</v>
      </c>
      <c r="R200" s="198" t="s">
        <v>7</v>
      </c>
      <c r="S200" s="102">
        <f t="shared" ca="1" si="34"/>
        <v>1103.27</v>
      </c>
      <c r="T200" s="82">
        <f t="shared" ca="1" si="35"/>
        <v>2868.5</v>
      </c>
      <c r="U200" s="9" t="str">
        <f t="shared" ca="1" si="45"/>
        <v/>
      </c>
      <c r="V200" s="1" t="str">
        <f ca="1">IF(OR($A200=0,$A200="S",$A200&gt;CFF!$A$9),"",MAX(V$12:OFFSET(V200,-1,0))+1)</f>
        <v/>
      </c>
      <c r="W200" s="4" t="str">
        <f t="shared" si="46"/>
        <v>SINAPI-94569</v>
      </c>
      <c r="X200" s="1">
        <f t="shared" ca="1" si="36"/>
        <v>2277</v>
      </c>
      <c r="Y200" s="102">
        <f ca="1">IF(Import.Desoneracao="sim",Referencia.Desonerado,Referencia.NaoDesonerado)</f>
        <v>872.98</v>
      </c>
      <c r="Z200" s="112">
        <f ca="1">ROUND(IF(ISNUMBER(R200),R200,IF(LEFT(R200,3)="BDI",HLOOKUP(R200,DADOS!$T$37:$X$38,2,FALSE),0)),15-11*$X$5)</f>
        <v>0.26379999999999998</v>
      </c>
      <c r="AA200" s="1"/>
    </row>
    <row r="201" spans="1:27" ht="25.5" x14ac:dyDescent="0.2">
      <c r="A201" t="str">
        <f t="shared" si="37"/>
        <v>S</v>
      </c>
      <c r="B201">
        <f t="shared" si="38"/>
        <v>0</v>
      </c>
      <c r="C201">
        <f t="shared" ca="1" si="39"/>
        <v>1</v>
      </c>
      <c r="D201">
        <f t="shared" ca="1" si="40"/>
        <v>18</v>
      </c>
      <c r="E201">
        <f t="shared" ca="1" si="41"/>
        <v>0</v>
      </c>
      <c r="F201">
        <f t="shared" ca="1" si="42"/>
        <v>0</v>
      </c>
      <c r="G201">
        <f t="shared" ca="1" si="43"/>
        <v>8</v>
      </c>
      <c r="H201">
        <f ca="1">IF(OR($A201="S",$A201=0),0,MATCH(0,OFFSET($B201,1,$A201,ROW($A$275)-ROW($A201)),0))</f>
        <v>0</v>
      </c>
      <c r="I201">
        <f ca="1">IF(OR($A201="S",$A201=0),0,MATCH(OFFSET($B201,0,$A201)+1,OFFSET($B201,1,$A201,ROW($A$275)-ROW($A201)),0))</f>
        <v>0</v>
      </c>
      <c r="J201" s="101" t="s">
        <v>103</v>
      </c>
      <c r="K201" s="137" t="str">
        <f t="shared" ca="1" si="44"/>
        <v>1.18.8.</v>
      </c>
      <c r="L201" s="176" t="s">
        <v>237</v>
      </c>
      <c r="M201" s="176" t="s">
        <v>321</v>
      </c>
      <c r="N201" s="197" t="str">
        <f ca="1">IF($A201="S",Referencia.Descricao,"(digite a descrição aqui)")</f>
        <v>PORTA DE ALUMÍNIO DE ABRIR COM LAMBRI, COM GUARNIÇÃO, FIXAÇÃO COM PARAFUSOS - FORNECIMENTO E INSTALAÇÃO. AF_12/2019</v>
      </c>
      <c r="O201" s="196" t="str">
        <f ca="1">Referencia.Unidade</f>
        <v>M2</v>
      </c>
      <c r="P201" s="199">
        <v>17.7</v>
      </c>
      <c r="Q201" s="195">
        <f t="shared" ca="1" si="33"/>
        <v>1103.1099999999999</v>
      </c>
      <c r="R201" s="198" t="s">
        <v>7</v>
      </c>
      <c r="S201" s="102">
        <f t="shared" ca="1" si="34"/>
        <v>1394.11</v>
      </c>
      <c r="T201" s="82">
        <f t="shared" ca="1" si="35"/>
        <v>24675.75</v>
      </c>
      <c r="U201" s="9" t="str">
        <f t="shared" ca="1" si="45"/>
        <v/>
      </c>
      <c r="V201" s="1" t="str">
        <f ca="1">IF(OR($A201=0,$A201="S",$A201&gt;CFF!$A$9),"",MAX(V$12:OFFSET(V201,-1,0))+1)</f>
        <v/>
      </c>
      <c r="W201" s="4" t="str">
        <f t="shared" si="46"/>
        <v>SINAPI-91338</v>
      </c>
      <c r="X201" s="1">
        <f t="shared" ca="1" si="36"/>
        <v>2226</v>
      </c>
      <c r="Y201" s="102">
        <f ca="1">IF(Import.Desoneracao="sim",Referencia.Desonerado,Referencia.NaoDesonerado)</f>
        <v>1103.1099999999999</v>
      </c>
      <c r="Z201" s="112">
        <f ca="1">ROUND(IF(ISNUMBER(R201),R201,IF(LEFT(R201,3)="BDI",HLOOKUP(R201,DADOS!$T$37:$X$38,2,FALSE),0)),15-11*$X$5)</f>
        <v>0.26379999999999998</v>
      </c>
      <c r="AA201" s="1"/>
    </row>
    <row r="202" spans="1:27" ht="25.5" x14ac:dyDescent="0.2">
      <c r="A202" t="str">
        <f t="shared" si="37"/>
        <v>S</v>
      </c>
      <c r="B202">
        <f t="shared" si="38"/>
        <v>0</v>
      </c>
      <c r="C202">
        <f t="shared" ca="1" si="39"/>
        <v>1</v>
      </c>
      <c r="D202">
        <f t="shared" ca="1" si="40"/>
        <v>18</v>
      </c>
      <c r="E202">
        <f t="shared" ca="1" si="41"/>
        <v>0</v>
      </c>
      <c r="F202">
        <f t="shared" ca="1" si="42"/>
        <v>0</v>
      </c>
      <c r="G202">
        <f t="shared" ca="1" si="43"/>
        <v>9</v>
      </c>
      <c r="H202">
        <f ca="1">IF(OR($A202="S",$A202=0),0,MATCH(0,OFFSET($B202,1,$A202,ROW($A$275)-ROW($A202)),0))</f>
        <v>0</v>
      </c>
      <c r="I202">
        <f ca="1">IF(OR($A202="S",$A202=0),0,MATCH(OFFSET($B202,0,$A202)+1,OFFSET($B202,1,$A202,ROW($A$275)-ROW($A202)),0))</f>
        <v>0</v>
      </c>
      <c r="J202" s="101" t="s">
        <v>103</v>
      </c>
      <c r="K202" s="137" t="str">
        <f t="shared" ca="1" si="44"/>
        <v>1.18.9.</v>
      </c>
      <c r="L202" s="176" t="s">
        <v>238</v>
      </c>
      <c r="M202" s="176" t="s">
        <v>322</v>
      </c>
      <c r="N202" s="197" t="str">
        <f ca="1">IF($A202="S",Referencia.Descricao,"(digite a descrição aqui)")</f>
        <v>PORTA DE ALUMÍNIO DE CORRER COM LAMBRI, COM GUARNIÇÃO, FIXAÇÃO COM PARAFUSOS - FORNECIMENTO E INSTALAÇÃO. AF_12/2019</v>
      </c>
      <c r="O202" s="196" t="str">
        <f ca="1">Referencia.Unidade</f>
        <v>M2</v>
      </c>
      <c r="P202" s="199">
        <v>3.78</v>
      </c>
      <c r="Q202" s="195">
        <f t="shared" ca="1" si="33"/>
        <v>1103.1100000000001</v>
      </c>
      <c r="R202" s="198" t="s">
        <v>7</v>
      </c>
      <c r="S202" s="102">
        <f t="shared" ca="1" si="34"/>
        <v>1394.11</v>
      </c>
      <c r="T202" s="82">
        <f t="shared" ca="1" si="35"/>
        <v>5269.74</v>
      </c>
      <c r="U202" s="9" t="str">
        <f t="shared" ca="1" si="45"/>
        <v/>
      </c>
      <c r="V202" s="1" t="str">
        <f ca="1">IF(OR($A202=0,$A202="S",$A202&gt;CFF!$A$9),"",MAX(V$12:OFFSET(V202,-1,0))+1)</f>
        <v/>
      </c>
      <c r="W202" s="4" t="str">
        <f t="shared" si="46"/>
        <v>COMPOSIÇÃO-COMP17</v>
      </c>
      <c r="X202" s="1">
        <f t="shared" ca="1" si="36"/>
        <v>23</v>
      </c>
      <c r="Y202" s="102">
        <f ca="1">IF(Import.Desoneracao="sim",Referencia.Desonerado,Referencia.NaoDesonerado)</f>
        <v>1103.1100000000001</v>
      </c>
      <c r="Z202" s="112">
        <f ca="1">ROUND(IF(ISNUMBER(R202),R202,IF(LEFT(R202,3)="BDI",HLOOKUP(R202,DADOS!$T$37:$X$38,2,FALSE),0)),15-11*$X$5)</f>
        <v>0.26379999999999998</v>
      </c>
      <c r="AA202" s="1"/>
    </row>
    <row r="203" spans="1:27" ht="51" x14ac:dyDescent="0.2">
      <c r="A203" t="str">
        <f t="shared" si="37"/>
        <v>S</v>
      </c>
      <c r="B203">
        <f t="shared" si="38"/>
        <v>0</v>
      </c>
      <c r="C203">
        <f t="shared" ca="1" si="39"/>
        <v>1</v>
      </c>
      <c r="D203">
        <f t="shared" ca="1" si="40"/>
        <v>18</v>
      </c>
      <c r="E203">
        <f t="shared" ca="1" si="41"/>
        <v>0</v>
      </c>
      <c r="F203">
        <f t="shared" ca="1" si="42"/>
        <v>0</v>
      </c>
      <c r="G203">
        <f t="shared" ca="1" si="43"/>
        <v>10</v>
      </c>
      <c r="H203">
        <f ca="1">IF(OR($A203="S",$A203=0),0,MATCH(0,OFFSET($B203,1,$A203,ROW($A$275)-ROW($A203)),0))</f>
        <v>0</v>
      </c>
      <c r="I203">
        <f ca="1">IF(OR($A203="S",$A203=0),0,MATCH(OFFSET($B203,0,$A203)+1,OFFSET($B203,1,$A203,ROW($A$275)-ROW($A203)),0))</f>
        <v>0</v>
      </c>
      <c r="J203" s="101" t="s">
        <v>103</v>
      </c>
      <c r="K203" s="137" t="str">
        <f t="shared" ca="1" si="44"/>
        <v>1.18.10.</v>
      </c>
      <c r="L203" s="176" t="s">
        <v>237</v>
      </c>
      <c r="M203" s="176" t="s">
        <v>324</v>
      </c>
      <c r="N203" s="197" t="str">
        <f ca="1">IF($A203="S",Referencia.Descricao,"(digite a descrição aqui)")</f>
        <v>KIT DE PORTA-PRONTA DE MADEIRA EM ACABAMENTO MELAMÍNICO BRANCO, FOLHA LEVE OU MÉDIA, 70X210CM, EXCLUSIVE FECHADURA, FIXAÇÃO COM PREENCHIMENTO PARCIAL DE ESPUMA EXPANSIVA - FORNECIMENTO E INSTALAÇÃO. AF_12/2019</v>
      </c>
      <c r="O203" s="196" t="str">
        <f ca="1">Referencia.Unidade</f>
        <v>UN</v>
      </c>
      <c r="P203" s="199">
        <v>1</v>
      </c>
      <c r="Q203" s="195">
        <f t="shared" ca="1" si="33"/>
        <v>1132.19</v>
      </c>
      <c r="R203" s="198" t="s">
        <v>7</v>
      </c>
      <c r="S203" s="102">
        <f t="shared" ca="1" si="34"/>
        <v>1430.86</v>
      </c>
      <c r="T203" s="82">
        <f t="shared" ca="1" si="35"/>
        <v>1430.86</v>
      </c>
      <c r="U203" s="9" t="str">
        <f t="shared" ca="1" si="45"/>
        <v/>
      </c>
      <c r="V203" s="1" t="str">
        <f ca="1">IF(OR($A203=0,$A203="S",$A203&gt;CFF!$A$9),"",MAX(V$12:OFFSET(V203,-1,0))+1)</f>
        <v/>
      </c>
      <c r="W203" s="4" t="str">
        <f t="shared" si="46"/>
        <v>SINAPI-90789</v>
      </c>
      <c r="X203" s="1">
        <f t="shared" ca="1" si="36"/>
        <v>2100</v>
      </c>
      <c r="Y203" s="102">
        <f ca="1">IF(Import.Desoneracao="sim",Referencia.Desonerado,Referencia.NaoDesonerado)</f>
        <v>1132.19</v>
      </c>
      <c r="Z203" s="112">
        <f ca="1">ROUND(IF(ISNUMBER(R203),R203,IF(LEFT(R203,3)="BDI",HLOOKUP(R203,DADOS!$T$37:$X$38,2,FALSE),0)),15-11*$X$5)</f>
        <v>0.26379999999999998</v>
      </c>
      <c r="AA203" s="1"/>
    </row>
    <row r="204" spans="1:27" ht="51" x14ac:dyDescent="0.2">
      <c r="A204" t="str">
        <f t="shared" si="37"/>
        <v>S</v>
      </c>
      <c r="B204">
        <f t="shared" si="38"/>
        <v>0</v>
      </c>
      <c r="C204">
        <f t="shared" ca="1" si="39"/>
        <v>1</v>
      </c>
      <c r="D204">
        <f t="shared" ca="1" si="40"/>
        <v>18</v>
      </c>
      <c r="E204">
        <f t="shared" ca="1" si="41"/>
        <v>0</v>
      </c>
      <c r="F204">
        <f t="shared" ca="1" si="42"/>
        <v>0</v>
      </c>
      <c r="G204">
        <f t="shared" ca="1" si="43"/>
        <v>11</v>
      </c>
      <c r="H204">
        <f ca="1">IF(OR($A204="S",$A204=0),0,MATCH(0,OFFSET($B204,1,$A204,ROW($A$275)-ROW($A204)),0))</f>
        <v>0</v>
      </c>
      <c r="I204">
        <f ca="1">IF(OR($A204="S",$A204=0),0,MATCH(OFFSET($B204,0,$A204)+1,OFFSET($B204,1,$A204,ROW($A$275)-ROW($A204)),0))</f>
        <v>0</v>
      </c>
      <c r="J204" s="101" t="s">
        <v>103</v>
      </c>
      <c r="K204" s="137" t="str">
        <f t="shared" ca="1" si="44"/>
        <v>1.18.11.</v>
      </c>
      <c r="L204" s="176" t="s">
        <v>237</v>
      </c>
      <c r="M204" s="176" t="s">
        <v>323</v>
      </c>
      <c r="N204" s="197" t="str">
        <f ca="1">IF($A204="S",Referencia.Descricao,"(digite a descrição aqui)")</f>
        <v>KIT DE PORTA-PRONTA DE MADEIRA EM ACABAMENTO MELAMÍNICO BRANCO, FOLHA LEVE OU MÉDIA, 80X210CM, EXCLUSIVE FECHADURA, FIXAÇÃO COM PREENCHIMENTO PARCIAL DE ESPUMA EXPANSIVA - FORNECIMENTO E INSTALAÇÃO. AF_12/2019</v>
      </c>
      <c r="O204" s="196" t="str">
        <f ca="1">Referencia.Unidade</f>
        <v>UN</v>
      </c>
      <c r="P204" s="199">
        <v>5</v>
      </c>
      <c r="Q204" s="195">
        <f t="shared" ca="1" si="33"/>
        <v>1167.4000000000001</v>
      </c>
      <c r="R204" s="198" t="s">
        <v>7</v>
      </c>
      <c r="S204" s="102">
        <f t="shared" ca="1" si="34"/>
        <v>1475.36</v>
      </c>
      <c r="T204" s="82">
        <f t="shared" ca="1" si="35"/>
        <v>7376.8</v>
      </c>
      <c r="U204" s="9" t="str">
        <f t="shared" ca="1" si="45"/>
        <v/>
      </c>
      <c r="V204" s="1" t="str">
        <f ca="1">IF(OR($A204=0,$A204="S",$A204&gt;CFF!$A$9),"",MAX(V$12:OFFSET(V204,-1,0))+1)</f>
        <v/>
      </c>
      <c r="W204" s="4" t="str">
        <f t="shared" si="46"/>
        <v>SINAPI-90790</v>
      </c>
      <c r="X204" s="1">
        <f t="shared" ca="1" si="36"/>
        <v>2101</v>
      </c>
      <c r="Y204" s="102">
        <f ca="1">IF(Import.Desoneracao="sim",Referencia.Desonerado,Referencia.NaoDesonerado)</f>
        <v>1167.4000000000001</v>
      </c>
      <c r="Z204" s="112">
        <f ca="1">ROUND(IF(ISNUMBER(R204),R204,IF(LEFT(R204,3)="BDI",HLOOKUP(R204,DADOS!$T$37:$X$38,2,FALSE),0)),15-11*$X$5)</f>
        <v>0.26379999999999998</v>
      </c>
      <c r="AA204" s="1"/>
    </row>
    <row r="205" spans="1:27" ht="38.25" x14ac:dyDescent="0.2">
      <c r="A205" t="str">
        <f t="shared" si="37"/>
        <v>S</v>
      </c>
      <c r="B205">
        <f t="shared" si="38"/>
        <v>0</v>
      </c>
      <c r="C205">
        <f t="shared" ca="1" si="39"/>
        <v>1</v>
      </c>
      <c r="D205">
        <f t="shared" ca="1" si="40"/>
        <v>18</v>
      </c>
      <c r="E205">
        <f t="shared" ca="1" si="41"/>
        <v>0</v>
      </c>
      <c r="F205">
        <f t="shared" ca="1" si="42"/>
        <v>0</v>
      </c>
      <c r="G205">
        <f t="shared" ca="1" si="43"/>
        <v>12</v>
      </c>
      <c r="H205">
        <f ca="1">IF(OR($A205="S",$A205=0),0,MATCH(0,OFFSET($B205,1,$A205,ROW($A$275)-ROW($A205)),0))</f>
        <v>0</v>
      </c>
      <c r="I205">
        <f ca="1">IF(OR($A205="S",$A205=0),0,MATCH(OFFSET($B205,0,$A205)+1,OFFSET($B205,1,$A205,ROW($A$275)-ROW($A205)),0))</f>
        <v>0</v>
      </c>
      <c r="J205" s="101" t="s">
        <v>103</v>
      </c>
      <c r="K205" s="137" t="str">
        <f t="shared" ca="1" si="44"/>
        <v>1.18.12.</v>
      </c>
      <c r="L205" s="176" t="s">
        <v>237</v>
      </c>
      <c r="M205" s="176" t="s">
        <v>325</v>
      </c>
      <c r="N205" s="197" t="str">
        <f ca="1">IF($A205="S",Referencia.Descricao,"(digite a descrição aqui)")</f>
        <v>JANELA DE ALUMÍNIO DE CORRER COM 4 FOLHAS PARA VIDROS, COM VIDROS, BATENTE, ACABAMENTO COM ACETATO OU BRILHANTE E FERRAGENS. EXCLUSIVE ALIZAR E CONTRAMARCO. FORNECIMENTO E INSTALAÇÃO. AF_12/2019</v>
      </c>
      <c r="O205" s="196" t="str">
        <f ca="1">Referencia.Unidade</f>
        <v>M2</v>
      </c>
      <c r="P205" s="199">
        <v>47.57</v>
      </c>
      <c r="Q205" s="195">
        <f t="shared" ca="1" si="33"/>
        <v>526.48</v>
      </c>
      <c r="R205" s="198" t="s">
        <v>7</v>
      </c>
      <c r="S205" s="102">
        <f t="shared" ca="1" si="34"/>
        <v>665.37</v>
      </c>
      <c r="T205" s="82">
        <f t="shared" ca="1" si="35"/>
        <v>31651.65</v>
      </c>
      <c r="U205" s="9" t="str">
        <f t="shared" ca="1" si="45"/>
        <v/>
      </c>
      <c r="V205" s="1" t="str">
        <f ca="1">IF(OR($A205=0,$A205="S",$A205&gt;CFF!$A$9),"",MAX(V$12:OFFSET(V205,-1,0))+1)</f>
        <v/>
      </c>
      <c r="W205" s="4" t="str">
        <f t="shared" si="46"/>
        <v>SINAPI-94573</v>
      </c>
      <c r="X205" s="1">
        <f t="shared" ca="1" si="36"/>
        <v>2280</v>
      </c>
      <c r="Y205" s="102">
        <f ca="1">IF(Import.Desoneracao="sim",Referencia.Desonerado,Referencia.NaoDesonerado)</f>
        <v>526.48</v>
      </c>
      <c r="Z205" s="112">
        <f ca="1">ROUND(IF(ISNUMBER(R205),R205,IF(LEFT(R205,3)="BDI",HLOOKUP(R205,DADOS!$T$37:$X$38,2,FALSE),0)),15-11*$X$5)</f>
        <v>0.26379999999999998</v>
      </c>
      <c r="AA205" s="1"/>
    </row>
    <row r="206" spans="1:27" ht="25.5" x14ac:dyDescent="0.2">
      <c r="A206" t="str">
        <f t="shared" si="37"/>
        <v>S</v>
      </c>
      <c r="B206">
        <f t="shared" si="38"/>
        <v>0</v>
      </c>
      <c r="C206">
        <f t="shared" ca="1" si="39"/>
        <v>1</v>
      </c>
      <c r="D206">
        <f t="shared" ca="1" si="40"/>
        <v>18</v>
      </c>
      <c r="E206">
        <f t="shared" ca="1" si="41"/>
        <v>0</v>
      </c>
      <c r="F206">
        <f t="shared" ca="1" si="42"/>
        <v>0</v>
      </c>
      <c r="G206">
        <f t="shared" ca="1" si="43"/>
        <v>13</v>
      </c>
      <c r="H206">
        <f ca="1">IF(OR($A206="S",$A206=0),0,MATCH(0,OFFSET($B206,1,$A206,ROW($A$275)-ROW($A206)),0))</f>
        <v>0</v>
      </c>
      <c r="I206">
        <f ca="1">IF(OR($A206="S",$A206=0),0,MATCH(OFFSET($B206,0,$A206)+1,OFFSET($B206,1,$A206,ROW($A$275)-ROW($A206)),0))</f>
        <v>0</v>
      </c>
      <c r="J206" s="101" t="s">
        <v>103</v>
      </c>
      <c r="K206" s="137" t="str">
        <f t="shared" ca="1" si="44"/>
        <v>1.18.13.</v>
      </c>
      <c r="L206" s="176" t="s">
        <v>237</v>
      </c>
      <c r="M206" s="176" t="s">
        <v>320</v>
      </c>
      <c r="N206" s="197" t="str">
        <f ca="1">IF($A206="S",Referencia.Descricao,"(digite a descrição aqui)")</f>
        <v>PORTA DE CORRER DE ALUMÍNIO, COM DUAS FOLHAS PARA VIDRO, INCLUSO VIDRO LISO INCOLOR, FECHADURA E PUXADOR, SEM ALIZAR. AF_12/2019</v>
      </c>
      <c r="O206" s="196" t="str">
        <f ca="1">Referencia.Unidade</f>
        <v>M2</v>
      </c>
      <c r="P206" s="199">
        <v>12.69</v>
      </c>
      <c r="Q206" s="195">
        <f t="shared" ca="1" si="33"/>
        <v>611.01</v>
      </c>
      <c r="R206" s="198" t="s">
        <v>7</v>
      </c>
      <c r="S206" s="102">
        <f t="shared" ca="1" si="34"/>
        <v>772.19</v>
      </c>
      <c r="T206" s="82">
        <f t="shared" ca="1" si="35"/>
        <v>9799.09</v>
      </c>
      <c r="U206" s="9" t="str">
        <f t="shared" ca="1" si="45"/>
        <v/>
      </c>
      <c r="V206" s="1" t="str">
        <f ca="1">IF(OR($A206=0,$A206="S",$A206&gt;CFF!$A$9),"",MAX(V$12:OFFSET(V206,-1,0))+1)</f>
        <v/>
      </c>
      <c r="W206" s="4" t="str">
        <f t="shared" si="46"/>
        <v>SINAPI-100702</v>
      </c>
      <c r="X206" s="1">
        <f t="shared" ca="1" si="36"/>
        <v>2231</v>
      </c>
      <c r="Y206" s="102">
        <f ca="1">IF(Import.Desoneracao="sim",Referencia.Desonerado,Referencia.NaoDesonerado)</f>
        <v>611.01</v>
      </c>
      <c r="Z206" s="112">
        <f ca="1">ROUND(IF(ISNUMBER(R206),R206,IF(LEFT(R206,3)="BDI",HLOOKUP(R206,DADOS!$T$37:$X$38,2,FALSE),0)),15-11*$X$5)</f>
        <v>0.26379999999999998</v>
      </c>
      <c r="AA206" s="1"/>
    </row>
    <row r="207" spans="1:27" x14ac:dyDescent="0.2">
      <c r="A207">
        <f t="shared" si="0"/>
        <v>2</v>
      </c>
      <c r="B207">
        <f t="shared" ca="1" si="1"/>
        <v>17</v>
      </c>
      <c r="C207">
        <f t="shared" ca="1" si="2"/>
        <v>1</v>
      </c>
      <c r="D207">
        <f t="shared" ca="1" si="3"/>
        <v>19</v>
      </c>
      <c r="E207">
        <f t="shared" ca="1" si="4"/>
        <v>0</v>
      </c>
      <c r="F207">
        <f t="shared" ca="1" si="5"/>
        <v>0</v>
      </c>
      <c r="G207">
        <f t="shared" ca="1" si="6"/>
        <v>0</v>
      </c>
      <c r="H207">
        <f ca="1">IF(OR($A207="S",$A207=0),0,MATCH(0,OFFSET($B207,1,$A207,ROW($A$275)-ROW($A207)),0))</f>
        <v>68</v>
      </c>
      <c r="I207">
        <f ca="1">IF(OR($A207="S",$A207=0),0,MATCH(OFFSET($B207,0,$A207)+1,OFFSET($B207,1,$A207,ROW($A$275)-ROW($A207)),0))</f>
        <v>17</v>
      </c>
      <c r="J207" s="101" t="s">
        <v>100</v>
      </c>
      <c r="K207" s="137" t="str">
        <f t="shared" ca="1" si="7"/>
        <v>1.19.</v>
      </c>
      <c r="L207" s="176"/>
      <c r="M207" s="176"/>
      <c r="N207" s="197" t="s">
        <v>342</v>
      </c>
      <c r="O207" s="196" t="str">
        <f ca="1">Referencia.Unidade</f>
        <v/>
      </c>
      <c r="P207" s="199"/>
      <c r="Q207" s="195"/>
      <c r="R207" s="198" t="s">
        <v>7</v>
      </c>
      <c r="S207" s="102">
        <f t="shared" si="8"/>
        <v>0</v>
      </c>
      <c r="T207" s="82">
        <f t="shared" ca="1" si="9"/>
        <v>214166.76</v>
      </c>
      <c r="U207" s="9" t="str">
        <f t="shared" ca="1" si="10"/>
        <v/>
      </c>
      <c r="V207" s="1">
        <f ca="1">IF(OR($A207=0,$A207="S",$A207&gt;CFF!$A$9),"",MAX(V$12:OFFSET(V207,-1,0))+1)</f>
        <v>20</v>
      </c>
      <c r="W207" s="4" t="b">
        <f t="shared" si="11"/>
        <v>0</v>
      </c>
      <c r="X207" s="1" t="str">
        <f t="shared" ca="1" si="12"/>
        <v>X</v>
      </c>
      <c r="Y207" s="102">
        <f t="shared" ca="1" si="13"/>
        <v>0</v>
      </c>
      <c r="Z207" s="112">
        <f ca="1">ROUND(IF(ISNUMBER(R207),R207,IF(LEFT(R207,3)="BDI",HLOOKUP(R207,DADOS!$T$37:$X$38,2,FALSE),0)),15-11*$X$5)</f>
        <v>0.26379999999999998</v>
      </c>
      <c r="AA207" s="1"/>
    </row>
    <row r="208" spans="1:27" ht="38.25" x14ac:dyDescent="0.2">
      <c r="A208" t="str">
        <f>CHOOSE(1+LOG(1+2*(J208="Meta")+4*(J208="Nível 2")+8*(J208="Nível 3")+16*(J208="Nível 4")+32*(J208="Serviço"),2),0,1,2,3,4,"S")</f>
        <v>S</v>
      </c>
      <c r="B208">
        <f>IF(OR(A208="S",A208=0),0,IF(ISERROR(I208),H208,SMALL(H208:I208,1)))</f>
        <v>0</v>
      </c>
      <c r="C208">
        <f ca="1">IF($A208=1,OFFSET(C208,-1,0)+1,OFFSET(C208,-1,0))</f>
        <v>1</v>
      </c>
      <c r="D208">
        <f ca="1">IF($A208=1,0,IF($A208=2,OFFSET(D208,-1,0)+1,OFFSET(D208,-1,0)))</f>
        <v>19</v>
      </c>
      <c r="E208">
        <f ca="1">IF(AND($A208&lt;=2,$A208&lt;&gt;0),0,IF($A208=3,OFFSET(E208,-1,0)+1,OFFSET(E208,-1,0)))</f>
        <v>0</v>
      </c>
      <c r="F208">
        <f ca="1">IF(AND($A208&lt;=3,$A208&lt;&gt;0),0,IF($A208=4,OFFSET(F208,-1,0)+1,OFFSET(F208,-1,0)))</f>
        <v>0</v>
      </c>
      <c r="G208">
        <f ca="1">IF(AND($A208&lt;=4,$A208&lt;&gt;0),0,IF($A208="S",OFFSET(G208,-1,0)+1,OFFSET(G208,-1,0)))</f>
        <v>1</v>
      </c>
      <c r="H208">
        <f ca="1">IF(OR($A208="S",$A208=0),0,MATCH(0,OFFSET($B208,1,$A208,ROW($A$275)-ROW($A208)),0))</f>
        <v>0</v>
      </c>
      <c r="I208">
        <f ca="1">IF(OR($A208="S",$A208=0),0,MATCH(OFFSET($B208,0,$A208)+1,OFFSET($B208,1,$A208,ROW($A$275)-ROW($A208)),0))</f>
        <v>0</v>
      </c>
      <c r="J208" s="101" t="s">
        <v>103</v>
      </c>
      <c r="K208" s="137" t="str">
        <f ca="1">IF($A208=0,"-",CONCATENATE(C208&amp;".",IF(AND($A$5&gt;=2,$A208&gt;=2),D208&amp;".",""),IF(AND($A$5&gt;=3,$A208&gt;=3),E208&amp;".",""),IF(AND($A$5&gt;=4,$A208&gt;=4),F208&amp;".",""),IF($A208="S",G208&amp;".","")))</f>
        <v>1.19.1.</v>
      </c>
      <c r="L208" s="176" t="s">
        <v>237</v>
      </c>
      <c r="M208" s="176" t="s">
        <v>254</v>
      </c>
      <c r="N208" s="197" t="str">
        <f ca="1">IF($A208="S",Referencia.Descricao,"(digite a descrição aqui)")</f>
        <v>EXECUÇÃO DE PASSEIO (CALÇADA) OU PISO DE CONCRETO COM CONCRETO MOLDADO IN LOCO, FEITO EM OBRA, ACABAMENTO CONVENCIONAL, NÃO ARMADO. AF_08/2022</v>
      </c>
      <c r="O208" s="196" t="str">
        <f ca="1">Referencia.Unidade</f>
        <v>M3</v>
      </c>
      <c r="P208" s="199">
        <f>148.74*0.1</f>
        <v>14.874000000000002</v>
      </c>
      <c r="Q208" s="195">
        <f ca="1">IF(Import.Desoneracao="sim",Referencia.Desonerado,Referencia.NaoDesonerado)</f>
        <v>783.51</v>
      </c>
      <c r="R208" s="198" t="s">
        <v>7</v>
      </c>
      <c r="S208" s="102">
        <f ca="1">IF($A208="S",IF($Q$10="Preço Unitário (R$)",PO.CustoUnitario,ROUND(PO.CustoUnitario*(1+$Z208),15-13*$X$6)),0)</f>
        <v>990.2</v>
      </c>
      <c r="T208" s="82">
        <f ca="1">IF($A208="S",VTOTAL1,IF($A208=0,0,ROUND(SomaAgrup,15-13*$X$7)))</f>
        <v>14724.27</v>
      </c>
      <c r="U208" s="9" t="str">
        <f ca="1">IF($J208="","",IF($N208="","DESCRIÇÃO",IF(AND($J208="Serviço",$O208=""),"UNIDADE",IF($T208&lt;=0,"SEM VALOR",IF(AND($Y208&lt;&gt;"",$Q208&gt;$Y208),"ACIMA REF.","")))))</f>
        <v/>
      </c>
      <c r="V208" s="1" t="str">
        <f ca="1">IF(OR($A208=0,$A208="S",$A208&gt;CFF!$A$9),"",MAX(V$12:OFFSET(V208,-1,0))+1)</f>
        <v/>
      </c>
      <c r="W208" s="4" t="str">
        <f>IF(AND($J208="Serviço",$M208&lt;&gt;""),IF($L208="",$M208,CONCATENATE($L208,"-",$M208)))</f>
        <v>SINAPI-94990</v>
      </c>
      <c r="X208" s="1">
        <f ca="1">IF(AND(Fonte&lt;&gt;"",Código&lt;&gt;""),MATCH(Fonte&amp;" "&amp;IF(Fonte="sinapi",SUBSTITUTE(SUBSTITUTE(Código,"/00","/"),"/0","/"),Código),INDIRECT("'[Referência "&amp;_xlnm.Database&amp;".xls]Banco'!$a:$a"),0),"X")</f>
        <v>6485</v>
      </c>
      <c r="Y208" s="102">
        <f ca="1">IF(Import.Desoneracao="sim",Referencia.Desonerado,Referencia.NaoDesonerado)</f>
        <v>783.51</v>
      </c>
      <c r="Z208" s="112">
        <f ca="1">ROUND(IF(ISNUMBER(R208),R208,IF(LEFT(R208,3)="BDI",HLOOKUP(R208,DADOS!$T$37:$X$38,2,FALSE),0)),15-11*$X$5)</f>
        <v>0.26379999999999998</v>
      </c>
      <c r="AA208" s="1"/>
    </row>
    <row r="209" spans="1:27" ht="25.5" x14ac:dyDescent="0.2">
      <c r="A209" t="str">
        <f t="shared" ref="A209:A210" si="47">CHOOSE(1+LOG(1+2*(J209="Meta")+4*(J209="Nível 2")+8*(J209="Nível 3")+16*(J209="Nível 4")+32*(J209="Serviço"),2),0,1,2,3,4,"S")</f>
        <v>S</v>
      </c>
      <c r="B209">
        <f t="shared" ref="B209:B210" si="48">IF(OR(A209="S",A209=0),0,IF(ISERROR(I209),H209,SMALL(H209:I209,1)))</f>
        <v>0</v>
      </c>
      <c r="C209">
        <f t="shared" ref="C209:C210" ca="1" si="49">IF($A209=1,OFFSET(C209,-1,0)+1,OFFSET(C209,-1,0))</f>
        <v>1</v>
      </c>
      <c r="D209">
        <f t="shared" ref="D209:D210" ca="1" si="50">IF($A209=1,0,IF($A209=2,OFFSET(D209,-1,0)+1,OFFSET(D209,-1,0)))</f>
        <v>19</v>
      </c>
      <c r="E209">
        <f t="shared" ref="E209:E210" ca="1" si="51">IF(AND($A209&lt;=2,$A209&lt;&gt;0),0,IF($A209=3,OFFSET(E209,-1,0)+1,OFFSET(E209,-1,0)))</f>
        <v>0</v>
      </c>
      <c r="F209">
        <f t="shared" ref="F209:F210" ca="1" si="52">IF(AND($A209&lt;=3,$A209&lt;&gt;0),0,IF($A209=4,OFFSET(F209,-1,0)+1,OFFSET(F209,-1,0)))</f>
        <v>0</v>
      </c>
      <c r="G209">
        <f t="shared" ref="G209:G210" ca="1" si="53">IF(AND($A209&lt;=4,$A209&lt;&gt;0),0,IF($A209="S",OFFSET(G209,-1,0)+1,OFFSET(G209,-1,0)))</f>
        <v>2</v>
      </c>
      <c r="H209">
        <f ca="1">IF(OR($A209="S",$A209=0),0,MATCH(0,OFFSET($B209,1,$A209,ROW($A$275)-ROW($A209)),0))</f>
        <v>0</v>
      </c>
      <c r="I209">
        <f ca="1">IF(OR($A209="S",$A209=0),0,MATCH(OFFSET($B209,0,$A209)+1,OFFSET($B209,1,$A209,ROW($A$275)-ROW($A209)),0))</f>
        <v>0</v>
      </c>
      <c r="J209" s="101" t="s">
        <v>103</v>
      </c>
      <c r="K209" s="137" t="str">
        <f t="shared" ref="K209:K210" ca="1" si="54">IF($A209=0,"-",CONCATENATE(C209&amp;".",IF(AND($A$5&gt;=2,$A209&gt;=2),D209&amp;".",""),IF(AND($A$5&gt;=3,$A209&gt;=3),E209&amp;".",""),IF(AND($A$5&gt;=4,$A209&gt;=4),F209&amp;".",""),IF($A209="S",G209&amp;".","")))</f>
        <v>1.19.2.</v>
      </c>
      <c r="L209" s="176" t="s">
        <v>237</v>
      </c>
      <c r="M209" s="176" t="s">
        <v>385</v>
      </c>
      <c r="N209" s="197" t="str">
        <f ca="1">IF($A209="S",Referencia.Descricao,"(digite a descrição aqui)")</f>
        <v>LASTRO COM MATERIAL GRANULAR (PEDRA BRITADA N.1 E PEDRA BRITADA N.2), APLICADO EM PISOS OU LAJES SOBRE SOLO, ESPESSURA DE *10 CM*. AF_01/2024</v>
      </c>
      <c r="O209" s="196" t="str">
        <f ca="1">Referencia.Unidade</f>
        <v>M3</v>
      </c>
      <c r="P209" s="199">
        <f>P210*0.1</f>
        <v>57.457999999999998</v>
      </c>
      <c r="Q209" s="195">
        <f ca="1">IF(Import.Desoneracao="sim",Referencia.Desonerado,Referencia.NaoDesonerado)</f>
        <v>159.5</v>
      </c>
      <c r="R209" s="198" t="s">
        <v>7</v>
      </c>
      <c r="S209" s="102">
        <f ca="1">IF($A209="S",IF($Q$10="Preço Unitário (R$)",PO.CustoUnitario,ROUND(PO.CustoUnitario*(1+$Z209),15-13*$X$6)),0)</f>
        <v>201.58</v>
      </c>
      <c r="T209" s="82">
        <f ca="1">IF($A209="S",VTOTAL1,IF($A209=0,0,ROUND(SomaAgrup,15-13*$X$7)))</f>
        <v>11582.79</v>
      </c>
      <c r="U209" s="9" t="str">
        <f t="shared" ref="U209:U210" ca="1" si="55">IF($J209="","",IF($N209="","DESCRIÇÃO",IF(AND($J209="Serviço",$O209=""),"UNIDADE",IF($T209&lt;=0,"SEM VALOR",IF(AND($Y209&lt;&gt;"",$Q209&gt;$Y209),"ACIMA REF.","")))))</f>
        <v/>
      </c>
      <c r="V209" s="1" t="str">
        <f ca="1">IF(OR($A209=0,$A209="S",$A209&gt;CFF!$A$9),"",MAX(V$12:OFFSET(V209,-1,0))+1)</f>
        <v/>
      </c>
      <c r="W209" s="4" t="str">
        <f t="shared" ref="W209:W210" si="56">IF(AND($J209="Serviço",$M209&lt;&gt;""),IF($L209="",$M209,CONCATENATE($L209,"-",$M209)))</f>
        <v>SINAPI-100324</v>
      </c>
      <c r="X209" s="1">
        <f ca="1">IF(AND(Fonte&lt;&gt;"",Código&lt;&gt;""),MATCH(Fonte&amp;" "&amp;IF(Fonte="sinapi",SUBSTITUTE(SUBSTITUTE(Código,"/00","/"),"/0","/"),Código),INDIRECT("'[Referência "&amp;_xlnm.Database&amp;".xls]Banco'!$a:$a"),0),"X")</f>
        <v>2364</v>
      </c>
      <c r="Y209" s="102">
        <f ca="1">IF(Import.Desoneracao="sim",Referencia.Desonerado,Referencia.NaoDesonerado)</f>
        <v>159.5</v>
      </c>
      <c r="Z209" s="112">
        <f ca="1">ROUND(IF(ISNUMBER(R209),R209,IF(LEFT(R209,3)="BDI",HLOOKUP(R209,DADOS!$T$37:$X$38,2,FALSE),0)),15-11*$X$5)</f>
        <v>0.26379999999999998</v>
      </c>
      <c r="AA209" s="1"/>
    </row>
    <row r="210" spans="1:27" ht="25.5" x14ac:dyDescent="0.2">
      <c r="A210" t="str">
        <f t="shared" si="47"/>
        <v>S</v>
      </c>
      <c r="B210">
        <f t="shared" si="48"/>
        <v>0</v>
      </c>
      <c r="C210">
        <f t="shared" ca="1" si="49"/>
        <v>1</v>
      </c>
      <c r="D210">
        <f t="shared" ca="1" si="50"/>
        <v>19</v>
      </c>
      <c r="E210">
        <f t="shared" ca="1" si="51"/>
        <v>0</v>
      </c>
      <c r="F210">
        <f t="shared" ca="1" si="52"/>
        <v>0</v>
      </c>
      <c r="G210">
        <f t="shared" ca="1" si="53"/>
        <v>3</v>
      </c>
      <c r="H210">
        <f ca="1">IF(OR($A210="S",$A210=0),0,MATCH(0,OFFSET($B210,1,$A210,ROW($A$275)-ROW($A210)),0))</f>
        <v>0</v>
      </c>
      <c r="I210">
        <f ca="1">IF(OR($A210="S",$A210=0),0,MATCH(OFFSET($B210,0,$A210)+1,OFFSET($B210,1,$A210,ROW($A$275)-ROW($A210)),0))</f>
        <v>0</v>
      </c>
      <c r="J210" s="101" t="s">
        <v>103</v>
      </c>
      <c r="K210" s="137" t="str">
        <f t="shared" ca="1" si="54"/>
        <v>1.19.3.</v>
      </c>
      <c r="L210" s="176" t="s">
        <v>237</v>
      </c>
      <c r="M210" s="176" t="s">
        <v>386</v>
      </c>
      <c r="N210" s="197" t="str">
        <f ca="1">IF($A210="S",Referencia.Descricao,"(digite a descrição aqui)")</f>
        <v>CAMADA SEPARADORA PARA EXECUÇÃO DE RADIER, PISO DE CONCRETO OU LAJE SOBRE SOLO, EM LONA PLÁSTICA. AF_09/2021</v>
      </c>
      <c r="O210" s="196" t="str">
        <f ca="1">Referencia.Unidade</f>
        <v>M2</v>
      </c>
      <c r="P210" s="199">
        <f>425.84+148.74</f>
        <v>574.57999999999993</v>
      </c>
      <c r="Q210" s="195">
        <f ca="1">IF(Import.Desoneracao="sim",Referencia.Desonerado,Referencia.NaoDesonerado)</f>
        <v>3.28</v>
      </c>
      <c r="R210" s="198" t="s">
        <v>7</v>
      </c>
      <c r="S210" s="102">
        <f ca="1">IF($A210="S",IF($Q$10="Preço Unitário (R$)",PO.CustoUnitario,ROUND(PO.CustoUnitario*(1+$Z210),15-13*$X$6)),0)</f>
        <v>4.1500000000000004</v>
      </c>
      <c r="T210" s="82">
        <f ca="1">IF($A210="S",VTOTAL1,IF($A210=0,0,ROUND(SomaAgrup,15-13*$X$7)))</f>
        <v>2384.5100000000002</v>
      </c>
      <c r="U210" s="9" t="str">
        <f t="shared" ca="1" si="55"/>
        <v/>
      </c>
      <c r="V210" s="1" t="str">
        <f ca="1">IF(OR($A210=0,$A210="S",$A210&gt;CFF!$A$9),"",MAX(V$12:OFFSET(V210,-1,0))+1)</f>
        <v/>
      </c>
      <c r="W210" s="4" t="str">
        <f t="shared" si="56"/>
        <v>SINAPI-97087</v>
      </c>
      <c r="X210" s="1">
        <f ca="1">IF(AND(Fonte&lt;&gt;"",Código&lt;&gt;""),MATCH(Fonte&amp;" "&amp;IF(Fonte="sinapi",SUBSTITUTE(SUBSTITUTE(Código,"/00","/"),"/0","/"),Código),INDIRECT("'[Referência "&amp;_xlnm.Database&amp;".xls]Banco'!$a:$a"),0),"X")</f>
        <v>2350</v>
      </c>
      <c r="Y210" s="102">
        <f ca="1">IF(Import.Desoneracao="sim",Referencia.Desonerado,Referencia.NaoDesonerado)</f>
        <v>3.28</v>
      </c>
      <c r="Z210" s="112">
        <f ca="1">ROUND(IF(ISNUMBER(R210),R210,IF(LEFT(R210,3)="BDI",HLOOKUP(R210,DADOS!$T$37:$X$38,2,FALSE),0)),15-11*$X$5)</f>
        <v>0.26379999999999998</v>
      </c>
      <c r="AA210" s="1"/>
    </row>
    <row r="211" spans="1:27" ht="25.5" x14ac:dyDescent="0.2">
      <c r="A211" t="str">
        <f t="shared" si="0"/>
        <v>S</v>
      </c>
      <c r="B211">
        <f t="shared" si="1"/>
        <v>0</v>
      </c>
      <c r="C211">
        <f t="shared" ca="1" si="2"/>
        <v>1</v>
      </c>
      <c r="D211">
        <f t="shared" ca="1" si="3"/>
        <v>19</v>
      </c>
      <c r="E211">
        <f t="shared" ca="1" si="4"/>
        <v>0</v>
      </c>
      <c r="F211">
        <f t="shared" ca="1" si="5"/>
        <v>0</v>
      </c>
      <c r="G211">
        <f t="shared" ca="1" si="6"/>
        <v>4</v>
      </c>
      <c r="H211">
        <f ca="1">IF(OR($A211="S",$A211=0),0,MATCH(0,OFFSET($B211,1,$A211,ROW($A$275)-ROW($A211)),0))</f>
        <v>0</v>
      </c>
      <c r="I211">
        <f ca="1">IF(OR($A211="S",$A211=0),0,MATCH(OFFSET($B211,0,$A211)+1,OFFSET($B211,1,$A211,ROW($A$275)-ROW($A211)),0))</f>
        <v>0</v>
      </c>
      <c r="J211" s="101" t="s">
        <v>103</v>
      </c>
      <c r="K211" s="137" t="str">
        <f t="shared" ca="1" si="7"/>
        <v>1.19.4.</v>
      </c>
      <c r="L211" s="176" t="s">
        <v>237</v>
      </c>
      <c r="M211" s="176" t="s">
        <v>312</v>
      </c>
      <c r="N211" s="197" t="str">
        <f t="shared" ca="1" si="18"/>
        <v>IMPERMEABILIZAÇÃO DE SUPERFÍCIE COM ARGAMASSA DE CIMENTO E AREIA, COM ADITIVO IMPERMEABILIZANTE, E = 1,5CM. AF_09/2023</v>
      </c>
      <c r="O211" s="196" t="str">
        <f ca="1">Referencia.Unidade</f>
        <v>M2</v>
      </c>
      <c r="P211" s="199">
        <v>148.74</v>
      </c>
      <c r="Q211" s="195">
        <f ca="1">IF(Import.Desoneracao="sim",Referencia.Desonerado,Referencia.NaoDesonerado)</f>
        <v>47.63</v>
      </c>
      <c r="R211" s="198" t="s">
        <v>7</v>
      </c>
      <c r="S211" s="102">
        <f t="shared" ca="1" si="8"/>
        <v>60.19</v>
      </c>
      <c r="T211" s="82">
        <f t="shared" ca="1" si="9"/>
        <v>8952.66</v>
      </c>
      <c r="U211" s="9" t="str">
        <f t="shared" ca="1" si="10"/>
        <v/>
      </c>
      <c r="V211" s="1" t="str">
        <f ca="1">IF(OR($A211=0,$A211="S",$A211&gt;CFF!$A$9),"",MAX(V$12:OFFSET(V211,-1,0))+1)</f>
        <v/>
      </c>
      <c r="W211" s="4" t="str">
        <f t="shared" si="11"/>
        <v>SINAPI-98562</v>
      </c>
      <c r="X211" s="1">
        <f t="shared" ca="1" si="12"/>
        <v>2907</v>
      </c>
      <c r="Y211" s="102">
        <f t="shared" ca="1" si="13"/>
        <v>47.63</v>
      </c>
      <c r="Z211" s="112">
        <f ca="1">ROUND(IF(ISNUMBER(R211),R211,IF(LEFT(R211,3)="BDI",HLOOKUP(R211,DADOS!$T$37:$X$38,2,FALSE),0)),15-11*$X$5)</f>
        <v>0.26379999999999998</v>
      </c>
      <c r="AA211" s="1"/>
    </row>
    <row r="212" spans="1:27" ht="25.5" x14ac:dyDescent="0.2">
      <c r="A212" t="str">
        <f t="shared" si="0"/>
        <v>S</v>
      </c>
      <c r="B212">
        <f t="shared" si="1"/>
        <v>0</v>
      </c>
      <c r="C212">
        <f t="shared" ca="1" si="2"/>
        <v>1</v>
      </c>
      <c r="D212">
        <f t="shared" ca="1" si="3"/>
        <v>19</v>
      </c>
      <c r="E212">
        <f t="shared" ca="1" si="4"/>
        <v>0</v>
      </c>
      <c r="F212">
        <f t="shared" ca="1" si="5"/>
        <v>0</v>
      </c>
      <c r="G212">
        <f t="shared" ca="1" si="6"/>
        <v>5</v>
      </c>
      <c r="H212">
        <f ca="1">IF(OR($A212="S",$A212=0),0,MATCH(0,OFFSET($B212,1,$A212,ROW($A$275)-ROW($A212)),0))</f>
        <v>0</v>
      </c>
      <c r="I212">
        <f ca="1">IF(OR($A212="S",$A212=0),0,MATCH(OFFSET($B212,0,$A212)+1,OFFSET($B212,1,$A212,ROW($A$275)-ROW($A212)),0))</f>
        <v>0</v>
      </c>
      <c r="J212" s="101" t="s">
        <v>103</v>
      </c>
      <c r="K212" s="137" t="str">
        <f t="shared" ca="1" si="7"/>
        <v>1.19.5.</v>
      </c>
      <c r="L212" s="176" t="s">
        <v>237</v>
      </c>
      <c r="M212" s="176" t="s">
        <v>311</v>
      </c>
      <c r="N212" s="197" t="str">
        <f t="shared" ca="1" si="18"/>
        <v>LASTRO COM MATERIAL GRANULAR (AREIA MÉDIA), APLICADO EM PISOS OU LAJES SOBRE SOLO, ESPESSURA DE *10 CM*. AF_01/2024</v>
      </c>
      <c r="O212" s="196" t="str">
        <f ca="1">Referencia.Unidade</f>
        <v>M3</v>
      </c>
      <c r="P212" s="199">
        <f>0.1*(64.38-1.8)</f>
        <v>6.258</v>
      </c>
      <c r="Q212" s="195">
        <f ca="1">IF(Import.Desoneracao="sim",Referencia.Desonerado,Referencia.NaoDesonerado)</f>
        <v>163.35</v>
      </c>
      <c r="R212" s="198" t="s">
        <v>7</v>
      </c>
      <c r="S212" s="102">
        <f t="shared" ca="1" si="8"/>
        <v>206.44</v>
      </c>
      <c r="T212" s="82">
        <f t="shared" ca="1" si="9"/>
        <v>1292.31</v>
      </c>
      <c r="U212" s="9" t="str">
        <f t="shared" ca="1" si="10"/>
        <v/>
      </c>
      <c r="V212" s="1" t="str">
        <f ca="1">IF(OR($A212=0,$A212="S",$A212&gt;CFF!$A$9),"",MAX(V$12:OFFSET(V212,-1,0))+1)</f>
        <v/>
      </c>
      <c r="W212" s="4" t="str">
        <f t="shared" si="11"/>
        <v>SINAPI-100323</v>
      </c>
      <c r="X212" s="1">
        <f t="shared" ca="1" si="12"/>
        <v>2363</v>
      </c>
      <c r="Y212" s="102">
        <f t="shared" ca="1" si="13"/>
        <v>163.35</v>
      </c>
      <c r="Z212" s="112">
        <f ca="1">ROUND(IF(ISNUMBER(R212),R212,IF(LEFT(R212,3)="BDI",HLOOKUP(R212,DADOS!$T$37:$X$38,2,FALSE),0)),15-11*$X$5)</f>
        <v>0.26379999999999998</v>
      </c>
      <c r="AA212" s="1"/>
    </row>
    <row r="213" spans="1:27" ht="25.5" x14ac:dyDescent="0.2">
      <c r="A213" t="str">
        <f t="shared" si="0"/>
        <v>S</v>
      </c>
      <c r="B213">
        <f t="shared" si="1"/>
        <v>0</v>
      </c>
      <c r="C213">
        <f t="shared" ca="1" si="2"/>
        <v>1</v>
      </c>
      <c r="D213">
        <f t="shared" ca="1" si="3"/>
        <v>19</v>
      </c>
      <c r="E213">
        <f t="shared" ca="1" si="4"/>
        <v>0</v>
      </c>
      <c r="F213">
        <f t="shared" ca="1" si="5"/>
        <v>0</v>
      </c>
      <c r="G213">
        <f t="shared" ca="1" si="6"/>
        <v>6</v>
      </c>
      <c r="H213">
        <f ca="1">IF(OR($A213="S",$A213=0),0,MATCH(0,OFFSET($B213,1,$A213,ROW($A$275)-ROW($A213)),0))</f>
        <v>0</v>
      </c>
      <c r="I213">
        <f ca="1">IF(OR($A213="S",$A213=0),0,MATCH(OFFSET($B213,0,$A213)+1,OFFSET($B213,1,$A213,ROW($A$275)-ROW($A213)),0))</f>
        <v>0</v>
      </c>
      <c r="J213" s="101" t="s">
        <v>103</v>
      </c>
      <c r="K213" s="137" t="str">
        <f t="shared" ca="1" si="7"/>
        <v>1.19.6.</v>
      </c>
      <c r="L213" s="176" t="s">
        <v>237</v>
      </c>
      <c r="M213" s="176" t="s">
        <v>385</v>
      </c>
      <c r="N213" s="197" t="str">
        <f t="shared" ca="1" si="18"/>
        <v>LASTRO COM MATERIAL GRANULAR (PEDRA BRITADA N.1 E PEDRA BRITADA N.2), APLICADO EM PISOS OU LAJES SOBRE SOLO, ESPESSURA DE *10 CM*. AF_01/2024</v>
      </c>
      <c r="O213" s="196" t="str">
        <f ca="1">Referencia.Unidade</f>
        <v>M3</v>
      </c>
      <c r="P213" s="199">
        <f>5*3*0.3</f>
        <v>4.5</v>
      </c>
      <c r="Q213" s="195">
        <f ca="1">IF(Import.Desoneracao="sim",Referencia.Desonerado,Referencia.NaoDesonerado)</f>
        <v>159.5</v>
      </c>
      <c r="R213" s="198" t="s">
        <v>7</v>
      </c>
      <c r="S213" s="102">
        <f t="shared" ca="1" si="8"/>
        <v>201.58</v>
      </c>
      <c r="T213" s="82">
        <f t="shared" ca="1" si="9"/>
        <v>907.11</v>
      </c>
      <c r="U213" s="9" t="str">
        <f t="shared" ca="1" si="10"/>
        <v/>
      </c>
      <c r="V213" s="1" t="str">
        <f ca="1">IF(OR($A213=0,$A213="S",$A213&gt;CFF!$A$9),"",MAX(V$12:OFFSET(V213,-1,0))+1)</f>
        <v/>
      </c>
      <c r="W213" s="4" t="str">
        <f t="shared" si="11"/>
        <v>SINAPI-100324</v>
      </c>
      <c r="X213" s="1">
        <f t="shared" ca="1" si="12"/>
        <v>2364</v>
      </c>
      <c r="Y213" s="102">
        <f t="shared" ca="1" si="13"/>
        <v>159.5</v>
      </c>
      <c r="Z213" s="112">
        <f ca="1">ROUND(IF(ISNUMBER(R213),R213,IF(LEFT(R213,3)="BDI",HLOOKUP(R213,DADOS!$T$37:$X$38,2,FALSE),0)),15-11*$X$5)</f>
        <v>0.26379999999999998</v>
      </c>
      <c r="AA213" s="1"/>
    </row>
    <row r="214" spans="1:27" ht="38.25" x14ac:dyDescent="0.2">
      <c r="A214" t="str">
        <f t="shared" si="0"/>
        <v>S</v>
      </c>
      <c r="B214">
        <f t="shared" si="1"/>
        <v>0</v>
      </c>
      <c r="C214">
        <f t="shared" ca="1" si="2"/>
        <v>1</v>
      </c>
      <c r="D214">
        <f t="shared" ca="1" si="3"/>
        <v>19</v>
      </c>
      <c r="E214">
        <f t="shared" ca="1" si="4"/>
        <v>0</v>
      </c>
      <c r="F214">
        <f t="shared" ca="1" si="5"/>
        <v>0</v>
      </c>
      <c r="G214">
        <f t="shared" ca="1" si="6"/>
        <v>7</v>
      </c>
      <c r="H214">
        <f ca="1">IF(OR($A214="S",$A214=0),0,MATCH(0,OFFSET($B214,1,$A214,ROW($A$275)-ROW($A214)),0))</f>
        <v>0</v>
      </c>
      <c r="I214">
        <f ca="1">IF(OR($A214="S",$A214=0),0,MATCH(OFFSET($B214,0,$A214)+1,OFFSET($B214,1,$A214,ROW($A$275)-ROW($A214)),0))</f>
        <v>0</v>
      </c>
      <c r="J214" s="101" t="s">
        <v>103</v>
      </c>
      <c r="K214" s="137" t="str">
        <f t="shared" ca="1" si="7"/>
        <v>1.19.7.</v>
      </c>
      <c r="L214" s="176" t="s">
        <v>237</v>
      </c>
      <c r="M214" s="176" t="s">
        <v>387</v>
      </c>
      <c r="N214" s="197" t="str">
        <f t="shared" ca="1" si="18"/>
        <v>EXECUÇÃO DE PASSEIO (CALÇADA) OU PISO DE CONCRETO COM CONCRETO MOLDADO IN LOCO, USINADO C25, ACABAMENTO CONVENCIONAL, NÃO ARMADO. AF_03/2023</v>
      </c>
      <c r="O214" s="196" t="str">
        <f ca="1">Referencia.Unidade</f>
        <v>M3</v>
      </c>
      <c r="P214" s="199">
        <f>425.84*0.06</f>
        <v>25.550399999999996</v>
      </c>
      <c r="Q214" s="195">
        <f ca="1">IF(Import.Desoneracao="sim",Referencia.Desonerado,Referencia.NaoDesonerado)</f>
        <v>745.66</v>
      </c>
      <c r="R214" s="198" t="s">
        <v>7</v>
      </c>
      <c r="S214" s="102">
        <f t="shared" ca="1" si="8"/>
        <v>942.37</v>
      </c>
      <c r="T214" s="82">
        <f t="shared" ca="1" si="9"/>
        <v>24077.55</v>
      </c>
      <c r="U214" s="9" t="str">
        <f t="shared" ca="1" si="10"/>
        <v/>
      </c>
      <c r="V214" s="1" t="str">
        <f ca="1">IF(OR($A214=0,$A214="S",$A214&gt;CFF!$A$9),"",MAX(V$12:OFFSET(V214,-1,0))+1)</f>
        <v/>
      </c>
      <c r="W214" s="4" t="str">
        <f t="shared" si="11"/>
        <v>SINAPI-104626</v>
      </c>
      <c r="X214" s="1">
        <f t="shared" ca="1" si="12"/>
        <v>6492</v>
      </c>
      <c r="Y214" s="102">
        <f t="shared" ca="1" si="13"/>
        <v>745.66</v>
      </c>
      <c r="Z214" s="112">
        <f ca="1">ROUND(IF(ISNUMBER(R214),R214,IF(LEFT(R214,3)="BDI",HLOOKUP(R214,DADOS!$T$37:$X$38,2,FALSE),0)),15-11*$X$5)</f>
        <v>0.26379999999999998</v>
      </c>
      <c r="AA214" s="1"/>
    </row>
    <row r="215" spans="1:27" ht="25.5" x14ac:dyDescent="0.2">
      <c r="A215" t="str">
        <f t="shared" si="0"/>
        <v>S</v>
      </c>
      <c r="B215">
        <f t="shared" si="1"/>
        <v>0</v>
      </c>
      <c r="C215">
        <f t="shared" ca="1" si="2"/>
        <v>1</v>
      </c>
      <c r="D215">
        <f t="shared" ca="1" si="3"/>
        <v>19</v>
      </c>
      <c r="E215">
        <f t="shared" ca="1" si="4"/>
        <v>0</v>
      </c>
      <c r="F215">
        <f t="shared" ca="1" si="5"/>
        <v>0</v>
      </c>
      <c r="G215">
        <f t="shared" ca="1" si="6"/>
        <v>8</v>
      </c>
      <c r="H215">
        <f ca="1">IF(OR($A215="S",$A215=0),0,MATCH(0,OFFSET($B215,1,$A215,ROW($A$275)-ROW($A215)),0))</f>
        <v>0</v>
      </c>
      <c r="I215">
        <f ca="1">IF(OR($A215="S",$A215=0),0,MATCH(OFFSET($B215,0,$A215)+1,OFFSET($B215,1,$A215,ROW($A$275)-ROW($A215)),0))</f>
        <v>0</v>
      </c>
      <c r="J215" s="101" t="s">
        <v>103</v>
      </c>
      <c r="K215" s="137" t="str">
        <f t="shared" ca="1" si="7"/>
        <v>1.19.8.</v>
      </c>
      <c r="L215" s="176" t="s">
        <v>237</v>
      </c>
      <c r="M215" s="176" t="s">
        <v>385</v>
      </c>
      <c r="N215" s="197" t="str">
        <f t="shared" ca="1" si="18"/>
        <v>LASTRO COM MATERIAL GRANULAR (PEDRA BRITADA N.1 E PEDRA BRITADA N.2), APLICADO EM PISOS OU LAJES SOBRE SOLO, ESPESSURA DE *10 CM*. AF_01/2024</v>
      </c>
      <c r="O215" s="196" t="str">
        <f ca="1">Referencia.Unidade</f>
        <v>M3</v>
      </c>
      <c r="P215" s="199">
        <f>(425.84+72.52)*0.05</f>
        <v>24.917999999999999</v>
      </c>
      <c r="Q215" s="195">
        <f ca="1">IF(Import.Desoneracao="sim",Referencia.Desonerado,Referencia.NaoDesonerado)</f>
        <v>159.5</v>
      </c>
      <c r="R215" s="198" t="s">
        <v>7</v>
      </c>
      <c r="S215" s="102">
        <f t="shared" ca="1" si="8"/>
        <v>201.58</v>
      </c>
      <c r="T215" s="82">
        <f t="shared" ca="1" si="9"/>
        <v>5023.37</v>
      </c>
      <c r="U215" s="9" t="str">
        <f t="shared" ca="1" si="10"/>
        <v/>
      </c>
      <c r="V215" s="1" t="str">
        <f ca="1">IF(OR($A215=0,$A215="S",$A215&gt;CFF!$A$9),"",MAX(V$12:OFFSET(V215,-1,0))+1)</f>
        <v/>
      </c>
      <c r="W215" s="4" t="str">
        <f t="shared" si="11"/>
        <v>SINAPI-100324</v>
      </c>
      <c r="X215" s="1">
        <f t="shared" ca="1" si="12"/>
        <v>2364</v>
      </c>
      <c r="Y215" s="102">
        <f t="shared" ca="1" si="13"/>
        <v>159.5</v>
      </c>
      <c r="Z215" s="112">
        <f ca="1">ROUND(IF(ISNUMBER(R215),R215,IF(LEFT(R215,3)="BDI",HLOOKUP(R215,DADOS!$T$37:$X$38,2,FALSE),0)),15-11*$X$5)</f>
        <v>0.26379999999999998</v>
      </c>
      <c r="AA215" s="1"/>
    </row>
    <row r="216" spans="1:27" ht="38.25" x14ac:dyDescent="0.2">
      <c r="A216" t="str">
        <f t="shared" si="0"/>
        <v>S</v>
      </c>
      <c r="B216">
        <f t="shared" si="1"/>
        <v>0</v>
      </c>
      <c r="C216">
        <f t="shared" ca="1" si="2"/>
        <v>1</v>
      </c>
      <c r="D216">
        <f t="shared" ca="1" si="3"/>
        <v>19</v>
      </c>
      <c r="E216">
        <f t="shared" ca="1" si="4"/>
        <v>0</v>
      </c>
      <c r="F216">
        <f t="shared" ca="1" si="5"/>
        <v>0</v>
      </c>
      <c r="G216">
        <f t="shared" ca="1" si="6"/>
        <v>9</v>
      </c>
      <c r="H216">
        <f ca="1">IF(OR($A216="S",$A216=0),0,MATCH(0,OFFSET($B216,1,$A216,ROW($A$275)-ROW($A216)),0))</f>
        <v>0</v>
      </c>
      <c r="I216">
        <f ca="1">IF(OR($A216="S",$A216=0),0,MATCH(OFFSET($B216,0,$A216)+1,OFFSET($B216,1,$A216,ROW($A$275)-ROW($A216)),0))</f>
        <v>0</v>
      </c>
      <c r="J216" s="101" t="s">
        <v>103</v>
      </c>
      <c r="K216" s="137" t="str">
        <f t="shared" ca="1" si="7"/>
        <v>1.19.9.</v>
      </c>
      <c r="L216" s="176" t="s">
        <v>237</v>
      </c>
      <c r="M216" s="176" t="s">
        <v>388</v>
      </c>
      <c r="N216" s="197" t="str">
        <f t="shared" ca="1" si="18"/>
        <v>EXECUÇÃO DE PASSEIO (CALÇADA) OU PISO DE CONCRETO COM CONCRETO MOLDADO IN LOCO, FEITO EM OBRA, ACABAMENTO CONVENCIONAL, ESPESSURA 6 CM, ARMADO. AF_08/2022</v>
      </c>
      <c r="O216" s="196" t="str">
        <f ca="1">Referencia.Unidade</f>
        <v>M2</v>
      </c>
      <c r="P216" s="199">
        <v>75.52</v>
      </c>
      <c r="Q216" s="195">
        <f ca="1">IF(Import.Desoneracao="sim",Referencia.Desonerado,Referencia.NaoDesonerado)</f>
        <v>79.75</v>
      </c>
      <c r="R216" s="198" t="s">
        <v>7</v>
      </c>
      <c r="S216" s="102">
        <f t="shared" ca="1" si="8"/>
        <v>100.79</v>
      </c>
      <c r="T216" s="82">
        <f t="shared" ca="1" si="9"/>
        <v>7611.66</v>
      </c>
      <c r="U216" s="9" t="str">
        <f t="shared" ca="1" si="10"/>
        <v/>
      </c>
      <c r="V216" s="1" t="str">
        <f ca="1">IF(OR($A216=0,$A216="S",$A216&gt;CFF!$A$9),"",MAX(V$12:OFFSET(V216,-1,0))+1)</f>
        <v/>
      </c>
      <c r="W216" s="4" t="str">
        <f t="shared" si="11"/>
        <v>SINAPI-94992</v>
      </c>
      <c r="X216" s="1">
        <f t="shared" ca="1" si="12"/>
        <v>6487</v>
      </c>
      <c r="Y216" s="102">
        <f t="shared" ca="1" si="13"/>
        <v>79.75</v>
      </c>
      <c r="Z216" s="112">
        <f ca="1">ROUND(IF(ISNUMBER(R216),R216,IF(LEFT(R216,3)="BDI",HLOOKUP(R216,DADOS!$T$37:$X$38,2,FALSE),0)),15-11*$X$5)</f>
        <v>0.26379999999999998</v>
      </c>
      <c r="AA216" s="1"/>
    </row>
    <row r="217" spans="1:27" ht="38.25" x14ac:dyDescent="0.2">
      <c r="A217" t="str">
        <f t="shared" si="0"/>
        <v>S</v>
      </c>
      <c r="B217">
        <f t="shared" si="1"/>
        <v>0</v>
      </c>
      <c r="C217">
        <f t="shared" ca="1" si="2"/>
        <v>1</v>
      </c>
      <c r="D217">
        <f t="shared" ca="1" si="3"/>
        <v>19</v>
      </c>
      <c r="E217">
        <f t="shared" ca="1" si="4"/>
        <v>0</v>
      </c>
      <c r="F217">
        <f t="shared" ca="1" si="5"/>
        <v>0</v>
      </c>
      <c r="G217">
        <f t="shared" ca="1" si="6"/>
        <v>10</v>
      </c>
      <c r="H217">
        <f ca="1">IF(OR($A217="S",$A217=0),0,MATCH(0,OFFSET($B217,1,$A217,ROW($A$275)-ROW($A217)),0))</f>
        <v>0</v>
      </c>
      <c r="I217">
        <f ca="1">IF(OR($A217="S",$A217=0),0,MATCH(OFFSET($B217,0,$A217)+1,OFFSET($B217,1,$A217,ROW($A$275)-ROW($A217)),0))</f>
        <v>0</v>
      </c>
      <c r="J217" s="101" t="s">
        <v>103</v>
      </c>
      <c r="K217" s="137" t="str">
        <f t="shared" ca="1" si="7"/>
        <v>1.19.10.</v>
      </c>
      <c r="L217" s="176" t="s">
        <v>237</v>
      </c>
      <c r="M217" s="176" t="s">
        <v>310</v>
      </c>
      <c r="N217" s="197" t="str">
        <f t="shared" ca="1" si="18"/>
        <v>REVESTIMENTO CERÂMICO PARA PAREDES INTERNAS COM PLACAS TIPO ESMALTADA DE DIMENSÕES 33X45 CM APLICADAS NA ALTURA INTEIRA DAS PAREDES. AF_02/2023_PE</v>
      </c>
      <c r="O217" s="196" t="str">
        <f ca="1">Referencia.Unidade</f>
        <v>M2</v>
      </c>
      <c r="P217" s="199">
        <f>3*(16.45+16.45+9+17.6+12.6+11.9+9.6+8.95+8.95)</f>
        <v>334.5</v>
      </c>
      <c r="Q217" s="195">
        <f ca="1">IF(Import.Desoneracao="sim",Referencia.Desonerado,Referencia.NaoDesonerado)</f>
        <v>64.900000000000006</v>
      </c>
      <c r="R217" s="198" t="s">
        <v>7</v>
      </c>
      <c r="S217" s="102">
        <f t="shared" ca="1" si="8"/>
        <v>82.02</v>
      </c>
      <c r="T217" s="82">
        <f t="shared" ca="1" si="9"/>
        <v>27435.69</v>
      </c>
      <c r="U217" s="9" t="str">
        <f t="shared" ca="1" si="10"/>
        <v/>
      </c>
      <c r="V217" s="1" t="str">
        <f ca="1">IF(OR($A217=0,$A217="S",$A217&gt;CFF!$A$9),"",MAX(V$12:OFFSET(V217,-1,0))+1)</f>
        <v/>
      </c>
      <c r="W217" s="4" t="str">
        <f t="shared" si="11"/>
        <v>SINAPI-87273</v>
      </c>
      <c r="X217" s="1">
        <f t="shared" ca="1" si="12"/>
        <v>6777</v>
      </c>
      <c r="Y217" s="102">
        <f t="shared" ca="1" si="13"/>
        <v>64.900000000000006</v>
      </c>
      <c r="Z217" s="112">
        <f ca="1">ROUND(IF(ISNUMBER(R217),R217,IF(LEFT(R217,3)="BDI",HLOOKUP(R217,DADOS!$T$37:$X$38,2,FALSE),0)),15-11*$X$5)</f>
        <v>0.26379999999999998</v>
      </c>
      <c r="AA217" s="1"/>
    </row>
    <row r="218" spans="1:27" ht="38.25" x14ac:dyDescent="0.2">
      <c r="A218" t="str">
        <f t="shared" si="0"/>
        <v>S</v>
      </c>
      <c r="B218">
        <f t="shared" si="1"/>
        <v>0</v>
      </c>
      <c r="C218">
        <f t="shared" ca="1" si="2"/>
        <v>1</v>
      </c>
      <c r="D218">
        <f t="shared" ca="1" si="3"/>
        <v>19</v>
      </c>
      <c r="E218">
        <f t="shared" ca="1" si="4"/>
        <v>0</v>
      </c>
      <c r="F218">
        <f t="shared" ca="1" si="5"/>
        <v>0</v>
      </c>
      <c r="G218">
        <f t="shared" ca="1" si="6"/>
        <v>11</v>
      </c>
      <c r="H218">
        <f ca="1">IF(OR($A218="S",$A218=0),0,MATCH(0,OFFSET($B218,1,$A218,ROW($A$275)-ROW($A218)),0))</f>
        <v>0</v>
      </c>
      <c r="I218">
        <f ca="1">IF(OR($A218="S",$A218=0),0,MATCH(OFFSET($B218,0,$A218)+1,OFFSET($B218,1,$A218,ROW($A$275)-ROW($A218)),0))</f>
        <v>0</v>
      </c>
      <c r="J218" s="101" t="s">
        <v>103</v>
      </c>
      <c r="K218" s="137" t="str">
        <f t="shared" ca="1" si="7"/>
        <v>1.19.11.</v>
      </c>
      <c r="L218" s="176" t="s">
        <v>237</v>
      </c>
      <c r="M218" s="176" t="s">
        <v>306</v>
      </c>
      <c r="N218" s="197" t="str">
        <f t="shared" ca="1" si="18"/>
        <v>REVESTIMENTO CERÂMICO PARA PISO COM PLACAS TIPO PORCELANATO DE DIMENSÕES 80X80 CM APLICADA EM AMBIENTES DE ÁREA MENOR QUE 5 M². AF_02/2023_PE</v>
      </c>
      <c r="O218" s="196" t="str">
        <f ca="1">Referencia.Unidade</f>
        <v>M2</v>
      </c>
      <c r="P218" s="199">
        <v>18.13</v>
      </c>
      <c r="Q218" s="195">
        <f ca="1">IF(Import.Desoneracao="sim",Referencia.Desonerado,Referencia.NaoDesonerado)</f>
        <v>169.6</v>
      </c>
      <c r="R218" s="198" t="s">
        <v>7</v>
      </c>
      <c r="S218" s="102">
        <f t="shared" ca="1" si="8"/>
        <v>214.34</v>
      </c>
      <c r="T218" s="82">
        <f t="shared" ca="1" si="9"/>
        <v>3885.98</v>
      </c>
      <c r="U218" s="9" t="str">
        <f t="shared" ca="1" si="10"/>
        <v/>
      </c>
      <c r="V218" s="1" t="str">
        <f ca="1">IF(OR($A218=0,$A218="S",$A218&gt;CFF!$A$9),"",MAX(V$12:OFFSET(V218,-1,0))+1)</f>
        <v/>
      </c>
      <c r="W218" s="4" t="str">
        <f t="shared" si="11"/>
        <v>SINAPI-104596</v>
      </c>
      <c r="X218" s="1">
        <f t="shared" ca="1" si="12"/>
        <v>6436</v>
      </c>
      <c r="Y218" s="102">
        <f t="shared" ca="1" si="13"/>
        <v>169.6</v>
      </c>
      <c r="Z218" s="112">
        <f ca="1">ROUND(IF(ISNUMBER(R218),R218,IF(LEFT(R218,3)="BDI",HLOOKUP(R218,DADOS!$T$37:$X$38,2,FALSE),0)),15-11*$X$5)</f>
        <v>0.26379999999999998</v>
      </c>
      <c r="AA218" s="1"/>
    </row>
    <row r="219" spans="1:27" ht="38.25" x14ac:dyDescent="0.2">
      <c r="A219" t="str">
        <f t="shared" si="0"/>
        <v>S</v>
      </c>
      <c r="B219">
        <f t="shared" si="1"/>
        <v>0</v>
      </c>
      <c r="C219">
        <f t="shared" ca="1" si="2"/>
        <v>1</v>
      </c>
      <c r="D219">
        <f t="shared" ca="1" si="3"/>
        <v>19</v>
      </c>
      <c r="E219">
        <f t="shared" ca="1" si="4"/>
        <v>0</v>
      </c>
      <c r="F219">
        <f t="shared" ca="1" si="5"/>
        <v>0</v>
      </c>
      <c r="G219">
        <f t="shared" ca="1" si="6"/>
        <v>12</v>
      </c>
      <c r="H219">
        <f ca="1">IF(OR($A219="S",$A219=0),0,MATCH(0,OFFSET($B219,1,$A219,ROW($A$275)-ROW($A219)),0))</f>
        <v>0</v>
      </c>
      <c r="I219">
        <f ca="1">IF(OR($A219="S",$A219=0),0,MATCH(OFFSET($B219,0,$A219)+1,OFFSET($B219,1,$A219,ROW($A$275)-ROW($A219)),0))</f>
        <v>0</v>
      </c>
      <c r="J219" s="101" t="s">
        <v>103</v>
      </c>
      <c r="K219" s="137" t="str">
        <f t="shared" ca="1" si="7"/>
        <v>1.19.12.</v>
      </c>
      <c r="L219" s="176" t="s">
        <v>237</v>
      </c>
      <c r="M219" s="176" t="s">
        <v>307</v>
      </c>
      <c r="N219" s="197" t="str">
        <f t="shared" ca="1" si="18"/>
        <v>REVESTIMENTO CERÂMICO PARA PISO COM PLACAS TIPO PORCELANATO DE DIMENSÕES 80X80 CM APLICADA EM AMBIENTES DE ÁREA ENTRE 5 M² E 10 M². AF_02/2023_PE</v>
      </c>
      <c r="O219" s="196" t="str">
        <f ca="1">Referencia.Unidade</f>
        <v>M2</v>
      </c>
      <c r="P219" s="199">
        <v>24.54</v>
      </c>
      <c r="Q219" s="195">
        <f ca="1">IF(Import.Desoneracao="sim",Referencia.Desonerado,Referencia.NaoDesonerado)</f>
        <v>154.94</v>
      </c>
      <c r="R219" s="198" t="s">
        <v>7</v>
      </c>
      <c r="S219" s="102">
        <f t="shared" ca="1" si="8"/>
        <v>195.81</v>
      </c>
      <c r="T219" s="82">
        <f t="shared" ca="1" si="9"/>
        <v>4805.18</v>
      </c>
      <c r="U219" s="9" t="str">
        <f t="shared" ca="1" si="10"/>
        <v/>
      </c>
      <c r="V219" s="1" t="str">
        <f ca="1">IF(OR($A219=0,$A219="S",$A219&gt;CFF!$A$9),"",MAX(V$12:OFFSET(V219,-1,0))+1)</f>
        <v/>
      </c>
      <c r="W219" s="4" t="str">
        <f t="shared" si="11"/>
        <v>SINAPI-104597</v>
      </c>
      <c r="X219" s="1">
        <f t="shared" ca="1" si="12"/>
        <v>6437</v>
      </c>
      <c r="Y219" s="102">
        <f t="shared" ca="1" si="13"/>
        <v>154.94</v>
      </c>
      <c r="Z219" s="112">
        <f ca="1">ROUND(IF(ISNUMBER(R219),R219,IF(LEFT(R219,3)="BDI",HLOOKUP(R219,DADOS!$T$37:$X$38,2,FALSE),0)),15-11*$X$5)</f>
        <v>0.26379999999999998</v>
      </c>
      <c r="AA219" s="1"/>
    </row>
    <row r="220" spans="1:27" ht="38.25" x14ac:dyDescent="0.2">
      <c r="A220" t="str">
        <f t="shared" si="0"/>
        <v>S</v>
      </c>
      <c r="B220">
        <f t="shared" si="1"/>
        <v>0</v>
      </c>
      <c r="C220">
        <f t="shared" ca="1" si="2"/>
        <v>1</v>
      </c>
      <c r="D220">
        <f t="shared" ca="1" si="3"/>
        <v>19</v>
      </c>
      <c r="E220">
        <f t="shared" ca="1" si="4"/>
        <v>0</v>
      </c>
      <c r="F220">
        <f t="shared" ca="1" si="5"/>
        <v>0</v>
      </c>
      <c r="G220">
        <f t="shared" ca="1" si="6"/>
        <v>13</v>
      </c>
      <c r="H220">
        <f ca="1">IF(OR($A220="S",$A220=0),0,MATCH(0,OFFSET($B220,1,$A220,ROW($A$275)-ROW($A220)),0))</f>
        <v>0</v>
      </c>
      <c r="I220">
        <f ca="1">IF(OR($A220="S",$A220=0),0,MATCH(OFFSET($B220,0,$A220)+1,OFFSET($B220,1,$A220,ROW($A$275)-ROW($A220)),0))</f>
        <v>0</v>
      </c>
      <c r="J220" s="101" t="s">
        <v>103</v>
      </c>
      <c r="K220" s="137" t="str">
        <f t="shared" ca="1" si="7"/>
        <v>1.19.13.</v>
      </c>
      <c r="L220" s="176" t="s">
        <v>237</v>
      </c>
      <c r="M220" s="176" t="s">
        <v>308</v>
      </c>
      <c r="N220" s="197" t="str">
        <f t="shared" ca="1" si="18"/>
        <v>REVESTIMENTO CERÂMICO PARA PISO COM PLACAS TIPO PORCELANATO DE DIMENSÕES 80X80 CM APLICADA EM AMBIENTES DE ÁREA MAIOR QUE 10 M². AF_02/2023_PE</v>
      </c>
      <c r="O220" s="196" t="str">
        <f ca="1">Referencia.Unidade</f>
        <v>M2</v>
      </c>
      <c r="P220" s="199">
        <v>346.96</v>
      </c>
      <c r="Q220" s="195">
        <f ca="1">IF(Import.Desoneracao="sim",Referencia.Desonerado,Referencia.NaoDesonerado)</f>
        <v>143.41999999999999</v>
      </c>
      <c r="R220" s="198" t="s">
        <v>7</v>
      </c>
      <c r="S220" s="102">
        <f t="shared" ca="1" si="8"/>
        <v>181.25</v>
      </c>
      <c r="T220" s="82">
        <f t="shared" ca="1" si="9"/>
        <v>62886.5</v>
      </c>
      <c r="U220" s="9" t="str">
        <f t="shared" ca="1" si="10"/>
        <v/>
      </c>
      <c r="V220" s="1" t="str">
        <f ca="1">IF(OR($A220=0,$A220="S",$A220&gt;CFF!$A$9),"",MAX(V$12:OFFSET(V220,-1,0))+1)</f>
        <v/>
      </c>
      <c r="W220" s="4" t="str">
        <f t="shared" si="11"/>
        <v>SINAPI-104598</v>
      </c>
      <c r="X220" s="1">
        <f t="shared" ca="1" si="12"/>
        <v>6438</v>
      </c>
      <c r="Y220" s="102">
        <f t="shared" ca="1" si="13"/>
        <v>143.41999999999999</v>
      </c>
      <c r="Z220" s="112">
        <f ca="1">ROUND(IF(ISNUMBER(R220),R220,IF(LEFT(R220,3)="BDI",HLOOKUP(R220,DADOS!$T$37:$X$38,2,FALSE),0)),15-11*$X$5)</f>
        <v>0.26379999999999998</v>
      </c>
      <c r="AA220" s="1"/>
    </row>
    <row r="221" spans="1:27" ht="38.25" x14ac:dyDescent="0.2">
      <c r="A221" t="str">
        <f>CHOOSE(1+LOG(1+2*(J221="Meta")+4*(J221="Nível 2")+8*(J221="Nível 3")+16*(J221="Nível 4")+32*(J221="Serviço"),2),0,1,2,3,4,"S")</f>
        <v>S</v>
      </c>
      <c r="B221">
        <f>IF(OR(A221="S",A221=0),0,IF(ISERROR(I221),H221,SMALL(H221:I221,1)))</f>
        <v>0</v>
      </c>
      <c r="C221">
        <f ca="1">IF($A221=1,OFFSET(C221,-1,0)+1,OFFSET(C221,-1,0))</f>
        <v>1</v>
      </c>
      <c r="D221">
        <f ca="1">IF($A221=1,0,IF($A221=2,OFFSET(D221,-1,0)+1,OFFSET(D221,-1,0)))</f>
        <v>19</v>
      </c>
      <c r="E221">
        <f ca="1">IF(AND($A221&lt;=2,$A221&lt;&gt;0),0,IF($A221=3,OFFSET(E221,-1,0)+1,OFFSET(E221,-1,0)))</f>
        <v>0</v>
      </c>
      <c r="F221">
        <f ca="1">IF(AND($A221&lt;=3,$A221&lt;&gt;0),0,IF($A221=4,OFFSET(F221,-1,0)+1,OFFSET(F221,-1,0)))</f>
        <v>0</v>
      </c>
      <c r="G221">
        <f ca="1">IF(AND($A221&lt;=4,$A221&lt;&gt;0),0,IF($A221="S",OFFSET(G221,-1,0)+1,OFFSET(G221,-1,0)))</f>
        <v>14</v>
      </c>
      <c r="H221">
        <f ca="1">IF(OR($A221="S",$A221=0),0,MATCH(0,OFFSET($B221,1,$A221,ROW($A$275)-ROW($A221)),0))</f>
        <v>0</v>
      </c>
      <c r="I221">
        <f ca="1">IF(OR($A221="S",$A221=0),0,MATCH(OFFSET($B221,0,$A221)+1,OFFSET($B221,1,$A221,ROW($A$275)-ROW($A221)),0))</f>
        <v>0</v>
      </c>
      <c r="J221" s="101" t="s">
        <v>103</v>
      </c>
      <c r="K221" s="137" t="str">
        <f ca="1">IF($A221=0,"-",CONCATENATE(C221&amp;".",IF(AND($A$5&gt;=2,$A221&gt;=2),D221&amp;".",""),IF(AND($A$5&gt;=3,$A221&gt;=3),E221&amp;".",""),IF(AND($A$5&gt;=4,$A221&gt;=4),F221&amp;".",""),IF($A221="S",G221&amp;".","")))</f>
        <v>1.19.14.</v>
      </c>
      <c r="L221" s="176" t="s">
        <v>237</v>
      </c>
      <c r="M221" s="176" t="s">
        <v>309</v>
      </c>
      <c r="N221" s="197" t="str">
        <f ca="1">IF($A221="S",Referencia.Descricao,"(digite a descrição aqui)")</f>
        <v>REVESTIMENTO CERÂMICO PARA PISO COM PLACAS TIPO PORCELANATO DE DIMENSÕES 60X60 CM APLICADA EM AMBIENTES DE ÁREA MAIOR QUE 10 M². AF_02/2023_PE</v>
      </c>
      <c r="O221" s="196" t="str">
        <f ca="1">Referencia.Unidade</f>
        <v>M2</v>
      </c>
      <c r="P221" s="199">
        <v>111.76</v>
      </c>
      <c r="Q221" s="195">
        <f ca="1">IF(Import.Desoneracao="sim",Referencia.Desonerado,Referencia.NaoDesonerado)</f>
        <v>142.82</v>
      </c>
      <c r="R221" s="198" t="s">
        <v>7</v>
      </c>
      <c r="S221" s="102">
        <f ca="1">IF($A221="S",IF($Q$10="Preço Unitário (R$)",PO.CustoUnitario,ROUND(PO.CustoUnitario*(1+$Z221),15-13*$X$6)),0)</f>
        <v>180.5</v>
      </c>
      <c r="T221" s="82">
        <f ca="1">IF($A221="S",VTOTAL1,IF($A221=0,0,ROUND(SomaAgrup,15-13*$X$7)))</f>
        <v>20172.68</v>
      </c>
      <c r="U221" s="9" t="str">
        <f ca="1">IF($J221="","",IF($N221="","DESCRIÇÃO",IF(AND($J221="Serviço",$O221=""),"UNIDADE",IF($T221&lt;=0,"SEM VALOR",IF(AND($Y221&lt;&gt;"",$Q221&gt;$Y221),"ACIMA REF.","")))))</f>
        <v/>
      </c>
      <c r="V221" s="1" t="str">
        <f ca="1">IF(OR($A221=0,$A221="S",$A221&gt;CFF!$A$9),"",MAX(V$12:OFFSET(V221,-1,0))+1)</f>
        <v/>
      </c>
      <c r="W221" s="4" t="str">
        <f>IF(AND($J221="Serviço",$M221&lt;&gt;""),IF($L221="",$M221,CONCATENATE($L221,"-",$M221)))</f>
        <v>SINAPI-87263</v>
      </c>
      <c r="X221" s="1">
        <f ca="1">IF(AND(Fonte&lt;&gt;"",Código&lt;&gt;""),MATCH(Fonte&amp;" "&amp;IF(Fonte="sinapi",SUBSTITUTE(SUBSTITUTE(Código,"/00","/"),"/0","/"),Código),INDIRECT("'[Referência "&amp;_xlnm.Database&amp;".xls]Banco'!$a:$a"),0),"X")</f>
        <v>6432</v>
      </c>
      <c r="Y221" s="102">
        <f ca="1">IF(Import.Desoneracao="sim",Referencia.Desonerado,Referencia.NaoDesonerado)</f>
        <v>142.82</v>
      </c>
      <c r="Z221" s="112">
        <f ca="1">ROUND(IF(ISNUMBER(R221),R221,IF(LEFT(R221,3)="BDI",HLOOKUP(R221,DADOS!$T$37:$X$38,2,FALSE),0)),15-11*$X$5)</f>
        <v>0.26379999999999998</v>
      </c>
      <c r="AA221" s="1"/>
    </row>
    <row r="222" spans="1:27" ht="25.5" x14ac:dyDescent="0.2">
      <c r="A222" t="str">
        <f t="shared" si="0"/>
        <v>S</v>
      </c>
      <c r="B222">
        <f t="shared" si="1"/>
        <v>0</v>
      </c>
      <c r="C222">
        <f t="shared" ca="1" si="2"/>
        <v>1</v>
      </c>
      <c r="D222">
        <f t="shared" ca="1" si="3"/>
        <v>19</v>
      </c>
      <c r="E222">
        <f t="shared" ca="1" si="4"/>
        <v>0</v>
      </c>
      <c r="F222">
        <f t="shared" ca="1" si="5"/>
        <v>0</v>
      </c>
      <c r="G222">
        <f t="shared" ca="1" si="6"/>
        <v>15</v>
      </c>
      <c r="H222">
        <f ca="1">IF(OR($A222="S",$A222=0),0,MATCH(0,OFFSET($B222,1,$A222,ROW($A$275)-ROW($A222)),0))</f>
        <v>0</v>
      </c>
      <c r="I222">
        <f ca="1">IF(OR($A222="S",$A222=0),0,MATCH(OFFSET($B222,0,$A222)+1,OFFSET($B222,1,$A222,ROW($A$275)-ROW($A222)),0))</f>
        <v>0</v>
      </c>
      <c r="J222" s="101" t="s">
        <v>103</v>
      </c>
      <c r="K222" s="137" t="str">
        <f t="shared" ca="1" si="7"/>
        <v>1.19.15.</v>
      </c>
      <c r="L222" s="176" t="s">
        <v>238</v>
      </c>
      <c r="M222" s="176" t="s">
        <v>293</v>
      </c>
      <c r="N222" s="197" t="str">
        <f t="shared" ca="1" si="18"/>
        <v>RODAPÉ EMBUTIDO CERÂMICO DE 7CM DE ALTURA COM PORCELANATO DE DIMENSÕES 60X60CM ACETINADO CINZA.</v>
      </c>
      <c r="O222" s="196" t="str">
        <f ca="1">Referencia.Unidade</f>
        <v>M</v>
      </c>
      <c r="P222" s="199">
        <v>327.5</v>
      </c>
      <c r="Q222" s="195">
        <f ca="1">IF(Import.Desoneracao="sim",Referencia.Desonerado,Referencia.NaoDesonerado)</f>
        <v>30.04</v>
      </c>
      <c r="R222" s="198" t="s">
        <v>7</v>
      </c>
      <c r="S222" s="102">
        <f t="shared" ca="1" si="8"/>
        <v>37.96</v>
      </c>
      <c r="T222" s="82">
        <f t="shared" ca="1" si="9"/>
        <v>12431.9</v>
      </c>
      <c r="U222" s="9" t="str">
        <f t="shared" ca="1" si="10"/>
        <v/>
      </c>
      <c r="V222" s="1" t="str">
        <f ca="1">IF(OR($A222=0,$A222="S",$A222&gt;CFF!$A$9),"",MAX(V$12:OFFSET(V222,-1,0))+1)</f>
        <v/>
      </c>
      <c r="W222" s="4" t="str">
        <f t="shared" si="11"/>
        <v>COMPOSIÇÃO-COMP11</v>
      </c>
      <c r="X222" s="1">
        <f t="shared" ca="1" si="12"/>
        <v>17</v>
      </c>
      <c r="Y222" s="102">
        <f t="shared" ca="1" si="13"/>
        <v>30.04</v>
      </c>
      <c r="Z222" s="112">
        <f ca="1">ROUND(IF(ISNUMBER(R222),R222,IF(LEFT(R222,3)="BDI",HLOOKUP(R222,DADOS!$T$37:$X$38,2,FALSE),0)),15-11*$X$5)</f>
        <v>0.26379999999999998</v>
      </c>
      <c r="AA222" s="1"/>
    </row>
    <row r="223" spans="1:27" ht="25.5" x14ac:dyDescent="0.2">
      <c r="A223" t="str">
        <f>CHOOSE(1+LOG(1+2*(J223="Meta")+4*(J223="Nível 2")+8*(J223="Nível 3")+16*(J223="Nível 4")+32*(J223="Serviço"),2),0,1,2,3,4,"S")</f>
        <v>S</v>
      </c>
      <c r="B223">
        <f>IF(OR(A223="S",A223=0),0,IF(ISERROR(I223),H223,SMALL(H223:I223,1)))</f>
        <v>0</v>
      </c>
      <c r="C223">
        <f ca="1">IF($A223=1,OFFSET(C223,-1,0)+1,OFFSET(C223,-1,0))</f>
        <v>1</v>
      </c>
      <c r="D223">
        <f ca="1">IF($A223=1,0,IF($A223=2,OFFSET(D223,-1,0)+1,OFFSET(D223,-1,0)))</f>
        <v>19</v>
      </c>
      <c r="E223">
        <f ca="1">IF(AND($A223&lt;=2,$A223&lt;&gt;0),0,IF($A223=3,OFFSET(E223,-1,0)+1,OFFSET(E223,-1,0)))</f>
        <v>0</v>
      </c>
      <c r="F223">
        <f ca="1">IF(AND($A223&lt;=3,$A223&lt;&gt;0),0,IF($A223=4,OFFSET(F223,-1,0)+1,OFFSET(F223,-1,0)))</f>
        <v>0</v>
      </c>
      <c r="G223">
        <f ca="1">IF(AND($A223&lt;=4,$A223&lt;&gt;0),0,IF($A223="S",OFFSET(G223,-1,0)+1,OFFSET(G223,-1,0)))</f>
        <v>16</v>
      </c>
      <c r="H223">
        <f ca="1">IF(OR($A223="S",$A223=0),0,MATCH(0,OFFSET($B223,1,$A223,ROW($A$275)-ROW($A223)),0))</f>
        <v>0</v>
      </c>
      <c r="I223">
        <f ca="1">IF(OR($A223="S",$A223=0),0,MATCH(OFFSET($B223,0,$A223)+1,OFFSET($B223,1,$A223,ROW($A$275)-ROW($A223)),0))</f>
        <v>0</v>
      </c>
      <c r="J223" s="101" t="s">
        <v>103</v>
      </c>
      <c r="K223" s="137" t="str">
        <f ca="1">IF($A223=0,"-",CONCATENATE(C223&amp;".",IF(AND($A$5&gt;=2,$A223&gt;=2),D223&amp;".",""),IF(AND($A$5&gt;=3,$A223&gt;=3),E223&amp;".",""),IF(AND($A$5&gt;=4,$A223&gt;=4),F223&amp;".",""),IF($A223="S",G223&amp;".","")))</f>
        <v>1.19.16.</v>
      </c>
      <c r="L223" s="176" t="s">
        <v>237</v>
      </c>
      <c r="M223" s="176" t="s">
        <v>389</v>
      </c>
      <c r="N223" s="197" t="str">
        <f ca="1">IF($A223="S",Referencia.Descricao,"(digite a descrição aqui)")</f>
        <v>PEITORIL LINEAR EM GRANITO OU MÁRMORE, L = 15CM, COMPRIMENTO DE ATÉ 2M, ASSENTADO COM ARGAMASSA 1:6 COM ADITIVO. AF_11/2020</v>
      </c>
      <c r="O223" s="196" t="str">
        <f ca="1">Referencia.Unidade</f>
        <v>M</v>
      </c>
      <c r="P223" s="199">
        <f>33.2</f>
        <v>33.200000000000003</v>
      </c>
      <c r="Q223" s="195">
        <f ca="1">IF(Import.Desoneracao="sim",Referencia.Desonerado,Referencia.NaoDesonerado)</f>
        <v>142.82</v>
      </c>
      <c r="R223" s="198" t="s">
        <v>7</v>
      </c>
      <c r="S223" s="102">
        <f ca="1">IF($A223="S",IF($Q$10="Preço Unitário (R$)",PO.CustoUnitario,ROUND(PO.CustoUnitario*(1+$Z223),15-13*$X$6)),0)</f>
        <v>180.5</v>
      </c>
      <c r="T223" s="82">
        <f ca="1">IF($A223="S",VTOTAL1,IF($A223=0,0,ROUND(SomaAgrup,15-13*$X$7)))</f>
        <v>5992.6</v>
      </c>
      <c r="U223" s="9" t="str">
        <f ca="1">IF($J223="","",IF($N223="","DESCRIÇÃO",IF(AND($J223="Serviço",$O223=""),"UNIDADE",IF($T223&lt;=0,"SEM VALOR",IF(AND($Y223&lt;&gt;"",$Q223&gt;$Y223),"ACIMA REF.","")))))</f>
        <v/>
      </c>
      <c r="V223" s="1" t="str">
        <f ca="1">IF(OR($A223=0,$A223="S",$A223&gt;CFF!$A$9),"",MAX(V$12:OFFSET(V223,-1,0))+1)</f>
        <v/>
      </c>
      <c r="W223" s="4" t="str">
        <f>IF(AND($J223="Serviço",$M223&lt;&gt;""),IF($L223="",$M223,CONCATENATE($L223,"-",$M223)))</f>
        <v>SINAPI-101965</v>
      </c>
      <c r="X223" s="1">
        <f ca="1">IF(AND(Fonte&lt;&gt;"",Código&lt;&gt;""),MATCH(Fonte&amp;" "&amp;IF(Fonte="sinapi",SUBSTITUTE(SUBSTITUTE(Código,"/00","/"),"/0","/"),Código),INDIRECT("'[Referência "&amp;_xlnm.Database&amp;".xls]Banco'!$a:$a"),0),"X")</f>
        <v>6790</v>
      </c>
      <c r="Y223" s="102">
        <f ca="1">IF(Import.Desoneracao="sim",Referencia.Desonerado,Referencia.NaoDesonerado)</f>
        <v>142.82</v>
      </c>
      <c r="Z223" s="112">
        <f ca="1">ROUND(IF(ISNUMBER(R223),R223,IF(LEFT(R223,3)="BDI",HLOOKUP(R223,DADOS!$T$37:$X$38,2,FALSE),0)),15-11*$X$5)</f>
        <v>0.26379999999999998</v>
      </c>
      <c r="AA223" s="1"/>
    </row>
    <row r="224" spans="1:27" x14ac:dyDescent="0.2">
      <c r="A224">
        <f t="shared" si="0"/>
        <v>2</v>
      </c>
      <c r="B224">
        <f t="shared" ca="1" si="1"/>
        <v>4</v>
      </c>
      <c r="C224">
        <f t="shared" ca="1" si="2"/>
        <v>1</v>
      </c>
      <c r="D224">
        <f t="shared" ca="1" si="3"/>
        <v>20</v>
      </c>
      <c r="E224">
        <f t="shared" ca="1" si="4"/>
        <v>0</v>
      </c>
      <c r="F224">
        <f t="shared" ca="1" si="5"/>
        <v>0</v>
      </c>
      <c r="G224">
        <f t="shared" ca="1" si="6"/>
        <v>0</v>
      </c>
      <c r="H224">
        <f ca="1">IF(OR($A224="S",$A224=0),0,MATCH(0,OFFSET($B224,1,$A224,ROW($A$275)-ROW($A224)),0))</f>
        <v>51</v>
      </c>
      <c r="I224">
        <f ca="1">IF(OR($A224="S",$A224=0),0,MATCH(OFFSET($B224,0,$A224)+1,OFFSET($B224,1,$A224,ROW($A$275)-ROW($A224)),0))</f>
        <v>4</v>
      </c>
      <c r="J224" s="101" t="s">
        <v>100</v>
      </c>
      <c r="K224" s="137" t="str">
        <f t="shared" ca="1" si="7"/>
        <v>1.20.</v>
      </c>
      <c r="L224" s="176"/>
      <c r="M224" s="176"/>
      <c r="N224" s="197" t="s">
        <v>290</v>
      </c>
      <c r="O224" s="196" t="str">
        <f ca="1">Referencia.Unidade</f>
        <v/>
      </c>
      <c r="P224" s="199"/>
      <c r="Q224" s="195"/>
      <c r="R224" s="198" t="s">
        <v>7</v>
      </c>
      <c r="S224" s="102">
        <f t="shared" si="8"/>
        <v>0</v>
      </c>
      <c r="T224" s="82">
        <f t="shared" ca="1" si="9"/>
        <v>37157.85</v>
      </c>
      <c r="U224" s="9" t="str">
        <f t="shared" ca="1" si="10"/>
        <v/>
      </c>
      <c r="V224" s="1">
        <f ca="1">IF(OR($A224=0,$A224="S",$A224&gt;CFF!$A$9),"",MAX(V$12:OFFSET(V224,-1,0))+1)</f>
        <v>21</v>
      </c>
      <c r="W224" s="4" t="b">
        <f t="shared" si="11"/>
        <v>0</v>
      </c>
      <c r="X224" s="1" t="str">
        <f t="shared" ca="1" si="12"/>
        <v>X</v>
      </c>
      <c r="Y224" s="102">
        <f t="shared" ca="1" si="13"/>
        <v>0</v>
      </c>
      <c r="Z224" s="112">
        <f ca="1">ROUND(IF(ISNUMBER(R224),R224,IF(LEFT(R224,3)="BDI",HLOOKUP(R224,DADOS!$T$37:$X$38,2,FALSE),0)),15-11*$X$5)</f>
        <v>0.26379999999999998</v>
      </c>
      <c r="AA224" s="1"/>
    </row>
    <row r="225" spans="1:27" ht="25.5" x14ac:dyDescent="0.2">
      <c r="A225" t="str">
        <f t="shared" si="0"/>
        <v>S</v>
      </c>
      <c r="B225">
        <f t="shared" si="1"/>
        <v>0</v>
      </c>
      <c r="C225">
        <f t="shared" ca="1" si="2"/>
        <v>1</v>
      </c>
      <c r="D225">
        <f t="shared" ca="1" si="3"/>
        <v>20</v>
      </c>
      <c r="E225">
        <f t="shared" ca="1" si="4"/>
        <v>0</v>
      </c>
      <c r="F225">
        <f t="shared" ca="1" si="5"/>
        <v>0</v>
      </c>
      <c r="G225">
        <f t="shared" ca="1" si="6"/>
        <v>1</v>
      </c>
      <c r="H225">
        <f ca="1">IF(OR($A225="S",$A225=0),0,MATCH(0,OFFSET($B225,1,$A225,ROW($A$275)-ROW($A225)),0))</f>
        <v>0</v>
      </c>
      <c r="I225">
        <f ca="1">IF(OR($A225="S",$A225=0),0,MATCH(OFFSET($B225,0,$A225)+1,OFFSET($B225,1,$A225,ROW($A$275)-ROW($A225)),0))</f>
        <v>0</v>
      </c>
      <c r="J225" s="101" t="s">
        <v>103</v>
      </c>
      <c r="K225" s="137" t="str">
        <f t="shared" ca="1" si="7"/>
        <v>1.20.1.</v>
      </c>
      <c r="L225" s="176" t="s">
        <v>237</v>
      </c>
      <c r="M225" s="176" t="s">
        <v>291</v>
      </c>
      <c r="N225" s="197" t="str">
        <f ca="1">IF($A225="S",Referencia.Descricao,"(digite a descrição aqui)")</f>
        <v>FUNDO SELADOR ACRÍLICO, APLICAÇÃO MANUAL EM PAREDE, UMA DEMÃO. AF_04/2023</v>
      </c>
      <c r="O225" s="196" t="str">
        <f ca="1">Referencia.Unidade</f>
        <v>M2</v>
      </c>
      <c r="P225" s="199">
        <f>767.08+23.4+18.43+16.84+28.65</f>
        <v>854.4</v>
      </c>
      <c r="Q225" s="195">
        <f t="shared" ref="Q225:Q228" ca="1" si="57">IF(Import.Desoneracao="sim",Referencia.Desonerado,Referencia.NaoDesonerado)</f>
        <v>3.49</v>
      </c>
      <c r="R225" s="198" t="s">
        <v>7</v>
      </c>
      <c r="S225" s="102">
        <f t="shared" ca="1" si="8"/>
        <v>4.41</v>
      </c>
      <c r="T225" s="82">
        <f t="shared" ca="1" si="9"/>
        <v>3767.9</v>
      </c>
      <c r="U225" s="9" t="str">
        <f t="shared" ca="1" si="10"/>
        <v/>
      </c>
      <c r="V225" s="1" t="str">
        <f ca="1">IF(OR($A225=0,$A225="S",$A225&gt;CFF!$A$9),"",MAX(V$12:OFFSET(V225,-1,0))+1)</f>
        <v/>
      </c>
      <c r="W225" s="4" t="str">
        <f t="shared" si="11"/>
        <v>SINAPI-88485</v>
      </c>
      <c r="X225" s="1">
        <f t="shared" ca="1" si="12"/>
        <v>6295</v>
      </c>
      <c r="Y225" s="102">
        <f t="shared" ca="1" si="13"/>
        <v>3.49</v>
      </c>
      <c r="Z225" s="112">
        <f ca="1">ROUND(IF(ISNUMBER(R225),R225,IF(LEFT(R225,3)="BDI",HLOOKUP(R225,DADOS!$T$37:$X$38,2,FALSE),0)),15-11*$X$5)</f>
        <v>0.26379999999999998</v>
      </c>
      <c r="AA225" s="1"/>
    </row>
    <row r="226" spans="1:27" ht="25.5" x14ac:dyDescent="0.2">
      <c r="A226" t="str">
        <f t="shared" si="0"/>
        <v>S</v>
      </c>
      <c r="B226">
        <f t="shared" si="1"/>
        <v>0</v>
      </c>
      <c r="C226">
        <f t="shared" ca="1" si="2"/>
        <v>1</v>
      </c>
      <c r="D226">
        <f t="shared" ca="1" si="3"/>
        <v>20</v>
      </c>
      <c r="E226">
        <f t="shared" ca="1" si="4"/>
        <v>0</v>
      </c>
      <c r="F226">
        <f t="shared" ca="1" si="5"/>
        <v>0</v>
      </c>
      <c r="G226">
        <f t="shared" ca="1" si="6"/>
        <v>2</v>
      </c>
      <c r="H226">
        <f ca="1">IF(OR($A226="S",$A226=0),0,MATCH(0,OFFSET($B226,1,$A226,ROW($A$275)-ROW($A226)),0))</f>
        <v>0</v>
      </c>
      <c r="I226">
        <f ca="1">IF(OR($A226="S",$A226=0),0,MATCH(OFFSET($B226,0,$A226)+1,OFFSET($B226,1,$A226,ROW($A$275)-ROW($A226)),0))</f>
        <v>0</v>
      </c>
      <c r="J226" s="101" t="s">
        <v>103</v>
      </c>
      <c r="K226" s="137" t="str">
        <f t="shared" ca="1" si="7"/>
        <v>1.20.2.</v>
      </c>
      <c r="L226" s="176" t="s">
        <v>237</v>
      </c>
      <c r="M226" s="176" t="s">
        <v>292</v>
      </c>
      <c r="N226" s="197" t="str">
        <f ca="1">IF($A226="S",Referencia.Descricao,"(digite a descrição aqui)")</f>
        <v>PINTURA LÁTEX ACRÍLICA PREMIUM, APLICAÇÃO MANUAL EM PAREDES, DUAS DEMÃOS. AF_04/2023</v>
      </c>
      <c r="O226" s="196" t="str">
        <f ca="1">Referencia.Unidade</f>
        <v>M2</v>
      </c>
      <c r="P226" s="199">
        <f>P225</f>
        <v>854.4</v>
      </c>
      <c r="Q226" s="195">
        <f t="shared" ca="1" si="57"/>
        <v>13.08</v>
      </c>
      <c r="R226" s="198" t="s">
        <v>7</v>
      </c>
      <c r="S226" s="102">
        <f t="shared" ca="1" si="8"/>
        <v>16.53</v>
      </c>
      <c r="T226" s="82">
        <f t="shared" ca="1" si="9"/>
        <v>14123.23</v>
      </c>
      <c r="U226" s="9" t="str">
        <f t="shared" ca="1" si="10"/>
        <v/>
      </c>
      <c r="V226" s="1" t="str">
        <f ca="1">IF(OR($A226=0,$A226="S",$A226&gt;CFF!$A$9),"",MAX(V$12:OFFSET(V226,-1,0))+1)</f>
        <v/>
      </c>
      <c r="W226" s="4" t="str">
        <f t="shared" si="11"/>
        <v>SINAPI-88489</v>
      </c>
      <c r="X226" s="1">
        <f t="shared" ca="1" si="12"/>
        <v>6297</v>
      </c>
      <c r="Y226" s="102">
        <f t="shared" ca="1" si="13"/>
        <v>13.08</v>
      </c>
      <c r="Z226" s="112">
        <f ca="1">ROUND(IF(ISNUMBER(R226),R226,IF(LEFT(R226,3)="BDI",HLOOKUP(R226,DADOS!$T$37:$X$38,2,FALSE),0)),15-11*$X$5)</f>
        <v>0.26379999999999998</v>
      </c>
      <c r="AA226" s="1"/>
    </row>
    <row r="227" spans="1:27" ht="25.5" x14ac:dyDescent="0.2">
      <c r="A227" t="str">
        <f t="shared" si="0"/>
        <v>S</v>
      </c>
      <c r="B227">
        <f t="shared" si="1"/>
        <v>0</v>
      </c>
      <c r="C227">
        <f t="shared" ca="1" si="2"/>
        <v>1</v>
      </c>
      <c r="D227">
        <f t="shared" ca="1" si="3"/>
        <v>20</v>
      </c>
      <c r="E227">
        <f t="shared" ca="1" si="4"/>
        <v>0</v>
      </c>
      <c r="F227">
        <f t="shared" ca="1" si="5"/>
        <v>0</v>
      </c>
      <c r="G227">
        <f t="shared" ca="1" si="6"/>
        <v>3</v>
      </c>
      <c r="H227">
        <f ca="1">IF(OR($A227="S",$A227=0),0,MATCH(0,OFFSET($B227,1,$A227,ROW($A$275)-ROW($A227)),0))</f>
        <v>0</v>
      </c>
      <c r="I227">
        <f ca="1">IF(OR($A227="S",$A227=0),0,MATCH(OFFSET($B227,0,$A227)+1,OFFSET($B227,1,$A227,ROW($A$275)-ROW($A227)),0))</f>
        <v>0</v>
      </c>
      <c r="J227" s="101" t="s">
        <v>103</v>
      </c>
      <c r="K227" s="137" t="str">
        <f t="shared" ca="1" si="7"/>
        <v>1.20.3.</v>
      </c>
      <c r="L227" s="176" t="s">
        <v>237</v>
      </c>
      <c r="M227" s="176" t="s">
        <v>461</v>
      </c>
      <c r="N227" s="197" t="str">
        <f ca="1">IF($A227="S",Referencia.Descricao,"(digite a descrição aqui)")</f>
        <v>EMASSAMENTO COM MASSA LÁTEX, APLICAÇÃO EM PAREDE, DUAS DEMÃOS, LIXAMENTO MANUAL. AF_04/2023</v>
      </c>
      <c r="O227" s="196" t="str">
        <f ca="1">Referencia.Unidade</f>
        <v>M2</v>
      </c>
      <c r="P227" s="199">
        <v>854.4</v>
      </c>
      <c r="Q227" s="195">
        <f t="shared" ca="1" si="57"/>
        <v>17.84</v>
      </c>
      <c r="R227" s="198" t="s">
        <v>7</v>
      </c>
      <c r="S227" s="102">
        <f t="shared" ca="1" si="8"/>
        <v>22.55</v>
      </c>
      <c r="T227" s="82">
        <f t="shared" ca="1" si="9"/>
        <v>19266.72</v>
      </c>
      <c r="U227" s="9" t="str">
        <f t="shared" ca="1" si="10"/>
        <v/>
      </c>
      <c r="V227" s="1" t="str">
        <f ca="1">IF(OR($A227=0,$A227="S",$A227&gt;CFF!$A$9),"",MAX(V$12:OFFSET(V227,-1,0))+1)</f>
        <v/>
      </c>
      <c r="W227" s="4" t="str">
        <f t="shared" si="11"/>
        <v>SINAPI-88497</v>
      </c>
      <c r="X227" s="1">
        <f t="shared" ca="1" si="12"/>
        <v>6301</v>
      </c>
      <c r="Y227" s="102">
        <f t="shared" ca="1" si="13"/>
        <v>17.84</v>
      </c>
      <c r="Z227" s="112">
        <f ca="1">ROUND(IF(ISNUMBER(R227),R227,IF(LEFT(R227,3)="BDI",HLOOKUP(R227,DADOS!$T$37:$X$38,2,FALSE),0)),15-11*$X$5)</f>
        <v>0.26379999999999998</v>
      </c>
      <c r="AA227" s="1"/>
    </row>
    <row r="228" spans="1:27" x14ac:dyDescent="0.2">
      <c r="A228">
        <f t="shared" si="0"/>
        <v>2</v>
      </c>
      <c r="B228">
        <f t="shared" ca="1" si="1"/>
        <v>11</v>
      </c>
      <c r="C228">
        <f t="shared" ca="1" si="2"/>
        <v>1</v>
      </c>
      <c r="D228">
        <f t="shared" ca="1" si="3"/>
        <v>21</v>
      </c>
      <c r="E228">
        <f t="shared" ca="1" si="4"/>
        <v>0</v>
      </c>
      <c r="F228">
        <f t="shared" ca="1" si="5"/>
        <v>0</v>
      </c>
      <c r="G228">
        <f t="shared" ca="1" si="6"/>
        <v>0</v>
      </c>
      <c r="H228">
        <f ca="1">IF(OR($A228="S",$A228=0),0,MATCH(0,OFFSET($B228,1,$A228,ROW($A$275)-ROW($A228)),0))</f>
        <v>47</v>
      </c>
      <c r="I228">
        <f ca="1">IF(OR($A228="S",$A228=0),0,MATCH(OFFSET($B228,0,$A228)+1,OFFSET($B228,1,$A228,ROW($A$275)-ROW($A228)),0))</f>
        <v>11</v>
      </c>
      <c r="J228" s="101" t="s">
        <v>100</v>
      </c>
      <c r="K228" s="137" t="str">
        <f t="shared" ca="1" si="7"/>
        <v>1.21.</v>
      </c>
      <c r="L228" s="176"/>
      <c r="M228" s="176"/>
      <c r="N228" s="197" t="s">
        <v>289</v>
      </c>
      <c r="O228" s="196" t="str">
        <f ca="1">Referencia.Unidade</f>
        <v/>
      </c>
      <c r="P228" s="199"/>
      <c r="Q228" s="195"/>
      <c r="R228" s="198" t="s">
        <v>7</v>
      </c>
      <c r="S228" s="102">
        <f t="shared" si="8"/>
        <v>0</v>
      </c>
      <c r="T228" s="82">
        <f t="shared" ca="1" si="9"/>
        <v>45403.64</v>
      </c>
      <c r="U228" s="9" t="str">
        <f t="shared" ca="1" si="10"/>
        <v/>
      </c>
      <c r="V228" s="1">
        <f ca="1">IF(OR($A228=0,$A228="S",$A228&gt;CFF!$A$9),"",MAX(V$12:OFFSET(V228,-1,0))+1)</f>
        <v>22</v>
      </c>
      <c r="W228" s="4" t="b">
        <f t="shared" si="11"/>
        <v>0</v>
      </c>
      <c r="X228" s="1" t="str">
        <f t="shared" ca="1" si="12"/>
        <v>X</v>
      </c>
      <c r="Y228" s="102">
        <f t="shared" ca="1" si="13"/>
        <v>0</v>
      </c>
      <c r="Z228" s="112">
        <f ca="1">ROUND(IF(ISNUMBER(R228),R228,IF(LEFT(R228,3)="BDI",HLOOKUP(R228,DADOS!$T$37:$X$38,2,FALSE),0)),15-11*$X$5)</f>
        <v>0.26379999999999998</v>
      </c>
      <c r="AA228" s="1"/>
    </row>
    <row r="229" spans="1:27" ht="25.5" x14ac:dyDescent="0.2">
      <c r="A229" t="str">
        <f t="shared" si="0"/>
        <v>S</v>
      </c>
      <c r="B229">
        <f t="shared" si="1"/>
        <v>0</v>
      </c>
      <c r="C229">
        <f t="shared" ca="1" si="2"/>
        <v>1</v>
      </c>
      <c r="D229">
        <f t="shared" ca="1" si="3"/>
        <v>21</v>
      </c>
      <c r="E229">
        <f t="shared" ca="1" si="4"/>
        <v>0</v>
      </c>
      <c r="F229">
        <f t="shared" ca="1" si="5"/>
        <v>0</v>
      </c>
      <c r="G229">
        <f t="shared" ca="1" si="6"/>
        <v>1</v>
      </c>
      <c r="H229">
        <f ca="1">IF(OR($A229="S",$A229=0),0,MATCH(0,OFFSET($B229,1,$A229,ROW($A$275)-ROW($A229)),0))</f>
        <v>0</v>
      </c>
      <c r="I229">
        <f ca="1">IF(OR($A229="S",$A229=0),0,MATCH(OFFSET($B229,0,$A229)+1,OFFSET($B229,1,$A229,ROW($A$275)-ROW($A229)),0))</f>
        <v>0</v>
      </c>
      <c r="J229" s="101" t="s">
        <v>103</v>
      </c>
      <c r="K229" s="137" t="str">
        <f t="shared" ca="1" si="7"/>
        <v>1.21.1.</v>
      </c>
      <c r="L229" s="176" t="s">
        <v>237</v>
      </c>
      <c r="M229" s="176" t="s">
        <v>256</v>
      </c>
      <c r="N229" s="197" t="str">
        <f t="shared" ca="1" si="18"/>
        <v>APLICAÇÃO MANUAL DE FUNDO SELADOR ACRÍLICO EM PAREDES EXTERNAS DE CASAS. AF_03/2024</v>
      </c>
      <c r="O229" s="196" t="str">
        <f ca="1">Referencia.Unidade</f>
        <v>M2</v>
      </c>
      <c r="P229" s="199">
        <f>(24.12+110.81+18.27+8.76+69.39+12.24+214.95)*2</f>
        <v>917.08</v>
      </c>
      <c r="Q229" s="195">
        <f t="shared" ref="Q229:Q238" ca="1" si="58">IF(Import.Desoneracao="sim",Referencia.Desonerado,Referencia.NaoDesonerado)</f>
        <v>3.97</v>
      </c>
      <c r="R229" s="198" t="s">
        <v>7</v>
      </c>
      <c r="S229" s="102">
        <f t="shared" ca="1" si="8"/>
        <v>5.0199999999999996</v>
      </c>
      <c r="T229" s="82">
        <f t="shared" ca="1" si="9"/>
        <v>4603.74</v>
      </c>
      <c r="U229" s="9" t="str">
        <f t="shared" ca="1" si="10"/>
        <v/>
      </c>
      <c r="V229" s="1" t="str">
        <f ca="1">IF(OR($A229=0,$A229="S",$A229&gt;CFF!$A$9),"",MAX(V$12:OFFSET(V229,-1,0))+1)</f>
        <v/>
      </c>
      <c r="W229" s="4" t="str">
        <f t="shared" si="11"/>
        <v>SINAPI-88415</v>
      </c>
      <c r="X229" s="1">
        <f t="shared" ca="1" si="12"/>
        <v>6282</v>
      </c>
      <c r="Y229" s="102">
        <f t="shared" ca="1" si="13"/>
        <v>3.97</v>
      </c>
      <c r="Z229" s="112">
        <f ca="1">ROUND(IF(ISNUMBER(R229),R229,IF(LEFT(R229,3)="BDI",HLOOKUP(R229,DADOS!$T$37:$X$38,2,FALSE),0)),15-11*$X$5)</f>
        <v>0.26379999999999998</v>
      </c>
      <c r="AA229" s="1"/>
    </row>
    <row r="230" spans="1:27" ht="25.5" x14ac:dyDescent="0.2">
      <c r="A230" t="str">
        <f t="shared" si="0"/>
        <v>S</v>
      </c>
      <c r="B230">
        <f t="shared" si="1"/>
        <v>0</v>
      </c>
      <c r="C230">
        <f t="shared" ca="1" si="2"/>
        <v>1</v>
      </c>
      <c r="D230">
        <f t="shared" ca="1" si="3"/>
        <v>21</v>
      </c>
      <c r="E230">
        <f t="shared" ca="1" si="4"/>
        <v>0</v>
      </c>
      <c r="F230">
        <f t="shared" ca="1" si="5"/>
        <v>0</v>
      </c>
      <c r="G230">
        <f t="shared" ca="1" si="6"/>
        <v>2</v>
      </c>
      <c r="H230">
        <f ca="1">IF(OR($A230="S",$A230=0),0,MATCH(0,OFFSET($B230,1,$A230,ROW($A$275)-ROW($A230)),0))</f>
        <v>0</v>
      </c>
      <c r="I230">
        <f ca="1">IF(OR($A230="S",$A230=0),0,MATCH(OFFSET($B230,0,$A230)+1,OFFSET($B230,1,$A230,ROW($A$275)-ROW($A230)),0))</f>
        <v>0</v>
      </c>
      <c r="J230" s="101" t="s">
        <v>103</v>
      </c>
      <c r="K230" s="137" t="str">
        <f t="shared" ca="1" si="7"/>
        <v>1.21.2.</v>
      </c>
      <c r="L230" s="176" t="s">
        <v>237</v>
      </c>
      <c r="M230" s="176" t="s">
        <v>288</v>
      </c>
      <c r="N230" s="197" t="str">
        <f t="shared" ca="1" si="18"/>
        <v>APLICAÇÃO MANUAL DE PINTURA COM TINTA TEXTURIZADA ACRÍLICA EM PAREDES EXTERNAS DE CASAS, UMA COR. AF_03/2024</v>
      </c>
      <c r="O230" s="196" t="str">
        <f ca="1">Referencia.Unidade</f>
        <v>M2</v>
      </c>
      <c r="P230" s="199">
        <f>2*24.12</f>
        <v>48.24</v>
      </c>
      <c r="Q230" s="195">
        <f t="shared" ca="1" si="58"/>
        <v>22.62</v>
      </c>
      <c r="R230" s="198" t="s">
        <v>7</v>
      </c>
      <c r="S230" s="102">
        <f t="shared" ca="1" si="8"/>
        <v>28.59</v>
      </c>
      <c r="T230" s="82">
        <f t="shared" ca="1" si="9"/>
        <v>1379.18</v>
      </c>
      <c r="U230" s="9" t="str">
        <f t="shared" ca="1" si="10"/>
        <v/>
      </c>
      <c r="V230" s="1" t="str">
        <f ca="1">IF(OR($A230=0,$A230="S",$A230&gt;CFF!$A$9),"",MAX(V$12:OFFSET(V230,-1,0))+1)</f>
        <v/>
      </c>
      <c r="W230" s="4" t="str">
        <f t="shared" si="11"/>
        <v>SINAPI-88423</v>
      </c>
      <c r="X230" s="1">
        <f t="shared" ca="1" si="12"/>
        <v>6287</v>
      </c>
      <c r="Y230" s="102">
        <f t="shared" ca="1" si="13"/>
        <v>22.62</v>
      </c>
      <c r="Z230" s="112">
        <f ca="1">ROUND(IF(ISNUMBER(R230),R230,IF(LEFT(R230,3)="BDI",HLOOKUP(R230,DADOS!$T$37:$X$38,2,FALSE),0)),15-11*$X$5)</f>
        <v>0.26379999999999998</v>
      </c>
      <c r="AA230" s="1"/>
    </row>
    <row r="231" spans="1:27" ht="25.5" x14ac:dyDescent="0.2">
      <c r="A231" t="str">
        <f t="shared" si="0"/>
        <v>S</v>
      </c>
      <c r="B231">
        <f t="shared" si="1"/>
        <v>0</v>
      </c>
      <c r="C231">
        <f t="shared" ca="1" si="2"/>
        <v>1</v>
      </c>
      <c r="D231">
        <f t="shared" ca="1" si="3"/>
        <v>21</v>
      </c>
      <c r="E231">
        <f t="shared" ca="1" si="4"/>
        <v>0</v>
      </c>
      <c r="F231">
        <f t="shared" ca="1" si="5"/>
        <v>0</v>
      </c>
      <c r="G231">
        <f t="shared" ca="1" si="6"/>
        <v>3</v>
      </c>
      <c r="H231">
        <f ca="1">IF(OR($A231="S",$A231=0),0,MATCH(0,OFFSET($B231,1,$A231,ROW($A$275)-ROW($A231)),0))</f>
        <v>0</v>
      </c>
      <c r="I231">
        <f ca="1">IF(OR($A231="S",$A231=0),0,MATCH(OFFSET($B231,0,$A231)+1,OFFSET($B231,1,$A231,ROW($A$275)-ROW($A231)),0))</f>
        <v>0</v>
      </c>
      <c r="J231" s="101" t="s">
        <v>103</v>
      </c>
      <c r="K231" s="137" t="str">
        <f t="shared" ca="1" si="7"/>
        <v>1.21.3.</v>
      </c>
      <c r="L231" s="176" t="s">
        <v>237</v>
      </c>
      <c r="M231" s="176" t="s">
        <v>288</v>
      </c>
      <c r="N231" s="197" t="str">
        <f t="shared" ca="1" si="18"/>
        <v>APLICAÇÃO MANUAL DE PINTURA COM TINTA TEXTURIZADA ACRÍLICA EM PAREDES EXTERNAS DE CASAS, UMA COR. AF_03/2024</v>
      </c>
      <c r="O231" s="196" t="str">
        <f ca="1">Referencia.Unidade</f>
        <v>M2</v>
      </c>
      <c r="P231" s="199">
        <f>2*110.81</f>
        <v>221.62</v>
      </c>
      <c r="Q231" s="195">
        <f t="shared" ca="1" si="58"/>
        <v>22.62</v>
      </c>
      <c r="R231" s="198" t="s">
        <v>7</v>
      </c>
      <c r="S231" s="102">
        <f t="shared" ca="1" si="8"/>
        <v>28.59</v>
      </c>
      <c r="T231" s="82">
        <f t="shared" ca="1" si="9"/>
        <v>6336.12</v>
      </c>
      <c r="U231" s="9" t="str">
        <f t="shared" ca="1" si="10"/>
        <v/>
      </c>
      <c r="V231" s="1" t="str">
        <f ca="1">IF(OR($A231=0,$A231="S",$A231&gt;CFF!$A$9),"",MAX(V$12:OFFSET(V231,-1,0))+1)</f>
        <v/>
      </c>
      <c r="W231" s="4" t="str">
        <f t="shared" si="11"/>
        <v>SINAPI-88423</v>
      </c>
      <c r="X231" s="1">
        <f t="shared" ca="1" si="12"/>
        <v>6287</v>
      </c>
      <c r="Y231" s="102">
        <f t="shared" ca="1" si="13"/>
        <v>22.62</v>
      </c>
      <c r="Z231" s="112">
        <f ca="1">ROUND(IF(ISNUMBER(R231),R231,IF(LEFT(R231,3)="BDI",HLOOKUP(R231,DADOS!$T$37:$X$38,2,FALSE),0)),15-11*$X$5)</f>
        <v>0.26379999999999998</v>
      </c>
      <c r="AA231" s="1"/>
    </row>
    <row r="232" spans="1:27" ht="25.5" x14ac:dyDescent="0.2">
      <c r="A232" t="str">
        <f t="shared" si="0"/>
        <v>S</v>
      </c>
      <c r="B232">
        <f t="shared" si="1"/>
        <v>0</v>
      </c>
      <c r="C232">
        <f t="shared" ca="1" si="2"/>
        <v>1</v>
      </c>
      <c r="D232">
        <f t="shared" ca="1" si="3"/>
        <v>21</v>
      </c>
      <c r="E232">
        <f t="shared" ca="1" si="4"/>
        <v>0</v>
      </c>
      <c r="F232">
        <f t="shared" ca="1" si="5"/>
        <v>0</v>
      </c>
      <c r="G232">
        <f t="shared" ca="1" si="6"/>
        <v>4</v>
      </c>
      <c r="H232">
        <f ca="1">IF(OR($A232="S",$A232=0),0,MATCH(0,OFFSET($B232,1,$A232,ROW($A$275)-ROW($A232)),0))</f>
        <v>0</v>
      </c>
      <c r="I232">
        <f ca="1">IF(OR($A232="S",$A232=0),0,MATCH(OFFSET($B232,0,$A232)+1,OFFSET($B232,1,$A232,ROW($A$275)-ROW($A232)),0))</f>
        <v>0</v>
      </c>
      <c r="J232" s="101" t="s">
        <v>103</v>
      </c>
      <c r="K232" s="137" t="str">
        <f t="shared" ca="1" si="7"/>
        <v>1.21.4.</v>
      </c>
      <c r="L232" s="176" t="s">
        <v>237</v>
      </c>
      <c r="M232" s="176" t="s">
        <v>288</v>
      </c>
      <c r="N232" s="197" t="str">
        <f t="shared" ca="1" si="18"/>
        <v>APLICAÇÃO MANUAL DE PINTURA COM TINTA TEXTURIZADA ACRÍLICA EM PAREDES EXTERNAS DE CASAS, UMA COR. AF_03/2024</v>
      </c>
      <c r="O232" s="196" t="str">
        <f ca="1">Referencia.Unidade</f>
        <v>M2</v>
      </c>
      <c r="P232" s="199">
        <f>2*18.27</f>
        <v>36.54</v>
      </c>
      <c r="Q232" s="195">
        <f t="shared" ca="1" si="58"/>
        <v>22.62</v>
      </c>
      <c r="R232" s="198" t="s">
        <v>7</v>
      </c>
      <c r="S232" s="102">
        <f t="shared" ca="1" si="8"/>
        <v>28.59</v>
      </c>
      <c r="T232" s="82">
        <f t="shared" ca="1" si="9"/>
        <v>1044.68</v>
      </c>
      <c r="U232" s="9" t="str">
        <f t="shared" ca="1" si="10"/>
        <v/>
      </c>
      <c r="V232" s="1" t="str">
        <f ca="1">IF(OR($A232=0,$A232="S",$A232&gt;CFF!$A$9),"",MAX(V$12:OFFSET(V232,-1,0))+1)</f>
        <v/>
      </c>
      <c r="W232" s="4" t="str">
        <f t="shared" si="11"/>
        <v>SINAPI-88423</v>
      </c>
      <c r="X232" s="1">
        <f t="shared" ca="1" si="12"/>
        <v>6287</v>
      </c>
      <c r="Y232" s="102">
        <f t="shared" ca="1" si="13"/>
        <v>22.62</v>
      </c>
      <c r="Z232" s="112">
        <f ca="1">ROUND(IF(ISNUMBER(R232),R232,IF(LEFT(R232,3)="BDI",HLOOKUP(R232,DADOS!$T$37:$X$38,2,FALSE),0)),15-11*$X$5)</f>
        <v>0.26379999999999998</v>
      </c>
      <c r="AA232" s="1"/>
    </row>
    <row r="233" spans="1:27" ht="25.5" x14ac:dyDescent="0.2">
      <c r="A233" t="str">
        <f t="shared" si="0"/>
        <v>S</v>
      </c>
      <c r="B233">
        <f t="shared" si="1"/>
        <v>0</v>
      </c>
      <c r="C233">
        <f t="shared" ca="1" si="2"/>
        <v>1</v>
      </c>
      <c r="D233">
        <f t="shared" ca="1" si="3"/>
        <v>21</v>
      </c>
      <c r="E233">
        <f t="shared" ca="1" si="4"/>
        <v>0</v>
      </c>
      <c r="F233">
        <f t="shared" ca="1" si="5"/>
        <v>0</v>
      </c>
      <c r="G233">
        <f t="shared" ca="1" si="6"/>
        <v>5</v>
      </c>
      <c r="H233">
        <f ca="1">IF(OR($A233="S",$A233=0),0,MATCH(0,OFFSET($B233,1,$A233,ROW($A$275)-ROW($A233)),0))</f>
        <v>0</v>
      </c>
      <c r="I233">
        <f ca="1">IF(OR($A233="S",$A233=0),0,MATCH(OFFSET($B233,0,$A233)+1,OFFSET($B233,1,$A233,ROW($A$275)-ROW($A233)),0))</f>
        <v>0</v>
      </c>
      <c r="J233" s="101" t="s">
        <v>103</v>
      </c>
      <c r="K233" s="137" t="str">
        <f t="shared" ca="1" si="7"/>
        <v>1.21.5.</v>
      </c>
      <c r="L233" s="176" t="s">
        <v>237</v>
      </c>
      <c r="M233" s="176" t="s">
        <v>288</v>
      </c>
      <c r="N233" s="197" t="str">
        <f t="shared" ca="1" si="18"/>
        <v>APLICAÇÃO MANUAL DE PINTURA COM TINTA TEXTURIZADA ACRÍLICA EM PAREDES EXTERNAS DE CASAS, UMA COR. AF_03/2024</v>
      </c>
      <c r="O233" s="196" t="str">
        <f ca="1">Referencia.Unidade</f>
        <v>M2</v>
      </c>
      <c r="P233" s="199">
        <f>2*8.76</f>
        <v>17.52</v>
      </c>
      <c r="Q233" s="195">
        <f t="shared" ca="1" si="58"/>
        <v>22.62</v>
      </c>
      <c r="R233" s="198" t="s">
        <v>7</v>
      </c>
      <c r="S233" s="102">
        <f t="shared" ca="1" si="8"/>
        <v>28.59</v>
      </c>
      <c r="T233" s="82">
        <f t="shared" ca="1" si="9"/>
        <v>500.9</v>
      </c>
      <c r="U233" s="9" t="str">
        <f t="shared" ca="1" si="10"/>
        <v/>
      </c>
      <c r="V233" s="1" t="str">
        <f ca="1">IF(OR($A233=0,$A233="S",$A233&gt;CFF!$A$9),"",MAX(V$12:OFFSET(V233,-1,0))+1)</f>
        <v/>
      </c>
      <c r="W233" s="4" t="str">
        <f t="shared" si="11"/>
        <v>SINAPI-88423</v>
      </c>
      <c r="X233" s="1">
        <f t="shared" ca="1" si="12"/>
        <v>6287</v>
      </c>
      <c r="Y233" s="102">
        <f t="shared" ca="1" si="13"/>
        <v>22.62</v>
      </c>
      <c r="Z233" s="112">
        <f ca="1">ROUND(IF(ISNUMBER(R233),R233,IF(LEFT(R233,3)="BDI",HLOOKUP(R233,DADOS!$T$37:$X$38,2,FALSE),0)),15-11*$X$5)</f>
        <v>0.26379999999999998</v>
      </c>
      <c r="AA233" s="1"/>
    </row>
    <row r="234" spans="1:27" ht="25.5" x14ac:dyDescent="0.2">
      <c r="A234" t="str">
        <f t="shared" si="0"/>
        <v>S</v>
      </c>
      <c r="B234">
        <f t="shared" si="1"/>
        <v>0</v>
      </c>
      <c r="C234">
        <f t="shared" ca="1" si="2"/>
        <v>1</v>
      </c>
      <c r="D234">
        <f t="shared" ca="1" si="3"/>
        <v>21</v>
      </c>
      <c r="E234">
        <f t="shared" ca="1" si="4"/>
        <v>0</v>
      </c>
      <c r="F234">
        <f t="shared" ca="1" si="5"/>
        <v>0</v>
      </c>
      <c r="G234">
        <f t="shared" ca="1" si="6"/>
        <v>6</v>
      </c>
      <c r="H234">
        <f ca="1">IF(OR($A234="S",$A234=0),0,MATCH(0,OFFSET($B234,1,$A234,ROW($A$275)-ROW($A234)),0))</f>
        <v>0</v>
      </c>
      <c r="I234">
        <f ca="1">IF(OR($A234="S",$A234=0),0,MATCH(OFFSET($B234,0,$A234)+1,OFFSET($B234,1,$A234,ROW($A$275)-ROW($A234)),0))</f>
        <v>0</v>
      </c>
      <c r="J234" s="101" t="s">
        <v>103</v>
      </c>
      <c r="K234" s="137" t="str">
        <f t="shared" ca="1" si="7"/>
        <v>1.21.6.</v>
      </c>
      <c r="L234" s="176" t="s">
        <v>237</v>
      </c>
      <c r="M234" s="176" t="s">
        <v>288</v>
      </c>
      <c r="N234" s="197" t="str">
        <f t="shared" ca="1" si="18"/>
        <v>APLICAÇÃO MANUAL DE PINTURA COM TINTA TEXTURIZADA ACRÍLICA EM PAREDES EXTERNAS DE CASAS, UMA COR. AF_03/2024</v>
      </c>
      <c r="O234" s="196" t="str">
        <f ca="1">Referencia.Unidade</f>
        <v>M2</v>
      </c>
      <c r="P234" s="199">
        <f>2*69.39</f>
        <v>138.78</v>
      </c>
      <c r="Q234" s="195">
        <f t="shared" ca="1" si="58"/>
        <v>22.62</v>
      </c>
      <c r="R234" s="198" t="s">
        <v>7</v>
      </c>
      <c r="S234" s="102">
        <f t="shared" ca="1" si="8"/>
        <v>28.59</v>
      </c>
      <c r="T234" s="82">
        <f t="shared" ca="1" si="9"/>
        <v>3967.72</v>
      </c>
      <c r="U234" s="9" t="str">
        <f t="shared" ca="1" si="10"/>
        <v/>
      </c>
      <c r="V234" s="1" t="str">
        <f ca="1">IF(OR($A234=0,$A234="S",$A234&gt;CFF!$A$9),"",MAX(V$12:OFFSET(V234,-1,0))+1)</f>
        <v/>
      </c>
      <c r="W234" s="4" t="str">
        <f t="shared" si="11"/>
        <v>SINAPI-88423</v>
      </c>
      <c r="X234" s="1">
        <f t="shared" ca="1" si="12"/>
        <v>6287</v>
      </c>
      <c r="Y234" s="102">
        <f t="shared" ca="1" si="13"/>
        <v>22.62</v>
      </c>
      <c r="Z234" s="112">
        <f ca="1">ROUND(IF(ISNUMBER(R234),R234,IF(LEFT(R234,3)="BDI",HLOOKUP(R234,DADOS!$T$37:$X$38,2,FALSE),0)),15-11*$X$5)</f>
        <v>0.26379999999999998</v>
      </c>
      <c r="AA234" s="1"/>
    </row>
    <row r="235" spans="1:27" ht="25.5" x14ac:dyDescent="0.2">
      <c r="A235" t="str">
        <f t="shared" si="0"/>
        <v>S</v>
      </c>
      <c r="B235">
        <f t="shared" si="1"/>
        <v>0</v>
      </c>
      <c r="C235">
        <f t="shared" ca="1" si="2"/>
        <v>1</v>
      </c>
      <c r="D235">
        <f t="shared" ca="1" si="3"/>
        <v>21</v>
      </c>
      <c r="E235">
        <f t="shared" ca="1" si="4"/>
        <v>0</v>
      </c>
      <c r="F235">
        <f t="shared" ca="1" si="5"/>
        <v>0</v>
      </c>
      <c r="G235">
        <f t="shared" ca="1" si="6"/>
        <v>7</v>
      </c>
      <c r="H235">
        <f ca="1">IF(OR($A235="S",$A235=0),0,MATCH(0,OFFSET($B235,1,$A235,ROW($A$275)-ROW($A235)),0))</f>
        <v>0</v>
      </c>
      <c r="I235">
        <f ca="1">IF(OR($A235="S",$A235=0),0,MATCH(OFFSET($B235,0,$A235)+1,OFFSET($B235,1,$A235,ROW($A$275)-ROW($A235)),0))</f>
        <v>0</v>
      </c>
      <c r="J235" s="101" t="s">
        <v>103</v>
      </c>
      <c r="K235" s="137" t="str">
        <f t="shared" ca="1" si="7"/>
        <v>1.21.7.</v>
      </c>
      <c r="L235" s="176" t="s">
        <v>237</v>
      </c>
      <c r="M235" s="176" t="s">
        <v>288</v>
      </c>
      <c r="N235" s="197" t="str">
        <f t="shared" ca="1" si="18"/>
        <v>APLICAÇÃO MANUAL DE PINTURA COM TINTA TEXTURIZADA ACRÍLICA EM PAREDES EXTERNAS DE CASAS, UMA COR. AF_03/2024</v>
      </c>
      <c r="O235" s="196" t="str">
        <f ca="1">Referencia.Unidade</f>
        <v>M2</v>
      </c>
      <c r="P235" s="199">
        <f>2*12.24</f>
        <v>24.48</v>
      </c>
      <c r="Q235" s="195">
        <f t="shared" ca="1" si="58"/>
        <v>22.62</v>
      </c>
      <c r="R235" s="198" t="s">
        <v>7</v>
      </c>
      <c r="S235" s="102">
        <f t="shared" ca="1" si="8"/>
        <v>28.59</v>
      </c>
      <c r="T235" s="82">
        <f t="shared" ca="1" si="9"/>
        <v>699.88</v>
      </c>
      <c r="U235" s="9" t="str">
        <f t="shared" ca="1" si="10"/>
        <v/>
      </c>
      <c r="V235" s="1" t="str">
        <f ca="1">IF(OR($A235=0,$A235="S",$A235&gt;CFF!$A$9),"",MAX(V$12:OFFSET(V235,-1,0))+1)</f>
        <v/>
      </c>
      <c r="W235" s="4" t="str">
        <f t="shared" si="11"/>
        <v>SINAPI-88423</v>
      </c>
      <c r="X235" s="1">
        <f t="shared" ca="1" si="12"/>
        <v>6287</v>
      </c>
      <c r="Y235" s="102">
        <f t="shared" ca="1" si="13"/>
        <v>22.62</v>
      </c>
      <c r="Z235" s="112">
        <f ca="1">ROUND(IF(ISNUMBER(R235),R235,IF(LEFT(R235,3)="BDI",HLOOKUP(R235,DADOS!$T$37:$X$38,2,FALSE),0)),15-11*$X$5)</f>
        <v>0.26379999999999998</v>
      </c>
      <c r="AA235" s="1"/>
    </row>
    <row r="236" spans="1:27" ht="25.5" x14ac:dyDescent="0.2">
      <c r="A236" t="str">
        <f t="shared" si="0"/>
        <v>S</v>
      </c>
      <c r="B236">
        <f t="shared" si="1"/>
        <v>0</v>
      </c>
      <c r="C236">
        <f t="shared" ca="1" si="2"/>
        <v>1</v>
      </c>
      <c r="D236">
        <f t="shared" ca="1" si="3"/>
        <v>21</v>
      </c>
      <c r="E236">
        <f t="shared" ca="1" si="4"/>
        <v>0</v>
      </c>
      <c r="F236">
        <f t="shared" ca="1" si="5"/>
        <v>0</v>
      </c>
      <c r="G236">
        <f t="shared" ca="1" si="6"/>
        <v>8</v>
      </c>
      <c r="H236">
        <f ca="1">IF(OR($A236="S",$A236=0),0,MATCH(0,OFFSET($B236,1,$A236,ROW($A$275)-ROW($A236)),0))</f>
        <v>0</v>
      </c>
      <c r="I236">
        <f ca="1">IF(OR($A236="S",$A236=0),0,MATCH(OFFSET($B236,0,$A236)+1,OFFSET($B236,1,$A236,ROW($A$275)-ROW($A236)),0))</f>
        <v>0</v>
      </c>
      <c r="J236" s="101" t="s">
        <v>103</v>
      </c>
      <c r="K236" s="137" t="str">
        <f t="shared" ca="1" si="7"/>
        <v>1.21.8.</v>
      </c>
      <c r="L236" s="176" t="s">
        <v>237</v>
      </c>
      <c r="M236" s="176" t="s">
        <v>288</v>
      </c>
      <c r="N236" s="197" t="str">
        <f t="shared" ca="1" si="18"/>
        <v>APLICAÇÃO MANUAL DE PINTURA COM TINTA TEXTURIZADA ACRÍLICA EM PAREDES EXTERNAS DE CASAS, UMA COR. AF_03/2024</v>
      </c>
      <c r="O236" s="196" t="str">
        <f ca="1">Referencia.Unidade</f>
        <v>M2</v>
      </c>
      <c r="P236" s="199">
        <f>2*214.95</f>
        <v>429.9</v>
      </c>
      <c r="Q236" s="195">
        <f t="shared" ca="1" si="58"/>
        <v>22.62</v>
      </c>
      <c r="R236" s="198" t="s">
        <v>7</v>
      </c>
      <c r="S236" s="102">
        <f t="shared" ca="1" si="8"/>
        <v>28.59</v>
      </c>
      <c r="T236" s="82">
        <f t="shared" ca="1" si="9"/>
        <v>12290.84</v>
      </c>
      <c r="U236" s="9" t="str">
        <f t="shared" ca="1" si="10"/>
        <v/>
      </c>
      <c r="V236" s="1" t="str">
        <f ca="1">IF(OR($A236=0,$A236="S",$A236&gt;CFF!$A$9),"",MAX(V$12:OFFSET(V236,-1,0))+1)</f>
        <v/>
      </c>
      <c r="W236" s="4" t="str">
        <f t="shared" si="11"/>
        <v>SINAPI-88423</v>
      </c>
      <c r="X236" s="1">
        <f t="shared" ca="1" si="12"/>
        <v>6287</v>
      </c>
      <c r="Y236" s="102">
        <f t="shared" ca="1" si="13"/>
        <v>22.62</v>
      </c>
      <c r="Z236" s="112">
        <f ca="1">ROUND(IF(ISNUMBER(R236),R236,IF(LEFT(R236,3)="BDI",HLOOKUP(R236,DADOS!$T$37:$X$38,2,FALSE),0)),15-11*$X$5)</f>
        <v>0.26379999999999998</v>
      </c>
      <c r="AA236" s="1"/>
    </row>
    <row r="237" spans="1:27" x14ac:dyDescent="0.2">
      <c r="A237" t="str">
        <f t="shared" si="0"/>
        <v>S</v>
      </c>
      <c r="B237">
        <f t="shared" si="1"/>
        <v>0</v>
      </c>
      <c r="C237">
        <f t="shared" ca="1" si="2"/>
        <v>1</v>
      </c>
      <c r="D237">
        <f t="shared" ca="1" si="3"/>
        <v>21</v>
      </c>
      <c r="E237">
        <f t="shared" ca="1" si="4"/>
        <v>0</v>
      </c>
      <c r="F237">
        <f t="shared" ca="1" si="5"/>
        <v>0</v>
      </c>
      <c r="G237">
        <f t="shared" ca="1" si="6"/>
        <v>9</v>
      </c>
      <c r="H237">
        <f ca="1">IF(OR($A237="S",$A237=0),0,MATCH(0,OFFSET($B237,1,$A237,ROW($A$275)-ROW($A237)),0))</f>
        <v>0</v>
      </c>
      <c r="I237">
        <f ca="1">IF(OR($A237="S",$A237=0),0,MATCH(OFFSET($B237,0,$A237)+1,OFFSET($B237,1,$A237,ROW($A$275)-ROW($A237)),0))</f>
        <v>0</v>
      </c>
      <c r="J237" s="101" t="s">
        <v>103</v>
      </c>
      <c r="K237" s="137" t="str">
        <f t="shared" ca="1" si="7"/>
        <v>1.21.9.</v>
      </c>
      <c r="L237" s="176" t="s">
        <v>237</v>
      </c>
      <c r="M237" s="176" t="s">
        <v>258</v>
      </c>
      <c r="N237" s="197" t="str">
        <f t="shared" ca="1" si="18"/>
        <v>PINTURA IMUNIZANTE PARA MADEIRA, 1 DEMÃO. AF_01/2021</v>
      </c>
      <c r="O237" s="196" t="str">
        <f ca="1">Referencia.Unidade</f>
        <v>M2</v>
      </c>
      <c r="P237" s="199">
        <f>632.91</f>
        <v>632.91</v>
      </c>
      <c r="Q237" s="195">
        <f t="shared" ca="1" si="58"/>
        <v>11.33</v>
      </c>
      <c r="R237" s="198" t="s">
        <v>7</v>
      </c>
      <c r="S237" s="102">
        <f t="shared" ca="1" si="8"/>
        <v>14.32</v>
      </c>
      <c r="T237" s="82">
        <f t="shared" ca="1" si="9"/>
        <v>9063.27</v>
      </c>
      <c r="U237" s="9" t="str">
        <f t="shared" ca="1" si="10"/>
        <v/>
      </c>
      <c r="V237" s="1" t="str">
        <f ca="1">IF(OR($A237=0,$A237="S",$A237&gt;CFF!$A$9),"",MAX(V$12:OFFSET(V237,-1,0))+1)</f>
        <v/>
      </c>
      <c r="W237" s="4" t="str">
        <f t="shared" si="11"/>
        <v>SINAPI-102233</v>
      </c>
      <c r="X237" s="1">
        <f t="shared" ca="1" si="12"/>
        <v>6350</v>
      </c>
      <c r="Y237" s="102">
        <f t="shared" ca="1" si="13"/>
        <v>11.33</v>
      </c>
      <c r="Z237" s="112">
        <f ca="1">ROUND(IF(ISNUMBER(R237),R237,IF(LEFT(R237,3)="BDI",HLOOKUP(R237,DADOS!$T$37:$X$38,2,FALSE),0)),15-11*$X$5)</f>
        <v>0.26379999999999998</v>
      </c>
      <c r="AA237" s="1"/>
    </row>
    <row r="238" spans="1:27" ht="25.5" x14ac:dyDescent="0.2">
      <c r="A238" t="str">
        <f>CHOOSE(1+LOG(1+2*(J238="Meta")+4*(J238="Nível 2")+8*(J238="Nível 3")+16*(J238="Nível 4")+32*(J238="Serviço"),2),0,1,2,3,4,"S")</f>
        <v>S</v>
      </c>
      <c r="B238">
        <f>IF(OR(A238="S",A238=0),0,IF(ISERROR(I238),H238,SMALL(H238:I238,1)))</f>
        <v>0</v>
      </c>
      <c r="C238">
        <f ca="1">IF($A238=1,OFFSET(C238,-1,0)+1,OFFSET(C238,-1,0))</f>
        <v>1</v>
      </c>
      <c r="D238">
        <f ca="1">IF($A238=1,0,IF($A238=2,OFFSET(D238,-1,0)+1,OFFSET(D238,-1,0)))</f>
        <v>21</v>
      </c>
      <c r="E238">
        <f ca="1">IF(AND($A238&lt;=2,$A238&lt;&gt;0),0,IF($A238=3,OFFSET(E238,-1,0)+1,OFFSET(E238,-1,0)))</f>
        <v>0</v>
      </c>
      <c r="F238">
        <f ca="1">IF(AND($A238&lt;=3,$A238&lt;&gt;0),0,IF($A238=4,OFFSET(F238,-1,0)+1,OFFSET(F238,-1,0)))</f>
        <v>0</v>
      </c>
      <c r="G238">
        <f ca="1">IF(AND($A238&lt;=4,$A238&lt;&gt;0),0,IF($A238="S",OFFSET(G238,-1,0)+1,OFFSET(G238,-1,0)))</f>
        <v>10</v>
      </c>
      <c r="H238">
        <f ca="1">IF(OR($A238="S",$A238=0),0,MATCH(0,OFFSET($B238,1,$A238,ROW($A$275)-ROW($A238)),0))</f>
        <v>0</v>
      </c>
      <c r="I238">
        <f ca="1">IF(OR($A238="S",$A238=0),0,MATCH(OFFSET($B238,0,$A238)+1,OFFSET($B238,1,$A238,ROW($A$275)-ROW($A238)),0))</f>
        <v>0</v>
      </c>
      <c r="J238" s="101" t="s">
        <v>103</v>
      </c>
      <c r="K238" s="137" t="str">
        <f ca="1">IF($A238=0,"-",CONCATENATE(C238&amp;".",IF(AND($A$5&gt;=2,$A238&gt;=2),D238&amp;".",""),IF(AND($A$5&gt;=3,$A238&gt;=3),E238&amp;".",""),IF(AND($A$5&gt;=4,$A238&gt;=4),F238&amp;".",""),IF($A238="S",G238&amp;".","")))</f>
        <v>1.21.10.</v>
      </c>
      <c r="L238" s="176" t="s">
        <v>237</v>
      </c>
      <c r="M238" s="176" t="s">
        <v>341</v>
      </c>
      <c r="N238" s="197" t="str">
        <f ca="1">IF($A238="S",Referencia.Descricao,"(digite a descrição aqui)")</f>
        <v>PINTURA DE PISO COM TINTA ACRÍLICA, APLICAÇÃO MANUAL, 3 DEMÃOS, INCLUSO FUNDO PREPARADOR. AF_05/2021</v>
      </c>
      <c r="O238" s="196" t="str">
        <f ca="1">Referencia.Unidade</f>
        <v>M2</v>
      </c>
      <c r="P238" s="199">
        <f>167.09</f>
        <v>167.09</v>
      </c>
      <c r="Q238" s="195">
        <f t="shared" ca="1" si="58"/>
        <v>26.13</v>
      </c>
      <c r="R238" s="198" t="s">
        <v>7</v>
      </c>
      <c r="S238" s="102">
        <f t="shared" ref="S238:S255" ca="1" si="59">IF($A238="S",IF($Q$10="Preço Unitário (R$)",PO.CustoUnitario,ROUND(PO.CustoUnitario*(1+$Z238),15-13*$X$6)),0)</f>
        <v>33.020000000000003</v>
      </c>
      <c r="T238" s="82">
        <f t="shared" ref="T238:T255" ca="1" si="60">IF($A238="S",VTOTAL1,IF($A238=0,0,ROUND(SomaAgrup,15-13*$X$7)))</f>
        <v>5517.31</v>
      </c>
      <c r="U238" s="9" t="str">
        <f ca="1">IF($J238="","",IF($N238="","DESCRIÇÃO",IF(AND($J238="Serviço",$O238=""),"UNIDADE",IF($T238&lt;=0,"SEM VALOR",IF(AND($Y238&lt;&gt;"",$Q238&gt;$Y238),"ACIMA REF.","")))))</f>
        <v/>
      </c>
      <c r="V238" s="1" t="str">
        <f ca="1">IF(OR($A238=0,$A238="S",$A238&gt;CFF!$A$9),"",MAX(V$12:OFFSET(V238,-1,0))+1)</f>
        <v/>
      </c>
      <c r="W238" s="4" t="str">
        <f>IF(AND($J238="Serviço",$M238&lt;&gt;""),IF($L238="",$M238,CONCATENATE($L238,"-",$M238)))</f>
        <v>SINAPI-102492</v>
      </c>
      <c r="X238" s="1">
        <f t="shared" ref="X238:X255" ca="1" si="61">IF(AND(Fonte&lt;&gt;"",Código&lt;&gt;""),MATCH(Fonte&amp;" "&amp;IF(Fonte="sinapi",SUBSTITUTE(SUBSTITUTE(Código,"/00","/"),"/0","/"),Código),INDIRECT("'[Referência "&amp;_xlnm.Database&amp;".xls]Banco'!$a:$a"),0),"X")</f>
        <v>6396</v>
      </c>
      <c r="Y238" s="102">
        <f ca="1">IF(Import.Desoneracao="sim",Referencia.Desonerado,Referencia.NaoDesonerado)</f>
        <v>26.13</v>
      </c>
      <c r="Z238" s="112">
        <f ca="1">ROUND(IF(ISNUMBER(R238),R238,IF(LEFT(R238,3)="BDI",HLOOKUP(R238,DADOS!$T$37:$X$38,2,FALSE),0)),15-11*$X$5)</f>
        <v>0.26379999999999998</v>
      </c>
      <c r="AA238" s="1"/>
    </row>
    <row r="239" spans="1:27" x14ac:dyDescent="0.2">
      <c r="A239">
        <f t="shared" ref="A239:A255" si="62">CHOOSE(1+LOG(1+2*(J239="Meta")+4*(J239="Nível 2")+8*(J239="Nível 3")+16*(J239="Nível 4")+32*(J239="Serviço"),2),0,1,2,3,4,"S")</f>
        <v>2</v>
      </c>
      <c r="B239">
        <f t="shared" ref="B239:B255" ca="1" si="63">IF(OR(A239="S",A239=0),0,IF(ISERROR(I239),H239,SMALL(H239:I239,1)))</f>
        <v>17</v>
      </c>
      <c r="C239">
        <f t="shared" ref="C239:C255" ca="1" si="64">IF($A239=1,OFFSET(C239,-1,0)+1,OFFSET(C239,-1,0))</f>
        <v>1</v>
      </c>
      <c r="D239">
        <f t="shared" ref="D239:D255" ca="1" si="65">IF($A239=1,0,IF($A239=2,OFFSET(D239,-1,0)+1,OFFSET(D239,-1,0)))</f>
        <v>22</v>
      </c>
      <c r="E239">
        <f t="shared" ref="E239:E255" ca="1" si="66">IF(AND($A239&lt;=2,$A239&lt;&gt;0),0,IF($A239=3,OFFSET(E239,-1,0)+1,OFFSET(E239,-1,0)))</f>
        <v>0</v>
      </c>
      <c r="F239">
        <f t="shared" ref="F239:F255" ca="1" si="67">IF(AND($A239&lt;=3,$A239&lt;&gt;0),0,IF($A239=4,OFFSET(F239,-1,0)+1,OFFSET(F239,-1,0)))</f>
        <v>0</v>
      </c>
      <c r="G239">
        <f t="shared" ref="G239:G255" ca="1" si="68">IF(AND($A239&lt;=4,$A239&lt;&gt;0),0,IF($A239="S",OFFSET(G239,-1,0)+1,OFFSET(G239,-1,0)))</f>
        <v>0</v>
      </c>
      <c r="H239">
        <f ca="1">IF(OR($A239="S",$A239=0),0,MATCH(0,OFFSET($B239,1,$A239,ROW($A$275)-ROW($A239)),0))</f>
        <v>36</v>
      </c>
      <c r="I239">
        <f ca="1">IF(OR($A239="S",$A239=0),0,MATCH(OFFSET($B239,0,$A239)+1,OFFSET($B239,1,$A239,ROW($A$275)-ROW($A239)),0))</f>
        <v>17</v>
      </c>
      <c r="J239" s="101" t="s">
        <v>100</v>
      </c>
      <c r="K239" s="137" t="str">
        <f t="shared" ref="K239:K255" ca="1" si="69">IF($A239=0,"-",CONCATENATE(C239&amp;".",IF(AND($A$5&gt;=2,$A239&gt;=2),D239&amp;".",""),IF(AND($A$5&gt;=3,$A239&gt;=3),E239&amp;".",""),IF(AND($A$5&gt;=4,$A239&gt;=4),F239&amp;".",""),IF($A239="S",G239&amp;".","")))</f>
        <v>1.22.</v>
      </c>
      <c r="L239" s="176"/>
      <c r="M239" s="176"/>
      <c r="N239" s="197" t="s">
        <v>344</v>
      </c>
      <c r="O239" s="196" t="str">
        <f ca="1">Referencia.Unidade</f>
        <v/>
      </c>
      <c r="P239" s="199"/>
      <c r="Q239" s="195"/>
      <c r="R239" s="198" t="s">
        <v>7</v>
      </c>
      <c r="S239" s="102">
        <f t="shared" si="59"/>
        <v>0</v>
      </c>
      <c r="T239" s="82">
        <f t="shared" ca="1" si="60"/>
        <v>36358.61</v>
      </c>
      <c r="U239" s="9" t="str">
        <f t="shared" ref="U239:U255" ca="1" si="70">IF($J239="","",IF($N239="","DESCRIÇÃO",IF(AND($J239="Serviço",$O239=""),"UNIDADE",IF($T239&lt;=0,"SEM VALOR",IF(AND($Y239&lt;&gt;"",$Q239&gt;$Y239),"ACIMA REF.","")))))</f>
        <v/>
      </c>
      <c r="V239" s="1">
        <f ca="1">IF(OR($A239=0,$A239="S",$A239&gt;CFF!$A$9),"",MAX(V$12:OFFSET(V239,-1,0))+1)</f>
        <v>23</v>
      </c>
      <c r="W239" s="4" t="b">
        <f t="shared" ref="W239:W255" si="71">IF(AND($J239="Serviço",$M239&lt;&gt;""),IF($L239="",$M239,CONCATENATE($L239,"-",$M239)))</f>
        <v>0</v>
      </c>
      <c r="X239" s="1" t="str">
        <f t="shared" ca="1" si="61"/>
        <v>X</v>
      </c>
      <c r="Y239" s="102">
        <f ca="1">IF(Import.Desoneracao="sim",Referencia.Desonerado,Referencia.NaoDesonerado)</f>
        <v>0</v>
      </c>
      <c r="Z239" s="112">
        <f ca="1">ROUND(IF(ISNUMBER(R239),R239,IF(LEFT(R239,3)="BDI",HLOOKUP(R239,DADOS!$T$37:$X$38,2,FALSE),0)),15-11*$X$5)</f>
        <v>0.26379999999999998</v>
      </c>
      <c r="AA239" s="1"/>
    </row>
    <row r="240" spans="1:27" ht="38.25" x14ac:dyDescent="0.2">
      <c r="A240" t="str">
        <f t="shared" si="62"/>
        <v>S</v>
      </c>
      <c r="B240">
        <f t="shared" si="63"/>
        <v>0</v>
      </c>
      <c r="C240">
        <f t="shared" ca="1" si="64"/>
        <v>1</v>
      </c>
      <c r="D240">
        <f t="shared" ca="1" si="65"/>
        <v>22</v>
      </c>
      <c r="E240">
        <f t="shared" ca="1" si="66"/>
        <v>0</v>
      </c>
      <c r="F240">
        <f t="shared" ca="1" si="67"/>
        <v>0</v>
      </c>
      <c r="G240">
        <f t="shared" ca="1" si="68"/>
        <v>1</v>
      </c>
      <c r="H240">
        <f ca="1">IF(OR($A240="S",$A240=0),0,MATCH(0,OFFSET($B240,1,$A240,ROW($A$275)-ROW($A240)),0))</f>
        <v>0</v>
      </c>
      <c r="I240">
        <f ca="1">IF(OR($A240="S",$A240=0),0,MATCH(OFFSET($B240,0,$A240)+1,OFFSET($B240,1,$A240,ROW($A$275)-ROW($A240)),0))</f>
        <v>0</v>
      </c>
      <c r="J240" s="101" t="s">
        <v>103</v>
      </c>
      <c r="K240" s="137" t="str">
        <f t="shared" ca="1" si="69"/>
        <v>1.22.1.</v>
      </c>
      <c r="L240" s="176" t="s">
        <v>237</v>
      </c>
      <c r="M240" s="176" t="s">
        <v>362</v>
      </c>
      <c r="N240" s="197" t="str">
        <f ca="1">IF($A240="S",Referencia.Descricao,"(digite a descrição aqui)")</f>
        <v>TANQUE DE LOUÇA BRANCA COM COLUNA, 30L OU EQUIVALENTE, INCLUSO SIFÃO FLEXÍVEL EM PVC, VÁLVULA PLÁSTICA E TORNEIRA DE PLÁSTICO - FORNECIMENTO E INSTALAÇÃO. AF_01/2020</v>
      </c>
      <c r="O240" s="196" t="str">
        <f ca="1">Referencia.Unidade</f>
        <v>UN</v>
      </c>
      <c r="P240" s="199">
        <v>1</v>
      </c>
      <c r="Q240" s="195">
        <f t="shared" ref="Q240:Q255" ca="1" si="72">IF(Import.Desoneracao="sim",Referencia.Desonerado,Referencia.NaoDesonerado)</f>
        <v>756.65</v>
      </c>
      <c r="R240" s="198" t="s">
        <v>7</v>
      </c>
      <c r="S240" s="102">
        <f t="shared" ca="1" si="59"/>
        <v>956.25</v>
      </c>
      <c r="T240" s="82">
        <f t="shared" ca="1" si="60"/>
        <v>956.25</v>
      </c>
      <c r="U240" s="9" t="str">
        <f t="shared" ca="1" si="70"/>
        <v/>
      </c>
      <c r="V240" s="1" t="str">
        <f ca="1">IF(OR($A240=0,$A240="S",$A240&gt;CFF!$A$9),"",MAX(V$12:OFFSET(V240,-1,0))+1)</f>
        <v/>
      </c>
      <c r="W240" s="4" t="str">
        <f t="shared" si="71"/>
        <v>SINAPI-86921</v>
      </c>
      <c r="X240" s="1">
        <f t="shared" ca="1" si="61"/>
        <v>5296</v>
      </c>
      <c r="Y240" s="102">
        <f ca="1">IF(Import.Desoneracao="sim",Referencia.Desonerado,Referencia.NaoDesonerado)</f>
        <v>756.65</v>
      </c>
      <c r="Z240" s="112">
        <f ca="1">ROUND(IF(ISNUMBER(R240),R240,IF(LEFT(R240,3)="BDI",HLOOKUP(R240,DADOS!$T$37:$X$38,2,FALSE),0)),15-11*$X$5)</f>
        <v>0.26379999999999998</v>
      </c>
      <c r="AA240" s="1"/>
    </row>
    <row r="241" spans="1:27" ht="51" x14ac:dyDescent="0.2">
      <c r="A241" t="str">
        <f t="shared" si="62"/>
        <v>S</v>
      </c>
      <c r="B241">
        <f t="shared" si="63"/>
        <v>0</v>
      </c>
      <c r="C241">
        <f t="shared" ca="1" si="64"/>
        <v>1</v>
      </c>
      <c r="D241">
        <f t="shared" ca="1" si="65"/>
        <v>22</v>
      </c>
      <c r="E241">
        <f t="shared" ca="1" si="66"/>
        <v>0</v>
      </c>
      <c r="F241">
        <f t="shared" ca="1" si="67"/>
        <v>0</v>
      </c>
      <c r="G241">
        <f t="shared" ca="1" si="68"/>
        <v>2</v>
      </c>
      <c r="H241">
        <f ca="1">IF(OR($A241="S",$A241=0),0,MATCH(0,OFFSET($B241,1,$A241,ROW($A$275)-ROW($A241)),0))</f>
        <v>0</v>
      </c>
      <c r="I241">
        <f ca="1">IF(OR($A241="S",$A241=0),0,MATCH(OFFSET($B241,0,$A241)+1,OFFSET($B241,1,$A241,ROW($A$275)-ROW($A241)),0))</f>
        <v>0</v>
      </c>
      <c r="J241" s="101" t="s">
        <v>103</v>
      </c>
      <c r="K241" s="137" t="str">
        <f t="shared" ca="1" si="69"/>
        <v>1.22.2.</v>
      </c>
      <c r="L241" s="176" t="s">
        <v>238</v>
      </c>
      <c r="M241" s="176" t="s">
        <v>363</v>
      </c>
      <c r="N241" s="197" t="str">
        <f ca="1">IF($A241="S",Referencia.Descricao,"(digite a descrição aqui)")</f>
        <v>BANCADA GRANITO CINZA  450 X 60 CM, COM CUBA DE EMBUTIR DE AÇO, VÁLVULA AMERICANA EM METAL, SIFÃO FLEXÍVEL EM PVC, ENGATE FLEXÍVEL 30 CM, TORNEIRA CROMADA LONGA, DE PAREDE, 1/2" OU 3/4", P/ COZINHA, PADRÃO POPULAR - FORNEC. E INSTALAÇÃO. AF_01/2020</v>
      </c>
      <c r="O241" s="196" t="str">
        <f ca="1">Referencia.Unidade</f>
        <v>UND</v>
      </c>
      <c r="P241" s="199">
        <v>1</v>
      </c>
      <c r="Q241" s="195">
        <f t="shared" ca="1" si="72"/>
        <v>3019.44</v>
      </c>
      <c r="R241" s="198" t="s">
        <v>7</v>
      </c>
      <c r="S241" s="102">
        <f t="shared" ca="1" si="59"/>
        <v>3815.97</v>
      </c>
      <c r="T241" s="82">
        <f t="shared" ca="1" si="60"/>
        <v>3815.97</v>
      </c>
      <c r="U241" s="9" t="str">
        <f t="shared" ca="1" si="70"/>
        <v/>
      </c>
      <c r="V241" s="1" t="str">
        <f ca="1">IF(OR($A241=0,$A241="S",$A241&gt;CFF!$A$9),"",MAX(V$12:OFFSET(V241,-1,0))+1)</f>
        <v/>
      </c>
      <c r="W241" s="4" t="str">
        <f t="shared" si="71"/>
        <v>COMPOSIÇÃO-COMP18</v>
      </c>
      <c r="X241" s="1">
        <f t="shared" ca="1" si="61"/>
        <v>24</v>
      </c>
      <c r="Y241" s="102">
        <f ca="1">IF(Import.Desoneracao="sim",Referencia.Desonerado,Referencia.NaoDesonerado)</f>
        <v>3019.44</v>
      </c>
      <c r="Z241" s="112">
        <f ca="1">ROUND(IF(ISNUMBER(R241),R241,IF(LEFT(R241,3)="BDI",HLOOKUP(R241,DADOS!$T$37:$X$38,2,FALSE),0)),15-11*$X$5)</f>
        <v>0.26379999999999998</v>
      </c>
      <c r="AA241" s="1"/>
    </row>
    <row r="242" spans="1:27" ht="25.5" x14ac:dyDescent="0.2">
      <c r="A242" t="str">
        <f>CHOOSE(1+LOG(1+2*(J242="Meta")+4*(J242="Nível 2")+8*(J242="Nível 3")+16*(J242="Nível 4")+32*(J242="Serviço"),2),0,1,2,3,4,"S")</f>
        <v>S</v>
      </c>
      <c r="B242">
        <f>IF(OR(A242="S",A242=0),0,IF(ISERROR(I242),H242,SMALL(H242:I242,1)))</f>
        <v>0</v>
      </c>
      <c r="C242">
        <f ca="1">IF($A242=1,OFFSET(C242,-1,0)+1,OFFSET(C242,-1,0))</f>
        <v>1</v>
      </c>
      <c r="D242">
        <f ca="1">IF($A242=1,0,IF($A242=2,OFFSET(D242,-1,0)+1,OFFSET(D242,-1,0)))</f>
        <v>22</v>
      </c>
      <c r="E242">
        <f ca="1">IF(AND($A242&lt;=2,$A242&lt;&gt;0),0,IF($A242=3,OFFSET(E242,-1,0)+1,OFFSET(E242,-1,0)))</f>
        <v>0</v>
      </c>
      <c r="F242">
        <f ca="1">IF(AND($A242&lt;=3,$A242&lt;&gt;0),0,IF($A242=4,OFFSET(F242,-1,0)+1,OFFSET(F242,-1,0)))</f>
        <v>0</v>
      </c>
      <c r="G242">
        <f ca="1">IF(AND($A242&lt;=4,$A242&lt;&gt;0),0,IF($A242="S",OFFSET(G242,-1,0)+1,OFFSET(G242,-1,0)))</f>
        <v>3</v>
      </c>
      <c r="H242">
        <f ca="1">IF(OR($A242="S",$A242=0),0,MATCH(0,OFFSET($B242,1,$A242,ROW($A$275)-ROW($A242)),0))</f>
        <v>0</v>
      </c>
      <c r="I242">
        <f ca="1">IF(OR($A242="S",$A242=0),0,MATCH(OFFSET($B242,0,$A242)+1,OFFSET($B242,1,$A242,ROW($A$275)-ROW($A242)),0))</f>
        <v>0</v>
      </c>
      <c r="J242" s="101" t="s">
        <v>103</v>
      </c>
      <c r="K242" s="137" t="str">
        <f ca="1">IF($A242=0,"-",CONCATENATE(C242&amp;".",IF(AND($A$5&gt;=2,$A242&gt;=2),D242&amp;".",""),IF(AND($A$5&gt;=3,$A242&gt;=3),E242&amp;".",""),IF(AND($A$5&gt;=4,$A242&gt;=4),F242&amp;".",""),IF($A242="S",G242&amp;".","")))</f>
        <v>1.22.3.</v>
      </c>
      <c r="L242" s="176" t="s">
        <v>237</v>
      </c>
      <c r="M242" s="176" t="s">
        <v>345</v>
      </c>
      <c r="N242" s="197" t="str">
        <f ca="1">IF($A242="S",Referencia.Descricao,"(digite a descrição aqui)")</f>
        <v>VASO SANITÁRIO INFANTIL LOUÇA BRANCA - FORNECIMENTO E INSTALACAO. AF_01/2020</v>
      </c>
      <c r="O242" s="196" t="str">
        <f ca="1">Referencia.Unidade</f>
        <v>UN</v>
      </c>
      <c r="P242" s="199">
        <v>5</v>
      </c>
      <c r="Q242" s="195">
        <f t="shared" ca="1" si="72"/>
        <v>541.70000000000005</v>
      </c>
      <c r="R242" s="198" t="s">
        <v>7</v>
      </c>
      <c r="S242" s="102">
        <f t="shared" ca="1" si="59"/>
        <v>684.6</v>
      </c>
      <c r="T242" s="82">
        <f t="shared" ca="1" si="60"/>
        <v>3423</v>
      </c>
      <c r="U242" s="9" t="str">
        <f ca="1">IF($J242="","",IF($N242="","DESCRIÇÃO",IF(AND($J242="Serviço",$O242=""),"UNIDADE",IF($T242&lt;=0,"SEM VALOR",IF(AND($Y242&lt;&gt;"",$Q242&gt;$Y242),"ACIMA REF.","")))))</f>
        <v/>
      </c>
      <c r="V242" s="1" t="str">
        <f ca="1">IF(OR($A242=0,$A242="S",$A242&gt;CFF!$A$9),"",MAX(V$12:OFFSET(V242,-1,0))+1)</f>
        <v/>
      </c>
      <c r="W242" s="4" t="str">
        <f>IF(AND($J242="Serviço",$M242&lt;&gt;""),IF($L242="",$M242,CONCATENATE($L242,"-",$M242)))</f>
        <v>SINAPI-100848</v>
      </c>
      <c r="X242" s="1">
        <f t="shared" ca="1" si="61"/>
        <v>5333</v>
      </c>
      <c r="Y242" s="102">
        <f ca="1">IF(Import.Desoneracao="sim",Referencia.Desonerado,Referencia.NaoDesonerado)</f>
        <v>541.70000000000005</v>
      </c>
      <c r="Z242" s="112">
        <f ca="1">ROUND(IF(ISNUMBER(R242),R242,IF(LEFT(R242,3)="BDI",HLOOKUP(R242,DADOS!$T$37:$X$38,2,FALSE),0)),15-11*$X$5)</f>
        <v>0.26379999999999998</v>
      </c>
      <c r="AA242" s="1"/>
    </row>
    <row r="243" spans="1:27" ht="38.25" x14ac:dyDescent="0.2">
      <c r="A243" t="str">
        <f t="shared" si="62"/>
        <v>S</v>
      </c>
      <c r="B243">
        <f t="shared" si="63"/>
        <v>0</v>
      </c>
      <c r="C243">
        <f t="shared" ca="1" si="64"/>
        <v>1</v>
      </c>
      <c r="D243">
        <f t="shared" ca="1" si="65"/>
        <v>22</v>
      </c>
      <c r="E243">
        <f t="shared" ca="1" si="66"/>
        <v>0</v>
      </c>
      <c r="F243">
        <f t="shared" ca="1" si="67"/>
        <v>0</v>
      </c>
      <c r="G243">
        <f t="shared" ca="1" si="68"/>
        <v>4</v>
      </c>
      <c r="H243">
        <f ca="1">IF(OR($A243="S",$A243=0),0,MATCH(0,OFFSET($B243,1,$A243,ROW($A$275)-ROW($A243)),0))</f>
        <v>0</v>
      </c>
      <c r="I243">
        <f ca="1">IF(OR($A243="S",$A243=0),0,MATCH(OFFSET($B243,0,$A243)+1,OFFSET($B243,1,$A243,ROW($A$275)-ROW($A243)),0))</f>
        <v>0</v>
      </c>
      <c r="J243" s="101" t="s">
        <v>103</v>
      </c>
      <c r="K243" s="137" t="str">
        <f t="shared" ca="1" si="69"/>
        <v>1.22.4.</v>
      </c>
      <c r="L243" s="176" t="s">
        <v>237</v>
      </c>
      <c r="M243" s="176" t="s">
        <v>346</v>
      </c>
      <c r="N243" s="197" t="str">
        <f ca="1">IF($A243="S",Referencia.Descricao,"(digite a descrição aqui)")</f>
        <v>VASO SANITÁRIO SIFONADO COM CAIXA ACOPLADA LOUÇA BRANCA - PADRÃO MÉDIO, INCLUSO ENGATE FLEXÍVEL EM METAL CROMADO, 1/2  X 40CM - FORNECIMENTO E INSTALAÇÃO. AF_01/2020</v>
      </c>
      <c r="O243" s="196" t="str">
        <f ca="1">Referencia.Unidade</f>
        <v>UN</v>
      </c>
      <c r="P243" s="199">
        <v>5</v>
      </c>
      <c r="Q243" s="195">
        <f t="shared" ca="1" si="72"/>
        <v>557.62</v>
      </c>
      <c r="R243" s="198" t="s">
        <v>7</v>
      </c>
      <c r="S243" s="102">
        <f t="shared" ca="1" si="59"/>
        <v>704.72</v>
      </c>
      <c r="T243" s="82">
        <f t="shared" ca="1" si="60"/>
        <v>3523.6</v>
      </c>
      <c r="U243" s="9" t="str">
        <f t="shared" ca="1" si="70"/>
        <v/>
      </c>
      <c r="V243" s="1" t="str">
        <f ca="1">IF(OR($A243=0,$A243="S",$A243&gt;CFF!$A$9),"",MAX(V$12:OFFSET(V243,-1,0))+1)</f>
        <v/>
      </c>
      <c r="W243" s="4" t="str">
        <f t="shared" si="71"/>
        <v>SINAPI-86932</v>
      </c>
      <c r="X243" s="1">
        <f t="shared" ca="1" si="61"/>
        <v>5307</v>
      </c>
      <c r="Y243" s="102">
        <f ca="1">IF(Import.Desoneracao="sim",Referencia.Desonerado,Referencia.NaoDesonerado)</f>
        <v>557.62</v>
      </c>
      <c r="Z243" s="112">
        <f ca="1">ROUND(IF(ISNUMBER(R243),R243,IF(LEFT(R243,3)="BDI",HLOOKUP(R243,DADOS!$T$37:$X$38,2,FALSE),0)),15-11*$X$5)</f>
        <v>0.26379999999999998</v>
      </c>
      <c r="AA243" s="1"/>
    </row>
    <row r="244" spans="1:27" ht="25.5" x14ac:dyDescent="0.2">
      <c r="A244" t="str">
        <f t="shared" si="62"/>
        <v>S</v>
      </c>
      <c r="B244">
        <f t="shared" si="63"/>
        <v>0</v>
      </c>
      <c r="C244">
        <f t="shared" ca="1" si="64"/>
        <v>1</v>
      </c>
      <c r="D244">
        <f t="shared" ca="1" si="65"/>
        <v>22</v>
      </c>
      <c r="E244">
        <f t="shared" ca="1" si="66"/>
        <v>0</v>
      </c>
      <c r="F244">
        <f t="shared" ca="1" si="67"/>
        <v>0</v>
      </c>
      <c r="G244">
        <f t="shared" ca="1" si="68"/>
        <v>5</v>
      </c>
      <c r="H244">
        <f ca="1">IF(OR($A244="S",$A244=0),0,MATCH(0,OFFSET($B244,1,$A244,ROW($A$275)-ROW($A244)),0))</f>
        <v>0</v>
      </c>
      <c r="I244">
        <f ca="1">IF(OR($A244="S",$A244=0),0,MATCH(OFFSET($B244,0,$A244)+1,OFFSET($B244,1,$A244,ROW($A$275)-ROW($A244)),0))</f>
        <v>0</v>
      </c>
      <c r="J244" s="101" t="s">
        <v>103</v>
      </c>
      <c r="K244" s="137" t="str">
        <f t="shared" ca="1" si="69"/>
        <v>1.22.5.</v>
      </c>
      <c r="L244" s="176" t="s">
        <v>237</v>
      </c>
      <c r="M244" s="176" t="s">
        <v>347</v>
      </c>
      <c r="N244" s="197" t="str">
        <f ca="1">IF($A244="S",Referencia.Descricao,"(digite a descrição aqui)")</f>
        <v>PUXADOR PARA PCD, FIXADO NA PORTA - FORNECIMENTO E INSTALAÇÃO. AF_01/2020</v>
      </c>
      <c r="O244" s="196" t="str">
        <f ca="1">Referencia.Unidade</f>
        <v>UN</v>
      </c>
      <c r="P244" s="199">
        <v>2</v>
      </c>
      <c r="Q244" s="195">
        <f t="shared" ca="1" si="72"/>
        <v>399.37</v>
      </c>
      <c r="R244" s="198" t="s">
        <v>7</v>
      </c>
      <c r="S244" s="102">
        <f t="shared" ca="1" si="59"/>
        <v>504.72</v>
      </c>
      <c r="T244" s="82">
        <f t="shared" ca="1" si="60"/>
        <v>1009.44</v>
      </c>
      <c r="U244" s="9" t="str">
        <f t="shared" ca="1" si="70"/>
        <v/>
      </c>
      <c r="V244" s="1" t="str">
        <f ca="1">IF(OR($A244=0,$A244="S",$A244&gt;CFF!$A$9),"",MAX(V$12:OFFSET(V244,-1,0))+1)</f>
        <v/>
      </c>
      <c r="W244" s="4" t="str">
        <f t="shared" si="71"/>
        <v>SINAPI-100874</v>
      </c>
      <c r="X244" s="1">
        <f t="shared" ca="1" si="61"/>
        <v>5357</v>
      </c>
      <c r="Y244" s="102">
        <f ca="1">IF(Import.Desoneracao="sim",Referencia.Desonerado,Referencia.NaoDesonerado)</f>
        <v>399.37</v>
      </c>
      <c r="Z244" s="112">
        <f ca="1">ROUND(IF(ISNUMBER(R244),R244,IF(LEFT(R244,3)="BDI",HLOOKUP(R244,DADOS!$T$37:$X$38,2,FALSE),0)),15-11*$X$5)</f>
        <v>0.26379999999999998</v>
      </c>
      <c r="AA244" s="1"/>
    </row>
    <row r="245" spans="1:27" ht="25.5" x14ac:dyDescent="0.2">
      <c r="A245" t="str">
        <f t="shared" si="62"/>
        <v>S</v>
      </c>
      <c r="B245">
        <f t="shared" si="63"/>
        <v>0</v>
      </c>
      <c r="C245">
        <f t="shared" ca="1" si="64"/>
        <v>1</v>
      </c>
      <c r="D245">
        <f t="shared" ca="1" si="65"/>
        <v>22</v>
      </c>
      <c r="E245">
        <f t="shared" ca="1" si="66"/>
        <v>0</v>
      </c>
      <c r="F245">
        <f t="shared" ca="1" si="67"/>
        <v>0</v>
      </c>
      <c r="G245">
        <f t="shared" ca="1" si="68"/>
        <v>6</v>
      </c>
      <c r="H245">
        <f ca="1">IF(OR($A245="S",$A245=0),0,MATCH(0,OFFSET($B245,1,$A245,ROW($A$275)-ROW($A245)),0))</f>
        <v>0</v>
      </c>
      <c r="I245">
        <f ca="1">IF(OR($A245="S",$A245=0),0,MATCH(OFFSET($B245,0,$A245)+1,OFFSET($B245,1,$A245,ROW($A$275)-ROW($A245)),0))</f>
        <v>0</v>
      </c>
      <c r="J245" s="101" t="s">
        <v>103</v>
      </c>
      <c r="K245" s="137" t="str">
        <f t="shared" ca="1" si="69"/>
        <v>1.22.6.</v>
      </c>
      <c r="L245" s="176" t="s">
        <v>237</v>
      </c>
      <c r="M245" s="176" t="s">
        <v>350</v>
      </c>
      <c r="N245" s="197" t="str">
        <f ca="1">IF($A245="S",Referencia.Descricao,"(digite a descrição aqui)")</f>
        <v>BARRA DE APOIO RETA, EM ACO INOX POLIDO, COMPRIMENTO 60CM, FIXADA NA PAREDE - FORNECIMENTO E INSTALAÇÃO. AF_01/2020</v>
      </c>
      <c r="O245" s="196" t="str">
        <f ca="1">Referencia.Unidade</f>
        <v>UN</v>
      </c>
      <c r="P245" s="199">
        <v>5</v>
      </c>
      <c r="Q245" s="195">
        <f t="shared" ca="1" si="72"/>
        <v>399.37</v>
      </c>
      <c r="R245" s="198" t="s">
        <v>7</v>
      </c>
      <c r="S245" s="102">
        <f t="shared" ca="1" si="59"/>
        <v>504.72</v>
      </c>
      <c r="T245" s="82">
        <f t="shared" ca="1" si="60"/>
        <v>2523.6</v>
      </c>
      <c r="U245" s="9" t="str">
        <f t="shared" ca="1" si="70"/>
        <v/>
      </c>
      <c r="V245" s="1" t="str">
        <f ca="1">IF(OR($A245=0,$A245="S",$A245&gt;CFF!$A$9),"",MAX(V$12:OFFSET(V245,-1,0))+1)</f>
        <v/>
      </c>
      <c r="W245" s="4" t="str">
        <f t="shared" si="71"/>
        <v>SINAPI-100866</v>
      </c>
      <c r="X245" s="1">
        <f t="shared" ca="1" si="61"/>
        <v>5349</v>
      </c>
      <c r="Y245" s="102">
        <f ca="1">IF(Import.Desoneracao="sim",Referencia.Desonerado,Referencia.NaoDesonerado)</f>
        <v>399.37</v>
      </c>
      <c r="Z245" s="112">
        <f ca="1">ROUND(IF(ISNUMBER(R245),R245,IF(LEFT(R245,3)="BDI",HLOOKUP(R245,DADOS!$T$37:$X$38,2,FALSE),0)),15-11*$X$5)</f>
        <v>0.26379999999999998</v>
      </c>
      <c r="AA245" s="1"/>
    </row>
    <row r="246" spans="1:27" ht="51" x14ac:dyDescent="0.2">
      <c r="A246" t="str">
        <f t="shared" si="62"/>
        <v>S</v>
      </c>
      <c r="B246">
        <f t="shared" si="63"/>
        <v>0</v>
      </c>
      <c r="C246">
        <f t="shared" ca="1" si="64"/>
        <v>1</v>
      </c>
      <c r="D246">
        <f t="shared" ca="1" si="65"/>
        <v>22</v>
      </c>
      <c r="E246">
        <f t="shared" ca="1" si="66"/>
        <v>0</v>
      </c>
      <c r="F246">
        <f t="shared" ca="1" si="67"/>
        <v>0</v>
      </c>
      <c r="G246">
        <f t="shared" ca="1" si="68"/>
        <v>7</v>
      </c>
      <c r="H246">
        <f ca="1">IF(OR($A246="S",$A246=0),0,MATCH(0,OFFSET($B246,1,$A246,ROW($A$275)-ROW($A246)),0))</f>
        <v>0</v>
      </c>
      <c r="I246">
        <f ca="1">IF(OR($A246="S",$A246=0),0,MATCH(OFFSET($B246,0,$A246)+1,OFFSET($B246,1,$A246,ROW($A$275)-ROW($A246)),0))</f>
        <v>0</v>
      </c>
      <c r="J246" s="101" t="s">
        <v>103</v>
      </c>
      <c r="K246" s="137" t="str">
        <f t="shared" ca="1" si="69"/>
        <v>1.22.7.</v>
      </c>
      <c r="L246" s="176" t="s">
        <v>237</v>
      </c>
      <c r="M246" s="176" t="s">
        <v>349</v>
      </c>
      <c r="N246" s="197" t="str">
        <f ca="1">IF($A246="S",Referencia.Descricao,"(digite a descrição aqui)")</f>
        <v>LAVATÓRIO LOUÇA BRANCA SUSPENSO, 29,5 X 39CM OU EQUIVALENTE, PADRÃO POPULAR, INCLUSO SIFÃO FLEXÍVEL EM PVC, VÁLVULA E ENGATE FLEXÍVEL 30CM EM PLÁSTICO E TORNEIRA CROMADA DE MESA, PADRÃO POPULAR - FORNECIMENTO E INSTALAÇÃO. AF_01/2020</v>
      </c>
      <c r="O246" s="196" t="str">
        <f ca="1">Referencia.Unidade</f>
        <v>UN</v>
      </c>
      <c r="P246" s="199">
        <v>5</v>
      </c>
      <c r="Q246" s="195">
        <f t="shared" ca="1" si="72"/>
        <v>297.47000000000003</v>
      </c>
      <c r="R246" s="198" t="s">
        <v>7</v>
      </c>
      <c r="S246" s="102">
        <f t="shared" ca="1" si="59"/>
        <v>375.94</v>
      </c>
      <c r="T246" s="82">
        <f t="shared" ca="1" si="60"/>
        <v>1879.7</v>
      </c>
      <c r="U246" s="9" t="str">
        <f t="shared" ca="1" si="70"/>
        <v/>
      </c>
      <c r="V246" s="1" t="str">
        <f ca="1">IF(OR($A246=0,$A246="S",$A246&gt;CFF!$A$9),"",MAX(V$12:OFFSET(V246,-1,0))+1)</f>
        <v/>
      </c>
      <c r="W246" s="4" t="str">
        <f t="shared" si="71"/>
        <v>SINAPI-86943</v>
      </c>
      <c r="X246" s="1">
        <f t="shared" ca="1" si="61"/>
        <v>5318</v>
      </c>
      <c r="Y246" s="102">
        <f ca="1">IF(Import.Desoneracao="sim",Referencia.Desonerado,Referencia.NaoDesonerado)</f>
        <v>297.47000000000003</v>
      </c>
      <c r="Z246" s="112">
        <f ca="1">ROUND(IF(ISNUMBER(R246),R246,IF(LEFT(R246,3)="BDI",HLOOKUP(R246,DADOS!$T$37:$X$38,2,FALSE),0)),15-11*$X$5)</f>
        <v>0.26379999999999998</v>
      </c>
      <c r="AA246" s="1"/>
    </row>
    <row r="247" spans="1:27" x14ac:dyDescent="0.2">
      <c r="A247" t="str">
        <f>CHOOSE(1+LOG(1+2*(J247="Meta")+4*(J247="Nível 2")+8*(J247="Nível 3")+16*(J247="Nível 4")+32*(J247="Serviço"),2),0,1,2,3,4,"S")</f>
        <v>S</v>
      </c>
      <c r="B247">
        <f>IF(OR(A247="S",A247=0),0,IF(ISERROR(I247),H247,SMALL(H247:I247,1)))</f>
        <v>0</v>
      </c>
      <c r="C247">
        <f ca="1">IF($A247=1,OFFSET(C247,-1,0)+1,OFFSET(C247,-1,0))</f>
        <v>1</v>
      </c>
      <c r="D247">
        <f ca="1">IF($A247=1,0,IF($A247=2,OFFSET(D247,-1,0)+1,OFFSET(D247,-1,0)))</f>
        <v>22</v>
      </c>
      <c r="E247">
        <f ca="1">IF(AND($A247&lt;=2,$A247&lt;&gt;0),0,IF($A247=3,OFFSET(E247,-1,0)+1,OFFSET(E247,-1,0)))</f>
        <v>0</v>
      </c>
      <c r="F247">
        <f ca="1">IF(AND($A247&lt;=3,$A247&lt;&gt;0),0,IF($A247=4,OFFSET(F247,-1,0)+1,OFFSET(F247,-1,0)))</f>
        <v>0</v>
      </c>
      <c r="G247">
        <f ca="1">IF(AND($A247&lt;=4,$A247&lt;&gt;0),0,IF($A247="S",OFFSET(G247,-1,0)+1,OFFSET(G247,-1,0)))</f>
        <v>8</v>
      </c>
      <c r="H247">
        <f ca="1">IF(OR($A247="S",$A247=0),0,MATCH(0,OFFSET($B247,1,$A247,ROW($A$275)-ROW($A247)),0))</f>
        <v>0</v>
      </c>
      <c r="I247">
        <f ca="1">IF(OR($A247="S",$A247=0),0,MATCH(OFFSET($B247,0,$A247)+1,OFFSET($B247,1,$A247,ROW($A$275)-ROW($A247)),0))</f>
        <v>0</v>
      </c>
      <c r="J247" s="101" t="s">
        <v>103</v>
      </c>
      <c r="K247" s="137" t="str">
        <f ca="1">IF($A247=0,"-",CONCATENATE(C247&amp;".",IF(AND($A$5&gt;=2,$A247&gt;=2),D247&amp;".",""),IF(AND($A$5&gt;=3,$A247&gt;=3),E247&amp;".",""),IF(AND($A$5&gt;=4,$A247&gt;=4),F247&amp;".",""),IF($A247="S",G247&amp;".","")))</f>
        <v>1.22.8.</v>
      </c>
      <c r="L247" s="176" t="s">
        <v>237</v>
      </c>
      <c r="M247" s="176" t="s">
        <v>358</v>
      </c>
      <c r="N247" s="197" t="str">
        <f ca="1">IF($A247="S",Referencia.Descricao,"(digite a descrição aqui)")</f>
        <v>ASSENTO SANITÁRIO CONVENCIONAL - FORNECIMENTO E INSTALACAO. AF_01/2020</v>
      </c>
      <c r="O247" s="196" t="str">
        <f ca="1">Referencia.Unidade</f>
        <v>UN</v>
      </c>
      <c r="P247" s="199">
        <v>5</v>
      </c>
      <c r="Q247" s="195">
        <f t="shared" ca="1" si="72"/>
        <v>40.9</v>
      </c>
      <c r="R247" s="198" t="s">
        <v>7</v>
      </c>
      <c r="S247" s="102">
        <f t="shared" ca="1" si="59"/>
        <v>51.69</v>
      </c>
      <c r="T247" s="82">
        <f t="shared" ca="1" si="60"/>
        <v>258.45</v>
      </c>
      <c r="U247" s="9" t="str">
        <f ca="1">IF($J247="","",IF($N247="","DESCRIÇÃO",IF(AND($J247="Serviço",$O247=""),"UNIDADE",IF($T247&lt;=0,"SEM VALOR",IF(AND($Y247&lt;&gt;"",$Q247&gt;$Y247),"ACIMA REF.","")))))</f>
        <v/>
      </c>
      <c r="V247" s="1" t="str">
        <f ca="1">IF(OR($A247=0,$A247="S",$A247&gt;CFF!$A$9),"",MAX(V$12:OFFSET(V247,-1,0))+1)</f>
        <v/>
      </c>
      <c r="W247" s="4" t="str">
        <f>IF(AND($J247="Serviço",$M247&lt;&gt;""),IF($L247="",$M247,CONCATENATE($L247,"-",$M247)))</f>
        <v>SINAPI-100849</v>
      </c>
      <c r="X247" s="1">
        <f t="shared" ca="1" si="61"/>
        <v>5334</v>
      </c>
      <c r="Y247" s="102">
        <f ca="1">IF(Import.Desoneracao="sim",Referencia.Desonerado,Referencia.NaoDesonerado)</f>
        <v>40.9</v>
      </c>
      <c r="Z247" s="112">
        <f ca="1">ROUND(IF(ISNUMBER(R247),R247,IF(LEFT(R247,3)="BDI",HLOOKUP(R247,DADOS!$T$37:$X$38,2,FALSE),0)),15-11*$X$5)</f>
        <v>0.26379999999999998</v>
      </c>
      <c r="AA247" s="1"/>
    </row>
    <row r="248" spans="1:27" x14ac:dyDescent="0.2">
      <c r="A248" t="str">
        <f t="shared" si="62"/>
        <v>S</v>
      </c>
      <c r="B248">
        <f t="shared" si="63"/>
        <v>0</v>
      </c>
      <c r="C248">
        <f t="shared" ca="1" si="64"/>
        <v>1</v>
      </c>
      <c r="D248">
        <f t="shared" ca="1" si="65"/>
        <v>22</v>
      </c>
      <c r="E248">
        <f t="shared" ca="1" si="66"/>
        <v>0</v>
      </c>
      <c r="F248">
        <f t="shared" ca="1" si="67"/>
        <v>0</v>
      </c>
      <c r="G248">
        <f t="shared" ca="1" si="68"/>
        <v>9</v>
      </c>
      <c r="H248">
        <f ca="1">IF(OR($A248="S",$A248=0),0,MATCH(0,OFFSET($B248,1,$A248,ROW($A$275)-ROW($A248)),0))</f>
        <v>0</v>
      </c>
      <c r="I248">
        <f ca="1">IF(OR($A248="S",$A248=0),0,MATCH(OFFSET($B248,0,$A248)+1,OFFSET($B248,1,$A248,ROW($A$275)-ROW($A248)),0))</f>
        <v>0</v>
      </c>
      <c r="J248" s="101" t="s">
        <v>103</v>
      </c>
      <c r="K248" s="137" t="str">
        <f t="shared" ca="1" si="69"/>
        <v>1.22.9.</v>
      </c>
      <c r="L248" s="176" t="s">
        <v>237</v>
      </c>
      <c r="M248" s="176" t="s">
        <v>348</v>
      </c>
      <c r="N248" s="197" t="str">
        <f ca="1">IF($A248="S",Referencia.Descricao,"(digite a descrição aqui)")</f>
        <v>ASSENTO SANITÁRIO INFANTIL - FORNECIMENTO E INSTALACAO. AF_01/2020</v>
      </c>
      <c r="O248" s="196" t="str">
        <f ca="1">Referencia.Unidade</f>
        <v>UN</v>
      </c>
      <c r="P248" s="199">
        <v>5</v>
      </c>
      <c r="Q248" s="195">
        <f t="shared" ca="1" si="72"/>
        <v>81.45</v>
      </c>
      <c r="R248" s="198" t="s">
        <v>7</v>
      </c>
      <c r="S248" s="102">
        <f t="shared" ca="1" si="59"/>
        <v>102.94</v>
      </c>
      <c r="T248" s="82">
        <f t="shared" ca="1" si="60"/>
        <v>514.70000000000005</v>
      </c>
      <c r="U248" s="9" t="str">
        <f t="shared" ca="1" si="70"/>
        <v/>
      </c>
      <c r="V248" s="1" t="str">
        <f ca="1">IF(OR($A248=0,$A248="S",$A248&gt;CFF!$A$9),"",MAX(V$12:OFFSET(V248,-1,0))+1)</f>
        <v/>
      </c>
      <c r="W248" s="4" t="str">
        <f t="shared" si="71"/>
        <v>SINAPI-100851</v>
      </c>
      <c r="X248" s="1">
        <f t="shared" ca="1" si="61"/>
        <v>5335</v>
      </c>
      <c r="Y248" s="102">
        <f ca="1">IF(Import.Desoneracao="sim",Referencia.Desonerado,Referencia.NaoDesonerado)</f>
        <v>81.45</v>
      </c>
      <c r="Z248" s="112">
        <f ca="1">ROUND(IF(ISNUMBER(R248),R248,IF(LEFT(R248,3)="BDI",HLOOKUP(R248,DADOS!$T$37:$X$38,2,FALSE),0)),15-11*$X$5)</f>
        <v>0.26379999999999998</v>
      </c>
      <c r="AA248" s="1"/>
    </row>
    <row r="249" spans="1:27" ht="25.5" x14ac:dyDescent="0.2">
      <c r="A249" t="str">
        <f t="shared" si="62"/>
        <v>S</v>
      </c>
      <c r="B249">
        <f t="shared" si="63"/>
        <v>0</v>
      </c>
      <c r="C249">
        <f t="shared" ca="1" si="64"/>
        <v>1</v>
      </c>
      <c r="D249">
        <f t="shared" ca="1" si="65"/>
        <v>22</v>
      </c>
      <c r="E249">
        <f t="shared" ca="1" si="66"/>
        <v>0</v>
      </c>
      <c r="F249">
        <f t="shared" ca="1" si="67"/>
        <v>0</v>
      </c>
      <c r="G249">
        <f t="shared" ca="1" si="68"/>
        <v>10</v>
      </c>
      <c r="H249">
        <f ca="1">IF(OR($A249="S",$A249=0),0,MATCH(0,OFFSET($B249,1,$A249,ROW($A$275)-ROW($A249)),0))</f>
        <v>0</v>
      </c>
      <c r="I249">
        <f ca="1">IF(OR($A249="S",$A249=0),0,MATCH(OFFSET($B249,0,$A249)+1,OFFSET($B249,1,$A249,ROW($A$275)-ROW($A249)),0))</f>
        <v>0</v>
      </c>
      <c r="J249" s="101" t="s">
        <v>103</v>
      </c>
      <c r="K249" s="137" t="str">
        <f t="shared" ca="1" si="69"/>
        <v>1.22.10.</v>
      </c>
      <c r="L249" s="176" t="s">
        <v>237</v>
      </c>
      <c r="M249" s="176" t="s">
        <v>351</v>
      </c>
      <c r="N249" s="197" t="str">
        <f ca="1">IF($A249="S",Referencia.Descricao,"(digite a descrição aqui)")</f>
        <v>SABONETEIRA PLASTICA TIPO DISPENSER PARA SABONETE LIQUIDO COM RESERVATORIO 800 A 1500 ML, INCLUSO FIXAÇÃO. AF_01/2020</v>
      </c>
      <c r="O249" s="196" t="str">
        <f ca="1">Referencia.Unidade</f>
        <v>UN</v>
      </c>
      <c r="P249" s="199">
        <v>7</v>
      </c>
      <c r="Q249" s="195">
        <f t="shared" ca="1" si="72"/>
        <v>55.19</v>
      </c>
      <c r="R249" s="198" t="s">
        <v>7</v>
      </c>
      <c r="S249" s="102">
        <f t="shared" ca="1" si="59"/>
        <v>69.75</v>
      </c>
      <c r="T249" s="82">
        <f t="shared" ca="1" si="60"/>
        <v>488.25</v>
      </c>
      <c r="U249" s="9" t="str">
        <f t="shared" ca="1" si="70"/>
        <v/>
      </c>
      <c r="V249" s="1" t="str">
        <f ca="1">IF(OR($A249=0,$A249="S",$A249&gt;CFF!$A$9),"",MAX(V$12:OFFSET(V249,-1,0))+1)</f>
        <v/>
      </c>
      <c r="W249" s="4" t="str">
        <f t="shared" si="71"/>
        <v>SINAPI-95547</v>
      </c>
      <c r="X249" s="1">
        <f t="shared" ca="1" si="61"/>
        <v>5332</v>
      </c>
      <c r="Y249" s="102">
        <f ca="1">IF(Import.Desoneracao="sim",Referencia.Desonerado,Referencia.NaoDesonerado)</f>
        <v>55.19</v>
      </c>
      <c r="Z249" s="112">
        <f ca="1">ROUND(IF(ISNUMBER(R249),R249,IF(LEFT(R249,3)="BDI",HLOOKUP(R249,DADOS!$T$37:$X$38,2,FALSE),0)),15-11*$X$5)</f>
        <v>0.26379999999999998</v>
      </c>
      <c r="AA249" s="1"/>
    </row>
    <row r="250" spans="1:27" ht="25.5" x14ac:dyDescent="0.2">
      <c r="A250" t="str">
        <f t="shared" si="62"/>
        <v>S</v>
      </c>
      <c r="B250">
        <f t="shared" si="63"/>
        <v>0</v>
      </c>
      <c r="C250">
        <f t="shared" ca="1" si="64"/>
        <v>1</v>
      </c>
      <c r="D250">
        <f t="shared" ca="1" si="65"/>
        <v>22</v>
      </c>
      <c r="E250">
        <f t="shared" ca="1" si="66"/>
        <v>0</v>
      </c>
      <c r="F250">
        <f t="shared" ca="1" si="67"/>
        <v>0</v>
      </c>
      <c r="G250">
        <f t="shared" ca="1" si="68"/>
        <v>11</v>
      </c>
      <c r="H250">
        <f ca="1">IF(OR($A250="S",$A250=0),0,MATCH(0,OFFSET($B250,1,$A250,ROW($A$275)-ROW($A250)),0))</f>
        <v>0</v>
      </c>
      <c r="I250">
        <f ca="1">IF(OR($A250="S",$A250=0),0,MATCH(OFFSET($B250,0,$A250)+1,OFFSET($B250,1,$A250,ROW($A$275)-ROW($A250)),0))</f>
        <v>0</v>
      </c>
      <c r="J250" s="101" t="s">
        <v>103</v>
      </c>
      <c r="K250" s="137" t="str">
        <f t="shared" ca="1" si="69"/>
        <v>1.22.11.</v>
      </c>
      <c r="L250" s="176" t="s">
        <v>238</v>
      </c>
      <c r="M250" s="176" t="s">
        <v>352</v>
      </c>
      <c r="N250" s="197" t="str">
        <f ca="1">IF($A250="S",Referencia.Descricao,"(digite a descrição aqui)")</f>
        <v xml:space="preserve">PAPELEIRA PLASTICA TIPO DISPENSER PARA PAPEL HIGIENICO ROLAO, INCLUSO FIXAÇÃO.                                                                                                                                                                                                                                                                                                                                                                                                                                             </v>
      </c>
      <c r="O250" s="196" t="str">
        <f ca="1">Referencia.Unidade</f>
        <v>UND</v>
      </c>
      <c r="P250" s="199">
        <v>7</v>
      </c>
      <c r="Q250" s="195">
        <f t="shared" ca="1" si="72"/>
        <v>57.039999999999992</v>
      </c>
      <c r="R250" s="198" t="s">
        <v>7</v>
      </c>
      <c r="S250" s="102">
        <f t="shared" ca="1" si="59"/>
        <v>72.09</v>
      </c>
      <c r="T250" s="82">
        <f t="shared" ca="1" si="60"/>
        <v>504.63</v>
      </c>
      <c r="U250" s="9" t="str">
        <f t="shared" ca="1" si="70"/>
        <v/>
      </c>
      <c r="V250" s="1" t="str">
        <f ca="1">IF(OR($A250=0,$A250="S",$A250&gt;CFF!$A$9),"",MAX(V$12:OFFSET(V250,-1,0))+1)</f>
        <v/>
      </c>
      <c r="W250" s="4" t="str">
        <f t="shared" si="71"/>
        <v>COMPOSIÇÃO-COMP12</v>
      </c>
      <c r="X250" s="1">
        <f t="shared" ca="1" si="61"/>
        <v>18</v>
      </c>
      <c r="Y250" s="102">
        <f ca="1">IF(Import.Desoneracao="sim",Referencia.Desonerado,Referencia.NaoDesonerado)</f>
        <v>57.039999999999992</v>
      </c>
      <c r="Z250" s="112">
        <f ca="1">ROUND(IF(ISNUMBER(R250),R250,IF(LEFT(R250,3)="BDI",HLOOKUP(R250,DADOS!$T$37:$X$38,2,FALSE),0)),15-11*$X$5)</f>
        <v>0.26379999999999998</v>
      </c>
      <c r="AA250" s="1"/>
    </row>
    <row r="251" spans="1:27" ht="25.5" x14ac:dyDescent="0.2">
      <c r="A251" t="str">
        <f t="shared" si="62"/>
        <v>S</v>
      </c>
      <c r="B251">
        <f t="shared" si="63"/>
        <v>0</v>
      </c>
      <c r="C251">
        <f t="shared" ca="1" si="64"/>
        <v>1</v>
      </c>
      <c r="D251">
        <f t="shared" ca="1" si="65"/>
        <v>22</v>
      </c>
      <c r="E251">
        <f t="shared" ca="1" si="66"/>
        <v>0</v>
      </c>
      <c r="F251">
        <f t="shared" ca="1" si="67"/>
        <v>0</v>
      </c>
      <c r="G251">
        <f t="shared" ca="1" si="68"/>
        <v>12</v>
      </c>
      <c r="H251">
        <f ca="1">IF(OR($A251="S",$A251=0),0,MATCH(0,OFFSET($B251,1,$A251,ROW($A$275)-ROW($A251)),0))</f>
        <v>0</v>
      </c>
      <c r="I251">
        <f ca="1">IF(OR($A251="S",$A251=0),0,MATCH(OFFSET($B251,0,$A251)+1,OFFSET($B251,1,$A251,ROW($A$275)-ROW($A251)),0))</f>
        <v>0</v>
      </c>
      <c r="J251" s="101" t="s">
        <v>103</v>
      </c>
      <c r="K251" s="137" t="str">
        <f t="shared" ca="1" si="69"/>
        <v>1.22.12.</v>
      </c>
      <c r="L251" s="176" t="s">
        <v>237</v>
      </c>
      <c r="M251" s="176" t="s">
        <v>353</v>
      </c>
      <c r="N251" s="197" t="str">
        <f ca="1">IF($A251="S",Referencia.Descricao,"(digite a descrição aqui)")</f>
        <v>BANCADA DE MÁRMORE BRANCO POLIDO, DE 1,50 X 0,60 M, PARA PIA DE COZINHA - FORNECIMENTO E INSTALAÇÃO. AF_01/2020</v>
      </c>
      <c r="O251" s="196" t="str">
        <f ca="1">Referencia.Unidade</f>
        <v>UN</v>
      </c>
      <c r="P251" s="199">
        <v>3.33</v>
      </c>
      <c r="Q251" s="195">
        <f t="shared" ca="1" si="72"/>
        <v>692.48</v>
      </c>
      <c r="R251" s="198" t="s">
        <v>7</v>
      </c>
      <c r="S251" s="102">
        <f t="shared" ca="1" si="59"/>
        <v>875.16</v>
      </c>
      <c r="T251" s="82">
        <f t="shared" ca="1" si="60"/>
        <v>2914.28</v>
      </c>
      <c r="U251" s="9" t="str">
        <f t="shared" ca="1" si="70"/>
        <v/>
      </c>
      <c r="V251" s="1" t="str">
        <f ca="1">IF(OR($A251=0,$A251="S",$A251&gt;CFF!$A$9),"",MAX(V$12:OFFSET(V251,-1,0))+1)</f>
        <v/>
      </c>
      <c r="W251" s="4" t="str">
        <f t="shared" si="71"/>
        <v>SINAPI-86893</v>
      </c>
      <c r="X251" s="1">
        <f t="shared" ca="1" si="61"/>
        <v>5275</v>
      </c>
      <c r="Y251" s="102">
        <f ca="1">IF(Import.Desoneracao="sim",Referencia.Desonerado,Referencia.NaoDesonerado)</f>
        <v>692.48</v>
      </c>
      <c r="Z251" s="112">
        <f ca="1">ROUND(IF(ISNUMBER(R251),R251,IF(LEFT(R251,3)="BDI",HLOOKUP(R251,DADOS!$T$37:$X$38,2,FALSE),0)),15-11*$X$5)</f>
        <v>0.26379999999999998</v>
      </c>
      <c r="AA251" s="1"/>
    </row>
    <row r="252" spans="1:27" ht="25.5" x14ac:dyDescent="0.2">
      <c r="A252" t="str">
        <f t="shared" si="62"/>
        <v>S</v>
      </c>
      <c r="B252">
        <f t="shared" si="63"/>
        <v>0</v>
      </c>
      <c r="C252">
        <f t="shared" ca="1" si="64"/>
        <v>1</v>
      </c>
      <c r="D252">
        <f t="shared" ca="1" si="65"/>
        <v>22</v>
      </c>
      <c r="E252">
        <f t="shared" ca="1" si="66"/>
        <v>0</v>
      </c>
      <c r="F252">
        <f t="shared" ca="1" si="67"/>
        <v>0</v>
      </c>
      <c r="G252">
        <f t="shared" ca="1" si="68"/>
        <v>13</v>
      </c>
      <c r="H252">
        <f t="shared" ref="H252:H274" ca="1" si="73">IF(OR($A252="S",$A252=0),0,MATCH(0,OFFSET($B252,1,$A252,ROW($A$275)-ROW($A252)),0))</f>
        <v>0</v>
      </c>
      <c r="I252">
        <f t="shared" ref="I252:I274" ca="1" si="74">IF(OR($A252="S",$A252=0),0,MATCH(OFFSET($B252,0,$A252)+1,OFFSET($B252,1,$A252,ROW($A$275)-ROW($A252)),0))</f>
        <v>0</v>
      </c>
      <c r="J252" s="101" t="s">
        <v>103</v>
      </c>
      <c r="K252" s="137" t="str">
        <f t="shared" ca="1" si="69"/>
        <v>1.22.13.</v>
      </c>
      <c r="L252" s="176" t="s">
        <v>237</v>
      </c>
      <c r="M252" s="176" t="s">
        <v>354</v>
      </c>
      <c r="N252" s="197" t="str">
        <f ca="1">IF($A252="S",Referencia.Descricao,"(digite a descrição aqui)")</f>
        <v>BANCADA DE GRANITO CINZA POLIDO, DE 0,50 X 0,60 M, PARA LAVATÓRIO - FORNECIMENTO E INSTALAÇÃO. AF_01/2020</v>
      </c>
      <c r="O252" s="196" t="str">
        <f ca="1">Referencia.Unidade</f>
        <v>UN</v>
      </c>
      <c r="P252" s="199">
        <v>5</v>
      </c>
      <c r="Q252" s="195">
        <f t="shared" ca="1" si="72"/>
        <v>392.85</v>
      </c>
      <c r="R252" s="198" t="s">
        <v>7</v>
      </c>
      <c r="S252" s="102">
        <f t="shared" ca="1" si="59"/>
        <v>496.48</v>
      </c>
      <c r="T252" s="82">
        <f t="shared" ca="1" si="60"/>
        <v>2482.4</v>
      </c>
      <c r="U252" s="9" t="str">
        <f t="shared" ca="1" si="70"/>
        <v/>
      </c>
      <c r="V252" s="1" t="str">
        <f ca="1">IF(OR($A252=0,$A252="S",$A252&gt;CFF!$A$9),"",MAX(V$12:OFFSET(V252,-1,0))+1)</f>
        <v/>
      </c>
      <c r="W252" s="4" t="str">
        <f t="shared" si="71"/>
        <v>SINAPI-86895</v>
      </c>
      <c r="X252" s="1">
        <f t="shared" ca="1" si="61"/>
        <v>5277</v>
      </c>
      <c r="Y252" s="102">
        <f ca="1">IF(Import.Desoneracao="sim",Referencia.Desonerado,Referencia.NaoDesonerado)</f>
        <v>392.85</v>
      </c>
      <c r="Z252" s="112">
        <f ca="1">ROUND(IF(ISNUMBER(R252),R252,IF(LEFT(R252,3)="BDI",HLOOKUP(R252,DADOS!$T$37:$X$38,2,FALSE),0)),15-11*$X$5)</f>
        <v>0.26379999999999998</v>
      </c>
      <c r="AA252" s="1"/>
    </row>
    <row r="253" spans="1:27" x14ac:dyDescent="0.2">
      <c r="A253" t="str">
        <f t="shared" si="62"/>
        <v>S</v>
      </c>
      <c r="B253">
        <f t="shared" si="63"/>
        <v>0</v>
      </c>
      <c r="C253">
        <f t="shared" ca="1" si="64"/>
        <v>1</v>
      </c>
      <c r="D253">
        <f t="shared" ca="1" si="65"/>
        <v>22</v>
      </c>
      <c r="E253">
        <f t="shared" ca="1" si="66"/>
        <v>0</v>
      </c>
      <c r="F253">
        <f t="shared" ca="1" si="67"/>
        <v>0</v>
      </c>
      <c r="G253">
        <f t="shared" ca="1" si="68"/>
        <v>14</v>
      </c>
      <c r="H253">
        <f t="shared" ca="1" si="73"/>
        <v>0</v>
      </c>
      <c r="I253">
        <f t="shared" ca="1" si="74"/>
        <v>0</v>
      </c>
      <c r="J253" s="101" t="s">
        <v>103</v>
      </c>
      <c r="K253" s="137" t="str">
        <f t="shared" ca="1" si="69"/>
        <v>1.22.14.</v>
      </c>
      <c r="L253" s="176" t="s">
        <v>237</v>
      </c>
      <c r="M253" s="176" t="s">
        <v>355</v>
      </c>
      <c r="N253" s="197" t="str">
        <f ca="1">IF($A253="S",Referencia.Descricao,"(digite a descrição aqui)")</f>
        <v>DIVISÓRIA FIXA EM VIDRO TEMPERADO 10 MM, SEM ABERTURA. AF_01/2021_PS</v>
      </c>
      <c r="O253" s="196" t="str">
        <f ca="1">Referencia.Unidade</f>
        <v>M2</v>
      </c>
      <c r="P253" s="199">
        <f>10*1.8</f>
        <v>18</v>
      </c>
      <c r="Q253" s="195">
        <f t="shared" ca="1" si="72"/>
        <v>391.2</v>
      </c>
      <c r="R253" s="198" t="s">
        <v>7</v>
      </c>
      <c r="S253" s="102">
        <f t="shared" ca="1" si="59"/>
        <v>494.4</v>
      </c>
      <c r="T253" s="82">
        <f t="shared" ca="1" si="60"/>
        <v>8899.2000000000007</v>
      </c>
      <c r="U253" s="9" t="str">
        <f t="shared" ca="1" si="70"/>
        <v/>
      </c>
      <c r="V253" s="1" t="str">
        <f ca="1">IF(OR($A253=0,$A253="S",$A253&gt;CFF!$A$9),"",MAX(V$12:OFFSET(V253,-1,0))+1)</f>
        <v/>
      </c>
      <c r="W253" s="4" t="str">
        <f t="shared" si="71"/>
        <v>SINAPI-102235</v>
      </c>
      <c r="X253" s="1">
        <f t="shared" ca="1" si="61"/>
        <v>6012</v>
      </c>
      <c r="Y253" s="102">
        <f ca="1">IF(Import.Desoneracao="sim",Referencia.Desonerado,Referencia.NaoDesonerado)</f>
        <v>391.2</v>
      </c>
      <c r="Z253" s="112">
        <f ca="1">ROUND(IF(ISNUMBER(R253),R253,IF(LEFT(R253,3)="BDI",HLOOKUP(R253,DADOS!$T$37:$X$38,2,FALSE),0)),15-11*$X$5)</f>
        <v>0.26379999999999998</v>
      </c>
      <c r="AA253" s="1"/>
    </row>
    <row r="254" spans="1:27" ht="25.5" x14ac:dyDescent="0.2">
      <c r="A254" t="str">
        <f t="shared" si="62"/>
        <v>S</v>
      </c>
      <c r="B254">
        <f t="shared" si="63"/>
        <v>0</v>
      </c>
      <c r="C254">
        <f t="shared" ca="1" si="64"/>
        <v>1</v>
      </c>
      <c r="D254">
        <f t="shared" ca="1" si="65"/>
        <v>22</v>
      </c>
      <c r="E254">
        <f t="shared" ca="1" si="66"/>
        <v>0</v>
      </c>
      <c r="F254">
        <f t="shared" ca="1" si="67"/>
        <v>0</v>
      </c>
      <c r="G254">
        <f t="shared" ca="1" si="68"/>
        <v>15</v>
      </c>
      <c r="H254">
        <f t="shared" ca="1" si="73"/>
        <v>0</v>
      </c>
      <c r="I254">
        <f t="shared" ca="1" si="74"/>
        <v>0</v>
      </c>
      <c r="J254" s="101" t="s">
        <v>103</v>
      </c>
      <c r="K254" s="137" t="str">
        <f t="shared" ca="1" si="69"/>
        <v>1.22.15.</v>
      </c>
      <c r="L254" s="176" t="s">
        <v>237</v>
      </c>
      <c r="M254" s="176" t="s">
        <v>356</v>
      </c>
      <c r="N254" s="197" t="str">
        <f ca="1">IF($A254="S",Referencia.Descricao,"(digite a descrição aqui)")</f>
        <v>PORTA TOALHA BANHO EM METAL CROMADO, TIPO BARRA, INCLUSO FIXAÇÃO. AF_01/2020</v>
      </c>
      <c r="O254" s="196" t="str">
        <f ca="1">Referencia.Unidade</f>
        <v>UN</v>
      </c>
      <c r="P254" s="199">
        <v>6</v>
      </c>
      <c r="Q254" s="195">
        <f t="shared" ca="1" si="72"/>
        <v>115.52</v>
      </c>
      <c r="R254" s="198" t="s">
        <v>7</v>
      </c>
      <c r="S254" s="102">
        <f t="shared" ca="1" si="59"/>
        <v>145.99</v>
      </c>
      <c r="T254" s="82">
        <f t="shared" ca="1" si="60"/>
        <v>875.94</v>
      </c>
      <c r="U254" s="9" t="str">
        <f t="shared" ca="1" si="70"/>
        <v/>
      </c>
      <c r="V254" s="1" t="str">
        <f ca="1">IF(OR($A254=0,$A254="S",$A254&gt;CFF!$A$9),"",MAX(V$12:OFFSET(V254,-1,0))+1)</f>
        <v/>
      </c>
      <c r="W254" s="4" t="str">
        <f t="shared" si="71"/>
        <v>SINAPI-95543</v>
      </c>
      <c r="X254" s="1">
        <f t="shared" ca="1" si="61"/>
        <v>5328</v>
      </c>
      <c r="Y254" s="102">
        <f ca="1">IF(Import.Desoneracao="sim",Referencia.Desonerado,Referencia.NaoDesonerado)</f>
        <v>115.52</v>
      </c>
      <c r="Z254" s="112">
        <f ca="1">ROUND(IF(ISNUMBER(R254),R254,IF(LEFT(R254,3)="BDI",HLOOKUP(R254,DADOS!$T$37:$X$38,2,FALSE),0)),15-11*$X$5)</f>
        <v>0.26379999999999998</v>
      </c>
      <c r="AA254" s="1"/>
    </row>
    <row r="255" spans="1:27" x14ac:dyDescent="0.2">
      <c r="A255" t="str">
        <f t="shared" si="62"/>
        <v>S</v>
      </c>
      <c r="B255">
        <f t="shared" si="63"/>
        <v>0</v>
      </c>
      <c r="C255">
        <f t="shared" ca="1" si="64"/>
        <v>1</v>
      </c>
      <c r="D255">
        <f t="shared" ca="1" si="65"/>
        <v>22</v>
      </c>
      <c r="E255">
        <f t="shared" ca="1" si="66"/>
        <v>0</v>
      </c>
      <c r="F255">
        <f t="shared" ca="1" si="67"/>
        <v>0</v>
      </c>
      <c r="G255">
        <f t="shared" ca="1" si="68"/>
        <v>16</v>
      </c>
      <c r="H255">
        <f t="shared" ca="1" si="73"/>
        <v>0</v>
      </c>
      <c r="I255">
        <f t="shared" ca="1" si="74"/>
        <v>0</v>
      </c>
      <c r="J255" s="101" t="s">
        <v>103</v>
      </c>
      <c r="K255" s="137" t="str">
        <f t="shared" ca="1" si="69"/>
        <v>1.22.16.</v>
      </c>
      <c r="L255" s="176" t="s">
        <v>249</v>
      </c>
      <c r="M255" s="176" t="s">
        <v>357</v>
      </c>
      <c r="N255" s="197" t="str">
        <f ca="1">IF($A255="S",Referencia.Descricao,"(digite a descrição aqui)")</f>
        <v xml:space="preserve">ESPELHO CRISTAL E = 4 MM                                                                                                                                                                                                                                                                                                                                                                                                                                                                                  </v>
      </c>
      <c r="O255" s="196" t="str">
        <f ca="1">Referencia.Unidade</f>
        <v xml:space="preserve">M2    </v>
      </c>
      <c r="P255" s="199">
        <f>6*1.2*0.8</f>
        <v>5.76</v>
      </c>
      <c r="Q255" s="195">
        <f t="shared" ca="1" si="72"/>
        <v>314.47000000000003</v>
      </c>
      <c r="R255" s="198" t="s">
        <v>7</v>
      </c>
      <c r="S255" s="102">
        <f t="shared" ca="1" si="59"/>
        <v>397.43</v>
      </c>
      <c r="T255" s="82">
        <f t="shared" ca="1" si="60"/>
        <v>2289.1999999999998</v>
      </c>
      <c r="U255" s="9" t="str">
        <f t="shared" ca="1" si="70"/>
        <v/>
      </c>
      <c r="V255" s="1" t="str">
        <f ca="1">IF(OR($A255=0,$A255="S",$A255&gt;CFF!$A$9),"",MAX(V$12:OFFSET(V255,-1,0))+1)</f>
        <v/>
      </c>
      <c r="W255" s="4" t="str">
        <f t="shared" si="71"/>
        <v>SINAPI-I-11186</v>
      </c>
      <c r="X255" s="1">
        <f t="shared" ca="1" si="61"/>
        <v>9699</v>
      </c>
      <c r="Y255" s="102">
        <f ca="1">IF(Import.Desoneracao="sim",Referencia.Desonerado,Referencia.NaoDesonerado)</f>
        <v>314.47000000000003</v>
      </c>
      <c r="Z255" s="112">
        <f ca="1">ROUND(IF(ISNUMBER(R255),R255,IF(LEFT(R255,3)="BDI",HLOOKUP(R255,DADOS!$T$37:$X$38,2,FALSE),0)),15-11*$X$5)</f>
        <v>0.26379999999999998</v>
      </c>
      <c r="AA255" s="1"/>
    </row>
    <row r="256" spans="1:27" x14ac:dyDescent="0.2">
      <c r="A256">
        <f t="shared" si="0"/>
        <v>2</v>
      </c>
      <c r="B256">
        <f t="shared" ca="1" si="1"/>
        <v>14</v>
      </c>
      <c r="C256">
        <f t="shared" ca="1" si="2"/>
        <v>1</v>
      </c>
      <c r="D256">
        <f t="shared" ca="1" si="3"/>
        <v>23</v>
      </c>
      <c r="E256">
        <f t="shared" ca="1" si="4"/>
        <v>0</v>
      </c>
      <c r="F256">
        <f t="shared" ca="1" si="5"/>
        <v>0</v>
      </c>
      <c r="G256">
        <f t="shared" ca="1" si="6"/>
        <v>0</v>
      </c>
      <c r="H256">
        <f t="shared" ca="1" si="73"/>
        <v>19</v>
      </c>
      <c r="I256">
        <f t="shared" ca="1" si="74"/>
        <v>14</v>
      </c>
      <c r="J256" s="101" t="s">
        <v>100</v>
      </c>
      <c r="K256" s="137" t="str">
        <f t="shared" ca="1" si="7"/>
        <v>1.23.</v>
      </c>
      <c r="L256" s="176"/>
      <c r="M256" s="176"/>
      <c r="N256" s="197" t="s">
        <v>239</v>
      </c>
      <c r="O256" s="196" t="str">
        <f ca="1">Referencia.Unidade</f>
        <v/>
      </c>
      <c r="P256" s="199"/>
      <c r="Q256" s="195"/>
      <c r="R256" s="198" t="s">
        <v>7</v>
      </c>
      <c r="S256" s="102">
        <f t="shared" si="8"/>
        <v>0</v>
      </c>
      <c r="T256" s="82">
        <f t="shared" ca="1" si="9"/>
        <v>24233.18</v>
      </c>
      <c r="U256" s="9" t="str">
        <f t="shared" ca="1" si="10"/>
        <v/>
      </c>
      <c r="V256" s="1">
        <f ca="1">IF(OR($A256=0,$A256="S",$A256&gt;CFF!$A$9),"",MAX(V$12:OFFSET(V256,-1,0))+1)</f>
        <v>24</v>
      </c>
      <c r="W256" s="4" t="b">
        <f t="shared" si="11"/>
        <v>0</v>
      </c>
      <c r="X256" s="1" t="str">
        <f t="shared" ca="1" si="12"/>
        <v>X</v>
      </c>
      <c r="Y256" s="102">
        <f t="shared" ca="1" si="13"/>
        <v>0</v>
      </c>
      <c r="Z256" s="112">
        <f ca="1">ROUND(IF(ISNUMBER(R256),R256,IF(LEFT(R256,3)="BDI",HLOOKUP(R256,DADOS!$T$37:$X$38,2,FALSE),0)),15-11*$X$5)</f>
        <v>0.26379999999999998</v>
      </c>
      <c r="AA256" s="1"/>
    </row>
    <row r="257" spans="1:27" x14ac:dyDescent="0.2">
      <c r="A257" t="str">
        <f t="shared" si="0"/>
        <v>S</v>
      </c>
      <c r="B257">
        <f t="shared" si="1"/>
        <v>0</v>
      </c>
      <c r="C257">
        <f t="shared" ca="1" si="2"/>
        <v>1</v>
      </c>
      <c r="D257">
        <f t="shared" ca="1" si="3"/>
        <v>23</v>
      </c>
      <c r="E257">
        <f t="shared" ca="1" si="4"/>
        <v>0</v>
      </c>
      <c r="F257">
        <f t="shared" ca="1" si="5"/>
        <v>0</v>
      </c>
      <c r="G257">
        <f t="shared" ca="1" si="6"/>
        <v>1</v>
      </c>
      <c r="H257">
        <f t="shared" ca="1" si="73"/>
        <v>0</v>
      </c>
      <c r="I257">
        <f t="shared" ca="1" si="74"/>
        <v>0</v>
      </c>
      <c r="J257" s="101" t="s">
        <v>103</v>
      </c>
      <c r="K257" s="137" t="str">
        <f t="shared" ca="1" si="7"/>
        <v>1.23.1.</v>
      </c>
      <c r="L257" s="176" t="s">
        <v>237</v>
      </c>
      <c r="M257" s="176" t="s">
        <v>262</v>
      </c>
      <c r="N257" s="197" t="str">
        <f t="shared" ca="1" si="18"/>
        <v>LIMPEZA DE SUPERFÍCIE COM JATO DE ALTA PRESSÃO. AF_04/2019</v>
      </c>
      <c r="O257" s="196" t="str">
        <f ca="1">Referencia.Unidade</f>
        <v>M2</v>
      </c>
      <c r="P257" s="199">
        <f>18.35+113.5+35.24</f>
        <v>167.09</v>
      </c>
      <c r="Q257" s="195">
        <f t="shared" ref="Q257:Q269" ca="1" si="75">IF(Import.Desoneracao="sim",Referencia.Desonerado,Referencia.NaoDesonerado)</f>
        <v>1.86</v>
      </c>
      <c r="R257" s="198" t="s">
        <v>7</v>
      </c>
      <c r="S257" s="102">
        <f t="shared" ca="1" si="8"/>
        <v>2.35</v>
      </c>
      <c r="T257" s="82">
        <f t="shared" ca="1" si="9"/>
        <v>392.66</v>
      </c>
      <c r="U257" s="9" t="str">
        <f t="shared" ca="1" si="10"/>
        <v/>
      </c>
      <c r="V257" s="1" t="str">
        <f ca="1">IF(OR($A257=0,$A257="S",$A257&gt;CFF!$A$9),"",MAX(V$12:OFFSET(V257,-1,0))+1)</f>
        <v/>
      </c>
      <c r="W257" s="4" t="str">
        <f t="shared" si="11"/>
        <v>SINAPI-99814</v>
      </c>
      <c r="X257" s="1">
        <f t="shared" ca="1" si="12"/>
        <v>7079</v>
      </c>
      <c r="Y257" s="102">
        <f t="shared" ca="1" si="13"/>
        <v>1.86</v>
      </c>
      <c r="Z257" s="112">
        <f ca="1">ROUND(IF(ISNUMBER(R257),R257,IF(LEFT(R257,3)="BDI",HLOOKUP(R257,DADOS!$T$37:$X$38,2,FALSE),0)),15-11*$X$5)</f>
        <v>0.26379999999999998</v>
      </c>
      <c r="AA257" s="1"/>
    </row>
    <row r="258" spans="1:27" x14ac:dyDescent="0.2">
      <c r="A258" t="str">
        <f t="shared" si="0"/>
        <v>S</v>
      </c>
      <c r="B258">
        <f t="shared" si="1"/>
        <v>0</v>
      </c>
      <c r="C258">
        <f t="shared" ca="1" si="2"/>
        <v>1</v>
      </c>
      <c r="D258">
        <f t="shared" ca="1" si="3"/>
        <v>23</v>
      </c>
      <c r="E258">
        <f t="shared" ca="1" si="4"/>
        <v>0</v>
      </c>
      <c r="F258">
        <f t="shared" ca="1" si="5"/>
        <v>0</v>
      </c>
      <c r="G258">
        <f t="shared" ca="1" si="6"/>
        <v>2</v>
      </c>
      <c r="H258">
        <f t="shared" ca="1" si="73"/>
        <v>0</v>
      </c>
      <c r="I258">
        <f t="shared" ca="1" si="74"/>
        <v>0</v>
      </c>
      <c r="J258" s="101" t="s">
        <v>103</v>
      </c>
      <c r="K258" s="137" t="str">
        <f t="shared" ca="1" si="7"/>
        <v>1.23.2.</v>
      </c>
      <c r="L258" s="176" t="s">
        <v>237</v>
      </c>
      <c r="M258" s="176" t="s">
        <v>268</v>
      </c>
      <c r="N258" s="197" t="str">
        <f t="shared" ca="1" si="18"/>
        <v>LIMPEZA DE FORRO REMOVÍVEL COM PANO ÚMIDO. AF_04/2019</v>
      </c>
      <c r="O258" s="196" t="str">
        <f ca="1">Referencia.Unidade</f>
        <v>M2</v>
      </c>
      <c r="P258" s="199">
        <f>464.19+73.03</f>
        <v>537.22</v>
      </c>
      <c r="Q258" s="195">
        <f t="shared" ca="1" si="75"/>
        <v>1.48</v>
      </c>
      <c r="R258" s="198" t="s">
        <v>7</v>
      </c>
      <c r="S258" s="102">
        <f t="shared" ca="1" si="8"/>
        <v>1.87</v>
      </c>
      <c r="T258" s="82">
        <f t="shared" ca="1" si="9"/>
        <v>1004.6</v>
      </c>
      <c r="U258" s="9" t="str">
        <f t="shared" ca="1" si="10"/>
        <v/>
      </c>
      <c r="V258" s="1" t="str">
        <f ca="1">IF(OR($A258=0,$A258="S",$A258&gt;CFF!$A$9),"",MAX(V$12:OFFSET(V258,-1,0))+1)</f>
        <v/>
      </c>
      <c r="W258" s="4" t="str">
        <f t="shared" si="11"/>
        <v>SINAPI-99826</v>
      </c>
      <c r="X258" s="1">
        <f t="shared" ca="1" si="12"/>
        <v>7091</v>
      </c>
      <c r="Y258" s="102">
        <f t="shared" ca="1" si="13"/>
        <v>1.48</v>
      </c>
      <c r="Z258" s="112">
        <f ca="1">ROUND(IF(ISNUMBER(R258),R258,IF(LEFT(R258,3)="BDI",HLOOKUP(R258,DADOS!$T$37:$X$38,2,FALSE),0)),15-11*$X$5)</f>
        <v>0.26379999999999998</v>
      </c>
      <c r="AA258" s="1"/>
    </row>
    <row r="259" spans="1:27" ht="25.5" x14ac:dyDescent="0.2">
      <c r="A259" t="str">
        <f t="shared" si="0"/>
        <v>S</v>
      </c>
      <c r="B259">
        <f t="shared" si="1"/>
        <v>0</v>
      </c>
      <c r="C259">
        <f t="shared" ca="1" si="2"/>
        <v>1</v>
      </c>
      <c r="D259">
        <f t="shared" ca="1" si="3"/>
        <v>23</v>
      </c>
      <c r="E259">
        <f t="shared" ca="1" si="4"/>
        <v>0</v>
      </c>
      <c r="F259">
        <f t="shared" ca="1" si="5"/>
        <v>0</v>
      </c>
      <c r="G259">
        <f t="shared" ca="1" si="6"/>
        <v>3</v>
      </c>
      <c r="H259">
        <f t="shared" ca="1" si="73"/>
        <v>0</v>
      </c>
      <c r="I259">
        <f t="shared" ca="1" si="74"/>
        <v>0</v>
      </c>
      <c r="J259" s="101" t="s">
        <v>103</v>
      </c>
      <c r="K259" s="137" t="str">
        <f t="shared" ca="1" si="7"/>
        <v>1.23.3.</v>
      </c>
      <c r="L259" s="176" t="s">
        <v>237</v>
      </c>
      <c r="M259" s="176" t="s">
        <v>282</v>
      </c>
      <c r="N259" s="197" t="str">
        <f t="shared" ca="1" si="18"/>
        <v>LIMPEZA DE PISO CERÂMICO OU PORCELANATO UTILIZANDO DETERGENTE NEUTRO E ESCOVAÇÃO MANUAL. AF_04/2019</v>
      </c>
      <c r="O259" s="196" t="str">
        <f ca="1">Referencia.Unidade</f>
        <v>M2</v>
      </c>
      <c r="P259" s="199">
        <f>389.6+111.76</f>
        <v>501.36</v>
      </c>
      <c r="Q259" s="195">
        <f t="shared" ca="1" si="75"/>
        <v>5.21</v>
      </c>
      <c r="R259" s="198" t="s">
        <v>7</v>
      </c>
      <c r="S259" s="102">
        <f t="shared" ca="1" si="8"/>
        <v>6.58</v>
      </c>
      <c r="T259" s="82">
        <f t="shared" ca="1" si="9"/>
        <v>3298.95</v>
      </c>
      <c r="U259" s="9" t="str">
        <f t="shared" ca="1" si="10"/>
        <v/>
      </c>
      <c r="V259" s="1" t="str">
        <f ca="1">IF(OR($A259=0,$A259="S",$A259&gt;CFF!$A$9),"",MAX(V$12:OFFSET(V259,-1,0))+1)</f>
        <v/>
      </c>
      <c r="W259" s="4" t="str">
        <f t="shared" si="11"/>
        <v>SINAPI-99804</v>
      </c>
      <c r="X259" s="1">
        <f t="shared" ca="1" si="12"/>
        <v>7069</v>
      </c>
      <c r="Y259" s="102">
        <f t="shared" ca="1" si="13"/>
        <v>5.21</v>
      </c>
      <c r="Z259" s="112">
        <f ca="1">ROUND(IF(ISNUMBER(R259),R259,IF(LEFT(R259,3)="BDI",HLOOKUP(R259,DADOS!$T$37:$X$38,2,FALSE),0)),15-11*$X$5)</f>
        <v>0.26379999999999998</v>
      </c>
      <c r="AA259" s="1"/>
    </row>
    <row r="260" spans="1:27" x14ac:dyDescent="0.2">
      <c r="A260" t="str">
        <f t="shared" si="0"/>
        <v>S</v>
      </c>
      <c r="B260">
        <f t="shared" si="1"/>
        <v>0</v>
      </c>
      <c r="C260">
        <f t="shared" ca="1" si="2"/>
        <v>1</v>
      </c>
      <c r="D260">
        <f t="shared" ca="1" si="3"/>
        <v>23</v>
      </c>
      <c r="E260">
        <f t="shared" ca="1" si="4"/>
        <v>0</v>
      </c>
      <c r="F260">
        <f t="shared" ca="1" si="5"/>
        <v>0</v>
      </c>
      <c r="G260">
        <f t="shared" ca="1" si="6"/>
        <v>4</v>
      </c>
      <c r="H260">
        <f t="shared" ca="1" si="73"/>
        <v>0</v>
      </c>
      <c r="I260">
        <f t="shared" ca="1" si="74"/>
        <v>0</v>
      </c>
      <c r="J260" s="101" t="s">
        <v>103</v>
      </c>
      <c r="K260" s="137" t="str">
        <f t="shared" ca="1" si="7"/>
        <v>1.23.4.</v>
      </c>
      <c r="L260" s="176" t="s">
        <v>237</v>
      </c>
      <c r="M260" s="176" t="s">
        <v>283</v>
      </c>
      <c r="N260" s="197" t="str">
        <f t="shared" ca="1" si="18"/>
        <v>LIMPEZA DE JANELA DE VIDRO COM CAIXILHO EM AÇO/ALUMÍNIO/PVC. AF_04/2019</v>
      </c>
      <c r="O260" s="196" t="str">
        <f ca="1">Referencia.Unidade</f>
        <v>M2</v>
      </c>
      <c r="P260" s="199">
        <f>2.6+1.7+61.18</f>
        <v>65.48</v>
      </c>
      <c r="Q260" s="195">
        <f t="shared" ca="1" si="75"/>
        <v>3.19</v>
      </c>
      <c r="R260" s="198" t="s">
        <v>7</v>
      </c>
      <c r="S260" s="102">
        <f t="shared" ca="1" si="8"/>
        <v>4.03</v>
      </c>
      <c r="T260" s="82">
        <f t="shared" ca="1" si="9"/>
        <v>263.88</v>
      </c>
      <c r="U260" s="9" t="str">
        <f t="shared" ca="1" si="10"/>
        <v/>
      </c>
      <c r="V260" s="1" t="str">
        <f ca="1">IF(OR($A260=0,$A260="S",$A260&gt;CFF!$A$9),"",MAX(V$12:OFFSET(V260,-1,0))+1)</f>
        <v/>
      </c>
      <c r="W260" s="4" t="str">
        <f t="shared" si="11"/>
        <v>SINAPI-99821</v>
      </c>
      <c r="X260" s="1">
        <f t="shared" ca="1" si="12"/>
        <v>7086</v>
      </c>
      <c r="Y260" s="102">
        <f t="shared" ca="1" si="13"/>
        <v>3.19</v>
      </c>
      <c r="Z260" s="112">
        <f ca="1">ROUND(IF(ISNUMBER(R260),R260,IF(LEFT(R260,3)="BDI",HLOOKUP(R260,DADOS!$T$37:$X$38,2,FALSE),0)),15-11*$X$5)</f>
        <v>0.26379999999999998</v>
      </c>
      <c r="AA260" s="1"/>
    </row>
    <row r="261" spans="1:27" x14ac:dyDescent="0.2">
      <c r="A261" t="str">
        <f t="shared" si="0"/>
        <v>S</v>
      </c>
      <c r="B261">
        <f t="shared" si="1"/>
        <v>0</v>
      </c>
      <c r="C261">
        <f t="shared" ca="1" si="2"/>
        <v>1</v>
      </c>
      <c r="D261">
        <f t="shared" ca="1" si="3"/>
        <v>23</v>
      </c>
      <c r="E261">
        <f t="shared" ca="1" si="4"/>
        <v>0</v>
      </c>
      <c r="F261">
        <f t="shared" ca="1" si="5"/>
        <v>0</v>
      </c>
      <c r="G261">
        <f t="shared" ca="1" si="6"/>
        <v>5</v>
      </c>
      <c r="H261">
        <f t="shared" ca="1" si="73"/>
        <v>0</v>
      </c>
      <c r="I261">
        <f t="shared" ca="1" si="74"/>
        <v>0</v>
      </c>
      <c r="J261" s="101" t="s">
        <v>103</v>
      </c>
      <c r="K261" s="137" t="str">
        <f t="shared" ca="1" si="7"/>
        <v>1.23.5.</v>
      </c>
      <c r="L261" s="176" t="s">
        <v>237</v>
      </c>
      <c r="M261" s="176" t="s">
        <v>284</v>
      </c>
      <c r="N261" s="197" t="str">
        <f t="shared" ca="1" si="18"/>
        <v>LIMPEZA DE LADRILHO HIDRÁULICO EM PAREDE COM PANO ÚMIDO. AF_04/2019</v>
      </c>
      <c r="O261" s="196" t="str">
        <f ca="1">Referencia.Unidade</f>
        <v>M2</v>
      </c>
      <c r="P261" s="199">
        <f>(16.45+16.45+9+17.6+11.9+8.95+8.95+9.6)*3</f>
        <v>296.70000000000005</v>
      </c>
      <c r="Q261" s="195">
        <f t="shared" ca="1" si="75"/>
        <v>1.0900000000000001</v>
      </c>
      <c r="R261" s="198" t="s">
        <v>7</v>
      </c>
      <c r="S261" s="102">
        <f t="shared" ca="1" si="8"/>
        <v>1.38</v>
      </c>
      <c r="T261" s="82">
        <f t="shared" ca="1" si="9"/>
        <v>409.45</v>
      </c>
      <c r="U261" s="9" t="str">
        <f t="shared" ca="1" si="10"/>
        <v/>
      </c>
      <c r="V261" s="1" t="str">
        <f ca="1">IF(OR($A261=0,$A261="S",$A261&gt;CFF!$A$9),"",MAX(V$12:OFFSET(V261,-1,0))+1)</f>
        <v/>
      </c>
      <c r="W261" s="4" t="str">
        <f t="shared" si="11"/>
        <v>SINAPI-99812</v>
      </c>
      <c r="X261" s="1">
        <f t="shared" ca="1" si="12"/>
        <v>7077</v>
      </c>
      <c r="Y261" s="102">
        <f t="shared" ca="1" si="13"/>
        <v>1.0900000000000001</v>
      </c>
      <c r="Z261" s="112">
        <f ca="1">ROUND(IF(ISNUMBER(R261),R261,IF(LEFT(R261,3)="BDI",HLOOKUP(R261,DADOS!$T$37:$X$38,2,FALSE),0)),15-11*$X$5)</f>
        <v>0.26379999999999998</v>
      </c>
      <c r="AA261" s="1"/>
    </row>
    <row r="262" spans="1:27" ht="38.25" x14ac:dyDescent="0.2">
      <c r="A262" t="str">
        <f>CHOOSE(1+LOG(1+2*(J262="Meta")+4*(J262="Nível 2")+8*(J262="Nível 3")+16*(J262="Nível 4")+32*(J262="Serviço"),2),0,1,2,3,4,"S")</f>
        <v>S</v>
      </c>
      <c r="B262">
        <f>IF(OR(A262="S",A262=0),0,IF(ISERROR(I262),H262,SMALL(H262:I262,1)))</f>
        <v>0</v>
      </c>
      <c r="C262">
        <f ca="1">IF($A262=1,OFFSET(C262,-1,0)+1,OFFSET(C262,-1,0))</f>
        <v>1</v>
      </c>
      <c r="D262">
        <f ca="1">IF($A262=1,0,IF($A262=2,OFFSET(D262,-1,0)+1,OFFSET(D262,-1,0)))</f>
        <v>23</v>
      </c>
      <c r="E262">
        <f ca="1">IF(AND($A262&lt;=2,$A262&lt;&gt;0),0,IF($A262=3,OFFSET(E262,-1,0)+1,OFFSET(E262,-1,0)))</f>
        <v>0</v>
      </c>
      <c r="F262">
        <f ca="1">IF(AND($A262&lt;=3,$A262&lt;&gt;0),0,IF($A262=4,OFFSET(F262,-1,0)+1,OFFSET(F262,-1,0)))</f>
        <v>0</v>
      </c>
      <c r="G262">
        <f ca="1">IF(AND($A262&lt;=4,$A262&lt;&gt;0),0,IF($A262="S",OFFSET(G262,-1,0)+1,OFFSET(G262,-1,0)))</f>
        <v>6</v>
      </c>
      <c r="H262">
        <f t="shared" ca="1" si="73"/>
        <v>0</v>
      </c>
      <c r="I262">
        <f t="shared" ca="1" si="74"/>
        <v>0</v>
      </c>
      <c r="J262" s="101" t="s">
        <v>103</v>
      </c>
      <c r="K262" s="137" t="str">
        <f ca="1">IF($A262=0,"-",CONCATENATE(C262&amp;".",IF(AND($A$5&gt;=2,$A262&gt;=2),D262&amp;".",""),IF(AND($A$5&gt;=3,$A262&gt;=3),E262&amp;".",""),IF(AND($A$5&gt;=4,$A262&gt;=4),F262&amp;".",""),IF($A262="S",G262&amp;".","")))</f>
        <v>1.23.6.</v>
      </c>
      <c r="L262" s="176" t="s">
        <v>237</v>
      </c>
      <c r="M262" s="176" t="s">
        <v>241</v>
      </c>
      <c r="N262" s="197" t="str">
        <f t="shared" ca="1" si="18"/>
        <v>CARGA, MANOBRA E DESCARGA DE ENTULHO EM CAMINHÃO BASCULANTE 14 M³ - CARGA COM ESCAVADEIRA HIDRÁULICA  (CAÇAMBA DE 0,80 M³ / 111 HP) E DESCARGA LIVRE (UNIDADE: M3). AF_07/2020</v>
      </c>
      <c r="O262" s="196" t="str">
        <f ca="1">Referencia.Unidade</f>
        <v>M3</v>
      </c>
      <c r="P262" s="199">
        <v>200</v>
      </c>
      <c r="Q262" s="195">
        <f t="shared" ca="1" si="75"/>
        <v>9.65</v>
      </c>
      <c r="R262" s="198" t="s">
        <v>7</v>
      </c>
      <c r="S262" s="102">
        <f ca="1">IF($A262="S",IF($Q$10="Preço Unitário (R$)",PO.CustoUnitario,ROUND(PO.CustoUnitario*(1+$Z262),15-13*$X$6)),0)</f>
        <v>12.2</v>
      </c>
      <c r="T262" s="82">
        <f ca="1">IF($A262="S",VTOTAL1,IF($A262=0,0,ROUND(SomaAgrup,15-13*$X$7)))</f>
        <v>2440</v>
      </c>
      <c r="U262" s="9" t="str">
        <f ca="1">IF($J262="","",IF($N262="","DESCRIÇÃO",IF(AND($J262="Serviço",$O262=""),"UNIDADE",IF($T262&lt;=0,"SEM VALOR",IF(AND($Y262&lt;&gt;"",$Q262&gt;$Y262),"ACIMA REF.","")))))</f>
        <v/>
      </c>
      <c r="V262" s="1" t="str">
        <f ca="1">IF(OR($A262=0,$A262="S",$A262&gt;CFF!$A$9),"",MAX(V$12:OFFSET(V262,-1,0))+1)</f>
        <v/>
      </c>
      <c r="W262" s="4" t="str">
        <f>IF(AND($J262="Serviço",$M262&lt;&gt;""),IF($L262="",$M262,CONCATENATE($L262,"-",$M262)))</f>
        <v>SINAPI-100983</v>
      </c>
      <c r="X262" s="1">
        <f ca="1">IF(AND(Fonte&lt;&gt;"",Código&lt;&gt;""),MATCH(Fonte&amp;" "&amp;IF(Fonte="sinapi",SUBSTITUTE(SUBSTITUTE(Código,"/00","/"),"/0","/"),Código),INDIRECT("'[Referência "&amp;_xlnm.Database&amp;".xls]Banco'!$a:$a"),0),"X")</f>
        <v>7270</v>
      </c>
      <c r="Y262" s="102">
        <f ca="1">IF(Import.Desoneracao="sim",Referencia.Desonerado,Referencia.NaoDesonerado)</f>
        <v>9.65</v>
      </c>
      <c r="Z262" s="112">
        <f ca="1">ROUND(IF(ISNUMBER(R262),R262,IF(LEFT(R262,3)="BDI",HLOOKUP(R262,DADOS!$T$37:$X$38,2,FALSE),0)),15-11*$X$5)</f>
        <v>0.26379999999999998</v>
      </c>
      <c r="AA262" s="1"/>
    </row>
    <row r="263" spans="1:27" ht="25.5" x14ac:dyDescent="0.2">
      <c r="A263" t="str">
        <f>CHOOSE(1+LOG(1+2*(J263="Meta")+4*(J263="Nível 2")+8*(J263="Nível 3")+16*(J263="Nível 4")+32*(J263="Serviço"),2),0,1,2,3,4,"S")</f>
        <v>S</v>
      </c>
      <c r="B263">
        <f>IF(OR(A263="S",A263=0),0,IF(ISERROR(I263),H263,SMALL(H263:I263,1)))</f>
        <v>0</v>
      </c>
      <c r="C263">
        <f ca="1">IF($A263=1,OFFSET(C263,-1,0)+1,OFFSET(C263,-1,0))</f>
        <v>1</v>
      </c>
      <c r="D263">
        <f ca="1">IF($A263=1,0,IF($A263=2,OFFSET(D263,-1,0)+1,OFFSET(D263,-1,0)))</f>
        <v>23</v>
      </c>
      <c r="E263">
        <f ca="1">IF(AND($A263&lt;=2,$A263&lt;&gt;0),0,IF($A263=3,OFFSET(E263,-1,0)+1,OFFSET(E263,-1,0)))</f>
        <v>0</v>
      </c>
      <c r="F263">
        <f ca="1">IF(AND($A263&lt;=3,$A263&lt;&gt;0),0,IF($A263=4,OFFSET(F263,-1,0)+1,OFFSET(F263,-1,0)))</f>
        <v>0</v>
      </c>
      <c r="G263">
        <f ca="1">IF(AND($A263&lt;=4,$A263&lt;&gt;0),0,IF($A263="S",OFFSET(G263,-1,0)+1,OFFSET(G263,-1,0)))</f>
        <v>7</v>
      </c>
      <c r="H263">
        <f t="shared" ca="1" si="73"/>
        <v>0</v>
      </c>
      <c r="I263">
        <f t="shared" ca="1" si="74"/>
        <v>0</v>
      </c>
      <c r="J263" s="101" t="s">
        <v>103</v>
      </c>
      <c r="K263" s="137" t="str">
        <f ca="1">IF($A263=0,"-",CONCATENATE(C263&amp;".",IF(AND($A$5&gt;=2,$A263&gt;=2),D263&amp;".",""),IF(AND($A$5&gt;=3,$A263&gt;=3),E263&amp;".",""),IF(AND($A$5&gt;=4,$A263&gt;=4),F263&amp;".",""),IF($A263="S",G263&amp;".","")))</f>
        <v>1.23.7.</v>
      </c>
      <c r="L263" s="176" t="s">
        <v>237</v>
      </c>
      <c r="M263" s="176" t="s">
        <v>380</v>
      </c>
      <c r="N263" s="197" t="str">
        <f ca="1">IF($A263="S",Referencia.Descricao,"(digite a descrição aqui)")</f>
        <v>TRANSPORTE COM CAMINHÃO BASCULANTE DE 10 M³, EM VIA URBANA PAVIMENTADA, DMT ATÉ 30 KM (UNIDADE: M3XKM). AF_07/2020</v>
      </c>
      <c r="O263" s="196" t="str">
        <f ca="1">Referencia.Unidade</f>
        <v>M3XKM</v>
      </c>
      <c r="P263" s="199">
        <f>P262*4</f>
        <v>800</v>
      </c>
      <c r="Q263" s="195">
        <f t="shared" ca="1" si="75"/>
        <v>2.5299999999999998</v>
      </c>
      <c r="R263" s="198" t="s">
        <v>8</v>
      </c>
      <c r="S263" s="102">
        <f ca="1">IF($A263="S",IF($Q$10="Preço Unitário (R$)",PO.CustoUnitario,ROUND(PO.CustoUnitario*(1+$Z263),15-13*$X$6)),0)</f>
        <v>2.92</v>
      </c>
      <c r="T263" s="82">
        <f ca="1">IF($A263="S",VTOTAL1,IF($A263=0,0,ROUND(SomaAgrup,15-13*$X$7)))</f>
        <v>2336</v>
      </c>
      <c r="U263" s="9" t="str">
        <f ca="1">IF($J263="","",IF($N263="","DESCRIÇÃO",IF(AND($J263="Serviço",$O263=""),"UNIDADE",IF($T263&lt;=0,"SEM VALOR",IF(AND($Y263&lt;&gt;"",$Q263&gt;$Y263),"ACIMA REF.","")))))</f>
        <v/>
      </c>
      <c r="V263" s="1" t="str">
        <f ca="1">IF(OR($A263=0,$A263="S",$A263&gt;CFF!$A$9),"",MAX(V$12:OFFSET(V263,-1,0))+1)</f>
        <v/>
      </c>
      <c r="W263" s="4" t="str">
        <f>IF(AND($J263="Serviço",$M263&lt;&gt;""),IF($L263="",$M263,CONCATENATE($L263,"-",$M263)))</f>
        <v>SINAPI-95875</v>
      </c>
      <c r="X263" s="1">
        <f ca="1">IF(AND(Fonte&lt;&gt;"",Código&lt;&gt;""),MATCH(Fonte&amp;" "&amp;IF(Fonte="sinapi",SUBSTITUTE(SUBSTITUTE(Código,"/00","/"),"/0","/"),Código),INDIRECT("'[Referência "&amp;_xlnm.Database&amp;".xls]Banco'!$a:$a"),0),"X")</f>
        <v>7211</v>
      </c>
      <c r="Y263" s="102">
        <f ca="1">IF(Import.Desoneracao="sim",Referencia.Desonerado,Referencia.NaoDesonerado)</f>
        <v>2.5299999999999998</v>
      </c>
      <c r="Z263" s="112">
        <f ca="1">ROUND(IF(ISNUMBER(R263),R263,IF(LEFT(R263,3)="BDI",HLOOKUP(R263,DADOS!$T$37:$X$38,2,FALSE),0)),15-11*$X$5)</f>
        <v>0.1525</v>
      </c>
      <c r="AA263" s="1"/>
    </row>
    <row r="264" spans="1:27" x14ac:dyDescent="0.2">
      <c r="A264" t="str">
        <f t="shared" ref="A264:A266" si="76">CHOOSE(1+LOG(1+2*(J264="Meta")+4*(J264="Nível 2")+8*(J264="Nível 3")+16*(J264="Nível 4")+32*(J264="Serviço"),2),0,1,2,3,4,"S")</f>
        <v>S</v>
      </c>
      <c r="B264">
        <f t="shared" ref="B264:B266" si="77">IF(OR(A264="S",A264=0),0,IF(ISERROR(I264),H264,SMALL(H264:I264,1)))</f>
        <v>0</v>
      </c>
      <c r="C264">
        <f t="shared" ref="C264:C266" ca="1" si="78">IF($A264=1,OFFSET(C264,-1,0)+1,OFFSET(C264,-1,0))</f>
        <v>1</v>
      </c>
      <c r="D264">
        <f t="shared" ref="D264:D266" ca="1" si="79">IF($A264=1,0,IF($A264=2,OFFSET(D264,-1,0)+1,OFFSET(D264,-1,0)))</f>
        <v>23</v>
      </c>
      <c r="E264">
        <f t="shared" ref="E264:E266" ca="1" si="80">IF(AND($A264&lt;=2,$A264&lt;&gt;0),0,IF($A264=3,OFFSET(E264,-1,0)+1,OFFSET(E264,-1,0)))</f>
        <v>0</v>
      </c>
      <c r="F264">
        <f t="shared" ref="F264:F266" ca="1" si="81">IF(AND($A264&lt;=3,$A264&lt;&gt;0),0,IF($A264=4,OFFSET(F264,-1,0)+1,OFFSET(F264,-1,0)))</f>
        <v>0</v>
      </c>
      <c r="G264">
        <f t="shared" ref="G264:G266" ca="1" si="82">IF(AND($A264&lt;=4,$A264&lt;&gt;0),0,IF($A264="S",OFFSET(G264,-1,0)+1,OFFSET(G264,-1,0)))</f>
        <v>8</v>
      </c>
      <c r="H264">
        <f t="shared" ca="1" si="73"/>
        <v>0</v>
      </c>
      <c r="I264">
        <f t="shared" ca="1" si="74"/>
        <v>0</v>
      </c>
      <c r="J264" s="101" t="s">
        <v>103</v>
      </c>
      <c r="K264" s="137" t="str">
        <f t="shared" ref="K264:K266" ca="1" si="83">IF($A264=0,"-",CONCATENATE(C264&amp;".",IF(AND($A$5&gt;=2,$A264&gt;=2),D264&amp;".",""),IF(AND($A$5&gt;=3,$A264&gt;=3),E264&amp;".",""),IF(AND($A$5&gt;=4,$A264&gt;=4),F264&amp;".",""),IF($A264="S",G264&amp;".","")))</f>
        <v>1.23.8.</v>
      </c>
      <c r="L264" s="176" t="s">
        <v>249</v>
      </c>
      <c r="M264" s="176" t="s">
        <v>373</v>
      </c>
      <c r="N264" s="197" t="str">
        <f ca="1">IF($A264="S",Referencia.Descricao,"(digite a descrição aqui)")</f>
        <v xml:space="preserve">PLACA DE INAUGURACAO EM BRONZE *35X 50*CM                                                                                                                                                                                                                                                                                                                                                                                                                                                                 </v>
      </c>
      <c r="O264" s="196" t="str">
        <f ca="1">Referencia.Unidade</f>
        <v xml:space="preserve">UN    </v>
      </c>
      <c r="P264" s="199">
        <v>1</v>
      </c>
      <c r="Q264" s="195">
        <f t="shared" ca="1" si="75"/>
        <v>1920.01</v>
      </c>
      <c r="R264" s="198" t="s">
        <v>7</v>
      </c>
      <c r="S264" s="102">
        <f ca="1">IF($A264="S",IF($Q$10="Preço Unitário (R$)",PO.CustoUnitario,ROUND(PO.CustoUnitario*(1+$Z264),15-13*$X$6)),0)</f>
        <v>2426.5100000000002</v>
      </c>
      <c r="T264" s="82">
        <f ca="1">IF($A264="S",VTOTAL1,IF($A264=0,0,ROUND(SomaAgrup,15-13*$X$7)))</f>
        <v>2426.5100000000002</v>
      </c>
      <c r="U264" s="9" t="str">
        <f t="shared" ref="U264:U266" ca="1" si="84">IF($J264="","",IF($N264="","DESCRIÇÃO",IF(AND($J264="Serviço",$O264=""),"UNIDADE",IF($T264&lt;=0,"SEM VALOR",IF(AND($Y264&lt;&gt;"",$Q264&gt;$Y264),"ACIMA REF.","")))))</f>
        <v/>
      </c>
      <c r="V264" s="1" t="str">
        <f ca="1">IF(OR($A264=0,$A264="S",$A264&gt;CFF!$A$9),"",MAX(V$12:OFFSET(V264,-1,0))+1)</f>
        <v/>
      </c>
      <c r="W264" s="4" t="str">
        <f t="shared" ref="W264:W266" si="85">IF(AND($J264="Serviço",$M264&lt;&gt;""),IF($L264="",$M264,CONCATENATE($L264,"-",$M264)))</f>
        <v>SINAPI-I-10849</v>
      </c>
      <c r="X264" s="1">
        <f ca="1">IF(AND(Fonte&lt;&gt;"",Código&lt;&gt;""),MATCH(Fonte&amp;" "&amp;IF(Fonte="sinapi",SUBSTITUTE(SUBSTITUTE(Código,"/00","/"),"/0","/"),Código),INDIRECT("'[Referência "&amp;_xlnm.Database&amp;".xls]Banco'!$a:$a"),0),"X")</f>
        <v>11125</v>
      </c>
      <c r="Y264" s="102">
        <f ca="1">IF(Import.Desoneracao="sim",Referencia.Desonerado,Referencia.NaoDesonerado)</f>
        <v>1920.01</v>
      </c>
      <c r="Z264" s="112">
        <f ca="1">ROUND(IF(ISNUMBER(R264),R264,IF(LEFT(R264,3)="BDI",HLOOKUP(R264,DADOS!$T$37:$X$38,2,FALSE),0)),15-11*$X$5)</f>
        <v>0.26379999999999998</v>
      </c>
      <c r="AA264" s="1"/>
    </row>
    <row r="265" spans="1:27" ht="38.25" x14ac:dyDescent="0.2">
      <c r="A265" t="str">
        <f t="shared" si="76"/>
        <v>S</v>
      </c>
      <c r="B265">
        <f t="shared" si="77"/>
        <v>0</v>
      </c>
      <c r="C265">
        <f t="shared" ca="1" si="78"/>
        <v>1</v>
      </c>
      <c r="D265">
        <f t="shared" ca="1" si="79"/>
        <v>23</v>
      </c>
      <c r="E265">
        <f t="shared" ca="1" si="80"/>
        <v>0</v>
      </c>
      <c r="F265">
        <f t="shared" ca="1" si="81"/>
        <v>0</v>
      </c>
      <c r="G265">
        <f t="shared" ca="1" si="82"/>
        <v>9</v>
      </c>
      <c r="H265">
        <f t="shared" ca="1" si="73"/>
        <v>0</v>
      </c>
      <c r="I265">
        <f t="shared" ca="1" si="74"/>
        <v>0</v>
      </c>
      <c r="J265" s="101" t="s">
        <v>103</v>
      </c>
      <c r="K265" s="137" t="str">
        <f t="shared" ca="1" si="83"/>
        <v>1.23.9.</v>
      </c>
      <c r="L265" s="176" t="s">
        <v>237</v>
      </c>
      <c r="M265" s="176" t="s">
        <v>374</v>
      </c>
      <c r="N265" s="197" t="str">
        <f ca="1">IF($A265="S",Referencia.Descricao,"(digite a descrição aqui)")</f>
        <v>PEDRA ARGAMASSADA COM CIMENTO E AREIA 1:3, 40% DE ARGAMASSA EM VOLUME - AREIA E PEDRA DE MÃO COMERCIAIS - FORNECIMENTO E ASSENTAMENTO. AF_08/2022</v>
      </c>
      <c r="O265" s="196" t="str">
        <f ca="1">Referencia.Unidade</f>
        <v>M3</v>
      </c>
      <c r="P265" s="199">
        <f>0.6*0.6*1.3</f>
        <v>0.46799999999999997</v>
      </c>
      <c r="Q265" s="195">
        <f t="shared" ca="1" si="75"/>
        <v>503</v>
      </c>
      <c r="R265" s="198" t="s">
        <v>7</v>
      </c>
      <c r="S265" s="102">
        <f ca="1">IF($A265="S",IF($Q$10="Preço Unitário (R$)",PO.CustoUnitario,ROUND(PO.CustoUnitario*(1+$Z265),15-13*$X$6)),0)</f>
        <v>635.69000000000005</v>
      </c>
      <c r="T265" s="82">
        <f ca="1">IF($A265="S",VTOTAL1,IF($A265=0,0,ROUND(SomaAgrup,15-13*$X$7)))</f>
        <v>298.77</v>
      </c>
      <c r="U265" s="9" t="str">
        <f t="shared" ca="1" si="84"/>
        <v/>
      </c>
      <c r="V265" s="1" t="str">
        <f ca="1">IF(OR($A265=0,$A265="S",$A265&gt;CFF!$A$9),"",MAX(V$12:OFFSET(V265,-1,0))+1)</f>
        <v/>
      </c>
      <c r="W265" s="4" t="str">
        <f t="shared" si="85"/>
        <v>SINAPI-103800</v>
      </c>
      <c r="X265" s="1">
        <f ca="1">IF(AND(Fonte&lt;&gt;"",Código&lt;&gt;""),MATCH(Fonte&amp;" "&amp;IF(Fonte="sinapi",SUBSTITUTE(SUBSTITUTE(Código,"/00","/"),"/0","/"),Código),INDIRECT("'[Referência "&amp;_xlnm.Database&amp;".xls]Banco'!$a:$a"),0),"X")</f>
        <v>2863</v>
      </c>
      <c r="Y265" s="102">
        <f ca="1">IF(Import.Desoneracao="sim",Referencia.Desonerado,Referencia.NaoDesonerado)</f>
        <v>503</v>
      </c>
      <c r="Z265" s="112">
        <f ca="1">ROUND(IF(ISNUMBER(R265),R265,IF(LEFT(R265,3)="BDI",HLOOKUP(R265,DADOS!$T$37:$X$38,2,FALSE),0)),15-11*$X$5)</f>
        <v>0.26379999999999998</v>
      </c>
      <c r="AA265" s="1"/>
    </row>
    <row r="266" spans="1:27" ht="25.5" x14ac:dyDescent="0.2">
      <c r="A266" t="str">
        <f t="shared" si="76"/>
        <v>S</v>
      </c>
      <c r="B266">
        <f t="shared" si="77"/>
        <v>0</v>
      </c>
      <c r="C266">
        <f t="shared" ca="1" si="78"/>
        <v>1</v>
      </c>
      <c r="D266">
        <f t="shared" ca="1" si="79"/>
        <v>23</v>
      </c>
      <c r="E266">
        <f t="shared" ca="1" si="80"/>
        <v>0</v>
      </c>
      <c r="F266">
        <f t="shared" ca="1" si="81"/>
        <v>0</v>
      </c>
      <c r="G266">
        <f t="shared" ca="1" si="82"/>
        <v>10</v>
      </c>
      <c r="H266">
        <f t="shared" ca="1" si="73"/>
        <v>0</v>
      </c>
      <c r="I266">
        <f t="shared" ca="1" si="74"/>
        <v>0</v>
      </c>
      <c r="J266" s="101" t="s">
        <v>103</v>
      </c>
      <c r="K266" s="137" t="str">
        <f t="shared" ca="1" si="83"/>
        <v>1.23.10.</v>
      </c>
      <c r="L266" s="176" t="s">
        <v>238</v>
      </c>
      <c r="M266" s="176" t="s">
        <v>376</v>
      </c>
      <c r="N266" s="197" t="str">
        <f ca="1">IF($A266="S",Referencia.Descricao,"(digite a descrição aqui)")</f>
        <v>PINTURA DE ALVENARIA EM PEDRA ARGAMASSADA COM TINTA EPÓXI, APLICAÇÃO MANUAL, 2 DEMÃOS, INCLUSÃO PRIMER EPÓXI. AF_05/2021</v>
      </c>
      <c r="O266" s="196" t="str">
        <f ca="1">Referencia.Unidade</f>
        <v>M2</v>
      </c>
      <c r="P266" s="199">
        <f>0.6*0.6*1.3</f>
        <v>0.46799999999999997</v>
      </c>
      <c r="Q266" s="195">
        <f t="shared" ca="1" si="75"/>
        <v>47.51</v>
      </c>
      <c r="R266" s="198" t="s">
        <v>7</v>
      </c>
      <c r="S266" s="102">
        <f ca="1">IF($A266="S",IF($Q$10="Preço Unitário (R$)",PO.CustoUnitario,ROUND(PO.CustoUnitario*(1+$Z266),15-13*$X$6)),0)</f>
        <v>60.04</v>
      </c>
      <c r="T266" s="82">
        <f ca="1">IF($A266="S",VTOTAL1,IF($A266=0,0,ROUND(SomaAgrup,15-13*$X$7)))</f>
        <v>28.22</v>
      </c>
      <c r="U266" s="9" t="str">
        <f t="shared" ca="1" si="84"/>
        <v/>
      </c>
      <c r="V266" s="1" t="str">
        <f ca="1">IF(OR($A266=0,$A266="S",$A266&gt;CFF!$A$9),"",MAX(V$12:OFFSET(V266,-1,0))+1)</f>
        <v/>
      </c>
      <c r="W266" s="4" t="str">
        <f t="shared" si="85"/>
        <v>COMPOSIÇÃO-COMP19</v>
      </c>
      <c r="X266" s="1">
        <f ca="1">IF(AND(Fonte&lt;&gt;"",Código&lt;&gt;""),MATCH(Fonte&amp;" "&amp;IF(Fonte="sinapi",SUBSTITUTE(SUBSTITUTE(Código,"/00","/"),"/0","/"),Código),INDIRECT("'[Referência "&amp;_xlnm.Database&amp;".xls]Banco'!$a:$a"),0),"X")</f>
        <v>25</v>
      </c>
      <c r="Y266" s="102">
        <f ca="1">IF(Import.Desoneracao="sim",Referencia.Desonerado,Referencia.NaoDesonerado)</f>
        <v>47.51</v>
      </c>
      <c r="Z266" s="112">
        <f ca="1">ROUND(IF(ISNUMBER(R266),R266,IF(LEFT(R266,3)="BDI",HLOOKUP(R266,DADOS!$T$37:$X$38,2,FALSE),0)),15-11*$X$5)</f>
        <v>0.26379999999999998</v>
      </c>
      <c r="AA266" s="1"/>
    </row>
    <row r="267" spans="1:27" x14ac:dyDescent="0.2">
      <c r="A267" t="str">
        <f t="shared" si="0"/>
        <v>S</v>
      </c>
      <c r="B267">
        <f t="shared" si="1"/>
        <v>0</v>
      </c>
      <c r="C267">
        <f t="shared" ca="1" si="2"/>
        <v>1</v>
      </c>
      <c r="D267">
        <f t="shared" ca="1" si="3"/>
        <v>23</v>
      </c>
      <c r="E267">
        <f t="shared" ca="1" si="4"/>
        <v>0</v>
      </c>
      <c r="F267">
        <f t="shared" ca="1" si="5"/>
        <v>0</v>
      </c>
      <c r="G267">
        <f t="shared" ca="1" si="6"/>
        <v>11</v>
      </c>
      <c r="H267">
        <f t="shared" ca="1" si="73"/>
        <v>0</v>
      </c>
      <c r="I267">
        <f t="shared" ca="1" si="74"/>
        <v>0</v>
      </c>
      <c r="J267" s="101" t="s">
        <v>103</v>
      </c>
      <c r="K267" s="137" t="str">
        <f t="shared" ca="1" si="7"/>
        <v>1.23.11.</v>
      </c>
      <c r="L267" s="176" t="s">
        <v>237</v>
      </c>
      <c r="M267" s="176" t="s">
        <v>285</v>
      </c>
      <c r="N267" s="197" t="str">
        <f t="shared" ca="1" si="18"/>
        <v>PLANTIO DE GRAMA BATATAIS EM PLACAS. AF_07/2024</v>
      </c>
      <c r="O267" s="196" t="str">
        <f ca="1">Referencia.Unidade</f>
        <v>M2</v>
      </c>
      <c r="P267" s="199">
        <v>250</v>
      </c>
      <c r="Q267" s="195">
        <f t="shared" ca="1" si="75"/>
        <v>21.98</v>
      </c>
      <c r="R267" s="198" t="s">
        <v>7</v>
      </c>
      <c r="S267" s="102">
        <f t="shared" ca="1" si="8"/>
        <v>27.78</v>
      </c>
      <c r="T267" s="82">
        <f t="shared" ca="1" si="9"/>
        <v>6945</v>
      </c>
      <c r="U267" s="9" t="str">
        <f t="shared" ca="1" si="10"/>
        <v/>
      </c>
      <c r="V267" s="1" t="str">
        <f ca="1">IF(OR($A267=0,$A267="S",$A267&gt;CFF!$A$9),"",MAX(V$12:OFFSET(V267,-1,0))+1)</f>
        <v/>
      </c>
      <c r="W267" s="4" t="str">
        <f t="shared" si="11"/>
        <v>SINAPI-98504</v>
      </c>
      <c r="X267" s="1">
        <f t="shared" ca="1" si="12"/>
        <v>7359</v>
      </c>
      <c r="Y267" s="102">
        <f t="shared" ca="1" si="13"/>
        <v>21.98</v>
      </c>
      <c r="Z267" s="112">
        <f ca="1">ROUND(IF(ISNUMBER(R267),R267,IF(LEFT(R267,3)="BDI",HLOOKUP(R267,DADOS!$T$37:$X$38,2,FALSE),0)),15-11*$X$5)</f>
        <v>0.26379999999999998</v>
      </c>
      <c r="AA267" s="1"/>
    </row>
    <row r="268" spans="1:27" x14ac:dyDescent="0.2">
      <c r="A268" t="str">
        <f t="shared" ref="A268:A269" si="86">CHOOSE(1+LOG(1+2*(J268="Meta")+4*(J268="Nível 2")+8*(J268="Nível 3")+16*(J268="Nível 4")+32*(J268="Serviço"),2),0,1,2,3,4,"S")</f>
        <v>S</v>
      </c>
      <c r="B268">
        <f t="shared" ref="B268:B269" si="87">IF(OR(A268="S",A268=0),0,IF(ISERROR(I268),H268,SMALL(H268:I268,1)))</f>
        <v>0</v>
      </c>
      <c r="C268">
        <f t="shared" ref="C268:C269" ca="1" si="88">IF($A268=1,OFFSET(C268,-1,0)+1,OFFSET(C268,-1,0))</f>
        <v>1</v>
      </c>
      <c r="D268">
        <f t="shared" ref="D268:D269" ca="1" si="89">IF($A268=1,0,IF($A268=2,OFFSET(D268,-1,0)+1,OFFSET(D268,-1,0)))</f>
        <v>23</v>
      </c>
      <c r="E268">
        <f t="shared" ref="E268:E269" ca="1" si="90">IF(AND($A268&lt;=2,$A268&lt;&gt;0),0,IF($A268=3,OFFSET(E268,-1,0)+1,OFFSET(E268,-1,0)))</f>
        <v>0</v>
      </c>
      <c r="F268">
        <f t="shared" ref="F268:F269" ca="1" si="91">IF(AND($A268&lt;=3,$A268&lt;&gt;0),0,IF($A268=4,OFFSET(F268,-1,0)+1,OFFSET(F268,-1,0)))</f>
        <v>0</v>
      </c>
      <c r="G268">
        <f t="shared" ref="G268:G269" ca="1" si="92">IF(AND($A268&lt;=4,$A268&lt;&gt;0),0,IF($A268="S",OFFSET(G268,-1,0)+1,OFFSET(G268,-1,0)))</f>
        <v>12</v>
      </c>
      <c r="H268">
        <f t="shared" ca="1" si="73"/>
        <v>0</v>
      </c>
      <c r="I268">
        <f t="shared" ca="1" si="74"/>
        <v>0</v>
      </c>
      <c r="J268" s="101" t="s">
        <v>103</v>
      </c>
      <c r="K268" s="137" t="str">
        <f t="shared" ref="K268:K269" ca="1" si="93">IF($A268=0,"-",CONCATENATE(C268&amp;".",IF(AND($A$5&gt;=2,$A268&gt;=2),D268&amp;".",""),IF(AND($A$5&gt;=3,$A268&gt;=3),E268&amp;".",""),IF(AND($A$5&gt;=4,$A268&gt;=4),F268&amp;".",""),IF($A268="S",G268&amp;".","")))</f>
        <v>1.23.12.</v>
      </c>
      <c r="L268" s="176" t="s">
        <v>237</v>
      </c>
      <c r="M268" s="176" t="s">
        <v>395</v>
      </c>
      <c r="N268" s="197" t="str">
        <f ca="1">IF($A268="S",Referencia.Descricao,"(digite a descrição aqui)")</f>
        <v>PLANTIO DE ARBUSTO OU  CERCA VIVA. AF_07/2024</v>
      </c>
      <c r="O268" s="196" t="str">
        <f ca="1">Referencia.Unidade</f>
        <v>UN</v>
      </c>
      <c r="P268" s="199">
        <f>12+13+7</f>
        <v>32</v>
      </c>
      <c r="Q268" s="195">
        <f t="shared" ca="1" si="75"/>
        <v>44.09</v>
      </c>
      <c r="R268" s="198" t="s">
        <v>7</v>
      </c>
      <c r="S268" s="102">
        <f ca="1">IF($A268="S",IF($Q$10="Preço Unitário (R$)",PO.CustoUnitario,ROUND(PO.CustoUnitario*(1+$Z268),15-13*$X$6)),0)</f>
        <v>55.72</v>
      </c>
      <c r="T268" s="82">
        <f ca="1">IF($A268="S",VTOTAL1,IF($A268=0,0,ROUND(SomaAgrup,15-13*$X$7)))</f>
        <v>1783.04</v>
      </c>
      <c r="U268" s="9" t="str">
        <f t="shared" ref="U268:U269" ca="1" si="94">IF($J268="","",IF($N268="","DESCRIÇÃO",IF(AND($J268="Serviço",$O268=""),"UNIDADE",IF($T268&lt;=0,"SEM VALOR",IF(AND($Y268&lt;&gt;"",$Q268&gt;$Y268),"ACIMA REF.","")))))</f>
        <v/>
      </c>
      <c r="V268" s="1" t="str">
        <f ca="1">IF(OR($A268=0,$A268="S",$A268&gt;CFF!$A$9),"",MAX(V$12:OFFSET(V268,-1,0))+1)</f>
        <v/>
      </c>
      <c r="W268" s="4" t="str">
        <f t="shared" ref="W268:W269" si="95">IF(AND($J268="Serviço",$M268&lt;&gt;""),IF($L268="",$M268,CONCATENATE($L268,"-",$M268)))</f>
        <v>SINAPI-98509</v>
      </c>
      <c r="X268" s="1">
        <f ca="1">IF(AND(Fonte&lt;&gt;"",Código&lt;&gt;""),MATCH(Fonte&amp;" "&amp;IF(Fonte="sinapi",SUBSTITUTE(SUBSTITUTE(Código,"/00","/"),"/0","/"),Código),INDIRECT("'[Referência "&amp;_xlnm.Database&amp;".xls]Banco'!$a:$a"),0),"X")</f>
        <v>7348</v>
      </c>
      <c r="Y268" s="102">
        <f ca="1">IF(Import.Desoneracao="sim",Referencia.Desonerado,Referencia.NaoDesonerado)</f>
        <v>44.09</v>
      </c>
      <c r="Z268" s="112">
        <f ca="1">ROUND(IF(ISNUMBER(R268),R268,IF(LEFT(R268,3)="BDI",HLOOKUP(R268,DADOS!$T$37:$X$38,2,FALSE),0)),15-11*$X$5)</f>
        <v>0.26379999999999998</v>
      </c>
      <c r="AA268" s="1"/>
    </row>
    <row r="269" spans="1:27" ht="25.5" x14ac:dyDescent="0.2">
      <c r="A269" t="str">
        <f t="shared" si="86"/>
        <v>S</v>
      </c>
      <c r="B269">
        <f t="shared" si="87"/>
        <v>0</v>
      </c>
      <c r="C269">
        <f t="shared" ca="1" si="88"/>
        <v>1</v>
      </c>
      <c r="D269">
        <f t="shared" ca="1" si="89"/>
        <v>23</v>
      </c>
      <c r="E269">
        <f t="shared" ca="1" si="90"/>
        <v>0</v>
      </c>
      <c r="F269">
        <f t="shared" ca="1" si="91"/>
        <v>0</v>
      </c>
      <c r="G269">
        <f t="shared" ca="1" si="92"/>
        <v>13</v>
      </c>
      <c r="H269">
        <f t="shared" ca="1" si="73"/>
        <v>0</v>
      </c>
      <c r="I269">
        <f t="shared" ca="1" si="74"/>
        <v>0</v>
      </c>
      <c r="J269" s="101" t="s">
        <v>103</v>
      </c>
      <c r="K269" s="137" t="str">
        <f t="shared" ca="1" si="93"/>
        <v>1.23.13.</v>
      </c>
      <c r="L269" s="176" t="s">
        <v>237</v>
      </c>
      <c r="M269" s="176" t="s">
        <v>396</v>
      </c>
      <c r="N269" s="197" t="str">
        <f ca="1">IF($A269="S",Referencia.Descricao,"(digite a descrição aqui)")</f>
        <v>PLANTIO DE PALMEIRA COM ALTURA DE MUDA MENOR OU IGUAL A 2,00 M . AF_07/2024</v>
      </c>
      <c r="O269" s="196" t="str">
        <f ca="1">Referencia.Unidade</f>
        <v>UN</v>
      </c>
      <c r="P269" s="199">
        <v>7</v>
      </c>
      <c r="Q269" s="195">
        <f t="shared" ca="1" si="75"/>
        <v>294.58999999999997</v>
      </c>
      <c r="R269" s="198" t="s">
        <v>7</v>
      </c>
      <c r="S269" s="102">
        <f ca="1">IF($A269="S",IF($Q$10="Preço Unitário (R$)",PO.CustoUnitario,ROUND(PO.CustoUnitario*(1+$Z269),15-13*$X$6)),0)</f>
        <v>372.3</v>
      </c>
      <c r="T269" s="82">
        <f ca="1">IF($A269="S",VTOTAL1,IF($A269=0,0,ROUND(SomaAgrup,15-13*$X$7)))</f>
        <v>2606.1</v>
      </c>
      <c r="U269" s="9" t="str">
        <f t="shared" ca="1" si="94"/>
        <v/>
      </c>
      <c r="V269" s="1" t="str">
        <f ca="1">IF(OR($A269=0,$A269="S",$A269&gt;CFF!$A$9),"",MAX(V$12:OFFSET(V269,-1,0))+1)</f>
        <v/>
      </c>
      <c r="W269" s="4" t="str">
        <f t="shared" si="95"/>
        <v>SINAPI-98516</v>
      </c>
      <c r="X269" s="1">
        <f ca="1">IF(AND(Fonte&lt;&gt;"",Código&lt;&gt;""),MATCH(Fonte&amp;" "&amp;IF(Fonte="sinapi",SUBSTITUTE(SUBSTITUTE(Código,"/00","/"),"/0","/"),Código),INDIRECT("'[Referência "&amp;_xlnm.Database&amp;".xls]Banco'!$a:$a"),0),"X")</f>
        <v>7351</v>
      </c>
      <c r="Y269" s="102">
        <f ca="1">IF(Import.Desoneracao="sim",Referencia.Desonerado,Referencia.NaoDesonerado)</f>
        <v>294.58999999999997</v>
      </c>
      <c r="Z269" s="112">
        <f ca="1">ROUND(IF(ISNUMBER(R269),R269,IF(LEFT(R269,3)="BDI",HLOOKUP(R269,DADOS!$T$37:$X$38,2,FALSE),0)),15-11*$X$5)</f>
        <v>0.26379999999999998</v>
      </c>
      <c r="AA269" s="1"/>
    </row>
    <row r="270" spans="1:27" x14ac:dyDescent="0.2">
      <c r="A270">
        <f>CHOOSE(1+LOG(1+2*(J270="Meta")+4*(J270="Nível 2")+8*(J270="Nível 3")+16*(J270="Nível 4")+32*(J270="Serviço"),2),0,1,2,3,4,"S")</f>
        <v>2</v>
      </c>
      <c r="B270">
        <f ca="1">IF(OR(A270="S",A270=0),0,IF(ISERROR(I270),H270,SMALL(H270:I270,1)))</f>
        <v>5</v>
      </c>
      <c r="C270">
        <f ca="1">IF($A270=1,OFFSET(C270,-1,0)+1,OFFSET(C270,-1,0))</f>
        <v>1</v>
      </c>
      <c r="D270">
        <f ca="1">IF($A270=1,0,IF($A270=2,OFFSET(D270,-1,0)+1,OFFSET(D270,-1,0)))</f>
        <v>24</v>
      </c>
      <c r="E270">
        <f ca="1">IF(AND($A270&lt;=2,$A270&lt;&gt;0),0,IF($A270=3,OFFSET(E270,-1,0)+1,OFFSET(E270,-1,0)))</f>
        <v>0</v>
      </c>
      <c r="F270">
        <f ca="1">IF(AND($A270&lt;=3,$A270&lt;&gt;0),0,IF($A270=4,OFFSET(F270,-1,0)+1,OFFSET(F270,-1,0)))</f>
        <v>0</v>
      </c>
      <c r="G270">
        <f ca="1">IF(AND($A270&lt;=4,$A270&lt;&gt;0),0,IF($A270="S",OFFSET(G270,-1,0)+1,OFFSET(G270,-1,0)))</f>
        <v>0</v>
      </c>
      <c r="H270">
        <f t="shared" ca="1" si="73"/>
        <v>5</v>
      </c>
      <c r="I270" t="e">
        <f t="shared" ca="1" si="74"/>
        <v>#N/A</v>
      </c>
      <c r="J270" s="101" t="s">
        <v>100</v>
      </c>
      <c r="K270" s="137" t="str">
        <f ca="1">IF($A270=0,"-",CONCATENATE(C270&amp;".",IF(AND($A$5&gt;=2,$A270&gt;=2),D270&amp;".",""),IF(AND($A$5&gt;=3,$A270&gt;=3),E270&amp;".",""),IF(AND($A$5&gt;=4,$A270&gt;=4),F270&amp;".",""),IF($A270="S",G270&amp;".","")))</f>
        <v>1.24.</v>
      </c>
      <c r="L270" s="176"/>
      <c r="M270" s="176"/>
      <c r="N270" s="197" t="s">
        <v>286</v>
      </c>
      <c r="O270" s="196" t="str">
        <f ca="1">Referencia.Unidade</f>
        <v/>
      </c>
      <c r="P270" s="199"/>
      <c r="Q270" s="195"/>
      <c r="R270" s="198" t="s">
        <v>7</v>
      </c>
      <c r="S270" s="102">
        <f t="shared" ref="S270:S274" si="96">IF($A270="S",IF($Q$10="Preço Unitário (R$)",PO.CustoUnitario,ROUND(PO.CustoUnitario*(1+$Z270),15-13*$X$6)),0)</f>
        <v>0</v>
      </c>
      <c r="T270" s="82">
        <f t="shared" ref="T270:T274" ca="1" si="97">IF($A270="S",VTOTAL1,IF($A270=0,0,ROUND(SomaAgrup,15-13*$X$7)))</f>
        <v>2684</v>
      </c>
      <c r="U270" s="9" t="str">
        <f ca="1">IF($J270="","",IF($N270="","DESCRIÇÃO",IF(AND($J270="Serviço",$O270=""),"UNIDADE",IF($T270&lt;=0,"SEM VALOR",IF(AND($Y270&lt;&gt;"",$Q270&gt;$Y270),"ACIMA REF.","")))))</f>
        <v/>
      </c>
      <c r="V270" s="1">
        <f ca="1">IF(OR($A270=0,$A270="S",$A270&gt;CFF!$A$9),"",MAX(V$12:OFFSET(V270,-1,0))+1)</f>
        <v>25</v>
      </c>
      <c r="W270" s="4" t="b">
        <f>IF(AND($J270="Serviço",$M270&lt;&gt;""),IF($L270="",$M270,CONCATENATE($L270,"-",$M270)))</f>
        <v>0</v>
      </c>
      <c r="X270" s="1" t="str">
        <f t="shared" ref="X270:X274" ca="1" si="98">IF(AND(Fonte&lt;&gt;"",Código&lt;&gt;""),MATCH(Fonte&amp;" "&amp;IF(Fonte="sinapi",SUBSTITUTE(SUBSTITUTE(Código,"/00","/"),"/0","/"),Código),INDIRECT("'[Referência "&amp;_xlnm.Database&amp;".xls]Banco'!$a:$a"),0),"X")</f>
        <v>X</v>
      </c>
      <c r="Y270" s="102">
        <f ca="1">IF(Import.Desoneracao="sim",Referencia.Desonerado,Referencia.NaoDesonerado)</f>
        <v>0</v>
      </c>
      <c r="Z270" s="112">
        <f ca="1">ROUND(IF(ISNUMBER(R270),R270,IF(LEFT(R270,3)="BDI",HLOOKUP(R270,DADOS!$T$37:$X$38,2,FALSE),0)),15-11*$X$5)</f>
        <v>0.26379999999999998</v>
      </c>
      <c r="AA270" s="1"/>
    </row>
    <row r="271" spans="1:27" ht="25.5" x14ac:dyDescent="0.2">
      <c r="A271" t="str">
        <f t="shared" ref="A271:A274" si="99">CHOOSE(1+LOG(1+2*(J271="Meta")+4*(J271="Nível 2")+8*(J271="Nível 3")+16*(J271="Nível 4")+32*(J271="Serviço"),2),0,1,2,3,4,"S")</f>
        <v>S</v>
      </c>
      <c r="B271">
        <f t="shared" ref="B271:B274" si="100">IF(OR(A271="S",A271=0),0,IF(ISERROR(I271),H271,SMALL(H271:I271,1)))</f>
        <v>0</v>
      </c>
      <c r="C271">
        <f t="shared" ref="C271:C274" ca="1" si="101">IF($A271=1,OFFSET(C271,-1,0)+1,OFFSET(C271,-1,0))</f>
        <v>1</v>
      </c>
      <c r="D271">
        <f t="shared" ref="D271:D274" ca="1" si="102">IF($A271=1,0,IF($A271=2,OFFSET(D271,-1,0)+1,OFFSET(D271,-1,0)))</f>
        <v>24</v>
      </c>
      <c r="E271">
        <f t="shared" ref="E271:E274" ca="1" si="103">IF(AND($A271&lt;=2,$A271&lt;&gt;0),0,IF($A271=3,OFFSET(E271,-1,0)+1,OFFSET(E271,-1,0)))</f>
        <v>0</v>
      </c>
      <c r="F271">
        <f t="shared" ref="F271:F274" ca="1" si="104">IF(AND($A271&lt;=3,$A271&lt;&gt;0),0,IF($A271=4,OFFSET(F271,-1,0)+1,OFFSET(F271,-1,0)))</f>
        <v>0</v>
      </c>
      <c r="G271">
        <f t="shared" ref="G271:G274" ca="1" si="105">IF(AND($A271&lt;=4,$A271&lt;&gt;0),0,IF($A271="S",OFFSET(G271,-1,0)+1,OFFSET(G271,-1,0)))</f>
        <v>1</v>
      </c>
      <c r="H271">
        <f t="shared" ca="1" si="73"/>
        <v>0</v>
      </c>
      <c r="I271">
        <f t="shared" ca="1" si="74"/>
        <v>0</v>
      </c>
      <c r="J271" s="101" t="s">
        <v>103</v>
      </c>
      <c r="K271" s="137" t="str">
        <f t="shared" ref="K271:K274" ca="1" si="106">IF($A271=0,"-",CONCATENATE(C271&amp;".",IF(AND($A$5&gt;=2,$A271&gt;=2),D271&amp;".",""),IF(AND($A$5&gt;=3,$A271&gt;=3),E271&amp;".",""),IF(AND($A$5&gt;=4,$A271&gt;=4),F271&amp;".",""),IF($A271="S",G271&amp;".","")))</f>
        <v>1.24.1.</v>
      </c>
      <c r="L271" s="176" t="s">
        <v>237</v>
      </c>
      <c r="M271" s="176" t="s">
        <v>287</v>
      </c>
      <c r="N271" s="197" t="str">
        <f ca="1">IF($A271="S",Referencia.Descricao,"(digite a descrição aqui)")</f>
        <v>EXTINTOR DE INCÊNDIO PORTÁTIL COM CARGA DE PQS DE 4 KG, CLASSE BC - FORNECIMENTO E INSTALAÇÃO. AF_10/2020_PE</v>
      </c>
      <c r="O271" s="196" t="str">
        <f ca="1">Referencia.Unidade</f>
        <v>UN</v>
      </c>
      <c r="P271" s="199">
        <v>7</v>
      </c>
      <c r="Q271" s="195">
        <f t="shared" ref="Q271:Q274" ca="1" si="107">IF(Import.Desoneracao="sim",Referencia.Desonerado,Referencia.NaoDesonerado)</f>
        <v>216.05</v>
      </c>
      <c r="R271" s="198" t="s">
        <v>7</v>
      </c>
      <c r="S271" s="102">
        <f t="shared" ca="1" si="96"/>
        <v>273.04000000000002</v>
      </c>
      <c r="T271" s="82">
        <f t="shared" ca="1" si="97"/>
        <v>1911.28</v>
      </c>
      <c r="U271" s="9" t="str">
        <f t="shared" ref="U271:U274" ca="1" si="108">IF($J271="","",IF($N271="","DESCRIÇÃO",IF(AND($J271="Serviço",$O271=""),"UNIDADE",IF($T271&lt;=0,"SEM VALOR",IF(AND($Y271&lt;&gt;"",$Q271&gt;$Y271),"ACIMA REF.","")))))</f>
        <v/>
      </c>
      <c r="V271" s="1" t="str">
        <f ca="1">IF(OR($A271=0,$A271="S",$A271&gt;CFF!$A$9),"",MAX(V$12:OFFSET(V271,-1,0))+1)</f>
        <v/>
      </c>
      <c r="W271" s="4" t="str">
        <f t="shared" ref="W271:W274" si="109">IF(AND($J271="Serviço",$M271&lt;&gt;""),IF($L271="",$M271,CONCATENATE($L271,"-",$M271)))</f>
        <v>SINAPI-101908</v>
      </c>
      <c r="X271" s="1">
        <f t="shared" ca="1" si="98"/>
        <v>3477</v>
      </c>
      <c r="Y271" s="102">
        <f ca="1">IF(Import.Desoneracao="sim",Referencia.Desonerado,Referencia.NaoDesonerado)</f>
        <v>216.05</v>
      </c>
      <c r="Z271" s="112">
        <f ca="1">ROUND(IF(ISNUMBER(R271),R271,IF(LEFT(R271,3)="BDI",HLOOKUP(R271,DADOS!$T$37:$X$38,2,FALSE),0)),15-11*$X$5)</f>
        <v>0.26379999999999998</v>
      </c>
      <c r="AA271" s="1"/>
    </row>
    <row r="272" spans="1:27" ht="25.5" x14ac:dyDescent="0.2">
      <c r="A272" t="str">
        <f t="shared" si="99"/>
        <v>S</v>
      </c>
      <c r="B272">
        <f t="shared" si="100"/>
        <v>0</v>
      </c>
      <c r="C272">
        <f t="shared" ca="1" si="101"/>
        <v>1</v>
      </c>
      <c r="D272">
        <f t="shared" ca="1" si="102"/>
        <v>24</v>
      </c>
      <c r="E272">
        <f t="shared" ca="1" si="103"/>
        <v>0</v>
      </c>
      <c r="F272">
        <f t="shared" ca="1" si="104"/>
        <v>0</v>
      </c>
      <c r="G272">
        <f t="shared" ca="1" si="105"/>
        <v>2</v>
      </c>
      <c r="H272">
        <f t="shared" ca="1" si="73"/>
        <v>0</v>
      </c>
      <c r="I272">
        <f t="shared" ca="1" si="74"/>
        <v>0</v>
      </c>
      <c r="J272" s="101" t="s">
        <v>103</v>
      </c>
      <c r="K272" s="137" t="str">
        <f t="shared" ca="1" si="106"/>
        <v>1.24.2.</v>
      </c>
      <c r="L272" s="176" t="s">
        <v>237</v>
      </c>
      <c r="M272" s="176" t="s">
        <v>277</v>
      </c>
      <c r="N272" s="197" t="str">
        <f ca="1">IF($A272="S",Referencia.Descricao,"(digite a descrição aqui)")</f>
        <v>LUMINÁRIA DE EMERGÊNCIA, COM 30 LÂMPADAS LED DE 2 W, SEM REATOR - FORNECIMENTO E INSTALAÇÃO. AF_09/2024</v>
      </c>
      <c r="O272" s="196" t="str">
        <f ca="1">Referencia.Unidade</f>
        <v>UN</v>
      </c>
      <c r="P272" s="199">
        <v>8</v>
      </c>
      <c r="Q272" s="195">
        <f t="shared" ca="1" si="107"/>
        <v>18.21</v>
      </c>
      <c r="R272" s="198" t="s">
        <v>7</v>
      </c>
      <c r="S272" s="102">
        <f t="shared" ca="1" si="96"/>
        <v>23.01</v>
      </c>
      <c r="T272" s="82">
        <f t="shared" ca="1" si="97"/>
        <v>184.08</v>
      </c>
      <c r="U272" s="9" t="str">
        <f t="shared" ca="1" si="108"/>
        <v/>
      </c>
      <c r="V272" s="1" t="str">
        <f ca="1">IF(OR($A272=0,$A272="S",$A272&gt;CFF!$A$9),"",MAX(V$12:OFFSET(V272,-1,0))+1)</f>
        <v/>
      </c>
      <c r="W272" s="4" t="str">
        <f t="shared" si="109"/>
        <v>SINAPI-97599</v>
      </c>
      <c r="X272" s="1">
        <f t="shared" ca="1" si="98"/>
        <v>3274</v>
      </c>
      <c r="Y272" s="102">
        <f ca="1">IF(Import.Desoneracao="sim",Referencia.Desonerado,Referencia.NaoDesonerado)</f>
        <v>18.21</v>
      </c>
      <c r="Z272" s="112">
        <f ca="1">ROUND(IF(ISNUMBER(R272),R272,IF(LEFT(R272,3)="BDI",HLOOKUP(R272,DADOS!$T$37:$X$38,2,FALSE),0)),15-11*$X$5)</f>
        <v>0.26379999999999998</v>
      </c>
      <c r="AA272" s="1"/>
    </row>
    <row r="273" spans="1:27" ht="38.25" x14ac:dyDescent="0.2">
      <c r="A273" t="str">
        <f t="shared" si="99"/>
        <v>S</v>
      </c>
      <c r="B273">
        <f t="shared" si="100"/>
        <v>0</v>
      </c>
      <c r="C273">
        <f t="shared" ca="1" si="101"/>
        <v>1</v>
      </c>
      <c r="D273">
        <f t="shared" ca="1" si="102"/>
        <v>24</v>
      </c>
      <c r="E273">
        <f t="shared" ca="1" si="103"/>
        <v>0</v>
      </c>
      <c r="F273">
        <f t="shared" ca="1" si="104"/>
        <v>0</v>
      </c>
      <c r="G273">
        <f t="shared" ca="1" si="105"/>
        <v>3</v>
      </c>
      <c r="H273">
        <f t="shared" ca="1" si="73"/>
        <v>0</v>
      </c>
      <c r="I273">
        <f t="shared" ca="1" si="74"/>
        <v>0</v>
      </c>
      <c r="J273" s="101" t="s">
        <v>103</v>
      </c>
      <c r="K273" s="137" t="str">
        <f t="shared" ca="1" si="106"/>
        <v>1.24.3.</v>
      </c>
      <c r="L273" s="176" t="s">
        <v>249</v>
      </c>
      <c r="M273" s="176" t="s">
        <v>370</v>
      </c>
      <c r="N273" s="197" t="str">
        <f ca="1">IF($A273="S",Referencia.Descricao,"(digite a descrição aqui)")</f>
        <v xml:space="preserve">PLACA DE SINALIZACAO DE SEGURANCA CONTRA INCENDIO, FOTOLUMINESCENTE, RETANGULAR, *20 X 40* CM, EM PVC *2* MM ANTI-CHAMAS (SIMBOLOS, CORES E PICTOGRAMAS CONFORME NBR 16820)                                                                                                                                                                                                                                                                                                                               </v>
      </c>
      <c r="O273" s="196" t="str">
        <f ca="1">Referencia.Unidade</f>
        <v xml:space="preserve">UN    </v>
      </c>
      <c r="P273" s="199">
        <f>7+8</f>
        <v>15</v>
      </c>
      <c r="Q273" s="195">
        <f t="shared" ca="1" si="107"/>
        <v>27.22</v>
      </c>
      <c r="R273" s="198" t="s">
        <v>7</v>
      </c>
      <c r="S273" s="102">
        <f t="shared" ca="1" si="96"/>
        <v>34.4</v>
      </c>
      <c r="T273" s="82">
        <f t="shared" ca="1" si="97"/>
        <v>516</v>
      </c>
      <c r="U273" s="9" t="str">
        <f t="shared" ca="1" si="108"/>
        <v/>
      </c>
      <c r="V273" s="1" t="str">
        <f ca="1">IF(OR($A273=0,$A273="S",$A273&gt;CFF!$A$9),"",MAX(V$12:OFFSET(V273,-1,0))+1)</f>
        <v/>
      </c>
      <c r="W273" s="4" t="str">
        <f t="shared" si="109"/>
        <v>SINAPI-I-37558</v>
      </c>
      <c r="X273" s="1">
        <f t="shared" ca="1" si="98"/>
        <v>11133</v>
      </c>
      <c r="Y273" s="102">
        <f ca="1">IF(Import.Desoneracao="sim",Referencia.Desonerado,Referencia.NaoDesonerado)</f>
        <v>27.22</v>
      </c>
      <c r="Z273" s="112">
        <f ca="1">ROUND(IF(ISNUMBER(R273),R273,IF(LEFT(R273,3)="BDI",HLOOKUP(R273,DADOS!$T$37:$X$38,2,FALSE),0)),15-11*$X$5)</f>
        <v>0.26379999999999998</v>
      </c>
      <c r="AA273" s="1"/>
    </row>
    <row r="274" spans="1:27" ht="38.25" x14ac:dyDescent="0.2">
      <c r="A274" t="str">
        <f t="shared" si="99"/>
        <v>S</v>
      </c>
      <c r="B274">
        <f t="shared" si="100"/>
        <v>0</v>
      </c>
      <c r="C274">
        <f t="shared" ca="1" si="101"/>
        <v>1</v>
      </c>
      <c r="D274">
        <f t="shared" ca="1" si="102"/>
        <v>24</v>
      </c>
      <c r="E274">
        <f t="shared" ca="1" si="103"/>
        <v>0</v>
      </c>
      <c r="F274">
        <f t="shared" ca="1" si="104"/>
        <v>0</v>
      </c>
      <c r="G274">
        <f t="shared" ca="1" si="105"/>
        <v>4</v>
      </c>
      <c r="H274">
        <f t="shared" ca="1" si="73"/>
        <v>0</v>
      </c>
      <c r="I274">
        <f t="shared" ca="1" si="74"/>
        <v>0</v>
      </c>
      <c r="J274" s="101" t="s">
        <v>103</v>
      </c>
      <c r="K274" s="137" t="str">
        <f t="shared" ca="1" si="106"/>
        <v>1.24.4.</v>
      </c>
      <c r="L274" s="176" t="s">
        <v>249</v>
      </c>
      <c r="M274" s="176" t="s">
        <v>371</v>
      </c>
      <c r="N274" s="197" t="str">
        <f ca="1">IF($A274="S",Referencia.Descricao,"(digite a descrição aqui)")</f>
        <v xml:space="preserve">PLACA DE SINALIZACAO DE SEGURANCA CONTRA INCENDIO - ALERTA, TRIANGULAR, BASE DE *30* CM, EM PVC *2* MM ANTI-CHAMAS (SIMBOLOS, CORES E PICTOGRAMAS CONFORME NBR 16820)                                                                                                                                                                                                                                                                                                                                     </v>
      </c>
      <c r="O274" s="196" t="str">
        <f ca="1">Referencia.Unidade</f>
        <v xml:space="preserve">UN    </v>
      </c>
      <c r="P274" s="199">
        <v>2</v>
      </c>
      <c r="Q274" s="195">
        <f t="shared" ca="1" si="107"/>
        <v>28.74</v>
      </c>
      <c r="R274" s="198" t="s">
        <v>7</v>
      </c>
      <c r="S274" s="102">
        <f t="shared" ca="1" si="96"/>
        <v>36.32</v>
      </c>
      <c r="T274" s="82">
        <f t="shared" ca="1" si="97"/>
        <v>72.64</v>
      </c>
      <c r="U274" s="9" t="str">
        <f t="shared" ca="1" si="108"/>
        <v/>
      </c>
      <c r="V274" s="1" t="str">
        <f ca="1">IF(OR($A274=0,$A274="S",$A274&gt;CFF!$A$9),"",MAX(V$12:OFFSET(V274,-1,0))+1)</f>
        <v/>
      </c>
      <c r="W274" s="4" t="str">
        <f t="shared" si="109"/>
        <v>SINAPI-I-37560</v>
      </c>
      <c r="X274" s="1">
        <f t="shared" ca="1" si="98"/>
        <v>11128</v>
      </c>
      <c r="Y274" s="102">
        <f ca="1">IF(Import.Desoneracao="sim",Referencia.Desonerado,Referencia.NaoDesonerado)</f>
        <v>28.74</v>
      </c>
      <c r="Z274" s="112">
        <f ca="1">ROUND(IF(ISNUMBER(R274),R274,IF(LEFT(R274,3)="BDI",HLOOKUP(R274,DADOS!$T$37:$X$38,2,FALSE),0)),15-11*$X$5)</f>
        <v>0.26379999999999998</v>
      </c>
      <c r="AA274" s="1"/>
    </row>
    <row r="275" spans="1:27" x14ac:dyDescent="0.2">
      <c r="A275">
        <v>-1</v>
      </c>
      <c r="C275">
        <v>0</v>
      </c>
      <c r="D275">
        <v>0</v>
      </c>
      <c r="E275">
        <v>0</v>
      </c>
      <c r="F275">
        <v>0</v>
      </c>
      <c r="G275">
        <v>0</v>
      </c>
      <c r="J275" s="68"/>
      <c r="K275" s="68"/>
      <c r="L275" s="68"/>
      <c r="M275" s="68"/>
      <c r="N275" s="68"/>
      <c r="O275" s="68"/>
      <c r="P275" s="68"/>
      <c r="Q275" s="68"/>
      <c r="R275" s="68"/>
      <c r="S275" s="68"/>
      <c r="T275" s="68"/>
      <c r="U275" s="1"/>
      <c r="V275" s="1"/>
      <c r="W275" s="1"/>
      <c r="X275" s="1"/>
      <c r="Y275" s="1"/>
      <c r="Z275" s="1"/>
      <c r="AA275" s="1"/>
    </row>
    <row r="276" spans="1:27" ht="14.25" x14ac:dyDescent="0.2">
      <c r="A276" s="1"/>
      <c r="B276" s="1"/>
      <c r="C276" s="1"/>
      <c r="D276" s="1"/>
      <c r="E276" s="1"/>
      <c r="F276" s="1"/>
      <c r="G276" s="1"/>
      <c r="H276" s="1"/>
      <c r="I276" s="1"/>
      <c r="J276" s="1"/>
      <c r="K276" s="69" t="s">
        <v>62</v>
      </c>
      <c r="L276" s="1"/>
      <c r="M276" s="326" t="s">
        <v>141</v>
      </c>
      <c r="N276" s="327"/>
      <c r="O276" s="327"/>
      <c r="P276" s="327"/>
      <c r="Q276" s="327"/>
      <c r="R276" s="327"/>
      <c r="S276" s="327"/>
      <c r="T276" s="328"/>
      <c r="U276" s="1"/>
      <c r="V276" s="1"/>
      <c r="W276" s="1"/>
      <c r="X276" s="1"/>
      <c r="Y276" s="1"/>
      <c r="Z276" s="1"/>
      <c r="AA276" s="1"/>
    </row>
    <row r="277" spans="1:27"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ht="14.25" x14ac:dyDescent="0.2">
      <c r="A278" s="1"/>
      <c r="B278" s="1"/>
      <c r="C278" s="1"/>
      <c r="D278" s="1"/>
      <c r="E278" s="1"/>
      <c r="F278" s="1"/>
      <c r="G278" s="1"/>
      <c r="H278" s="1"/>
      <c r="I278" s="1"/>
      <c r="J278" s="1"/>
      <c r="K278" s="75" t="s">
        <v>21</v>
      </c>
      <c r="L278" s="1"/>
      <c r="M278" s="1"/>
      <c r="N278" s="1"/>
      <c r="O278" s="1"/>
      <c r="P278" s="1"/>
      <c r="Q278" s="1"/>
      <c r="R278" s="1"/>
      <c r="S278" s="1"/>
      <c r="T278" s="74"/>
      <c r="U278" s="1"/>
      <c r="V278" s="1"/>
      <c r="W278" s="1"/>
      <c r="X278" s="1"/>
      <c r="Y278" s="1"/>
      <c r="Z278" s="1"/>
      <c r="AA278" s="1"/>
    </row>
    <row r="279" spans="1:27" ht="12.75" customHeight="1" x14ac:dyDescent="0.2">
      <c r="A279" s="1"/>
      <c r="B279" s="1"/>
      <c r="C279" s="1"/>
      <c r="D279" s="1"/>
      <c r="E279" s="1"/>
      <c r="F279" s="1"/>
      <c r="G279" s="1"/>
      <c r="H279" s="1"/>
      <c r="I279" s="1"/>
      <c r="J279" s="1"/>
      <c r="K279" s="320" t="s">
        <v>278</v>
      </c>
      <c r="L279" s="321"/>
      <c r="M279" s="321"/>
      <c r="N279" s="321"/>
      <c r="O279" s="321"/>
      <c r="P279" s="321"/>
      <c r="Q279" s="321"/>
      <c r="R279" s="321"/>
      <c r="S279" s="321"/>
      <c r="T279" s="322"/>
      <c r="U279" s="1"/>
      <c r="V279" s="1"/>
      <c r="W279" s="1"/>
      <c r="X279" s="1"/>
      <c r="Y279" s="1"/>
      <c r="Z279" s="1"/>
      <c r="AA279" s="1"/>
    </row>
    <row r="280" spans="1:27" x14ac:dyDescent="0.2">
      <c r="A280" s="1"/>
      <c r="B280" s="1"/>
      <c r="C280" s="1"/>
      <c r="D280" s="1"/>
      <c r="E280" s="1"/>
      <c r="F280" s="1"/>
      <c r="G280" s="1"/>
      <c r="H280" s="1"/>
      <c r="I280" s="1"/>
      <c r="J280" s="1"/>
      <c r="K280" s="320"/>
      <c r="L280" s="321"/>
      <c r="M280" s="321"/>
      <c r="N280" s="321"/>
      <c r="O280" s="321"/>
      <c r="P280" s="321"/>
      <c r="Q280" s="321"/>
      <c r="R280" s="321"/>
      <c r="S280" s="321"/>
      <c r="T280" s="322"/>
      <c r="U280" s="1"/>
      <c r="V280" s="1"/>
      <c r="W280" s="1"/>
      <c r="X280" s="1"/>
      <c r="Y280" s="1"/>
      <c r="Z280" s="1"/>
      <c r="AA280" s="1"/>
    </row>
    <row r="281" spans="1:27" x14ac:dyDescent="0.2">
      <c r="A281" s="1"/>
      <c r="B281" s="1"/>
      <c r="C281" s="1"/>
      <c r="D281" s="1"/>
      <c r="E281" s="1"/>
      <c r="F281" s="1"/>
      <c r="G281" s="1"/>
      <c r="H281" s="1"/>
      <c r="I281" s="1"/>
      <c r="J281" s="1"/>
      <c r="K281" s="323"/>
      <c r="L281" s="324"/>
      <c r="M281" s="324"/>
      <c r="N281" s="324"/>
      <c r="O281" s="324"/>
      <c r="P281" s="324"/>
      <c r="Q281" s="324"/>
      <c r="R281" s="324"/>
      <c r="S281" s="324"/>
      <c r="T281" s="325"/>
      <c r="U281" s="1"/>
      <c r="V281" s="1"/>
      <c r="W281" s="1"/>
      <c r="X281" s="1"/>
      <c r="Y281" s="1"/>
      <c r="Z281" s="1"/>
      <c r="AA281" s="1"/>
    </row>
    <row r="282" spans="1:27" ht="14.25" x14ac:dyDescent="0.2">
      <c r="A282" s="1"/>
      <c r="B282" s="1"/>
      <c r="C282" s="1"/>
      <c r="D282" s="1"/>
      <c r="E282" s="1"/>
      <c r="F282" s="1"/>
      <c r="G282" s="1"/>
      <c r="H282" s="1"/>
      <c r="I282" s="1"/>
      <c r="J282" s="1"/>
      <c r="K282" s="180"/>
      <c r="L282" s="180"/>
      <c r="M282" s="180"/>
      <c r="N282" s="180"/>
      <c r="O282" s="180"/>
      <c r="P282" s="180"/>
      <c r="Q282" s="180"/>
      <c r="R282" s="180"/>
      <c r="S282" s="180"/>
      <c r="T282" s="180"/>
      <c r="U282" s="1"/>
      <c r="V282" s="1"/>
      <c r="W282" s="1"/>
      <c r="X282" s="1"/>
      <c r="Y282" s="1"/>
      <c r="Z282" s="1"/>
      <c r="AA282" s="1"/>
    </row>
    <row r="283" spans="1:27" ht="15" x14ac:dyDescent="0.25">
      <c r="A283" s="1"/>
      <c r="B283" s="1"/>
      <c r="C283" s="1"/>
      <c r="D283" s="1"/>
      <c r="E283" s="1"/>
      <c r="F283" s="1"/>
      <c r="G283" s="1"/>
      <c r="H283" s="1"/>
      <c r="I283" s="1"/>
      <c r="J283" s="1"/>
      <c r="K283" s="317"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283" s="318"/>
      <c r="M283" s="318"/>
      <c r="N283" s="318"/>
      <c r="O283" s="318"/>
      <c r="P283" s="318"/>
      <c r="Q283" s="318"/>
      <c r="R283" s="318"/>
      <c r="S283" s="318"/>
      <c r="T283" s="319"/>
      <c r="U283" s="1"/>
      <c r="V283" s="1"/>
      <c r="W283" s="1"/>
      <c r="X283" s="1"/>
      <c r="Y283" s="1"/>
      <c r="Z283" s="1"/>
      <c r="AA283" s="1"/>
    </row>
    <row r="284" spans="1:27"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ht="21"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x14ac:dyDescent="0.2">
      <c r="A286" s="1"/>
      <c r="B286" s="1"/>
      <c r="C286" s="1"/>
      <c r="D286" s="1"/>
      <c r="E286" s="1"/>
      <c r="F286" s="1"/>
      <c r="G286" s="1"/>
      <c r="H286" s="1"/>
      <c r="I286" s="1"/>
      <c r="J286" s="1"/>
      <c r="K286" s="330" t="str">
        <f>Import.Município</f>
        <v>FREDERICO WESTPHALEN/RS</v>
      </c>
      <c r="L286" s="330"/>
      <c r="M286" s="330"/>
      <c r="N286" s="1"/>
      <c r="O286" s="1"/>
      <c r="P286" s="1"/>
      <c r="Q286" s="1"/>
      <c r="R286" s="1"/>
      <c r="S286" s="1"/>
      <c r="T286" s="1"/>
      <c r="U286" s="1"/>
      <c r="V286" s="1"/>
      <c r="W286" s="1"/>
      <c r="X286" s="1"/>
      <c r="Y286" s="1"/>
      <c r="Z286" s="1"/>
      <c r="AA286" s="1"/>
    </row>
    <row r="287" spans="1:27" x14ac:dyDescent="0.2">
      <c r="A287" s="1"/>
      <c r="B287" s="1"/>
      <c r="C287" s="1"/>
      <c r="D287" s="1"/>
      <c r="E287" s="1"/>
      <c r="F287" s="1"/>
      <c r="G287" s="1"/>
      <c r="H287" s="1"/>
      <c r="I287" s="1"/>
      <c r="J287" s="1"/>
      <c r="K287" s="96" t="s">
        <v>120</v>
      </c>
      <c r="L287" s="1"/>
      <c r="M287" s="1"/>
      <c r="N287" s="1"/>
      <c r="O287" s="1"/>
      <c r="P287" s="1"/>
      <c r="Q287" s="1"/>
      <c r="R287" s="1"/>
      <c r="S287" s="1"/>
      <c r="T287" s="1"/>
      <c r="U287" s="1"/>
      <c r="V287" s="1"/>
      <c r="W287" s="1"/>
      <c r="X287" s="1"/>
      <c r="Y287" s="1"/>
      <c r="Z287" s="1"/>
      <c r="AA287" s="1"/>
    </row>
    <row r="288" spans="1:27"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x14ac:dyDescent="0.2">
      <c r="A289" s="1"/>
      <c r="B289" s="1"/>
      <c r="C289" s="1"/>
      <c r="D289" s="1"/>
      <c r="E289" s="1"/>
      <c r="F289" s="1"/>
      <c r="G289" s="1"/>
      <c r="H289" s="1"/>
      <c r="I289" s="1"/>
      <c r="J289" s="1"/>
      <c r="K289" s="329">
        <f ca="1">TODAY()</f>
        <v>45604</v>
      </c>
      <c r="L289" s="329"/>
      <c r="M289" s="329"/>
      <c r="N289" s="1"/>
      <c r="O289" s="1"/>
      <c r="P289" s="1"/>
      <c r="Q289" s="1"/>
      <c r="R289" s="1"/>
      <c r="S289" s="1"/>
      <c r="T289" s="1"/>
      <c r="U289" s="1"/>
      <c r="V289" s="1"/>
      <c r="W289" s="1"/>
      <c r="X289" s="1"/>
      <c r="Y289" s="1"/>
      <c r="Z289" s="1"/>
      <c r="AA289" s="1"/>
    </row>
    <row r="290" spans="1:27" x14ac:dyDescent="0.2">
      <c r="A290" s="1"/>
      <c r="B290" s="1"/>
      <c r="C290" s="1"/>
      <c r="D290" s="1"/>
      <c r="E290" s="1"/>
      <c r="F290" s="1"/>
      <c r="G290" s="1"/>
      <c r="H290" s="1"/>
      <c r="I290" s="1"/>
      <c r="J290" s="1"/>
      <c r="K290" s="118" t="s">
        <v>121</v>
      </c>
      <c r="L290" s="68"/>
      <c r="M290" s="68"/>
      <c r="N290" s="1"/>
      <c r="O290" s="1"/>
      <c r="P290" s="1"/>
      <c r="Q290" s="1"/>
      <c r="R290" s="1"/>
      <c r="S290" s="1"/>
      <c r="T290" s="1"/>
      <c r="U290" s="1"/>
      <c r="V290" s="1"/>
      <c r="W290" s="1"/>
      <c r="X290" s="1"/>
      <c r="Y290" s="1"/>
      <c r="Z290" s="1"/>
      <c r="AA290" s="1"/>
    </row>
  </sheetData>
  <sheetProtection algorithmName="SHA-512" hashValue="BbLX9m2SBhFZUnozvHM3uAYTiUlbCDZiTUTNAfL/ekfnTXRK3pVpL/Br3yB1smqag06Ba9fJZvND9T5wrJCEDw==" saltValue="rCUFeTCd3xuhJ5+fjGKrsw==" spinCount="100000" sheet="1" objects="1" scenarios="1"/>
  <mergeCells count="6">
    <mergeCell ref="W2:X2"/>
    <mergeCell ref="K283:T283"/>
    <mergeCell ref="K279:T281"/>
    <mergeCell ref="M276:T276"/>
    <mergeCell ref="K289:M289"/>
    <mergeCell ref="K286:M286"/>
  </mergeCells>
  <phoneticPr fontId="25" type="noConversion"/>
  <conditionalFormatting sqref="O12:R12 L12:M12">
    <cfRule type="expression" dxfId="710" priority="4739" stopIfTrue="1">
      <formula>$J12=$C$2</formula>
    </cfRule>
    <cfRule type="expression" dxfId="709" priority="4740" stopIfTrue="1">
      <formula>UPPER(LEFT($J12,5))="NÍVEL"</formula>
    </cfRule>
    <cfRule type="expression" dxfId="708" priority="4741" stopIfTrue="1">
      <formula>$J12=$C$8</formula>
    </cfRule>
  </conditionalFormatting>
  <conditionalFormatting sqref="Y12:Z12 S12:T12 K12">
    <cfRule type="expression" dxfId="707" priority="4742" stopIfTrue="1">
      <formula>$J12=$C$2</formula>
    </cfRule>
    <cfRule type="expression" dxfId="706" priority="4743" stopIfTrue="1">
      <formula>UPPER(LEFT($J12,5))="NÍVEL"</formula>
    </cfRule>
  </conditionalFormatting>
  <conditionalFormatting sqref="K11 K13 K15:K38 K44:K274">
    <cfRule type="expression" dxfId="705" priority="4755" stopIfTrue="1">
      <formula>$J11=$C$2</formula>
    </cfRule>
    <cfRule type="expression" dxfId="704" priority="4756" stopIfTrue="1">
      <formula>AND($J11&lt;&gt;"",$J11&lt;&gt;"Serviço")</formula>
    </cfRule>
    <cfRule type="expression" dxfId="703" priority="4757" stopIfTrue="1">
      <formula>$J11=""</formula>
    </cfRule>
  </conditionalFormatting>
  <conditionalFormatting sqref="P11 P13 P15 P17:P18 P20:P38 P44:P274">
    <cfRule type="expression" dxfId="702" priority="3082" stopIfTrue="1">
      <formula>$J11=$C$2</formula>
    </cfRule>
    <cfRule type="expression" dxfId="701" priority="4761" stopIfTrue="1">
      <formula>AND($J11&lt;&gt;"Serviço")</formula>
    </cfRule>
    <cfRule type="expression" dxfId="700" priority="4762" stopIfTrue="1">
      <formula>CELL("proteger",P11)</formula>
    </cfRule>
  </conditionalFormatting>
  <conditionalFormatting sqref="Q11:R11 Q13:R13 Q15:R15 Q17:R18 R16 R19 Q20:R38 Q44:R274">
    <cfRule type="expression" dxfId="699" priority="4763" stopIfTrue="1">
      <formula>$J11=$C$2</formula>
    </cfRule>
    <cfRule type="expression" dxfId="698" priority="4764" stopIfTrue="1">
      <formula>$J11&lt;&gt;"Serviço"</formula>
    </cfRule>
    <cfRule type="expression" dxfId="697" priority="4765" stopIfTrue="1">
      <formula>CELL("proteger",Q11)</formula>
    </cfRule>
  </conditionalFormatting>
  <conditionalFormatting sqref="S11:T11 Y11:Z11 S13:T13 Y13:Z13 S15:T38 Y15:Z38 Y44:Z274 S44:T274">
    <cfRule type="expression" dxfId="696" priority="4766" stopIfTrue="1">
      <formula>$J11=$C$2</formula>
    </cfRule>
    <cfRule type="expression" dxfId="695" priority="4767" stopIfTrue="1">
      <formula>$J11&lt;&gt;"Serviço"</formula>
    </cfRule>
  </conditionalFormatting>
  <conditionalFormatting sqref="L11:M11 L13:M13 L17:M18 L20:M20 L27:M27 M21:M26 L34:M34 M28:M33 L44:M44 M35:M38 L200:M201 L195:L205 M195:M203 L204:M274 M45:M58 L59:M194 L55:L58">
    <cfRule type="expression" dxfId="694" priority="4787" stopIfTrue="1">
      <formula>$J11=$C$2</formula>
    </cfRule>
    <cfRule type="expression" dxfId="693" priority="4788" stopIfTrue="1">
      <formula>$J11&lt;&gt;"Serviço"</formula>
    </cfRule>
    <cfRule type="expression" dxfId="692" priority="4789" stopIfTrue="1">
      <formula>OR(CELL("proteger",L11),$J11="",TipoOrçamento="Licitado")</formula>
    </cfRule>
  </conditionalFormatting>
  <conditionalFormatting sqref="K276:T276">
    <cfRule type="expression" dxfId="691" priority="4768" stopIfTrue="1">
      <formula>OR(Tipo.Orçamento="LICITADO",Tipo.Orçamento="REPROGRAMADOAC")</formula>
    </cfRule>
    <cfRule type="expression" dxfId="690" priority="4769" stopIfTrue="1">
      <formula>$M$276=""</formula>
    </cfRule>
  </conditionalFormatting>
  <conditionalFormatting sqref="J11 J13 J75 J193 J178 J237 J167:J169 J212:J213 J225:J226 J256:J257 J195:J207 J251:J253 J38 J69:J70 J15:J22 J217:J220 J85:J93 J118:J124 J228 J59:J67 J44:J45">
    <cfRule type="expression" dxfId="689" priority="4796" stopIfTrue="1">
      <formula>TipoOrçamento="Licitado"</formula>
    </cfRule>
  </conditionalFormatting>
  <conditionalFormatting sqref="O11 O13 O15 O17:O18 O20:O38 O44:O274">
    <cfRule type="expression" dxfId="688" priority="3102" stopIfTrue="1">
      <formula>$J11=$C$2</formula>
    </cfRule>
    <cfRule type="expression" dxfId="687" priority="3103" stopIfTrue="1">
      <formula>AND($J11&lt;&gt;"Serviço")</formula>
    </cfRule>
    <cfRule type="expression" dxfId="686" priority="3104" stopIfTrue="1">
      <formula>CELL("proteger",O11)</formula>
    </cfRule>
  </conditionalFormatting>
  <conditionalFormatting sqref="N11 N15 N17:N18 N20:N38 N44:N274">
    <cfRule type="expression" dxfId="685" priority="3105" stopIfTrue="1">
      <formula>$J11=$C$2</formula>
    </cfRule>
    <cfRule type="expression" dxfId="684" priority="3106" stopIfTrue="1">
      <formula>$J11&lt;&gt;"Serviço"</formula>
    </cfRule>
    <cfRule type="expression" dxfId="683" priority="3107" stopIfTrue="1">
      <formula>CELL("proteger",N11)</formula>
    </cfRule>
  </conditionalFormatting>
  <conditionalFormatting sqref="K14">
    <cfRule type="expression" dxfId="682" priority="2981" stopIfTrue="1">
      <formula>$J14=$C$2</formula>
    </cfRule>
    <cfRule type="expression" dxfId="681" priority="2982" stopIfTrue="1">
      <formula>AND($J14&lt;&gt;"",$J14&lt;&gt;"Serviço")</formula>
    </cfRule>
    <cfRule type="expression" dxfId="680" priority="2983" stopIfTrue="1">
      <formula>$J14=""</formula>
    </cfRule>
  </conditionalFormatting>
  <conditionalFormatting sqref="P14">
    <cfRule type="expression" dxfId="679" priority="2974" stopIfTrue="1">
      <formula>$J14=$C$2</formula>
    </cfRule>
    <cfRule type="expression" dxfId="678" priority="2984" stopIfTrue="1">
      <formula>AND($J14&lt;&gt;"Serviço")</formula>
    </cfRule>
    <cfRule type="expression" dxfId="677" priority="2985" stopIfTrue="1">
      <formula>CELL("proteger",P14)</formula>
    </cfRule>
  </conditionalFormatting>
  <conditionalFormatting sqref="Q14:R14">
    <cfRule type="expression" dxfId="676" priority="2986" stopIfTrue="1">
      <formula>$J14=$C$2</formula>
    </cfRule>
    <cfRule type="expression" dxfId="675" priority="2987" stopIfTrue="1">
      <formula>$J14&lt;&gt;"Serviço"</formula>
    </cfRule>
    <cfRule type="expression" dxfId="674" priority="2988" stopIfTrue="1">
      <formula>CELL("proteger",Q14)</formula>
    </cfRule>
  </conditionalFormatting>
  <conditionalFormatting sqref="S14:T14 Y14:Z14">
    <cfRule type="expression" dxfId="673" priority="2989" stopIfTrue="1">
      <formula>$J14=$C$2</formula>
    </cfRule>
    <cfRule type="expression" dxfId="672" priority="2990" stopIfTrue="1">
      <formula>$J14&lt;&gt;"Serviço"</formula>
    </cfRule>
  </conditionalFormatting>
  <conditionalFormatting sqref="L14:M14">
    <cfRule type="expression" dxfId="671" priority="2991" stopIfTrue="1">
      <formula>$J14=$C$2</formula>
    </cfRule>
    <cfRule type="expression" dxfId="670" priority="2992" stopIfTrue="1">
      <formula>$J14&lt;&gt;"Serviço"</formula>
    </cfRule>
    <cfRule type="expression" dxfId="669" priority="2993" stopIfTrue="1">
      <formula>OR(CELL("proteger",L14),$J14="",TipoOrçamento="Licitado")</formula>
    </cfRule>
  </conditionalFormatting>
  <conditionalFormatting sqref="J14">
    <cfRule type="expression" dxfId="668" priority="2994" stopIfTrue="1">
      <formula>TipoOrçamento="Licitado"</formula>
    </cfRule>
  </conditionalFormatting>
  <conditionalFormatting sqref="O14">
    <cfRule type="expression" dxfId="667" priority="2975" stopIfTrue="1">
      <formula>$J14=$C$2</formula>
    </cfRule>
    <cfRule type="expression" dxfId="666" priority="2976" stopIfTrue="1">
      <formula>AND($J14&lt;&gt;"Serviço")</formula>
    </cfRule>
    <cfRule type="expression" dxfId="665" priority="2977" stopIfTrue="1">
      <formula>CELL("proteger",O14)</formula>
    </cfRule>
  </conditionalFormatting>
  <conditionalFormatting sqref="N14">
    <cfRule type="expression" dxfId="664" priority="2978" stopIfTrue="1">
      <formula>$J14=$C$2</formula>
    </cfRule>
    <cfRule type="expression" dxfId="663" priority="2979" stopIfTrue="1">
      <formula>$J14&lt;&gt;"Serviço"</formula>
    </cfRule>
    <cfRule type="expression" dxfId="662" priority="2980" stopIfTrue="1">
      <formula>CELL("proteger",N14)</formula>
    </cfRule>
  </conditionalFormatting>
  <conditionalFormatting sqref="N13">
    <cfRule type="expression" dxfId="661" priority="2971" stopIfTrue="1">
      <formula>$J13=$C$2</formula>
    </cfRule>
    <cfRule type="expression" dxfId="660" priority="2972" stopIfTrue="1">
      <formula>$J13&lt;&gt;"Serviço"</formula>
    </cfRule>
    <cfRule type="expression" dxfId="659" priority="2973" stopIfTrue="1">
      <formula>CELL("proteger",N13)</formula>
    </cfRule>
  </conditionalFormatting>
  <conditionalFormatting sqref="J73 J171 J175">
    <cfRule type="expression" dxfId="658" priority="2970" stopIfTrue="1">
      <formula>TipoOrçamento="Licitado"</formula>
    </cfRule>
  </conditionalFormatting>
  <conditionalFormatting sqref="J224 J229:J230">
    <cfRule type="expression" dxfId="657" priority="2916" stopIfTrue="1">
      <formula>TipoOrçamento="Licitado"</formula>
    </cfRule>
  </conditionalFormatting>
  <conditionalFormatting sqref="J179">
    <cfRule type="expression" dxfId="656" priority="2766" stopIfTrue="1">
      <formula>TipoOrçamento="Licitado"</formula>
    </cfRule>
  </conditionalFormatting>
  <conditionalFormatting sqref="J176">
    <cfRule type="expression" dxfId="655" priority="2625" stopIfTrue="1">
      <formula>TipoOrçamento="Licitado"</formula>
    </cfRule>
  </conditionalFormatting>
  <conditionalFormatting sqref="J174">
    <cfRule type="expression" dxfId="654" priority="2604" stopIfTrue="1">
      <formula>TipoOrçamento="Licitado"</formula>
    </cfRule>
  </conditionalFormatting>
  <conditionalFormatting sqref="J170">
    <cfRule type="expression" dxfId="653" priority="2520" stopIfTrue="1">
      <formula>TipoOrçamento="Licitado"</formula>
    </cfRule>
  </conditionalFormatting>
  <conditionalFormatting sqref="J211 J222">
    <cfRule type="expression" dxfId="652" priority="2403" stopIfTrue="1">
      <formula>TipoOrçamento="Licitado"</formula>
    </cfRule>
  </conditionalFormatting>
  <conditionalFormatting sqref="J189 J191:J192">
    <cfRule type="expression" dxfId="651" priority="2304" stopIfTrue="1">
      <formula>TipoOrçamento="Licitado"</formula>
    </cfRule>
  </conditionalFormatting>
  <conditionalFormatting sqref="J208">
    <cfRule type="expression" dxfId="650" priority="2271" stopIfTrue="1">
      <formula>TipoOrçamento="Licitado"</formula>
    </cfRule>
  </conditionalFormatting>
  <conditionalFormatting sqref="J190">
    <cfRule type="expression" dxfId="649" priority="2088" stopIfTrue="1">
      <formula>TipoOrçamento="Licitado"</formula>
    </cfRule>
  </conditionalFormatting>
  <conditionalFormatting sqref="J194">
    <cfRule type="expression" dxfId="648" priority="1986" stopIfTrue="1">
      <formula>TipoOrçamento="Licitado"</formula>
    </cfRule>
  </conditionalFormatting>
  <conditionalFormatting sqref="J166">
    <cfRule type="expression" dxfId="647" priority="1956" stopIfTrue="1">
      <formula>TipoOrçamento="Licitado"</formula>
    </cfRule>
  </conditionalFormatting>
  <conditionalFormatting sqref="J270">
    <cfRule type="expression" dxfId="646" priority="1932" stopIfTrue="1">
      <formula>TipoOrçamento="Licitado"</formula>
    </cfRule>
  </conditionalFormatting>
  <conditionalFormatting sqref="J258:J261 J267">
    <cfRule type="expression" dxfId="645" priority="1902" stopIfTrue="1">
      <formula>TipoOrçamento="Licitado"</formula>
    </cfRule>
  </conditionalFormatting>
  <conditionalFormatting sqref="J271:J274">
    <cfRule type="expression" dxfId="644" priority="1878" stopIfTrue="1">
      <formula>TipoOrçamento="Licitado"</formula>
    </cfRule>
  </conditionalFormatting>
  <conditionalFormatting sqref="J231:J232">
    <cfRule type="expression" dxfId="643" priority="1827" stopIfTrue="1">
      <formula>TipoOrçamento="Licitado"</formula>
    </cfRule>
  </conditionalFormatting>
  <conditionalFormatting sqref="J233:J236">
    <cfRule type="expression" dxfId="642" priority="1800" stopIfTrue="1">
      <formula>TipoOrçamento="Licitado"</formula>
    </cfRule>
  </conditionalFormatting>
  <conditionalFormatting sqref="L15:M15">
    <cfRule type="expression" dxfId="641" priority="1746" stopIfTrue="1">
      <formula>$J15=$C$2</formula>
    </cfRule>
    <cfRule type="expression" dxfId="640" priority="1747" stopIfTrue="1">
      <formula>$J15&lt;&gt;"Serviço"</formula>
    </cfRule>
    <cfRule type="expression" dxfId="639" priority="1748" stopIfTrue="1">
      <formula>OR(CELL("proteger",L15),$J15="",TipoOrçamento="Licitado")</formula>
    </cfRule>
  </conditionalFormatting>
  <conditionalFormatting sqref="J71">
    <cfRule type="expression" dxfId="638" priority="1695" stopIfTrue="1">
      <formula>TipoOrçamento="Licitado"</formula>
    </cfRule>
  </conditionalFormatting>
  <conditionalFormatting sqref="J94:J95 J155 J141:J142 J144:J148">
    <cfRule type="expression" dxfId="637" priority="1671" stopIfTrue="1">
      <formula>TipoOrçamento="Licitado"</formula>
    </cfRule>
  </conditionalFormatting>
  <conditionalFormatting sqref="J172">
    <cfRule type="expression" dxfId="636" priority="1650" stopIfTrue="1">
      <formula>TipoOrçamento="Licitado"</formula>
    </cfRule>
  </conditionalFormatting>
  <conditionalFormatting sqref="J177">
    <cfRule type="expression" dxfId="635" priority="1629" stopIfTrue="1">
      <formula>TipoOrçamento="Licitado"</formula>
    </cfRule>
  </conditionalFormatting>
  <conditionalFormatting sqref="J173">
    <cfRule type="expression" dxfId="634" priority="1602" stopIfTrue="1">
      <formula>TipoOrçamento="Licitado"</formula>
    </cfRule>
  </conditionalFormatting>
  <conditionalFormatting sqref="J221">
    <cfRule type="expression" dxfId="633" priority="1554" stopIfTrue="1">
      <formula>TipoOrçamento="Licitado"</formula>
    </cfRule>
  </conditionalFormatting>
  <conditionalFormatting sqref="J149:J153">
    <cfRule type="expression" dxfId="632" priority="1473" stopIfTrue="1">
      <formula>TipoOrçamento="Licitado"</formula>
    </cfRule>
  </conditionalFormatting>
  <conditionalFormatting sqref="J154">
    <cfRule type="expression" dxfId="631" priority="1425" stopIfTrue="1">
      <formula>TipoOrçamento="Licitado"</formula>
    </cfRule>
  </conditionalFormatting>
  <conditionalFormatting sqref="J156:J159 J164">
    <cfRule type="expression" dxfId="630" priority="1395" stopIfTrue="1">
      <formula>TipoOrçamento="Licitado"</formula>
    </cfRule>
  </conditionalFormatting>
  <conditionalFormatting sqref="J165">
    <cfRule type="expression" dxfId="629" priority="1368" stopIfTrue="1">
      <formula>TipoOrçamento="Licitado"</formula>
    </cfRule>
  </conditionalFormatting>
  <conditionalFormatting sqref="J238">
    <cfRule type="expression" dxfId="628" priority="1320" stopIfTrue="1">
      <formula>TipoOrçamento="Licitado"</formula>
    </cfRule>
  </conditionalFormatting>
  <conditionalFormatting sqref="J74">
    <cfRule type="expression" dxfId="627" priority="1266" stopIfTrue="1">
      <formula>TipoOrçamento="Licitado"</formula>
    </cfRule>
  </conditionalFormatting>
  <conditionalFormatting sqref="J239:J240 J248:J250 J243:J246">
    <cfRule type="expression" dxfId="626" priority="1221" stopIfTrue="1">
      <formula>TipoOrçamento="Licitado"</formula>
    </cfRule>
  </conditionalFormatting>
  <conditionalFormatting sqref="J254:J255">
    <cfRule type="expression" dxfId="625" priority="1173" stopIfTrue="1">
      <formula>TipoOrçamento="Licitado"</formula>
    </cfRule>
  </conditionalFormatting>
  <conditionalFormatting sqref="J247">
    <cfRule type="expression" dxfId="624" priority="1143" stopIfTrue="1">
      <formula>TipoOrçamento="Licitado"</formula>
    </cfRule>
  </conditionalFormatting>
  <conditionalFormatting sqref="J242">
    <cfRule type="expression" dxfId="623" priority="1119" stopIfTrue="1">
      <formula>TipoOrçamento="Licitado"</formula>
    </cfRule>
  </conditionalFormatting>
  <conditionalFormatting sqref="J96:J102 J138:J140 J127">
    <cfRule type="expression" dxfId="622" priority="1098" stopIfTrue="1">
      <formula>TipoOrçamento="Licitado"</formula>
    </cfRule>
  </conditionalFormatting>
  <conditionalFormatting sqref="J241">
    <cfRule type="expression" dxfId="621" priority="1059" stopIfTrue="1">
      <formula>TipoOrçamento="Licitado"</formula>
    </cfRule>
  </conditionalFormatting>
  <conditionalFormatting sqref="J262">
    <cfRule type="expression" dxfId="620" priority="1035" stopIfTrue="1">
      <formula>TipoOrçamento="Licitado"</formula>
    </cfRule>
  </conditionalFormatting>
  <conditionalFormatting sqref="J23:J37">
    <cfRule type="expression" dxfId="619" priority="999" stopIfTrue="1">
      <formula>TipoOrçamento="Licitado"</formula>
    </cfRule>
  </conditionalFormatting>
  <conditionalFormatting sqref="J46:J58">
    <cfRule type="expression" dxfId="618" priority="978" stopIfTrue="1">
      <formula>TipoOrçamento="Licitado"</formula>
    </cfRule>
  </conditionalFormatting>
  <conditionalFormatting sqref="J180:J184">
    <cfRule type="expression" dxfId="617" priority="957" stopIfTrue="1">
      <formula>TipoOrçamento="Licitado"</formula>
    </cfRule>
  </conditionalFormatting>
  <conditionalFormatting sqref="J68">
    <cfRule type="expression" dxfId="616" priority="933" stopIfTrue="1">
      <formula>TipoOrçamento="Licitado"</formula>
    </cfRule>
  </conditionalFormatting>
  <conditionalFormatting sqref="J128:J137">
    <cfRule type="expression" dxfId="615" priority="906" stopIfTrue="1">
      <formula>TipoOrçamento="Licitado"</formula>
    </cfRule>
  </conditionalFormatting>
  <conditionalFormatting sqref="J264:J266">
    <cfRule type="expression" dxfId="614" priority="798" stopIfTrue="1">
      <formula>TipoOrçamento="Licitado"</formula>
    </cfRule>
  </conditionalFormatting>
  <conditionalFormatting sqref="P16">
    <cfRule type="expression" dxfId="613" priority="727" stopIfTrue="1">
      <formula>$J16=$C$2</formula>
    </cfRule>
    <cfRule type="expression" dxfId="612" priority="734" stopIfTrue="1">
      <formula>AND($J16&lt;&gt;"Serviço")</formula>
    </cfRule>
    <cfRule type="expression" dxfId="611" priority="735" stopIfTrue="1">
      <formula>CELL("proteger",P16)</formula>
    </cfRule>
  </conditionalFormatting>
  <conditionalFormatting sqref="Q16">
    <cfRule type="expression" dxfId="610" priority="736" stopIfTrue="1">
      <formula>$J16=$C$2</formula>
    </cfRule>
    <cfRule type="expression" dxfId="609" priority="737" stopIfTrue="1">
      <formula>$J16&lt;&gt;"Serviço"</formula>
    </cfRule>
    <cfRule type="expression" dxfId="608" priority="738" stopIfTrue="1">
      <formula>CELL("proteger",Q16)</formula>
    </cfRule>
  </conditionalFormatting>
  <conditionalFormatting sqref="L16:M16">
    <cfRule type="expression" dxfId="607" priority="739" stopIfTrue="1">
      <formula>$J16=$C$2</formula>
    </cfRule>
    <cfRule type="expression" dxfId="606" priority="740" stopIfTrue="1">
      <formula>$J16&lt;&gt;"Serviço"</formula>
    </cfRule>
    <cfRule type="expression" dxfId="605" priority="741" stopIfTrue="1">
      <formula>OR(CELL("proteger",L16),$J16="",TipoOrçamento="Licitado")</formula>
    </cfRule>
  </conditionalFormatting>
  <conditionalFormatting sqref="O16">
    <cfRule type="expression" dxfId="604" priority="728" stopIfTrue="1">
      <formula>$J16=$C$2</formula>
    </cfRule>
    <cfRule type="expression" dxfId="603" priority="729" stopIfTrue="1">
      <formula>AND($J16&lt;&gt;"Serviço")</formula>
    </cfRule>
    <cfRule type="expression" dxfId="602" priority="730" stopIfTrue="1">
      <formula>CELL("proteger",O16)</formula>
    </cfRule>
  </conditionalFormatting>
  <conditionalFormatting sqref="N16">
    <cfRule type="expression" dxfId="601" priority="731" stopIfTrue="1">
      <formula>$J16=$C$2</formula>
    </cfRule>
    <cfRule type="expression" dxfId="600" priority="732" stopIfTrue="1">
      <formula>$J16&lt;&gt;"Serviço"</formula>
    </cfRule>
    <cfRule type="expression" dxfId="599" priority="733" stopIfTrue="1">
      <formula>CELL("proteger",N16)</formula>
    </cfRule>
  </conditionalFormatting>
  <conditionalFormatting sqref="P19">
    <cfRule type="expression" dxfId="598" priority="712" stopIfTrue="1">
      <formula>$J19=$C$2</formula>
    </cfRule>
    <cfRule type="expression" dxfId="597" priority="719" stopIfTrue="1">
      <formula>AND($J19&lt;&gt;"Serviço")</formula>
    </cfRule>
    <cfRule type="expression" dxfId="596" priority="720" stopIfTrue="1">
      <formula>CELL("proteger",P19)</formula>
    </cfRule>
  </conditionalFormatting>
  <conditionalFormatting sqref="Q19">
    <cfRule type="expression" dxfId="595" priority="721" stopIfTrue="1">
      <formula>$J19=$C$2</formula>
    </cfRule>
    <cfRule type="expression" dxfId="594" priority="722" stopIfTrue="1">
      <formula>$J19&lt;&gt;"Serviço"</formula>
    </cfRule>
    <cfRule type="expression" dxfId="593" priority="723" stopIfTrue="1">
      <formula>CELL("proteger",Q19)</formula>
    </cfRule>
  </conditionalFormatting>
  <conditionalFormatting sqref="L19:M19">
    <cfRule type="expression" dxfId="592" priority="724" stopIfTrue="1">
      <formula>$J19=$C$2</formula>
    </cfRule>
    <cfRule type="expression" dxfId="591" priority="725" stopIfTrue="1">
      <formula>$J19&lt;&gt;"Serviço"</formula>
    </cfRule>
    <cfRule type="expression" dxfId="590" priority="726" stopIfTrue="1">
      <formula>OR(CELL("proteger",L19),$J19="",TipoOrçamento="Licitado")</formula>
    </cfRule>
  </conditionalFormatting>
  <conditionalFormatting sqref="O19">
    <cfRule type="expression" dxfId="589" priority="713" stopIfTrue="1">
      <formula>$J19=$C$2</formula>
    </cfRule>
    <cfRule type="expression" dxfId="588" priority="714" stopIfTrue="1">
      <formula>AND($J19&lt;&gt;"Serviço")</formula>
    </cfRule>
    <cfRule type="expression" dxfId="587" priority="715" stopIfTrue="1">
      <formula>CELL("proteger",O19)</formula>
    </cfRule>
  </conditionalFormatting>
  <conditionalFormatting sqref="N19">
    <cfRule type="expression" dxfId="586" priority="716" stopIfTrue="1">
      <formula>$J19=$C$2</formula>
    </cfRule>
    <cfRule type="expression" dxfId="585" priority="717" stopIfTrue="1">
      <formula>$J19&lt;&gt;"Serviço"</formula>
    </cfRule>
    <cfRule type="expression" dxfId="584" priority="718" stopIfTrue="1">
      <formula>CELL("proteger",N19)</formula>
    </cfRule>
  </conditionalFormatting>
  <conditionalFormatting sqref="J76 J78:J84">
    <cfRule type="expression" dxfId="583" priority="711" stopIfTrue="1">
      <formula>TipoOrçamento="Licitado"</formula>
    </cfRule>
  </conditionalFormatting>
  <conditionalFormatting sqref="J263">
    <cfRule type="expression" dxfId="582" priority="681" stopIfTrue="1">
      <formula>TipoOrçamento="Licitado"</formula>
    </cfRule>
  </conditionalFormatting>
  <conditionalFormatting sqref="J209:J210">
    <cfRule type="expression" dxfId="581" priority="645" stopIfTrue="1">
      <formula>TipoOrçamento="Licitado"</formula>
    </cfRule>
  </conditionalFormatting>
  <conditionalFormatting sqref="J214:J216">
    <cfRule type="expression" dxfId="580" priority="588" stopIfTrue="1">
      <formula>TipoOrçamento="Licitado"</formula>
    </cfRule>
  </conditionalFormatting>
  <conditionalFormatting sqref="J223">
    <cfRule type="expression" dxfId="579" priority="555" stopIfTrue="1">
      <formula>TipoOrçamento="Licitado"</formula>
    </cfRule>
  </conditionalFormatting>
  <conditionalFormatting sqref="J77">
    <cfRule type="expression" dxfId="578" priority="504" stopIfTrue="1">
      <formula>TipoOrçamento="Licitado"</formula>
    </cfRule>
  </conditionalFormatting>
  <conditionalFormatting sqref="J268:J269">
    <cfRule type="expression" dxfId="577" priority="480" stopIfTrue="1">
      <formula>TipoOrçamento="Licitado"</formula>
    </cfRule>
  </conditionalFormatting>
  <conditionalFormatting sqref="J185:J186">
    <cfRule type="expression" dxfId="576" priority="441" stopIfTrue="1">
      <formula>TipoOrçamento="Licitado"</formula>
    </cfRule>
  </conditionalFormatting>
  <conditionalFormatting sqref="J160:J163">
    <cfRule type="expression" dxfId="575" priority="420" stopIfTrue="1">
      <formula>TipoOrçamento="Licitado"</formula>
    </cfRule>
  </conditionalFormatting>
  <conditionalFormatting sqref="J188">
    <cfRule type="expression" dxfId="574" priority="387" stopIfTrue="1">
      <formula>TipoOrçamento="Licitado"</formula>
    </cfRule>
  </conditionalFormatting>
  <conditionalFormatting sqref="J187">
    <cfRule type="expression" dxfId="573" priority="360" stopIfTrue="1">
      <formula>TipoOrçamento="Licitado"</formula>
    </cfRule>
  </conditionalFormatting>
  <conditionalFormatting sqref="J72">
    <cfRule type="expression" dxfId="572" priority="324" stopIfTrue="1">
      <formula>TipoOrçamento="Licitado"</formula>
    </cfRule>
  </conditionalFormatting>
  <conditionalFormatting sqref="J125:J126">
    <cfRule type="expression" dxfId="571" priority="297" stopIfTrue="1">
      <formula>TipoOrçamento="Licitado"</formula>
    </cfRule>
  </conditionalFormatting>
  <conditionalFormatting sqref="J103:J105">
    <cfRule type="expression" dxfId="570" priority="246" stopIfTrue="1">
      <formula>TipoOrçamento="Licitado"</formula>
    </cfRule>
  </conditionalFormatting>
  <conditionalFormatting sqref="J106:J109">
    <cfRule type="expression" dxfId="569" priority="213" stopIfTrue="1">
      <formula>TipoOrçamento="Licitado"</formula>
    </cfRule>
  </conditionalFormatting>
  <conditionalFormatting sqref="J110:J114">
    <cfRule type="expression" dxfId="568" priority="171" stopIfTrue="1">
      <formula>TipoOrçamento="Licitado"</formula>
    </cfRule>
  </conditionalFormatting>
  <conditionalFormatting sqref="J143">
    <cfRule type="expression" dxfId="567" priority="147" stopIfTrue="1">
      <formula>TipoOrçamento="Licitado"</formula>
    </cfRule>
  </conditionalFormatting>
  <conditionalFormatting sqref="J115:J117">
    <cfRule type="expression" dxfId="566" priority="120" stopIfTrue="1">
      <formula>TipoOrçamento="Licitado"</formula>
    </cfRule>
  </conditionalFormatting>
  <conditionalFormatting sqref="L21:L25">
    <cfRule type="expression" dxfId="565" priority="88" stopIfTrue="1">
      <formula>$J21=$C$2</formula>
    </cfRule>
    <cfRule type="expression" dxfId="564" priority="89" stopIfTrue="1">
      <formula>$J21&lt;&gt;"Serviço"</formula>
    </cfRule>
    <cfRule type="expression" dxfId="563" priority="90" stopIfTrue="1">
      <formula>OR(CELL("proteger",L21),$J21="",TipoOrçamento="Licitado")</formula>
    </cfRule>
  </conditionalFormatting>
  <conditionalFormatting sqref="L26">
    <cfRule type="expression" dxfId="562" priority="85" stopIfTrue="1">
      <formula>$J26=$C$2</formula>
    </cfRule>
    <cfRule type="expression" dxfId="561" priority="86" stopIfTrue="1">
      <formula>$J26&lt;&gt;"Serviço"</formula>
    </cfRule>
    <cfRule type="expression" dxfId="560" priority="87" stopIfTrue="1">
      <formula>OR(CELL("proteger",L26),$J26="",TipoOrçamento="Licitado")</formula>
    </cfRule>
  </conditionalFormatting>
  <conditionalFormatting sqref="L28:L33">
    <cfRule type="expression" dxfId="559" priority="82" stopIfTrue="1">
      <formula>$J28=$C$2</formula>
    </cfRule>
    <cfRule type="expression" dxfId="558" priority="83" stopIfTrue="1">
      <formula>$J28&lt;&gt;"Serviço"</formula>
    </cfRule>
    <cfRule type="expression" dxfId="557" priority="84" stopIfTrue="1">
      <formula>OR(CELL("proteger",L28),$J28="",TipoOrçamento="Licitado")</formula>
    </cfRule>
  </conditionalFormatting>
  <conditionalFormatting sqref="L35:L38">
    <cfRule type="expression" dxfId="556" priority="79" stopIfTrue="1">
      <formula>$J35=$C$2</formula>
    </cfRule>
    <cfRule type="expression" dxfId="555" priority="80" stopIfTrue="1">
      <formula>$J35&lt;&gt;"Serviço"</formula>
    </cfRule>
    <cfRule type="expression" dxfId="554" priority="81" stopIfTrue="1">
      <formula>OR(CELL("proteger",L35),$J35="",TipoOrçamento="Licitado")</formula>
    </cfRule>
  </conditionalFormatting>
  <conditionalFormatting sqref="L45:L49">
    <cfRule type="expression" dxfId="553" priority="76" stopIfTrue="1">
      <formula>$J45=$C$2</formula>
    </cfRule>
    <cfRule type="expression" dxfId="552" priority="77" stopIfTrue="1">
      <formula>$J45&lt;&gt;"Serviço"</formula>
    </cfRule>
    <cfRule type="expression" dxfId="551" priority="78" stopIfTrue="1">
      <formula>OR(CELL("proteger",L45),$J45="",TipoOrçamento="Licitado")</formula>
    </cfRule>
  </conditionalFormatting>
  <conditionalFormatting sqref="J227">
    <cfRule type="expression" dxfId="550" priority="75" stopIfTrue="1">
      <formula>TipoOrçamento="Licitado"</formula>
    </cfRule>
  </conditionalFormatting>
  <conditionalFormatting sqref="L50:L54">
    <cfRule type="expression" dxfId="549" priority="46" stopIfTrue="1">
      <formula>$J50=$C$2</formula>
    </cfRule>
    <cfRule type="expression" dxfId="548" priority="47" stopIfTrue="1">
      <formula>$J50&lt;&gt;"Serviço"</formula>
    </cfRule>
    <cfRule type="expression" dxfId="547" priority="48" stopIfTrue="1">
      <formula>OR(CELL("proteger",L50),$J50="",TipoOrçamento="Licitado")</formula>
    </cfRule>
  </conditionalFormatting>
  <conditionalFormatting sqref="K39:K43">
    <cfRule type="expression" dxfId="546" priority="29" stopIfTrue="1">
      <formula>$J39=$C$2</formula>
    </cfRule>
    <cfRule type="expression" dxfId="545" priority="30" stopIfTrue="1">
      <formula>AND($J39&lt;&gt;"",$J39&lt;&gt;"Serviço")</formula>
    </cfRule>
    <cfRule type="expression" dxfId="544" priority="31" stopIfTrue="1">
      <formula>$J39=""</formula>
    </cfRule>
  </conditionalFormatting>
  <conditionalFormatting sqref="P39 P41:P43">
    <cfRule type="expression" dxfId="543" priority="22" stopIfTrue="1">
      <formula>$J39=$C$2</formula>
    </cfRule>
    <cfRule type="expression" dxfId="542" priority="32" stopIfTrue="1">
      <formula>AND($J39&lt;&gt;"Serviço")</formula>
    </cfRule>
    <cfRule type="expression" dxfId="541" priority="33" stopIfTrue="1">
      <formula>CELL("proteger",P39)</formula>
    </cfRule>
  </conditionalFormatting>
  <conditionalFormatting sqref="Q39:R39 R40:R43">
    <cfRule type="expression" dxfId="540" priority="34" stopIfTrue="1">
      <formula>$J39=$C$2</formula>
    </cfRule>
    <cfRule type="expression" dxfId="539" priority="35" stopIfTrue="1">
      <formula>$J39&lt;&gt;"Serviço"</formula>
    </cfRule>
    <cfRule type="expression" dxfId="538" priority="36" stopIfTrue="1">
      <formula>CELL("proteger",Q39)</formula>
    </cfRule>
  </conditionalFormatting>
  <conditionalFormatting sqref="S39:T43 Y39:Z43">
    <cfRule type="expression" dxfId="537" priority="37" stopIfTrue="1">
      <formula>$J39=$C$2</formula>
    </cfRule>
    <cfRule type="expression" dxfId="536" priority="38" stopIfTrue="1">
      <formula>$J39&lt;&gt;"Serviço"</formula>
    </cfRule>
  </conditionalFormatting>
  <conditionalFormatting sqref="L39:M39 M41:M43">
    <cfRule type="expression" dxfId="535" priority="39" stopIfTrue="1">
      <formula>$J39=$C$2</formula>
    </cfRule>
    <cfRule type="expression" dxfId="534" priority="40" stopIfTrue="1">
      <formula>$J39&lt;&gt;"Serviço"</formula>
    </cfRule>
    <cfRule type="expression" dxfId="533" priority="41" stopIfTrue="1">
      <formula>OR(CELL("proteger",L39),$J39="",TipoOrçamento="Licitado")</formula>
    </cfRule>
  </conditionalFormatting>
  <conditionalFormatting sqref="J39:J43">
    <cfRule type="expression" dxfId="532" priority="42" stopIfTrue="1">
      <formula>TipoOrçamento="Licitado"</formula>
    </cfRule>
  </conditionalFormatting>
  <conditionalFormatting sqref="O39 O41:O43">
    <cfRule type="expression" dxfId="531" priority="23" stopIfTrue="1">
      <formula>$J39=$C$2</formula>
    </cfRule>
    <cfRule type="expression" dxfId="530" priority="24" stopIfTrue="1">
      <formula>AND($J39&lt;&gt;"Serviço")</formula>
    </cfRule>
    <cfRule type="expression" dxfId="529" priority="25" stopIfTrue="1">
      <formula>CELL("proteger",O39)</formula>
    </cfRule>
  </conditionalFormatting>
  <conditionalFormatting sqref="N39 N41:N43">
    <cfRule type="expression" dxfId="528" priority="26" stopIfTrue="1">
      <formula>$J39=$C$2</formula>
    </cfRule>
    <cfRule type="expression" dxfId="527" priority="27" stopIfTrue="1">
      <formula>$J39&lt;&gt;"Serviço"</formula>
    </cfRule>
    <cfRule type="expression" dxfId="526" priority="28" stopIfTrue="1">
      <formula>CELL("proteger",N39)</formula>
    </cfRule>
  </conditionalFormatting>
  <conditionalFormatting sqref="L40:L43">
    <cfRule type="expression" dxfId="525" priority="19" stopIfTrue="1">
      <formula>$J40=$C$2</formula>
    </cfRule>
    <cfRule type="expression" dxfId="524" priority="20" stopIfTrue="1">
      <formula>$J40&lt;&gt;"Serviço"</formula>
    </cfRule>
    <cfRule type="expression" dxfId="523" priority="21" stopIfTrue="1">
      <formula>OR(CELL("proteger",L40),$J40="",TipoOrçamento="Licitado")</formula>
    </cfRule>
  </conditionalFormatting>
  <conditionalFormatting sqref="Q41:Q43">
    <cfRule type="expression" dxfId="522" priority="16" stopIfTrue="1">
      <formula>$J41=$C$2</formula>
    </cfRule>
    <cfRule type="expression" dxfId="521" priority="17" stopIfTrue="1">
      <formula>$J41&lt;&gt;"Serviço"</formula>
    </cfRule>
    <cfRule type="expression" dxfId="520" priority="18" stopIfTrue="1">
      <formula>CELL("proteger",Q41)</formula>
    </cfRule>
  </conditionalFormatting>
  <conditionalFormatting sqref="P40">
    <cfRule type="expression" dxfId="519" priority="1" stopIfTrue="1">
      <formula>$J40=$C$2</formula>
    </cfRule>
    <cfRule type="expression" dxfId="518" priority="8" stopIfTrue="1">
      <formula>AND($J40&lt;&gt;"Serviço")</formula>
    </cfRule>
    <cfRule type="expression" dxfId="517" priority="9" stopIfTrue="1">
      <formula>CELL("proteger",P40)</formula>
    </cfRule>
  </conditionalFormatting>
  <conditionalFormatting sqref="Q40">
    <cfRule type="expression" dxfId="516" priority="10" stopIfTrue="1">
      <formula>$J40=$C$2</formula>
    </cfRule>
    <cfRule type="expression" dxfId="515" priority="11" stopIfTrue="1">
      <formula>$J40&lt;&gt;"Serviço"</formula>
    </cfRule>
    <cfRule type="expression" dxfId="514" priority="12" stopIfTrue="1">
      <formula>CELL("proteger",Q40)</formula>
    </cfRule>
  </conditionalFormatting>
  <conditionalFormatting sqref="M40">
    <cfRule type="expression" dxfId="513" priority="13" stopIfTrue="1">
      <formula>$J40=$C$2</formula>
    </cfRule>
    <cfRule type="expression" dxfId="512" priority="14" stopIfTrue="1">
      <formula>$J40&lt;&gt;"Serviço"</formula>
    </cfRule>
    <cfRule type="expression" dxfId="511" priority="15" stopIfTrue="1">
      <formula>OR(CELL("proteger",M40),$J40="",TipoOrçamento="Licitado")</formula>
    </cfRule>
  </conditionalFormatting>
  <conditionalFormatting sqref="O40">
    <cfRule type="expression" dxfId="510" priority="2" stopIfTrue="1">
      <formula>$J40=$C$2</formula>
    </cfRule>
    <cfRule type="expression" dxfId="509" priority="3" stopIfTrue="1">
      <formula>AND($J40&lt;&gt;"Serviço")</formula>
    </cfRule>
    <cfRule type="expression" dxfId="508" priority="4" stopIfTrue="1">
      <formula>CELL("proteger",O40)</formula>
    </cfRule>
  </conditionalFormatting>
  <conditionalFormatting sqref="N40">
    <cfRule type="expression" dxfId="507" priority="5" stopIfTrue="1">
      <formula>$J40=$C$2</formula>
    </cfRule>
    <cfRule type="expression" dxfId="506" priority="6" stopIfTrue="1">
      <formula>$J40&lt;&gt;"Serviço"</formula>
    </cfRule>
    <cfRule type="expression" dxfId="505" priority="7" stopIfTrue="1">
      <formula>CELL("proteger",N40)</formula>
    </cfRule>
  </conditionalFormatting>
  <dataValidations disablePrompts="1" xWindow="49" yWindow="577" count="3">
    <dataValidation type="decimal" operator="greaterThan" allowBlank="1" showInputMessage="1" showErrorMessage="1" error="Apenas números decimais maiores que zero." sqref="Q11 Q13:Q274" xr:uid="{00000000-0002-0000-0300-000000000000}">
      <formula1>0</formula1>
    </dataValidation>
    <dataValidation type="list" errorStyle="warning" allowBlank="1" showInputMessage="1" showErrorMessage="1" error="Selecione um dos 5 BDI da lista._x000a__x000a_Caso tenha mais de 5 BDI nesta Planilha Orçamentária digite apenas valor percentual." sqref="R11 R13:R274" xr:uid="{00000000-0002-0000-0300-000001000000}">
      <formula1>Dados.Lista.BDI</formula1>
    </dataValidation>
    <dataValidation type="list" showInputMessage="1" showErrorMessage="1" errorTitle="Erro de Entrada" error="Selecione somente os itens da lista." promptTitle="Nível:" prompt="Selecione na lista o nível de itemização da Planilha." sqref="J11 J14:J274" xr:uid="{00000000-0002-0000-0300-000002000000}">
      <formula1>$C$2:$G$2</formula1>
    </dataValidation>
  </dataValidations>
  <pageMargins left="0.78740157480314998" right="0.78740157480314998" top="0.78740157480314998" bottom="0.78740157480314998" header="0.59055118110236204" footer="0.59055118110236204"/>
  <pageSetup paperSize="9" scale="63" fitToHeight="0" orientation="landscape" r:id="rId1"/>
  <headerFooter alignWithMargins="0">
    <oddHeader>&amp;C&amp;14I</oddHeader>
    <oddFooter>&amp;R&amp;P&amp;L27.476 v008   micro</oddFooter>
  </headerFooter>
  <ignoredErrors>
    <ignoredError sqref="K286 K289"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97642" r:id="rId4" name="CaixaArredQuant">
              <controlPr locked="0" defaultSize="0" print="0" autoFill="0" autoLine="0" autoPict="0">
                <anchor moveWithCells="1">
                  <from>
                    <xdr:col>15</xdr:col>
                    <xdr:colOff>428625</xdr:colOff>
                    <xdr:row>7</xdr:row>
                    <xdr:rowOff>114300</xdr:rowOff>
                  </from>
                  <to>
                    <xdr:col>15</xdr:col>
                    <xdr:colOff>847725</xdr:colOff>
                    <xdr:row>7</xdr:row>
                    <xdr:rowOff>342900</xdr:rowOff>
                  </to>
                </anchor>
              </controlPr>
            </control>
          </mc:Choice>
        </mc:AlternateContent>
        <mc:AlternateContent xmlns:mc="http://schemas.openxmlformats.org/markup-compatibility/2006">
          <mc:Choice Requires="x14">
            <control shapeId="197650" r:id="rId5" name="CaixaArredCustoUnit">
              <controlPr locked="0" defaultSize="0" print="0" autoFill="0" autoLine="0" autoPict="0">
                <anchor moveWithCells="1">
                  <from>
                    <xdr:col>16</xdr:col>
                    <xdr:colOff>419100</xdr:colOff>
                    <xdr:row>7</xdr:row>
                    <xdr:rowOff>114300</xdr:rowOff>
                  </from>
                  <to>
                    <xdr:col>16</xdr:col>
                    <xdr:colOff>838200</xdr:colOff>
                    <xdr:row>7</xdr:row>
                    <xdr:rowOff>342900</xdr:rowOff>
                  </to>
                </anchor>
              </controlPr>
            </control>
          </mc:Choice>
        </mc:AlternateContent>
        <mc:AlternateContent xmlns:mc="http://schemas.openxmlformats.org/markup-compatibility/2006">
          <mc:Choice Requires="x14">
            <control shapeId="197651" r:id="rId6" name="CaixaArredBDI">
              <controlPr locked="0" defaultSize="0" print="0" autoFill="0" autoLine="0" autoPict="0">
                <anchor moveWithCells="1">
                  <from>
                    <xdr:col>17</xdr:col>
                    <xdr:colOff>257175</xdr:colOff>
                    <xdr:row>7</xdr:row>
                    <xdr:rowOff>114300</xdr:rowOff>
                  </from>
                  <to>
                    <xdr:col>17</xdr:col>
                    <xdr:colOff>676275</xdr:colOff>
                    <xdr:row>7</xdr:row>
                    <xdr:rowOff>342900</xdr:rowOff>
                  </to>
                </anchor>
              </controlPr>
            </control>
          </mc:Choice>
        </mc:AlternateContent>
        <mc:AlternateContent xmlns:mc="http://schemas.openxmlformats.org/markup-compatibility/2006">
          <mc:Choice Requires="x14">
            <control shapeId="197652" r:id="rId7" name="CaixaArredPrecoUnit">
              <controlPr locked="0" defaultSize="0" print="0" autoFill="0" autoLine="0" autoPict="0">
                <anchor moveWithCells="1">
                  <from>
                    <xdr:col>18</xdr:col>
                    <xdr:colOff>333375</xdr:colOff>
                    <xdr:row>7</xdr:row>
                    <xdr:rowOff>114300</xdr:rowOff>
                  </from>
                  <to>
                    <xdr:col>18</xdr:col>
                    <xdr:colOff>752475</xdr:colOff>
                    <xdr:row>7</xdr:row>
                    <xdr:rowOff>342900</xdr:rowOff>
                  </to>
                </anchor>
              </controlPr>
            </control>
          </mc:Choice>
        </mc:AlternateContent>
        <mc:AlternateContent xmlns:mc="http://schemas.openxmlformats.org/markup-compatibility/2006">
          <mc:Choice Requires="x14">
            <control shapeId="197660" r:id="rId8" name="CaixaArredPrecoTotal">
              <controlPr locked="0" defaultSize="0" print="0" autoFill="0" autoLine="0" autoPict="0">
                <anchor moveWithCells="1">
                  <from>
                    <xdr:col>19</xdr:col>
                    <xdr:colOff>419100</xdr:colOff>
                    <xdr:row>7</xdr:row>
                    <xdr:rowOff>104775</xdr:rowOff>
                  </from>
                  <to>
                    <xdr:col>19</xdr:col>
                    <xdr:colOff>838200</xdr:colOff>
                    <xdr:row>7</xdr:row>
                    <xdr:rowOff>333375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2">
    <tabColor rgb="FFFFFF00"/>
  </sheetPr>
  <dimension ref="A1:U281"/>
  <sheetViews>
    <sheetView showGridLines="0" zoomScale="85" zoomScaleNormal="85" zoomScaleSheetLayoutView="100" workbookViewId="0">
      <pane xSplit="5" ySplit="10" topLeftCell="F11" activePane="bottomRight" state="frozen"/>
      <selection pane="topRight"/>
      <selection pane="bottomLeft"/>
      <selection pane="bottomRight" activeCell="K39" sqref="K39"/>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0" t="s">
        <v>63</v>
      </c>
      <c r="F1" s="28" t="s">
        <v>64</v>
      </c>
      <c r="K1" s="14"/>
      <c r="O1"/>
    </row>
    <row r="2" spans="1:21" s="1" customFormat="1" ht="15.75" x14ac:dyDescent="0.25">
      <c r="D2" s="3"/>
      <c r="E2" s="70"/>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1">
        <f ca="1">OFFSET(PO!$P$12,ROW($E7)-ROW(E$12),0)</f>
        <v>0</v>
      </c>
    </row>
    <row r="8" spans="1:21" s="1" customFormat="1" ht="9.9499999999999993" customHeight="1" x14ac:dyDescent="0.2"/>
    <row r="9" spans="1:21" s="1" customFormat="1" ht="60" customHeight="1" x14ac:dyDescent="0.2">
      <c r="B9" s="13"/>
      <c r="C9" s="10"/>
      <c r="D9" s="4"/>
      <c r="E9" s="123" t="s">
        <v>46</v>
      </c>
      <c r="F9" s="103" t="s">
        <v>229</v>
      </c>
      <c r="G9" s="103"/>
      <c r="H9" s="103"/>
      <c r="I9" s="103"/>
      <c r="J9" s="103"/>
      <c r="K9" s="103"/>
      <c r="L9" s="103"/>
      <c r="M9" s="103"/>
      <c r="N9" s="103"/>
      <c r="O9" s="103"/>
      <c r="U9" s="103"/>
    </row>
    <row r="10" spans="1:21" s="11" customFormat="1" ht="30" customHeight="1" x14ac:dyDescent="0.2">
      <c r="A10" s="104" t="s">
        <v>3</v>
      </c>
      <c r="B10" s="104" t="s">
        <v>147</v>
      </c>
      <c r="C10" s="104" t="s">
        <v>142</v>
      </c>
      <c r="D10" s="105" t="s">
        <v>158</v>
      </c>
      <c r="E10" s="104" t="s">
        <v>148</v>
      </c>
      <c r="F10" s="106">
        <f t="shared" ref="F10:O10" ca="1" si="0">IF(OFFSET(F10,0,-1)="Quantidade",1,OFFSET(F10,0,-1)+1)</f>
        <v>1</v>
      </c>
      <c r="G10" s="106">
        <f t="shared" ca="1" si="0"/>
        <v>2</v>
      </c>
      <c r="H10" s="106">
        <f t="shared" ca="1" si="0"/>
        <v>3</v>
      </c>
      <c r="I10" s="106">
        <f t="shared" ca="1" si="0"/>
        <v>4</v>
      </c>
      <c r="J10" s="106">
        <f t="shared" ca="1" si="0"/>
        <v>5</v>
      </c>
      <c r="K10" s="106">
        <f t="shared" ca="1" si="0"/>
        <v>6</v>
      </c>
      <c r="L10" s="106">
        <f t="shared" ca="1" si="0"/>
        <v>7</v>
      </c>
      <c r="M10" s="106">
        <f t="shared" ca="1" si="0"/>
        <v>8</v>
      </c>
      <c r="N10" s="106">
        <f t="shared" ca="1" si="0"/>
        <v>9</v>
      </c>
      <c r="O10" s="106">
        <f t="shared" ca="1" si="0"/>
        <v>10</v>
      </c>
      <c r="U10" s="106">
        <f ca="1">IF(OFFSET(U10,0,-1)="Quantidade",1,OFFSET(U10,0,-1)+1)</f>
        <v>1</v>
      </c>
    </row>
    <row r="11" spans="1:21" s="1" customFormat="1" hidden="1" x14ac:dyDescent="0.2">
      <c r="A11" s="109" t="str">
        <f ca="1">OFFSET(PO!J$12,ROW(A11)-ROW($A$12),0)</f>
        <v>Serviço</v>
      </c>
      <c r="B11" s="111" t="e">
        <f ca="1">IF($A11=0,"",OFFSET(PO!K$12,ROW(B11)-ROW(B$12),0))</f>
        <v>#VALUE!</v>
      </c>
      <c r="C11" s="108" t="str">
        <f ca="1">IF(OFFSET(PO!N$12,ROW(C11)-ROW(C$12),0)=0,"",OFFSET(PO!N$12,ROW(C11)-ROW(C$12),0))</f>
        <v/>
      </c>
      <c r="D11" s="110"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x14ac:dyDescent="0.2">
      <c r="A12" s="63" t="str">
        <f>PO!J12</f>
        <v>LOTE</v>
      </c>
      <c r="B12" s="63"/>
      <c r="C12" s="63" t="str">
        <f>PO!N12</f>
        <v>AMPLIAÇÃO, MODERNIZAÇÃO E REFORMA DA EMEF 21 DE ABRIL</v>
      </c>
      <c r="D12" s="63"/>
      <c r="E12" s="183"/>
      <c r="F12" s="184"/>
      <c r="G12" s="184"/>
      <c r="H12" s="184"/>
      <c r="I12" s="184"/>
      <c r="J12" s="184"/>
      <c r="K12" s="184"/>
      <c r="L12" s="184"/>
      <c r="M12" s="184"/>
      <c r="N12" s="184"/>
      <c r="O12" s="184"/>
      <c r="U12" s="184"/>
    </row>
    <row r="13" spans="1:21" s="1" customFormat="1" x14ac:dyDescent="0.2">
      <c r="A13" s="107" t="str">
        <f ca="1">OFFSET(PO!J$12,ROW(A13)-ROW($A$12),0)</f>
        <v>Meta</v>
      </c>
      <c r="B13" s="111" t="str">
        <f ca="1">IF($A13=0,"",OFFSET(PO!K$12,ROW(B13)-ROW(B$12),0))</f>
        <v>1.</v>
      </c>
      <c r="C13" s="108" t="str">
        <f ca="1">IF(OFFSET(PO!N$12,ROW(C13)-ROW(C$12),0)=0,"",OFFSET(PO!N$12,ROW(C13)-ROW(C$12),0))</f>
        <v>OBRA EMEF 21 DE ABRIL</v>
      </c>
      <c r="D13" s="110" t="str">
        <f ca="1">IF(OFFSET(PO!O$12,ROW(D13)-ROW(D$12),0)=0,"",OFFSET(PO!O$12,ROW(D13)-ROW(D$12),0))</f>
        <v/>
      </c>
      <c r="E13" s="140">
        <f ca="1">IF($A13&lt;&gt;"Serviço",0,ROUND(SUMIF($F$9:$P$9,"&lt;&gt;",$F13:$P13),15-13*PO!$X$3))</f>
        <v>0</v>
      </c>
      <c r="F13" s="182">
        <f ca="1">OFFSET(PO!$P$12,ROW($E13)-ROW(F$12),0)</f>
        <v>0</v>
      </c>
      <c r="G13" s="182"/>
      <c r="H13" s="182"/>
      <c r="I13" s="182"/>
      <c r="J13" s="182"/>
      <c r="K13" s="182"/>
      <c r="L13" s="182"/>
      <c r="M13" s="182"/>
      <c r="N13" s="182"/>
      <c r="O13" s="182"/>
      <c r="U13" s="182"/>
    </row>
    <row r="14" spans="1:21" s="1" customFormat="1" x14ac:dyDescent="0.2">
      <c r="A14" s="109" t="str">
        <f ca="1">OFFSET(PO!J$12,ROW(A14)-ROW($A$12),0)</f>
        <v>Nível 2</v>
      </c>
      <c r="B14" s="111" t="str">
        <f ca="1">IF($A14=0,"",OFFSET(PO!K$12,ROW(B14)-ROW(B$12),0))</f>
        <v>1.1.</v>
      </c>
      <c r="C14" s="108" t="str">
        <f ca="1">IF(OFFSET(PO!N$12,ROW(C14)-ROW(C$12),0)=0,"",OFFSET(PO!N$12,ROW(C14)-ROW(C$12),0))</f>
        <v>SERVIÇOS INICIAIS</v>
      </c>
      <c r="D14" s="110" t="str">
        <f ca="1">IF(OFFSET(PO!O$12,ROW(D14)-ROW(D$12),0)=0,"",OFFSET(PO!O$12,ROW(D14)-ROW(D$12),0))</f>
        <v/>
      </c>
      <c r="E14" s="140">
        <f ca="1">IF($A14&lt;&gt;"Serviço",0,ROUND(SUMIF($F$9:$P$9,"&lt;&gt;",$F14:$P14),15-13*PO!$X$3))</f>
        <v>0</v>
      </c>
      <c r="F14" s="182">
        <f ca="1">OFFSET(PO!$P$12,ROW($E14)-ROW(F$12),0)</f>
        <v>0</v>
      </c>
      <c r="G14" s="182"/>
      <c r="H14" s="182"/>
      <c r="I14" s="182"/>
      <c r="J14" s="182"/>
      <c r="K14" s="182"/>
      <c r="L14" s="182"/>
      <c r="M14" s="182"/>
      <c r="N14" s="182"/>
      <c r="O14" s="182"/>
      <c r="U14" s="182"/>
    </row>
    <row r="15" spans="1:21" s="1" customFormat="1" ht="38.25" x14ac:dyDescent="0.2">
      <c r="A15" s="109" t="str">
        <f ca="1">OFFSET(PO!J$12,ROW(A15)-ROW($A$12),0)</f>
        <v>Serviço</v>
      </c>
      <c r="B15" s="111" t="str">
        <f ca="1">IF($A15=0,"",OFFSET(PO!K$12,ROW(B15)-ROW(B$12),0))</f>
        <v>1.1.1.</v>
      </c>
      <c r="C15" s="108" t="str">
        <f ca="1">IF(OFFSET(PO!N$12,ROW(C15)-ROW(C$12),0)=0,"",OFFSET(PO!N$12,ROW(C15)-ROW(C$12),0))</f>
        <v>FORNECIMENTO E INSTALAÇÃO DE PLACA DE OBRA COM CHAPA GALVANIZADA E ESTRUTURA DE MADEIRA. AF_03/2022_PS</v>
      </c>
      <c r="D15" s="110" t="str">
        <f ca="1">IF(OFFSET(PO!O$12,ROW(D15)-ROW(D$12),0)=0,"",OFFSET(PO!O$12,ROW(D15)-ROW(D$12),0))</f>
        <v>M2</v>
      </c>
      <c r="E15" s="140">
        <f ca="1">IF($A15&lt;&gt;"Serviço",0,ROUND(SUMIF($F$9:$P$9,"&lt;&gt;",$F15:$P15),15-13*PO!$X$3))</f>
        <v>2</v>
      </c>
      <c r="F15" s="182">
        <f ca="1">OFFSET(PO!$P$12,ROW($E15)-ROW(F$12),0)</f>
        <v>2</v>
      </c>
      <c r="G15" s="182"/>
      <c r="H15" s="182"/>
      <c r="I15" s="182"/>
      <c r="J15" s="182"/>
      <c r="K15" s="182"/>
      <c r="L15" s="182"/>
      <c r="M15" s="182"/>
      <c r="N15" s="182"/>
      <c r="O15" s="182"/>
      <c r="U15" s="182"/>
    </row>
    <row r="16" spans="1:21" s="1" customFormat="1" ht="25.5" x14ac:dyDescent="0.2">
      <c r="A16" s="109" t="str">
        <f ca="1">OFFSET(PO!J$12,ROW(A16)-ROW($A$12),0)</f>
        <v>Serviço</v>
      </c>
      <c r="B16" s="111" t="str">
        <f ca="1">IF($A16=0,"",OFFSET(PO!K$12,ROW(B16)-ROW(B$12),0))</f>
        <v>1.1.2.</v>
      </c>
      <c r="C16" s="108" t="str">
        <f ca="1">IF(OFFSET(PO!N$12,ROW(C16)-ROW(C$12),0)=0,"",OFFSET(PO!N$12,ROW(C16)-ROW(C$12),0))</f>
        <v xml:space="preserve">PLACA DE SINALIZACAO EM CHAPA DE ALUMINIO COM PINTURA REFLETIVA, E = 2 MM                                                                                                                                                                                                                                                                                                                                                                                                                                 </v>
      </c>
      <c r="D16" s="110" t="str">
        <f ca="1">IF(OFFSET(PO!O$12,ROW(D16)-ROW(D$12),0)=0,"",OFFSET(PO!O$12,ROW(D16)-ROW(D$12),0))</f>
        <v xml:space="preserve">M2    </v>
      </c>
      <c r="E16" s="140">
        <f ca="1">IF($A16&lt;&gt;"Serviço",0,ROUND(SUMIF($F$9:$P$9,"&lt;&gt;",$F16:$P16),15-13*PO!$X$3))</f>
        <v>0.18</v>
      </c>
      <c r="F16" s="182">
        <f ca="1">OFFSET(PO!$P$12,ROW($E16)-ROW(F$12),0)</f>
        <v>0.18</v>
      </c>
      <c r="G16" s="182"/>
      <c r="H16" s="182"/>
      <c r="I16" s="182"/>
      <c r="J16" s="182"/>
      <c r="K16" s="182"/>
      <c r="L16" s="182"/>
      <c r="M16" s="182"/>
      <c r="N16" s="182"/>
      <c r="O16" s="182"/>
      <c r="U16" s="182"/>
    </row>
    <row r="17" spans="1:21" s="1" customFormat="1" ht="51" x14ac:dyDescent="0.2">
      <c r="A17" s="109" t="str">
        <f ca="1">OFFSET(PO!J$12,ROW(A17)-ROW($A$12),0)</f>
        <v>Serviço</v>
      </c>
      <c r="B17" s="111" t="str">
        <f ca="1">IF($A17=0,"",OFFSET(PO!K$12,ROW(B17)-ROW(B$12),0))</f>
        <v>1.1.3.</v>
      </c>
      <c r="C17" s="108" t="str">
        <f ca="1">IF(OFFSET(PO!N$12,ROW(C17)-ROW(C$12),0)=0,"",OFFSET(PO!N$12,ROW(C17)-ROW(C$12),0))</f>
        <v>CARGA, MANOBRA E DESCARGA DE SOLOS E MATERIAIS GRANULARES EM CAMINHÃO BASCULANTE 14 M³ - CARGA COM PÁ CARREGADEIRA (CAÇAMBA DE 1,7 A 2,8 M³ / 128 HP) E DESCARGA LIVRE (UNIDADE: M3). AF_07/2020</v>
      </c>
      <c r="D17" s="110" t="str">
        <f ca="1">IF(OFFSET(PO!O$12,ROW(D17)-ROW(D$12),0)=0,"",OFFSET(PO!O$12,ROW(D17)-ROW(D$12),0))</f>
        <v>M3</v>
      </c>
      <c r="E17" s="140">
        <f ca="1">IF($A17&lt;&gt;"Serviço",0,ROUND(SUMIF($F$9:$P$9,"&lt;&gt;",$F17:$P17),15-13*PO!$X$3))</f>
        <v>100</v>
      </c>
      <c r="F17" s="182">
        <f ca="1">OFFSET(PO!$P$12,ROW($E17)-ROW(F$12),0)</f>
        <v>100</v>
      </c>
      <c r="G17" s="182"/>
      <c r="H17" s="182"/>
      <c r="I17" s="182"/>
      <c r="J17" s="182"/>
      <c r="K17" s="182"/>
      <c r="L17" s="182"/>
      <c r="M17" s="182"/>
      <c r="N17" s="182"/>
      <c r="O17" s="182"/>
      <c r="U17" s="182"/>
    </row>
    <row r="18" spans="1:21" s="1" customFormat="1" ht="38.25" x14ac:dyDescent="0.2">
      <c r="A18" s="109" t="str">
        <f ca="1">OFFSET(PO!J$12,ROW(A18)-ROW($A$12),0)</f>
        <v>Serviço</v>
      </c>
      <c r="B18" s="111" t="str">
        <f ca="1">IF($A18=0,"",OFFSET(PO!K$12,ROW(B18)-ROW(B$12),0))</f>
        <v>1.1.4.</v>
      </c>
      <c r="C18" s="108" t="str">
        <f ca="1">IF(OFFSET(PO!N$12,ROW(C18)-ROW(C$12),0)=0,"",OFFSET(PO!N$12,ROW(C18)-ROW(C$12),0))</f>
        <v>TRANSPORTE COM CAMINHÃO BASCULANTE DE 10 M³, EM VIA URBANA PAVIMENTADA, DMT ATÉ 30 KM (UNIDADE: M3XKM). AF_07/2020</v>
      </c>
      <c r="D18" s="110" t="str">
        <f ca="1">IF(OFFSET(PO!O$12,ROW(D18)-ROW(D$12),0)=0,"",OFFSET(PO!O$12,ROW(D18)-ROW(D$12),0))</f>
        <v>M3XKM</v>
      </c>
      <c r="E18" s="140">
        <f ca="1">IF($A18&lt;&gt;"Serviço",0,ROUND(SUMIF($F$9:$P$9,"&lt;&gt;",$F18:$P18),15-13*PO!$X$3))</f>
        <v>800</v>
      </c>
      <c r="F18" s="182">
        <f ca="1">OFFSET(PO!$P$12,ROW($E18)-ROW(F$12),0)</f>
        <v>800</v>
      </c>
      <c r="G18" s="182"/>
      <c r="H18" s="182"/>
      <c r="I18" s="182"/>
      <c r="J18" s="182"/>
      <c r="K18" s="182"/>
      <c r="L18" s="182"/>
      <c r="M18" s="182"/>
      <c r="N18" s="182"/>
      <c r="O18" s="182"/>
      <c r="U18" s="182"/>
    </row>
    <row r="19" spans="1:21" s="1" customFormat="1" ht="38.25" x14ac:dyDescent="0.2">
      <c r="A19" s="109" t="str">
        <f ca="1">OFFSET(PO!J$12,ROW(A19)-ROW($A$12),0)</f>
        <v>Serviço</v>
      </c>
      <c r="B19" s="111" t="str">
        <f ca="1">IF($A19=0,"",OFFSET(PO!K$12,ROW(B19)-ROW(B$12),0))</f>
        <v>1.1.5.</v>
      </c>
      <c r="C19" s="108" t="str">
        <f ca="1">IF(OFFSET(PO!N$12,ROW(C19)-ROW(C$12),0)=0,"",OFFSET(PO!N$12,ROW(C19)-ROW(C$12),0))</f>
        <v>COMPACTAÇÃO MECÂNICA DE SOLO PARA EXECUÇÃO DE RADIER, PISO DE CONCRETO OU LAJE SOBRE SOLO, COM COMPACTADOR DE SOLOS A PERCUSSÃO. AF_09/2021</v>
      </c>
      <c r="D19" s="110" t="str">
        <f ca="1">IF(OFFSET(PO!O$12,ROW(D19)-ROW(D$12),0)=0,"",OFFSET(PO!O$12,ROW(D19)-ROW(D$12),0))</f>
        <v>M2</v>
      </c>
      <c r="E19" s="140">
        <f ca="1">IF($A19&lt;&gt;"Serviço",0,ROUND(SUMIF($F$9:$P$9,"&lt;&gt;",$F19:$P19),15-13*PO!$X$3))</f>
        <v>344.29</v>
      </c>
      <c r="F19" s="182">
        <f ca="1">OFFSET(PO!$P$12,ROW($E19)-ROW(F$12),0)</f>
        <v>344.29</v>
      </c>
      <c r="G19" s="182"/>
      <c r="H19" s="182"/>
      <c r="I19" s="182"/>
      <c r="J19" s="182"/>
      <c r="K19" s="182"/>
      <c r="L19" s="182"/>
      <c r="M19" s="182"/>
      <c r="N19" s="182"/>
      <c r="O19" s="182"/>
      <c r="U19" s="182"/>
    </row>
    <row r="20" spans="1:21" s="1" customFormat="1" x14ac:dyDescent="0.2">
      <c r="A20" s="109" t="str">
        <f ca="1">OFFSET(PO!J$12,ROW(A20)-ROW($A$12),0)</f>
        <v>Nível 2</v>
      </c>
      <c r="B20" s="111" t="str">
        <f ca="1">IF($A20=0,"",OFFSET(PO!K$12,ROW(B20)-ROW(B$12),0))</f>
        <v>1.2.</v>
      </c>
      <c r="C20" s="108" t="str">
        <f ca="1">IF(OFFSET(PO!N$12,ROW(C20)-ROW(C$12),0)=0,"",OFFSET(PO!N$12,ROW(C20)-ROW(C$12),0))</f>
        <v>SAPATAS</v>
      </c>
      <c r="D20" s="110" t="str">
        <f ca="1">IF(OFFSET(PO!O$12,ROW(D20)-ROW(D$12),0)=0,"",OFFSET(PO!O$12,ROW(D20)-ROW(D$12),0))</f>
        <v/>
      </c>
      <c r="E20" s="140">
        <f ca="1">IF($A20&lt;&gt;"Serviço",0,ROUND(SUMIF($F$9:$P$9,"&lt;&gt;",$F20:$P20),15-13*PO!$X$3))</f>
        <v>0</v>
      </c>
      <c r="F20" s="182">
        <f ca="1">OFFSET(PO!$P$12,ROW($E20)-ROW(F$12),0)</f>
        <v>0</v>
      </c>
      <c r="G20" s="182"/>
      <c r="H20" s="182"/>
      <c r="I20" s="182"/>
      <c r="J20" s="182"/>
      <c r="K20" s="182"/>
      <c r="L20" s="182"/>
      <c r="M20" s="182"/>
      <c r="N20" s="182"/>
      <c r="O20" s="182"/>
      <c r="U20" s="182"/>
    </row>
    <row r="21" spans="1:21" s="1" customFormat="1" x14ac:dyDescent="0.2">
      <c r="A21" s="109" t="str">
        <f ca="1">OFFSET(PO!J$12,ROW(A21)-ROW($A$12),0)</f>
        <v>Serviço</v>
      </c>
      <c r="B21" s="111" t="str">
        <f ca="1">IF($A21=0,"",OFFSET(PO!K$12,ROW(B21)-ROW(B$12),0))</f>
        <v>1.2.1.</v>
      </c>
      <c r="C21" s="108" t="str">
        <f ca="1">IF(OFFSET(PO!N$12,ROW(C21)-ROW(C$12),0)=0,"",OFFSET(PO!N$12,ROW(C21)-ROW(C$12),0))</f>
        <v>ESCAVAÇÃO MECANIZADA DE VALA COM PROF. ATÉ 1,5 M (MÉDIA MONTANTE E JUSANTE/UMA COMPOSIÇÃO POR TRECHO), ESCAVADEIRA (0,8 M3), LARG. DE 1,5 M A 2,5 M, EM SOLO DE 1A CATEGORIA, EM LOCAIS COM ALTO NÍVEL DE INTERFERÊNCIA. AF_09/2024</v>
      </c>
      <c r="D21" s="110" t="str">
        <f ca="1">IF(OFFSET(PO!O$12,ROW(D21)-ROW(D$12),0)=0,"",OFFSET(PO!O$12,ROW(D21)-ROW(D$12),0))</f>
        <v>M3</v>
      </c>
      <c r="E21" s="140">
        <f ca="1">IF($A21&lt;&gt;"Serviço",0,ROUND(SUMIF($F$9:$P$9,"&lt;&gt;",$F21:$P21),15-13*PO!$X$3))</f>
        <v>87</v>
      </c>
      <c r="F21" s="182">
        <f ca="1">OFFSET(PO!$P$12,ROW($E21)-ROW(F$12),0)</f>
        <v>87</v>
      </c>
      <c r="G21" s="182"/>
      <c r="H21" s="182"/>
      <c r="I21" s="182"/>
      <c r="J21" s="182"/>
      <c r="K21" s="182"/>
      <c r="L21" s="182"/>
      <c r="M21" s="182"/>
      <c r="N21" s="182"/>
      <c r="O21" s="182"/>
      <c r="U21" s="182"/>
    </row>
    <row r="22" spans="1:21" s="1" customFormat="1" x14ac:dyDescent="0.2">
      <c r="A22" s="109" t="str">
        <f ca="1">OFFSET(PO!J$12,ROW(A22)-ROW($A$12),0)</f>
        <v>Serviço</v>
      </c>
      <c r="B22" s="111" t="str">
        <f ca="1">IF($A22=0,"",OFFSET(PO!K$12,ROW(B22)-ROW(B$12),0))</f>
        <v>1.2.2.</v>
      </c>
      <c r="C22" s="108" t="str">
        <f ca="1">IF(OFFSET(PO!N$12,ROW(C22)-ROW(C$12),0)=0,"",OFFSET(PO!N$12,ROW(C22)-ROW(C$12),0))</f>
        <v>REATERRO MECANIZADO DE VALA COM RETROESCAVADEIRA (CAPACIDADE DA CAÇAMBA   DA RETRO: 0,26 M³/POTÊNCIA: 88 HP), LARGURA 0,8 A 1,5 M, PROFUNDIDADE ATÉ 1,5 M, COM SOLO (SEM SUBSTITUIÇÃO) DE 1ª CATEGORIA, COM COMPACTADOR DE SOLOS DE PERCUSSÃO AF_08/2023</v>
      </c>
      <c r="D22" s="110" t="str">
        <f ca="1">IF(OFFSET(PO!O$12,ROW(D22)-ROW(D$12),0)=0,"",OFFSET(PO!O$12,ROW(D22)-ROW(D$12),0))</f>
        <v>M3</v>
      </c>
      <c r="E22" s="140">
        <f ca="1">IF($A22&lt;&gt;"Serviço",0,ROUND(SUMIF($F$9:$P$9,"&lt;&gt;",$F22:$P22),15-13*PO!$X$3))</f>
        <v>87</v>
      </c>
      <c r="F22" s="182">
        <f ca="1">OFFSET(PO!$P$12,ROW($E22)-ROW(F$12),0)</f>
        <v>87</v>
      </c>
      <c r="G22" s="182"/>
      <c r="H22" s="182"/>
      <c r="I22" s="182"/>
      <c r="J22" s="182"/>
      <c r="K22" s="182"/>
      <c r="L22" s="182"/>
      <c r="M22" s="182"/>
      <c r="N22" s="182"/>
      <c r="O22" s="182"/>
      <c r="U22" s="182"/>
    </row>
    <row r="23" spans="1:21" s="1" customFormat="1" x14ac:dyDescent="0.2">
      <c r="A23" s="109" t="str">
        <f ca="1">OFFSET(PO!J$12,ROW(A23)-ROW($A$12),0)</f>
        <v>Serviço</v>
      </c>
      <c r="B23" s="111" t="str">
        <f ca="1">IF($A23=0,"",OFFSET(PO!K$12,ROW(B23)-ROW(B$12),0))</f>
        <v>1.2.3.</v>
      </c>
      <c r="C23" s="108" t="str">
        <f ca="1">IF(OFFSET(PO!N$12,ROW(C23)-ROW(C$12),0)=0,"",OFFSET(PO!N$12,ROW(C23)-ROW(C$12),0))</f>
        <v>CONCRETAGEM DE SAPATA, FCK 30 MPA, COM USO DE BOMBA - LANÇAMENTO, ADENSAMENTO E ACABAMENTO. AF_01/2024</v>
      </c>
      <c r="D23" s="110" t="str">
        <f ca="1">IF(OFFSET(PO!O$12,ROW(D23)-ROW(D$12),0)=0,"",OFFSET(PO!O$12,ROW(D23)-ROW(D$12),0))</f>
        <v>M3</v>
      </c>
      <c r="E23" s="140">
        <f ca="1">IF($A23&lt;&gt;"Serviço",0,ROUND(SUMIF($F$9:$P$9,"&lt;&gt;",$F23:$P23),15-13*PO!$X$3))</f>
        <v>17.8</v>
      </c>
      <c r="F23" s="182">
        <f ca="1">OFFSET(PO!$P$12,ROW($E23)-ROW(F$12),0)</f>
        <v>17.804500000000001</v>
      </c>
      <c r="G23" s="182"/>
      <c r="H23" s="182"/>
      <c r="I23" s="182"/>
      <c r="J23" s="182"/>
      <c r="K23" s="182"/>
      <c r="L23" s="182"/>
      <c r="M23" s="182"/>
      <c r="N23" s="182"/>
      <c r="O23" s="182"/>
      <c r="U23" s="182"/>
    </row>
    <row r="24" spans="1:21" s="1" customFormat="1" x14ac:dyDescent="0.2">
      <c r="A24" s="109" t="str">
        <f ca="1">OFFSET(PO!J$12,ROW(A24)-ROW($A$12),0)</f>
        <v>Serviço</v>
      </c>
      <c r="B24" s="111" t="str">
        <f ca="1">IF($A24=0,"",OFFSET(PO!K$12,ROW(B24)-ROW(B$12),0))</f>
        <v>1.2.4.</v>
      </c>
      <c r="C24" s="108" t="str">
        <f ca="1">IF(OFFSET(PO!N$12,ROW(C24)-ROW(C$12),0)=0,"",OFFSET(PO!N$12,ROW(C24)-ROW(C$12),0))</f>
        <v>CORTE E DOBRA DE AÇO CA-50, DIÂMETRO DE 8,0 MM. AF_06/2022</v>
      </c>
      <c r="D24" s="110" t="str">
        <f ca="1">IF(OFFSET(PO!O$12,ROW(D24)-ROW(D$12),0)=0,"",OFFSET(PO!O$12,ROW(D24)-ROW(D$12),0))</f>
        <v>KG</v>
      </c>
      <c r="E24" s="140">
        <f ca="1">IF($A24&lt;&gt;"Serviço",0,ROUND(SUMIF($F$9:$P$9,"&lt;&gt;",$F24:$P24),15-13*PO!$X$3))</f>
        <v>546.89</v>
      </c>
      <c r="F24" s="182">
        <f ca="1">OFFSET(PO!$P$12,ROW($E24)-ROW(F$12),0)</f>
        <v>546.89330000000007</v>
      </c>
      <c r="G24" s="182"/>
      <c r="H24" s="182"/>
      <c r="I24" s="182"/>
      <c r="J24" s="182"/>
      <c r="K24" s="182"/>
      <c r="L24" s="182"/>
      <c r="M24" s="182"/>
      <c r="N24" s="182"/>
      <c r="O24" s="182"/>
      <c r="U24" s="182"/>
    </row>
    <row r="25" spans="1:21" s="1" customFormat="1" x14ac:dyDescent="0.2">
      <c r="A25" s="109" t="str">
        <f ca="1">OFFSET(PO!J$12,ROW(A25)-ROW($A$12),0)</f>
        <v>Serviço</v>
      </c>
      <c r="B25" s="111" t="str">
        <f ca="1">IF($A25=0,"",OFFSET(PO!K$12,ROW(B25)-ROW(B$12),0))</f>
        <v>1.2.5.</v>
      </c>
      <c r="C25" s="108" t="str">
        <f ca="1">IF(OFFSET(PO!N$12,ROW(C25)-ROW(C$12),0)=0,"",OFFSET(PO!N$12,ROW(C25)-ROW(C$12),0))</f>
        <v>CORTE E DOBRA DE AÇO CA-50, DIÂMETRO DE 10,0 MM. AF_06/2022</v>
      </c>
      <c r="D25" s="110" t="str">
        <f ca="1">IF(OFFSET(PO!O$12,ROW(D25)-ROW(D$12),0)=0,"",OFFSET(PO!O$12,ROW(D25)-ROW(D$12),0))</f>
        <v>KG</v>
      </c>
      <c r="E25" s="140">
        <f ca="1">IF($A25&lt;&gt;"Serviço",0,ROUND(SUMIF($F$9:$P$9,"&lt;&gt;",$F25:$P25),15-13*PO!$X$3))</f>
        <v>419.74</v>
      </c>
      <c r="F25" s="182">
        <f ca="1">OFFSET(PO!$P$12,ROW($E25)-ROW(F$12),0)</f>
        <v>419.73540000000003</v>
      </c>
      <c r="G25" s="182"/>
      <c r="H25" s="182"/>
      <c r="I25" s="182"/>
      <c r="J25" s="182"/>
      <c r="K25" s="182"/>
      <c r="L25" s="182"/>
      <c r="M25" s="182"/>
      <c r="N25" s="182"/>
      <c r="O25" s="182"/>
      <c r="U25" s="182"/>
    </row>
    <row r="26" spans="1:21" s="1" customFormat="1" x14ac:dyDescent="0.2">
      <c r="A26" s="109" t="str">
        <f ca="1">OFFSET(PO!J$12,ROW(A26)-ROW($A$12),0)</f>
        <v>Serviço</v>
      </c>
      <c r="B26" s="111" t="str">
        <f ca="1">IF($A26=0,"",OFFSET(PO!K$12,ROW(B26)-ROW(B$12),0))</f>
        <v>1.2.6.</v>
      </c>
      <c r="C26" s="108" t="str">
        <f ca="1">IF(OFFSET(PO!N$12,ROW(C26)-ROW(C$12),0)=0,"",OFFSET(PO!N$12,ROW(C26)-ROW(C$12),0))</f>
        <v>FABRICAÇÃO, MONTAGEM E DESMONTAGEM DE FÔRMA PARA SAPATA, EM MADEIRA SERRADA, E=25 MM, 4 UTILIZAÇÕES. AF_01/2024</v>
      </c>
      <c r="D26" s="110" t="str">
        <f ca="1">IF(OFFSET(PO!O$12,ROW(D26)-ROW(D$12),0)=0,"",OFFSET(PO!O$12,ROW(D26)-ROW(D$12),0))</f>
        <v>M2</v>
      </c>
      <c r="E26" s="140">
        <f ca="1">IF($A26&lt;&gt;"Serviço",0,ROUND(SUMIF($F$9:$P$9,"&lt;&gt;",$F26:$P26),15-13*PO!$X$3))</f>
        <v>79.94</v>
      </c>
      <c r="F26" s="182">
        <f ca="1">OFFSET(PO!$P$12,ROW($E26)-ROW(F$12),0)</f>
        <v>79.94</v>
      </c>
      <c r="G26" s="182"/>
      <c r="H26" s="182"/>
      <c r="I26" s="182"/>
      <c r="J26" s="182"/>
      <c r="K26" s="182"/>
      <c r="L26" s="182"/>
      <c r="M26" s="182"/>
      <c r="N26" s="182"/>
      <c r="O26" s="182"/>
      <c r="U26" s="182"/>
    </row>
    <row r="27" spans="1:21" s="1" customFormat="1" x14ac:dyDescent="0.2">
      <c r="A27" s="109" t="str">
        <f ca="1">OFFSET(PO!J$12,ROW(A27)-ROW($A$12),0)</f>
        <v>Nível 2</v>
      </c>
      <c r="B27" s="111" t="str">
        <f ca="1">IF($A27=0,"",OFFSET(PO!K$12,ROW(B27)-ROW(B$12),0))</f>
        <v>1.3.</v>
      </c>
      <c r="C27" s="108" t="str">
        <f ca="1">IF(OFFSET(PO!N$12,ROW(C27)-ROW(C$12),0)=0,"",OFFSET(PO!N$12,ROW(C27)-ROW(C$12),0))</f>
        <v>VIGAS BALDRAME</v>
      </c>
      <c r="D27" s="110" t="str">
        <f ca="1">IF(OFFSET(PO!O$12,ROW(D27)-ROW(D$12),0)=0,"",OFFSET(PO!O$12,ROW(D27)-ROW(D$12),0))</f>
        <v/>
      </c>
      <c r="E27" s="140">
        <f ca="1">IF($A27&lt;&gt;"Serviço",0,ROUND(SUMIF($F$9:$P$9,"&lt;&gt;",$F27:$P27),15-13*PO!$X$3))</f>
        <v>0</v>
      </c>
      <c r="F27" s="182">
        <f ca="1">OFFSET(PO!$P$12,ROW($E27)-ROW(F$12),0)</f>
        <v>0</v>
      </c>
      <c r="G27" s="182"/>
      <c r="H27" s="182"/>
      <c r="I27" s="182"/>
      <c r="J27" s="182"/>
      <c r="K27" s="182"/>
      <c r="L27" s="182"/>
      <c r="M27" s="182"/>
      <c r="N27" s="182"/>
      <c r="O27" s="182"/>
      <c r="U27" s="182"/>
    </row>
    <row r="28" spans="1:21" s="1" customFormat="1" x14ac:dyDescent="0.2">
      <c r="A28" s="109" t="str">
        <f ca="1">OFFSET(PO!J$12,ROW(A28)-ROW($A$12),0)</f>
        <v>Serviço</v>
      </c>
      <c r="B28" s="111" t="str">
        <f ca="1">IF($A28=0,"",OFFSET(PO!K$12,ROW(B28)-ROW(B$12),0))</f>
        <v>1.3.1.</v>
      </c>
      <c r="C28" s="108" t="str">
        <f ca="1">IF(OFFSET(PO!N$12,ROW(C28)-ROW(C$12),0)=0,"",OFFSET(PO!N$12,ROW(C28)-ROW(C$12),0))</f>
        <v>CONCRETAGEM DE BLOCO DE COROAMENTO OU VIGA BALDRAME, FCK 30 MPA, COM USO DE BOMBA - LANÇAMENTO, ADENSAMENTO E ACABAMENTO. AF_01/2024</v>
      </c>
      <c r="D28" s="110" t="str">
        <f ca="1">IF(OFFSET(PO!O$12,ROW(D28)-ROW(D$12),0)=0,"",OFFSET(PO!O$12,ROW(D28)-ROW(D$12),0))</f>
        <v>M3</v>
      </c>
      <c r="E28" s="140">
        <f ca="1">IF($A28&lt;&gt;"Serviço",0,ROUND(SUMIF($F$9:$P$9,"&lt;&gt;",$F28:$P28),15-13*PO!$X$3))</f>
        <v>12.09</v>
      </c>
      <c r="F28" s="182">
        <f ca="1">OFFSET(PO!$P$12,ROW($E28)-ROW(F$12),0)</f>
        <v>12.089099999999998</v>
      </c>
      <c r="G28" s="182"/>
      <c r="H28" s="182"/>
      <c r="I28" s="182"/>
      <c r="J28" s="182"/>
      <c r="K28" s="182"/>
      <c r="L28" s="182"/>
      <c r="M28" s="182"/>
      <c r="N28" s="182"/>
      <c r="O28" s="182"/>
      <c r="U28" s="182"/>
    </row>
    <row r="29" spans="1:21" s="1" customFormat="1" x14ac:dyDescent="0.2">
      <c r="A29" s="109" t="str">
        <f ca="1">OFFSET(PO!J$12,ROW(A29)-ROW($A$12),0)</f>
        <v>Serviço</v>
      </c>
      <c r="B29" s="111" t="str">
        <f ca="1">IF($A29=0,"",OFFSET(PO!K$12,ROW(B29)-ROW(B$12),0))</f>
        <v>1.3.2.</v>
      </c>
      <c r="C29" s="108" t="str">
        <f ca="1">IF(OFFSET(PO!N$12,ROW(C29)-ROW(C$12),0)=0,"",OFFSET(PO!N$12,ROW(C29)-ROW(C$12),0))</f>
        <v>FABRICAÇÃO DE FÔRMA PARA VIGAS, COM MADEIRA SERRADA, E = 25 MM. AF_09/2020</v>
      </c>
      <c r="D29" s="110" t="str">
        <f ca="1">IF(OFFSET(PO!O$12,ROW(D29)-ROW(D$12),0)=0,"",OFFSET(PO!O$12,ROW(D29)-ROW(D$12),0))</f>
        <v>M2</v>
      </c>
      <c r="E29" s="140">
        <f ca="1">IF($A29&lt;&gt;"Serviço",0,ROUND(SUMIF($F$9:$P$9,"&lt;&gt;",$F29:$P29),15-13*PO!$X$3))</f>
        <v>171.16</v>
      </c>
      <c r="F29" s="182">
        <f ca="1">OFFSET(PO!$P$12,ROW($E29)-ROW(F$12),0)</f>
        <v>171.16199999999998</v>
      </c>
      <c r="G29" s="182"/>
      <c r="H29" s="182"/>
      <c r="I29" s="182"/>
      <c r="J29" s="182"/>
      <c r="K29" s="182"/>
      <c r="L29" s="182"/>
      <c r="M29" s="182"/>
      <c r="N29" s="182"/>
      <c r="O29" s="182"/>
      <c r="U29" s="182"/>
    </row>
    <row r="30" spans="1:21" s="1" customFormat="1" x14ac:dyDescent="0.2">
      <c r="A30" s="109" t="str">
        <f ca="1">OFFSET(PO!J$12,ROW(A30)-ROW($A$12),0)</f>
        <v>Serviço</v>
      </c>
      <c r="B30" s="111" t="str">
        <f ca="1">IF($A30=0,"",OFFSET(PO!K$12,ROW(B30)-ROW(B$12),0))</f>
        <v>1.3.3.</v>
      </c>
      <c r="C30" s="108" t="str">
        <f ca="1">IF(OFFSET(PO!N$12,ROW(C30)-ROW(C$12),0)=0,"",OFFSET(PO!N$12,ROW(C30)-ROW(C$12),0))</f>
        <v>ESCAVAÇÃO MECANIZADA DE VALA COM PROF. ATÉ 1,5 M (MÉDIA MONTANTE E JUSANTE/UMA COMPOSIÇÃO POR TRECHO), ESCAVADEIRA (0,8 M3), LARG. DE 1,5 M A 2,5 M, EM SOLO DE 1A CATEGORIA, EM LOCAIS COM ALTO NÍVEL DE INTERFERÊNCIA. AF_09/2024</v>
      </c>
      <c r="D30" s="110" t="str">
        <f ca="1">IF(OFFSET(PO!O$12,ROW(D30)-ROW(D$12),0)=0,"",OFFSET(PO!O$12,ROW(D30)-ROW(D$12),0))</f>
        <v>M3</v>
      </c>
      <c r="E30" s="140">
        <f ca="1">IF($A30&lt;&gt;"Serviço",0,ROUND(SUMIF($F$9:$P$9,"&lt;&gt;",$F30:$P30),15-13*PO!$X$3))</f>
        <v>42.79</v>
      </c>
      <c r="F30" s="182">
        <f ca="1">OFFSET(PO!$P$12,ROW($E30)-ROW(F$12),0)</f>
        <v>42.790499999999994</v>
      </c>
      <c r="G30" s="182"/>
      <c r="H30" s="182"/>
      <c r="I30" s="182"/>
      <c r="J30" s="182"/>
      <c r="K30" s="182"/>
      <c r="L30" s="182"/>
      <c r="M30" s="182"/>
      <c r="N30" s="182"/>
      <c r="O30" s="182"/>
      <c r="U30" s="182"/>
    </row>
    <row r="31" spans="1:21" s="1" customFormat="1" x14ac:dyDescent="0.2">
      <c r="A31" s="109" t="str">
        <f ca="1">OFFSET(PO!J$12,ROW(A31)-ROW($A$12),0)</f>
        <v>Serviço</v>
      </c>
      <c r="B31" s="111" t="str">
        <f ca="1">IF($A31=0,"",OFFSET(PO!K$12,ROW(B31)-ROW(B$12),0))</f>
        <v>1.3.4.</v>
      </c>
      <c r="C31" s="108" t="str">
        <f ca="1">IF(OFFSET(PO!N$12,ROW(C31)-ROW(C$12),0)=0,"",OFFSET(PO!N$12,ROW(C31)-ROW(C$12),0))</f>
        <v>CONCRETO MAGRO PARA LASTRO, TRAÇO 1:4,5:4,5 (EM MASSA SECA DE CIMENTO/ AREIA MÉDIA/ BRITA 1) - PREPARO MECÂNICO COM BETONEIRA 400 L. AF_05/2021</v>
      </c>
      <c r="D31" s="110" t="str">
        <f ca="1">IF(OFFSET(PO!O$12,ROW(D31)-ROW(D$12),0)=0,"",OFFSET(PO!O$12,ROW(D31)-ROW(D$12),0))</f>
        <v>M3</v>
      </c>
      <c r="E31" s="140">
        <f ca="1">IF($A31&lt;&gt;"Serviço",0,ROUND(SUMIF($F$9:$P$9,"&lt;&gt;",$F31:$P31),15-13*PO!$X$3))</f>
        <v>4.28</v>
      </c>
      <c r="F31" s="182">
        <f ca="1">OFFSET(PO!$P$12,ROW($E31)-ROW(F$12),0)</f>
        <v>4.2790499999999998</v>
      </c>
      <c r="G31" s="182"/>
      <c r="H31" s="182"/>
      <c r="I31" s="182"/>
      <c r="J31" s="182"/>
      <c r="K31" s="182"/>
      <c r="L31" s="182"/>
      <c r="M31" s="182"/>
      <c r="N31" s="182"/>
      <c r="O31" s="182"/>
      <c r="U31" s="182"/>
    </row>
    <row r="32" spans="1:21" s="1" customFormat="1" x14ac:dyDescent="0.2">
      <c r="A32" s="109" t="str">
        <f ca="1">OFFSET(PO!J$12,ROW(A32)-ROW($A$12),0)</f>
        <v>Serviço</v>
      </c>
      <c r="B32" s="111" t="str">
        <f ca="1">IF($A32=0,"",OFFSET(PO!K$12,ROW(B32)-ROW(B$12),0))</f>
        <v>1.3.5.</v>
      </c>
      <c r="C32" s="108" t="str">
        <f ca="1">IF(OFFSET(PO!N$12,ROW(C32)-ROW(C$12),0)=0,"",OFFSET(PO!N$12,ROW(C32)-ROW(C$12),0))</f>
        <v>CORTE E DOBRA DE AÇO CA-50, DIÂMETRO DE 10,0 MM. AF_06/2022</v>
      </c>
      <c r="D32" s="110" t="str">
        <f ca="1">IF(OFFSET(PO!O$12,ROW(D32)-ROW(D$12),0)=0,"",OFFSET(PO!O$12,ROW(D32)-ROW(D$12),0))</f>
        <v>KG</v>
      </c>
      <c r="E32" s="140">
        <f ca="1">IF($A32&lt;&gt;"Serviço",0,ROUND(SUMIF($F$9:$P$9,"&lt;&gt;",$F32:$P32),15-13*PO!$X$3))</f>
        <v>704.05</v>
      </c>
      <c r="F32" s="182">
        <f ca="1">OFFSET(PO!$P$12,ROW($E32)-ROW(F$12),0)</f>
        <v>704.04635999999994</v>
      </c>
      <c r="G32" s="182"/>
      <c r="H32" s="182"/>
      <c r="I32" s="182"/>
      <c r="J32" s="182"/>
      <c r="K32" s="182"/>
      <c r="L32" s="182"/>
      <c r="M32" s="182"/>
      <c r="N32" s="182"/>
      <c r="O32" s="182"/>
      <c r="U32" s="182"/>
    </row>
    <row r="33" spans="1:21" s="1" customFormat="1" x14ac:dyDescent="0.2">
      <c r="A33" s="109" t="str">
        <f ca="1">OFFSET(PO!J$12,ROW(A33)-ROW($A$12),0)</f>
        <v>Serviço</v>
      </c>
      <c r="B33" s="111" t="str">
        <f ca="1">IF($A33=0,"",OFFSET(PO!K$12,ROW(B33)-ROW(B$12),0))</f>
        <v>1.3.6.</v>
      </c>
      <c r="C33" s="108" t="str">
        <f ca="1">IF(OFFSET(PO!N$12,ROW(C33)-ROW(C$12),0)=0,"",OFFSET(PO!N$12,ROW(C33)-ROW(C$12),0))</f>
        <v>CORTE E DOBRA DE AÇO CA-60, DIÂMETRO DE 5,0 MM. AF_06/2022</v>
      </c>
      <c r="D33" s="110" t="str">
        <f ca="1">IF(OFFSET(PO!O$12,ROW(D33)-ROW(D$12),0)=0,"",OFFSET(PO!O$12,ROW(D33)-ROW(D$12),0))</f>
        <v>KG</v>
      </c>
      <c r="E33" s="140">
        <f ca="1">IF($A33&lt;&gt;"Serviço",0,ROUND(SUMIF($F$9:$P$9,"&lt;&gt;",$F33:$P33),15-13*PO!$X$3))</f>
        <v>261.06</v>
      </c>
      <c r="F33" s="182">
        <f ca="1">OFFSET(PO!$P$12,ROW($E33)-ROW(F$12),0)</f>
        <v>261.06310999999999</v>
      </c>
      <c r="G33" s="182"/>
      <c r="H33" s="182"/>
      <c r="I33" s="182"/>
      <c r="J33" s="182"/>
      <c r="K33" s="182"/>
      <c r="L33" s="182"/>
      <c r="M33" s="182"/>
      <c r="N33" s="182"/>
      <c r="O33" s="182"/>
      <c r="U33" s="182"/>
    </row>
    <row r="34" spans="1:21" s="1" customFormat="1" x14ac:dyDescent="0.2">
      <c r="A34" s="109" t="str">
        <f ca="1">OFFSET(PO!J$12,ROW(A34)-ROW($A$12),0)</f>
        <v>Nível 2</v>
      </c>
      <c r="B34" s="111" t="str">
        <f ca="1">IF($A34=0,"",OFFSET(PO!K$12,ROW(B34)-ROW(B$12),0))</f>
        <v>1.4.</v>
      </c>
      <c r="C34" s="108" t="str">
        <f ca="1">IF(OFFSET(PO!N$12,ROW(C34)-ROW(C$12),0)=0,"",OFFSET(PO!N$12,ROW(C34)-ROW(C$12),0))</f>
        <v>PILARES</v>
      </c>
      <c r="D34" s="110" t="str">
        <f ca="1">IF(OFFSET(PO!O$12,ROW(D34)-ROW(D$12),0)=0,"",OFFSET(PO!O$12,ROW(D34)-ROW(D$12),0))</f>
        <v/>
      </c>
      <c r="E34" s="140">
        <f ca="1">IF($A34&lt;&gt;"Serviço",0,ROUND(SUMIF($F$9:$P$9,"&lt;&gt;",$F34:$P34),15-13*PO!$X$3))</f>
        <v>0</v>
      </c>
      <c r="F34" s="182">
        <f ca="1">OFFSET(PO!$P$12,ROW($E34)-ROW(F$12),0)</f>
        <v>0</v>
      </c>
      <c r="G34" s="182"/>
      <c r="H34" s="182"/>
      <c r="I34" s="182"/>
      <c r="J34" s="182"/>
      <c r="K34" s="182"/>
      <c r="L34" s="182"/>
      <c r="M34" s="182"/>
      <c r="N34" s="182"/>
      <c r="O34" s="182"/>
      <c r="U34" s="182"/>
    </row>
    <row r="35" spans="1:21" s="1" customFormat="1" x14ac:dyDescent="0.2">
      <c r="A35" s="109" t="str">
        <f ca="1">OFFSET(PO!J$12,ROW(A35)-ROW($A$12),0)</f>
        <v>Serviço</v>
      </c>
      <c r="B35" s="111" t="str">
        <f ca="1">IF($A35=0,"",OFFSET(PO!K$12,ROW(B35)-ROW(B$12),0))</f>
        <v>1.4.1.</v>
      </c>
      <c r="C35" s="108" t="str">
        <f ca="1">IF(OFFSET(PO!N$12,ROW(C35)-ROW(C$12),0)=0,"",OFFSET(PO!N$12,ROW(C35)-ROW(C$12),0))</f>
        <v>CONCRETAGEM DE PILARES, FCK = 25 MPA, COM USO DE BOMBA - LANÇAMENTO, ADENSAMENTO E ACABAMENTO. AF_02/2022_PS</v>
      </c>
      <c r="D35" s="110" t="str">
        <f ca="1">IF(OFFSET(PO!O$12,ROW(D35)-ROW(D$12),0)=0,"",OFFSET(PO!O$12,ROW(D35)-ROW(D$12),0))</f>
        <v>M3</v>
      </c>
      <c r="E35" s="140">
        <f ca="1">IF($A35&lt;&gt;"Serviço",0,ROUND(SUMIF($F$9:$P$9,"&lt;&gt;",$F35:$P35),15-13*PO!$X$3))</f>
        <v>9.83</v>
      </c>
      <c r="F35" s="182">
        <f ca="1">OFFSET(PO!$P$12,ROW($E35)-ROW(F$12),0)</f>
        <v>9.8279999999999994</v>
      </c>
      <c r="G35" s="182"/>
      <c r="H35" s="182"/>
      <c r="I35" s="182"/>
      <c r="J35" s="182"/>
      <c r="K35" s="182"/>
      <c r="L35" s="182"/>
      <c r="M35" s="182"/>
      <c r="N35" s="182"/>
      <c r="O35" s="182"/>
      <c r="U35" s="182"/>
    </row>
    <row r="36" spans="1:21" s="1" customFormat="1" x14ac:dyDescent="0.2">
      <c r="A36" s="109" t="str">
        <f ca="1">OFFSET(PO!J$12,ROW(A36)-ROW($A$12),0)</f>
        <v>Serviço</v>
      </c>
      <c r="B36" s="111" t="str">
        <f ca="1">IF($A36=0,"",OFFSET(PO!K$12,ROW(B36)-ROW(B$12),0))</f>
        <v>1.4.2.</v>
      </c>
      <c r="C36" s="108" t="str">
        <f ca="1">IF(OFFSET(PO!N$12,ROW(C36)-ROW(C$12),0)=0,"",OFFSET(PO!N$12,ROW(C36)-ROW(C$12),0))</f>
        <v>CORTE E DOBRA DE AÇO CA-50, DIÂMETRO DE 10,0 MM. AF_06/2022</v>
      </c>
      <c r="D36" s="110" t="str">
        <f ca="1">IF(OFFSET(PO!O$12,ROW(D36)-ROW(D$12),0)=0,"",OFFSET(PO!O$12,ROW(D36)-ROW(D$12),0))</f>
        <v>KG</v>
      </c>
      <c r="E36" s="140">
        <f ca="1">IF($A36&lt;&gt;"Serviço",0,ROUND(SUMIF($F$9:$P$9,"&lt;&gt;",$F36:$P36),15-13*PO!$X$3))</f>
        <v>654.14</v>
      </c>
      <c r="F36" s="182">
        <f ca="1">OFFSET(PO!$P$12,ROW($E36)-ROW(F$12),0)</f>
        <v>654.14340000000004</v>
      </c>
      <c r="G36" s="182"/>
      <c r="H36" s="182"/>
      <c r="I36" s="182"/>
      <c r="J36" s="182"/>
      <c r="K36" s="182"/>
      <c r="L36" s="182"/>
      <c r="M36" s="182"/>
      <c r="N36" s="182"/>
      <c r="O36" s="182"/>
      <c r="U36" s="182"/>
    </row>
    <row r="37" spans="1:21" s="1" customFormat="1" x14ac:dyDescent="0.2">
      <c r="A37" s="109" t="str">
        <f ca="1">OFFSET(PO!J$12,ROW(A37)-ROW($A$12),0)</f>
        <v>Serviço</v>
      </c>
      <c r="B37" s="111" t="str">
        <f ca="1">IF($A37=0,"",OFFSET(PO!K$12,ROW(B37)-ROW(B$12),0))</f>
        <v>1.4.3.</v>
      </c>
      <c r="C37" s="108" t="str">
        <f ca="1">IF(OFFSET(PO!N$12,ROW(C37)-ROW(C$12),0)=0,"",OFFSET(PO!N$12,ROW(C37)-ROW(C$12),0))</f>
        <v>CORTE E DOBRA DE AÇO CA-60, DIÂMETRO DE 5,0 MM. AF_06/2022</v>
      </c>
      <c r="D37" s="110" t="str">
        <f ca="1">IF(OFFSET(PO!O$12,ROW(D37)-ROW(D$12),0)=0,"",OFFSET(PO!O$12,ROW(D37)-ROW(D$12),0))</f>
        <v>KG</v>
      </c>
      <c r="E37" s="140">
        <f ca="1">IF($A37&lt;&gt;"Serviço",0,ROUND(SUMIF($F$9:$P$9,"&lt;&gt;",$F37:$P37),15-13*PO!$X$3))</f>
        <v>191.74</v>
      </c>
      <c r="F37" s="182">
        <f ca="1">OFFSET(PO!$P$12,ROW($E37)-ROW(F$12),0)</f>
        <v>191.74026666666663</v>
      </c>
      <c r="G37" s="182"/>
      <c r="H37" s="182"/>
      <c r="I37" s="182"/>
      <c r="J37" s="182"/>
      <c r="K37" s="182"/>
      <c r="L37" s="182"/>
      <c r="M37" s="182"/>
      <c r="N37" s="182"/>
      <c r="O37" s="182"/>
      <c r="U37" s="182"/>
    </row>
    <row r="38" spans="1:21" s="1" customFormat="1" x14ac:dyDescent="0.2">
      <c r="A38" s="109" t="str">
        <f ca="1">OFFSET(PO!J$12,ROW(A38)-ROW($A$12),0)</f>
        <v>Serviço</v>
      </c>
      <c r="B38" s="111" t="str">
        <f ca="1">IF($A38=0,"",OFFSET(PO!K$12,ROW(B38)-ROW(B$12),0))</f>
        <v>1.4.4.</v>
      </c>
      <c r="C38" s="108" t="str">
        <f ca="1">IF(OFFSET(PO!N$12,ROW(C38)-ROW(C$12),0)=0,"",OFFSET(PO!N$12,ROW(C38)-ROW(C$12),0))</f>
        <v>FABRICAÇÃO DE FÔRMA PARA PILARES E ESTRUTURAS SIMILARES, EM MADEIRA SERRADA, E=25 MM. AF_09/2020</v>
      </c>
      <c r="D38" s="110" t="str">
        <f ca="1">IF(OFFSET(PO!O$12,ROW(D38)-ROW(D$12),0)=0,"",OFFSET(PO!O$12,ROW(D38)-ROW(D$12),0))</f>
        <v>M2</v>
      </c>
      <c r="E38" s="140">
        <f ca="1">IF($A38&lt;&gt;"Serviço",0,ROUND(SUMIF($F$9:$P$9,"&lt;&gt;",$F38:$P38),15-13*PO!$X$3))</f>
        <v>42.56</v>
      </c>
      <c r="F38" s="182">
        <f ca="1">OFFSET(PO!$P$12,ROW($E38)-ROW(F$12),0)</f>
        <v>42.559999999999995</v>
      </c>
      <c r="G38" s="182"/>
      <c r="H38" s="182"/>
      <c r="I38" s="182"/>
      <c r="J38" s="182"/>
      <c r="K38" s="182"/>
      <c r="L38" s="182"/>
      <c r="M38" s="182"/>
      <c r="N38" s="182"/>
      <c r="O38" s="182"/>
      <c r="U38" s="182"/>
    </row>
    <row r="39" spans="1:21" s="1" customFormat="1" x14ac:dyDescent="0.2">
      <c r="A39" s="109" t="str">
        <f ca="1">OFFSET(PO!J$12,ROW(A39)-ROW($A$12),0)</f>
        <v>Nível 2</v>
      </c>
      <c r="B39" s="111" t="str">
        <f ca="1">IF($A39=0,"",OFFSET(PO!K$12,ROW(B39)-ROW(B$12),0))</f>
        <v>1.5.</v>
      </c>
      <c r="C39" s="108" t="str">
        <f ca="1">IF(OFFSET(PO!N$12,ROW(C39)-ROW(C$12),0)=0,"",OFFSET(PO!N$12,ROW(C39)-ROW(C$12),0))</f>
        <v>VIGAS FORRO</v>
      </c>
      <c r="D39" s="110" t="str">
        <f ca="1">IF(OFFSET(PO!O$12,ROW(D39)-ROW(D$12),0)=0,"",OFFSET(PO!O$12,ROW(D39)-ROW(D$12),0))</f>
        <v/>
      </c>
      <c r="E39" s="140">
        <f ca="1">IF($A39&lt;&gt;"Serviço",0,ROUND(SUMIF($F$9:$P$9,"&lt;&gt;",$F39:$P39),15-13*PO!$X$3))</f>
        <v>0</v>
      </c>
      <c r="F39" s="182">
        <f ca="1">OFFSET(PO!$P$12,ROW($E39)-ROW(F$12),0)</f>
        <v>0</v>
      </c>
      <c r="G39" s="182"/>
      <c r="H39" s="182"/>
      <c r="I39" s="182"/>
      <c r="J39" s="182"/>
      <c r="K39" s="182"/>
      <c r="L39" s="182"/>
      <c r="M39" s="182"/>
      <c r="N39" s="182"/>
      <c r="O39" s="182"/>
      <c r="U39" s="182"/>
    </row>
    <row r="40" spans="1:21" s="1" customFormat="1" x14ac:dyDescent="0.2">
      <c r="A40" s="109" t="str">
        <f ca="1">OFFSET(PO!J$12,ROW(A40)-ROW($A$12),0)</f>
        <v>Serviço</v>
      </c>
      <c r="B40" s="111" t="str">
        <f ca="1">IF($A40=0,"",OFFSET(PO!K$12,ROW(B40)-ROW(B$12),0))</f>
        <v>1.5.1.</v>
      </c>
      <c r="C40" s="108" t="str">
        <f ca="1">IF(OFFSET(PO!N$12,ROW(C40)-ROW(C$12),0)=0,"",OFFSET(PO!N$12,ROW(C40)-ROW(C$12),0))</f>
        <v>CONCRETAGEM DE BLOCO DE COROAMENTO OU VIGA BALDRAME, FCK 30 MPA, COM USO DE BOMBA - LANÇAMENTO, ADENSAMENTO E ACABAMENTO. AF_01/2024</v>
      </c>
      <c r="D40" s="110" t="str">
        <f ca="1">IF(OFFSET(PO!O$12,ROW(D40)-ROW(D$12),0)=0,"",OFFSET(PO!O$12,ROW(D40)-ROW(D$12),0))</f>
        <v>M3</v>
      </c>
      <c r="E40" s="140">
        <f ca="1">IF($A40&lt;&gt;"Serviço",0,ROUND(SUMIF($F$9:$P$9,"&lt;&gt;",$F40:$P40),15-13*PO!$X$3))</f>
        <v>11.41</v>
      </c>
      <c r="F40" s="182">
        <f ca="1">OFFSET(PO!$P$12,ROW($E40)-ROW(F$12),0)</f>
        <v>11.414099999999998</v>
      </c>
      <c r="G40" s="182"/>
      <c r="H40" s="182"/>
      <c r="I40" s="182"/>
      <c r="J40" s="182"/>
      <c r="K40" s="182"/>
      <c r="L40" s="182"/>
      <c r="M40" s="182"/>
      <c r="N40" s="182"/>
      <c r="O40" s="182"/>
      <c r="U40" s="182"/>
    </row>
    <row r="41" spans="1:21" s="1" customFormat="1" x14ac:dyDescent="0.2">
      <c r="A41" s="109" t="str">
        <f ca="1">OFFSET(PO!J$12,ROW(A41)-ROW($A$12),0)</f>
        <v>Serviço</v>
      </c>
      <c r="B41" s="111" t="str">
        <f ca="1">IF($A41=0,"",OFFSET(PO!K$12,ROW(B41)-ROW(B$12),0))</f>
        <v>1.5.2.</v>
      </c>
      <c r="C41" s="108" t="str">
        <f ca="1">IF(OFFSET(PO!N$12,ROW(C41)-ROW(C$12),0)=0,"",OFFSET(PO!N$12,ROW(C41)-ROW(C$12),0))</f>
        <v>FABRICAÇÃO DE FÔRMA PARA VIGAS, COM MADEIRA SERRADA, E = 25 MM. AF_09/2020</v>
      </c>
      <c r="D41" s="110" t="str">
        <f ca="1">IF(OFFSET(PO!O$12,ROW(D41)-ROW(D$12),0)=0,"",OFFSET(PO!O$12,ROW(D41)-ROW(D$12),0))</f>
        <v>M2</v>
      </c>
      <c r="E41" s="140">
        <f ca="1">IF($A41&lt;&gt;"Serviço",0,ROUND(SUMIF($F$9:$P$9,"&lt;&gt;",$F41:$P41),15-13*PO!$X$3))</f>
        <v>153.28</v>
      </c>
      <c r="F41" s="182">
        <f ca="1">OFFSET(PO!$P$12,ROW($E41)-ROW(F$12),0)</f>
        <v>153.28199999999998</v>
      </c>
      <c r="G41" s="182"/>
      <c r="H41" s="182"/>
      <c r="I41" s="182"/>
      <c r="J41" s="182"/>
      <c r="K41" s="182"/>
      <c r="L41" s="182"/>
      <c r="M41" s="182"/>
      <c r="N41" s="182"/>
      <c r="O41" s="182"/>
      <c r="U41" s="182"/>
    </row>
    <row r="42" spans="1:21" s="1" customFormat="1" x14ac:dyDescent="0.2">
      <c r="A42" s="109" t="str">
        <f ca="1">OFFSET(PO!J$12,ROW(A42)-ROW($A$12),0)</f>
        <v>Serviço</v>
      </c>
      <c r="B42" s="111" t="str">
        <f ca="1">IF($A42=0,"",OFFSET(PO!K$12,ROW(B42)-ROW(B$12),0))</f>
        <v>1.5.3.</v>
      </c>
      <c r="C42" s="108" t="str">
        <f ca="1">IF(OFFSET(PO!N$12,ROW(C42)-ROW(C$12),0)=0,"",OFFSET(PO!N$12,ROW(C42)-ROW(C$12),0))</f>
        <v>CORTE E DOBRA DE AÇO CA-50, DIÂMETRO DE 10,0 MM. AF_06/2022</v>
      </c>
      <c r="D42" s="110" t="str">
        <f ca="1">IF(OFFSET(PO!O$12,ROW(D42)-ROW(D$12),0)=0,"",OFFSET(PO!O$12,ROW(D42)-ROW(D$12),0))</f>
        <v>KG</v>
      </c>
      <c r="E42" s="140">
        <f ca="1">IF($A42&lt;&gt;"Serviço",0,ROUND(SUMIF($F$9:$P$9,"&lt;&gt;",$F42:$P42),15-13*PO!$X$3))</f>
        <v>630.5</v>
      </c>
      <c r="F42" s="182">
        <f ca="1">OFFSET(PO!$P$12,ROW($E42)-ROW(F$12),0)</f>
        <v>630.49995999999987</v>
      </c>
      <c r="G42" s="182"/>
      <c r="H42" s="182"/>
      <c r="I42" s="182"/>
      <c r="J42" s="182"/>
      <c r="K42" s="182"/>
      <c r="L42" s="182"/>
      <c r="M42" s="182"/>
      <c r="N42" s="182"/>
      <c r="O42" s="182"/>
      <c r="U42" s="182"/>
    </row>
    <row r="43" spans="1:21" s="1" customFormat="1" x14ac:dyDescent="0.2">
      <c r="A43" s="109" t="str">
        <f ca="1">OFFSET(PO!J$12,ROW(A43)-ROW($A$12),0)</f>
        <v>Serviço</v>
      </c>
      <c r="B43" s="111" t="str">
        <f ca="1">IF($A43=0,"",OFFSET(PO!K$12,ROW(B43)-ROW(B$12),0))</f>
        <v>1.5.4.</v>
      </c>
      <c r="C43" s="108" t="str">
        <f ca="1">IF(OFFSET(PO!N$12,ROW(C43)-ROW(C$12),0)=0,"",OFFSET(PO!N$12,ROW(C43)-ROW(C$12),0))</f>
        <v>CORTE E DOBRA DE AÇO CA-60, DIÂMETRO DE 5,0 MM. AF_06/2022</v>
      </c>
      <c r="D43" s="110" t="str">
        <f ca="1">IF(OFFSET(PO!O$12,ROW(D43)-ROW(D$12),0)=0,"",OFFSET(PO!O$12,ROW(D43)-ROW(D$12),0))</f>
        <v>KG</v>
      </c>
      <c r="E43" s="140">
        <f ca="1">IF($A43&lt;&gt;"Serviço",0,ROUND(SUMIF($F$9:$P$9,"&lt;&gt;",$F43:$P43),15-13*PO!$X$3))</f>
        <v>237.97</v>
      </c>
      <c r="F43" s="182">
        <f ca="1">OFFSET(PO!$P$12,ROW($E43)-ROW(F$12),0)</f>
        <v>237.97337666666661</v>
      </c>
      <c r="G43" s="182"/>
      <c r="H43" s="182"/>
      <c r="I43" s="182"/>
      <c r="J43" s="182"/>
      <c r="K43" s="182"/>
      <c r="L43" s="182"/>
      <c r="M43" s="182"/>
      <c r="N43" s="182"/>
      <c r="O43" s="182"/>
      <c r="U43" s="182"/>
    </row>
    <row r="44" spans="1:21" s="1" customFormat="1" x14ac:dyDescent="0.2">
      <c r="A44" s="109" t="str">
        <f ca="1">OFFSET(PO!J$12,ROW(A44)-ROW($A$12),0)</f>
        <v>Nível 2</v>
      </c>
      <c r="B44" s="111" t="str">
        <f ca="1">IF($A44=0,"",OFFSET(PO!K$12,ROW(B44)-ROW(B$12),0))</f>
        <v>1.6.</v>
      </c>
      <c r="C44" s="108" t="str">
        <f ca="1">IF(OFFSET(PO!N$12,ROW(C44)-ROW(C$12),0)=0,"",OFFSET(PO!N$12,ROW(C44)-ROW(C$12),0))</f>
        <v>VIGAS OITÃO FRONTAL</v>
      </c>
      <c r="D44" s="110" t="str">
        <f ca="1">IF(OFFSET(PO!O$12,ROW(D44)-ROW(D$12),0)=0,"",OFFSET(PO!O$12,ROW(D44)-ROW(D$12),0))</f>
        <v/>
      </c>
      <c r="E44" s="140">
        <f ca="1">IF($A44&lt;&gt;"Serviço",0,ROUND(SUMIF($F$9:$P$9,"&lt;&gt;",$F44:$P44),15-13*PO!$X$3))</f>
        <v>0</v>
      </c>
      <c r="F44" s="182">
        <f ca="1">OFFSET(PO!$P$12,ROW($E44)-ROW(F$12),0)</f>
        <v>0</v>
      </c>
      <c r="G44" s="182"/>
      <c r="H44" s="182"/>
      <c r="I44" s="182"/>
      <c r="J44" s="182"/>
      <c r="K44" s="182"/>
      <c r="L44" s="182"/>
      <c r="M44" s="182"/>
      <c r="N44" s="182"/>
      <c r="O44" s="182"/>
      <c r="U44" s="182"/>
    </row>
    <row r="45" spans="1:21" s="1" customFormat="1" x14ac:dyDescent="0.2">
      <c r="A45" s="109" t="str">
        <f ca="1">OFFSET(PO!J$12,ROW(A45)-ROW($A$12),0)</f>
        <v>Serviço</v>
      </c>
      <c r="B45" s="111" t="str">
        <f ca="1">IF($A45=0,"",OFFSET(PO!K$12,ROW(B45)-ROW(B$12),0))</f>
        <v>1.6.1.</v>
      </c>
      <c r="C45" s="108" t="str">
        <f ca="1">IF(OFFSET(PO!N$12,ROW(C45)-ROW(C$12),0)=0,"",OFFSET(PO!N$12,ROW(C45)-ROW(C$12),0))</f>
        <v>CONCRETAGEM DE BLOCO DE COROAMENTO OU VIGA BALDRAME, FCK 30 MPA, COM USO DE BOMBA - LANÇAMENTO, ADENSAMENTO E ACABAMENTO. AF_01/2024</v>
      </c>
      <c r="D45" s="110" t="str">
        <f ca="1">IF(OFFSET(PO!O$12,ROW(D45)-ROW(D$12),0)=0,"",OFFSET(PO!O$12,ROW(D45)-ROW(D$12),0))</f>
        <v>M3</v>
      </c>
      <c r="E45" s="140">
        <f ca="1">IF($A45&lt;&gt;"Serviço",0,ROUND(SUMIF($F$9:$P$9,"&lt;&gt;",$F45:$P45),15-13*PO!$X$3))</f>
        <v>1.1299999999999999</v>
      </c>
      <c r="F45" s="182">
        <f ca="1">OFFSET(PO!$P$12,ROW($E45)-ROW(F$12),0)</f>
        <v>1.1250000000000002</v>
      </c>
      <c r="G45" s="182"/>
      <c r="H45" s="182"/>
      <c r="I45" s="182"/>
      <c r="J45" s="182"/>
      <c r="K45" s="182"/>
      <c r="L45" s="182"/>
      <c r="M45" s="182"/>
      <c r="N45" s="182"/>
      <c r="O45" s="182"/>
      <c r="U45" s="182"/>
    </row>
    <row r="46" spans="1:21" s="1" customFormat="1" x14ac:dyDescent="0.2">
      <c r="A46" s="109" t="str">
        <f ca="1">OFFSET(PO!J$12,ROW(A46)-ROW($A$12),0)</f>
        <v>Serviço</v>
      </c>
      <c r="B46" s="111" t="str">
        <f ca="1">IF($A46=0,"",OFFSET(PO!K$12,ROW(B46)-ROW(B$12),0))</f>
        <v>1.6.2.</v>
      </c>
      <c r="C46" s="108" t="str">
        <f ca="1">IF(OFFSET(PO!N$12,ROW(C46)-ROW(C$12),0)=0,"",OFFSET(PO!N$12,ROW(C46)-ROW(C$12),0))</f>
        <v>FABRICAÇÃO DE FÔRMA PARA VIGAS, COM MADEIRA SERRADA, E = 25 MM. AF_09/2020</v>
      </c>
      <c r="D46" s="110" t="str">
        <f ca="1">IF(OFFSET(PO!O$12,ROW(D46)-ROW(D$12),0)=0,"",OFFSET(PO!O$12,ROW(D46)-ROW(D$12),0))</f>
        <v>M2</v>
      </c>
      <c r="E46" s="140">
        <f ca="1">IF($A46&lt;&gt;"Serviço",0,ROUND(SUMIF($F$9:$P$9,"&lt;&gt;",$F46:$P46),15-13*PO!$X$3))</f>
        <v>17.809999999999999</v>
      </c>
      <c r="F46" s="182">
        <f ca="1">OFFSET(PO!$P$12,ROW($E46)-ROW(F$12),0)</f>
        <v>17.812500000000004</v>
      </c>
      <c r="G46" s="182"/>
      <c r="H46" s="182"/>
      <c r="I46" s="182"/>
      <c r="J46" s="182"/>
      <c r="K46" s="182"/>
      <c r="L46" s="182"/>
      <c r="M46" s="182"/>
      <c r="N46" s="182"/>
      <c r="O46" s="182"/>
      <c r="U46" s="182"/>
    </row>
    <row r="47" spans="1:21" s="1" customFormat="1" x14ac:dyDescent="0.2">
      <c r="A47" s="109" t="str">
        <f ca="1">OFFSET(PO!J$12,ROW(A47)-ROW($A$12),0)</f>
        <v>Serviço</v>
      </c>
      <c r="B47" s="111" t="str">
        <f ca="1">IF($A47=0,"",OFFSET(PO!K$12,ROW(B47)-ROW(B$12),0))</f>
        <v>1.6.3.</v>
      </c>
      <c r="C47" s="108" t="str">
        <f ca="1">IF(OFFSET(PO!N$12,ROW(C47)-ROW(C$12),0)=0,"",OFFSET(PO!N$12,ROW(C47)-ROW(C$12),0))</f>
        <v>CORTE E DOBRA DE AÇO CA-50, DIÂMETRO DE 10,0 MM. AF_06/2022</v>
      </c>
      <c r="D47" s="110" t="str">
        <f ca="1">IF(OFFSET(PO!O$12,ROW(D47)-ROW(D$12),0)=0,"",OFFSET(PO!O$12,ROW(D47)-ROW(D$12),0))</f>
        <v>KG</v>
      </c>
      <c r="E47" s="140">
        <f ca="1">IF($A47&lt;&gt;"Serviço",0,ROUND(SUMIF($F$9:$P$9,"&lt;&gt;",$F47:$P47),15-13*PO!$X$3))</f>
        <v>80.98</v>
      </c>
      <c r="F47" s="182">
        <f ca="1">OFFSET(PO!$P$12,ROW($E47)-ROW(F$12),0)</f>
        <v>80.981250000000017</v>
      </c>
      <c r="G47" s="182"/>
      <c r="H47" s="182"/>
      <c r="I47" s="182"/>
      <c r="J47" s="182"/>
      <c r="K47" s="182"/>
      <c r="L47" s="182"/>
      <c r="M47" s="182"/>
      <c r="N47" s="182"/>
      <c r="O47" s="182"/>
      <c r="U47" s="182"/>
    </row>
    <row r="48" spans="1:21" s="1" customFormat="1" x14ac:dyDescent="0.2">
      <c r="A48" s="109" t="str">
        <f ca="1">OFFSET(PO!J$12,ROW(A48)-ROW($A$12),0)</f>
        <v>Serviço</v>
      </c>
      <c r="B48" s="111" t="str">
        <f ca="1">IF($A48=0,"",OFFSET(PO!K$12,ROW(B48)-ROW(B$12),0))</f>
        <v>1.6.4.</v>
      </c>
      <c r="C48" s="108" t="str">
        <f ca="1">IF(OFFSET(PO!N$12,ROW(C48)-ROW(C$12),0)=0,"",OFFSET(PO!N$12,ROW(C48)-ROW(C$12),0))</f>
        <v>CORTE E DOBRA DE AÇO CA-60, DIÂMETRO DE 5,0 MM. AF_06/2022</v>
      </c>
      <c r="D48" s="110" t="str">
        <f ca="1">IF(OFFSET(PO!O$12,ROW(D48)-ROW(D$12),0)=0,"",OFFSET(PO!O$12,ROW(D48)-ROW(D$12),0))</f>
        <v>KG</v>
      </c>
      <c r="E48" s="140">
        <f ca="1">IF($A48&lt;&gt;"Serviço",0,ROUND(SUMIF($F$9:$P$9,"&lt;&gt;",$F48:$P48),15-13*PO!$X$3))</f>
        <v>23.43</v>
      </c>
      <c r="F48" s="182">
        <f ca="1">OFFSET(PO!$P$12,ROW($E48)-ROW(F$12),0)</f>
        <v>23.428125000000005</v>
      </c>
      <c r="G48" s="182"/>
      <c r="H48" s="182"/>
      <c r="I48" s="182"/>
      <c r="J48" s="182"/>
      <c r="K48" s="182"/>
      <c r="L48" s="182"/>
      <c r="M48" s="182"/>
      <c r="N48" s="182"/>
      <c r="O48" s="182"/>
      <c r="U48" s="182"/>
    </row>
    <row r="49" spans="1:21" s="1" customFormat="1" x14ac:dyDescent="0.2">
      <c r="A49" s="109" t="str">
        <f ca="1">OFFSET(PO!J$12,ROW(A49)-ROW($A$12),0)</f>
        <v>Nível 2</v>
      </c>
      <c r="B49" s="111" t="str">
        <f ca="1">IF($A49=0,"",OFFSET(PO!K$12,ROW(B49)-ROW(B$12),0))</f>
        <v>1.7.</v>
      </c>
      <c r="C49" s="108" t="str">
        <f ca="1">IF(OFFSET(PO!N$12,ROW(C49)-ROW(C$12),0)=0,"",OFFSET(PO!N$12,ROW(C49)-ROW(C$12),0))</f>
        <v>VIGAS OITÃO LATERAL E FUNDOS</v>
      </c>
      <c r="D49" s="110" t="str">
        <f ca="1">IF(OFFSET(PO!O$12,ROW(D49)-ROW(D$12),0)=0,"",OFFSET(PO!O$12,ROW(D49)-ROW(D$12),0))</f>
        <v/>
      </c>
      <c r="E49" s="140">
        <f ca="1">IF($A49&lt;&gt;"Serviço",0,ROUND(SUMIF($F$9:$P$9,"&lt;&gt;",$F49:$P49),15-13*PO!$X$3))</f>
        <v>0</v>
      </c>
      <c r="F49" s="182">
        <f ca="1">OFFSET(PO!$P$12,ROW($E49)-ROW(F$12),0)</f>
        <v>0</v>
      </c>
      <c r="G49" s="182"/>
      <c r="H49" s="182"/>
      <c r="I49" s="182"/>
      <c r="J49" s="182"/>
      <c r="K49" s="182"/>
      <c r="L49" s="182"/>
      <c r="M49" s="182"/>
      <c r="N49" s="182"/>
      <c r="O49" s="182"/>
      <c r="U49" s="182"/>
    </row>
    <row r="50" spans="1:21" s="1" customFormat="1" x14ac:dyDescent="0.2">
      <c r="A50" s="109" t="str">
        <f ca="1">OFFSET(PO!J$12,ROW(A50)-ROW($A$12),0)</f>
        <v>Serviço</v>
      </c>
      <c r="B50" s="111" t="str">
        <f ca="1">IF($A50=0,"",OFFSET(PO!K$12,ROW(B50)-ROW(B$12),0))</f>
        <v>1.7.1.</v>
      </c>
      <c r="C50" s="108" t="str">
        <f ca="1">IF(OFFSET(PO!N$12,ROW(C50)-ROW(C$12),0)=0,"",OFFSET(PO!N$12,ROW(C50)-ROW(C$12),0))</f>
        <v>CONCRETAGEM DE BLOCO DE COROAMENTO OU VIGA BALDRAME, FCK 30 MPA, COM USO DE BOMBA - LANÇAMENTO, ADENSAMENTO E ACABAMENTO. AF_01/2024</v>
      </c>
      <c r="D50" s="110" t="str">
        <f ca="1">IF(OFFSET(PO!O$12,ROW(D50)-ROW(D$12),0)=0,"",OFFSET(PO!O$12,ROW(D50)-ROW(D$12),0))</f>
        <v>M3</v>
      </c>
      <c r="E50" s="140">
        <f ca="1">IF($A50&lt;&gt;"Serviço",0,ROUND(SUMIF($F$9:$P$9,"&lt;&gt;",$F50:$P50),15-13*PO!$X$3))</f>
        <v>1.42</v>
      </c>
      <c r="F50" s="182">
        <f ca="1">OFFSET(PO!$P$12,ROW($E50)-ROW(F$12),0)</f>
        <v>1.4220000000000002</v>
      </c>
      <c r="G50" s="182"/>
      <c r="H50" s="182"/>
      <c r="I50" s="182"/>
      <c r="J50" s="182"/>
      <c r="K50" s="182"/>
      <c r="L50" s="182"/>
      <c r="M50" s="182"/>
      <c r="N50" s="182"/>
      <c r="O50" s="182"/>
      <c r="U50" s="182"/>
    </row>
    <row r="51" spans="1:21" s="1" customFormat="1" x14ac:dyDescent="0.2">
      <c r="A51" s="109" t="str">
        <f ca="1">OFFSET(PO!J$12,ROW(A51)-ROW($A$12),0)</f>
        <v>Serviço</v>
      </c>
      <c r="B51" s="111" t="str">
        <f ca="1">IF($A51=0,"",OFFSET(PO!K$12,ROW(B51)-ROW(B$12),0))</f>
        <v>1.7.2.</v>
      </c>
      <c r="C51" s="108" t="str">
        <f ca="1">IF(OFFSET(PO!N$12,ROW(C51)-ROW(C$12),0)=0,"",OFFSET(PO!N$12,ROW(C51)-ROW(C$12),0))</f>
        <v>FABRICAÇÃO DE FÔRMA PARA VIGAS, COM MADEIRA SERRADA, E = 25 MM. AF_09/2020</v>
      </c>
      <c r="D51" s="110" t="str">
        <f ca="1">IF(OFFSET(PO!O$12,ROW(D51)-ROW(D$12),0)=0,"",OFFSET(PO!O$12,ROW(D51)-ROW(D$12),0))</f>
        <v>M2</v>
      </c>
      <c r="E51" s="140">
        <f ca="1">IF($A51&lt;&gt;"Serviço",0,ROUND(SUMIF($F$9:$P$9,"&lt;&gt;",$F51:$P51),15-13*PO!$X$3))</f>
        <v>22.52</v>
      </c>
      <c r="F51" s="182">
        <f ca="1">OFFSET(PO!$P$12,ROW($E51)-ROW(F$12),0)</f>
        <v>22.515000000000004</v>
      </c>
      <c r="G51" s="182"/>
      <c r="H51" s="182"/>
      <c r="I51" s="182"/>
      <c r="J51" s="182"/>
      <c r="K51" s="182"/>
      <c r="L51" s="182"/>
      <c r="M51" s="182"/>
      <c r="N51" s="182"/>
      <c r="O51" s="182"/>
      <c r="U51" s="182"/>
    </row>
    <row r="52" spans="1:21" s="1" customFormat="1" x14ac:dyDescent="0.2">
      <c r="A52" s="109" t="str">
        <f ca="1">OFFSET(PO!J$12,ROW(A52)-ROW($A$12),0)</f>
        <v>Serviço</v>
      </c>
      <c r="B52" s="111" t="str">
        <f ca="1">IF($A52=0,"",OFFSET(PO!K$12,ROW(B52)-ROW(B$12),0))</f>
        <v>1.7.3.</v>
      </c>
      <c r="C52" s="108" t="str">
        <f ca="1">IF(OFFSET(PO!N$12,ROW(C52)-ROW(C$12),0)=0,"",OFFSET(PO!N$12,ROW(C52)-ROW(C$12),0))</f>
        <v>CORTE E DOBRA DE AÇO CA-50, DIÂMETRO DE 10,0 MM. AF_06/2022</v>
      </c>
      <c r="D52" s="110" t="str">
        <f ca="1">IF(OFFSET(PO!O$12,ROW(D52)-ROW(D$12),0)=0,"",OFFSET(PO!O$12,ROW(D52)-ROW(D$12),0))</f>
        <v>KG</v>
      </c>
      <c r="E52" s="140">
        <f ca="1">IF($A52&lt;&gt;"Serviço",0,ROUND(SUMIF($F$9:$P$9,"&lt;&gt;",$F52:$P52),15-13*PO!$X$3))</f>
        <v>102.36</v>
      </c>
      <c r="F52" s="182">
        <f ca="1">OFFSET(PO!$P$12,ROW($E52)-ROW(F$12),0)</f>
        <v>102.36030000000002</v>
      </c>
      <c r="G52" s="182"/>
      <c r="H52" s="182"/>
      <c r="I52" s="182"/>
      <c r="J52" s="182"/>
      <c r="K52" s="182"/>
      <c r="L52" s="182"/>
      <c r="M52" s="182"/>
      <c r="N52" s="182"/>
      <c r="O52" s="182"/>
      <c r="U52" s="182"/>
    </row>
    <row r="53" spans="1:21" s="1" customFormat="1" x14ac:dyDescent="0.2">
      <c r="A53" s="109" t="str">
        <f ca="1">OFFSET(PO!J$12,ROW(A53)-ROW($A$12),0)</f>
        <v>Serviço</v>
      </c>
      <c r="B53" s="111" t="str">
        <f ca="1">IF($A53=0,"",OFFSET(PO!K$12,ROW(B53)-ROW(B$12),0))</f>
        <v>1.7.4.</v>
      </c>
      <c r="C53" s="108" t="str">
        <f ca="1">IF(OFFSET(PO!N$12,ROW(C53)-ROW(C$12),0)=0,"",OFFSET(PO!N$12,ROW(C53)-ROW(C$12),0))</f>
        <v>CORTE E DOBRA DE AÇO CA-60, DIÂMETRO DE 5,0 MM. AF_06/2022</v>
      </c>
      <c r="D53" s="110" t="str">
        <f ca="1">IF(OFFSET(PO!O$12,ROW(D53)-ROW(D$12),0)=0,"",OFFSET(PO!O$12,ROW(D53)-ROW(D$12),0))</f>
        <v>KG</v>
      </c>
      <c r="E53" s="140">
        <f ca="1">IF($A53&lt;&gt;"Serviço",0,ROUND(SUMIF($F$9:$P$9,"&lt;&gt;",$F53:$P53),15-13*PO!$X$3))</f>
        <v>29.61</v>
      </c>
      <c r="F53" s="182">
        <f ca="1">OFFSET(PO!$P$12,ROW($E53)-ROW(F$12),0)</f>
        <v>29.613150000000001</v>
      </c>
      <c r="G53" s="182"/>
      <c r="H53" s="182"/>
      <c r="I53" s="182"/>
      <c r="J53" s="182"/>
      <c r="K53" s="182"/>
      <c r="L53" s="182"/>
      <c r="M53" s="182"/>
      <c r="N53" s="182"/>
      <c r="O53" s="182"/>
      <c r="U53" s="182"/>
    </row>
    <row r="54" spans="1:21" s="1" customFormat="1" x14ac:dyDescent="0.2">
      <c r="A54" s="109" t="str">
        <f ca="1">OFFSET(PO!J$12,ROW(A54)-ROW($A$12),0)</f>
        <v>Nível 2</v>
      </c>
      <c r="B54" s="111" t="str">
        <f ca="1">IF($A54=0,"",OFFSET(PO!K$12,ROW(B54)-ROW(B$12),0))</f>
        <v>1.8.</v>
      </c>
      <c r="C54" s="108" t="str">
        <f ca="1">IF(OFFSET(PO!N$12,ROW(C54)-ROW(C$12),0)=0,"",OFFSET(PO!N$12,ROW(C54)-ROW(C$12),0))</f>
        <v>LAJE RESERVATÓRIO E FACHADA</v>
      </c>
      <c r="D54" s="110" t="str">
        <f ca="1">IF(OFFSET(PO!O$12,ROW(D54)-ROW(D$12),0)=0,"",OFFSET(PO!O$12,ROW(D54)-ROW(D$12),0))</f>
        <v/>
      </c>
      <c r="E54" s="140">
        <f ca="1">IF($A54&lt;&gt;"Serviço",0,ROUND(SUMIF($F$9:$P$9,"&lt;&gt;",$F54:$P54),15-13*PO!$X$3))</f>
        <v>0</v>
      </c>
      <c r="F54" s="182">
        <f ca="1">OFFSET(PO!$P$12,ROW($E54)-ROW(F$12),0)</f>
        <v>0</v>
      </c>
      <c r="G54" s="182"/>
      <c r="H54" s="182"/>
      <c r="I54" s="182"/>
      <c r="J54" s="182"/>
      <c r="K54" s="182"/>
      <c r="L54" s="182"/>
      <c r="M54" s="182"/>
      <c r="N54" s="182"/>
      <c r="O54" s="182"/>
      <c r="U54" s="182"/>
    </row>
    <row r="55" spans="1:21" s="1" customFormat="1" x14ac:dyDescent="0.2">
      <c r="A55" s="109" t="str">
        <f ca="1">OFFSET(PO!J$12,ROW(A55)-ROW($A$12),0)</f>
        <v>Serviço</v>
      </c>
      <c r="B55" s="111" t="str">
        <f ca="1">IF($A55=0,"",OFFSET(PO!K$12,ROW(B55)-ROW(B$12),0))</f>
        <v>1.8.1.</v>
      </c>
      <c r="C55" s="108" t="str">
        <f ca="1">IF(OFFSET(PO!N$12,ROW(C55)-ROW(C$12),0)=0,"",OFFSET(PO!N$12,ROW(C55)-ROW(C$12),0))</f>
        <v xml:space="preserve">LAJE PRE-MOLDADA TRELICADA (LAJOTAS + VIGOTAS) PARA PISO, UNIDIRECIONAL, SOBRECARGA DE 200 KG/M2, VAO ATE 6,00 M (SEM COLOCACAO)                                                                                                                                                                                                                                                                                                                                                                          </v>
      </c>
      <c r="D55" s="110" t="str">
        <f ca="1">IF(OFFSET(PO!O$12,ROW(D55)-ROW(D$12),0)=0,"",OFFSET(PO!O$12,ROW(D55)-ROW(D$12),0))</f>
        <v xml:space="preserve">M2    </v>
      </c>
      <c r="E55" s="140">
        <f ca="1">IF($A55&lt;&gt;"Serviço",0,ROUND(SUMIF($F$9:$P$9,"&lt;&gt;",$F55:$P55),15-13*PO!$X$3))</f>
        <v>19.54</v>
      </c>
      <c r="F55" s="182">
        <f ca="1">OFFSET(PO!$P$12,ROW($E55)-ROW(F$12),0)</f>
        <v>19.54</v>
      </c>
      <c r="G55" s="182"/>
      <c r="H55" s="182"/>
      <c r="I55" s="182"/>
      <c r="J55" s="182"/>
      <c r="K55" s="182"/>
      <c r="L55" s="182"/>
      <c r="M55" s="182"/>
      <c r="N55" s="182"/>
      <c r="O55" s="182"/>
      <c r="U55" s="182"/>
    </row>
    <row r="56" spans="1:21" s="1" customFormat="1" x14ac:dyDescent="0.2">
      <c r="A56" s="109" t="str">
        <f ca="1">OFFSET(PO!J$12,ROW(A56)-ROW($A$12),0)</f>
        <v>Serviço</v>
      </c>
      <c r="B56" s="111" t="str">
        <f ca="1">IF($A56=0,"",OFFSET(PO!K$12,ROW(B56)-ROW(B$12),0))</f>
        <v>1.8.2.</v>
      </c>
      <c r="C56" s="108" t="str">
        <f ca="1">IF(OFFSET(PO!N$12,ROW(C56)-ROW(C$12),0)=0,"",OFFSET(PO!N$12,ROW(C56)-ROW(C$12),0))</f>
        <v>CONCRETAGEM DE LAJES EM EDIFICAÇÕES UNIFAMILIARES FEITAS COM SISTEMA DE FÔRMAS MANUSEÁVEIS, COM CONCRETO USINADO BOMBEÁVEL FCK 25 MPA - LANÇAMENTO, ADENSAMENTO E ACABAMENTO. AF_09/2024</v>
      </c>
      <c r="D56" s="110" t="str">
        <f ca="1">IF(OFFSET(PO!O$12,ROW(D56)-ROW(D$12),0)=0,"",OFFSET(PO!O$12,ROW(D56)-ROW(D$12),0))</f>
        <v>M3</v>
      </c>
      <c r="E56" s="140">
        <f ca="1">IF($A56&lt;&gt;"Serviço",0,ROUND(SUMIF($F$9:$P$9,"&lt;&gt;",$F56:$P56),15-13*PO!$X$3))</f>
        <v>1.56</v>
      </c>
      <c r="F56" s="182">
        <f ca="1">OFFSET(PO!$P$12,ROW($E56)-ROW(F$12),0)</f>
        <v>1.5631999999999999</v>
      </c>
      <c r="G56" s="182"/>
      <c r="H56" s="182"/>
      <c r="I56" s="182"/>
      <c r="J56" s="182"/>
      <c r="K56" s="182"/>
      <c r="L56" s="182"/>
      <c r="M56" s="182"/>
      <c r="N56" s="182"/>
      <c r="O56" s="182"/>
      <c r="U56" s="182"/>
    </row>
    <row r="57" spans="1:21" s="1" customFormat="1" x14ac:dyDescent="0.2">
      <c r="A57" s="109" t="str">
        <f ca="1">OFFSET(PO!J$12,ROW(A57)-ROW($A$12),0)</f>
        <v>Serviço</v>
      </c>
      <c r="B57" s="111" t="str">
        <f ca="1">IF($A57=0,"",OFFSET(PO!K$12,ROW(B57)-ROW(B$12),0))</f>
        <v>1.8.3.</v>
      </c>
      <c r="C57" s="108" t="str">
        <f ca="1">IF(OFFSET(PO!N$12,ROW(C57)-ROW(C$12),0)=0,"",OFFSET(PO!N$12,ROW(C57)-ROW(C$12),0))</f>
        <v xml:space="preserve">TELA DE ACO SOLDADA GALVANIZADA/ZINCADA PARA ALVENARIA, FIO D = *1,24 MM, MALHA 25 X 25 MM                                                                                                                                                                                                                                                                                                                                                                                                                </v>
      </c>
      <c r="D57" s="110" t="str">
        <f ca="1">IF(OFFSET(PO!O$12,ROW(D57)-ROW(D$12),0)=0,"",OFFSET(PO!O$12,ROW(D57)-ROW(D$12),0))</f>
        <v xml:space="preserve">M2    </v>
      </c>
      <c r="E57" s="140">
        <f ca="1">IF($A57&lt;&gt;"Serviço",0,ROUND(SUMIF($F$9:$P$9,"&lt;&gt;",$F57:$P57),15-13*PO!$X$3))</f>
        <v>19.54</v>
      </c>
      <c r="F57" s="182">
        <f ca="1">OFFSET(PO!$P$12,ROW($E57)-ROW(F$12),0)</f>
        <v>19.54</v>
      </c>
      <c r="G57" s="182"/>
      <c r="H57" s="182"/>
      <c r="I57" s="182"/>
      <c r="J57" s="182"/>
      <c r="K57" s="182"/>
      <c r="L57" s="182"/>
      <c r="M57" s="182"/>
      <c r="N57" s="182"/>
      <c r="O57" s="182"/>
      <c r="U57" s="182"/>
    </row>
    <row r="58" spans="1:21" s="1" customFormat="1" x14ac:dyDescent="0.2">
      <c r="A58" s="109" t="str">
        <f ca="1">OFFSET(PO!J$12,ROW(A58)-ROW($A$12),0)</f>
        <v>Serviço</v>
      </c>
      <c r="B58" s="111" t="str">
        <f ca="1">IF($A58=0,"",OFFSET(PO!K$12,ROW(B58)-ROW(B$12),0))</f>
        <v>1.8.4.</v>
      </c>
      <c r="C58" s="108" t="str">
        <f ca="1">IF(OFFSET(PO!N$12,ROW(C58)-ROW(C$12),0)=0,"",OFFSET(PO!N$12,ROW(C58)-ROW(C$12),0))</f>
        <v>FABRICAÇÃO DE FÔRMA PARA LAJES, EM MADEIRA SERRADA, E=25 MM. AF_09/2020</v>
      </c>
      <c r="D58" s="110" t="str">
        <f ca="1">IF(OFFSET(PO!O$12,ROW(D58)-ROW(D$12),0)=0,"",OFFSET(PO!O$12,ROW(D58)-ROW(D$12),0))</f>
        <v>M2</v>
      </c>
      <c r="E58" s="140">
        <f ca="1">IF($A58&lt;&gt;"Serviço",0,ROUND(SUMIF($F$9:$P$9,"&lt;&gt;",$F58:$P58),15-13*PO!$X$3))</f>
        <v>19.54</v>
      </c>
      <c r="F58" s="182">
        <f ca="1">OFFSET(PO!$P$12,ROW($E58)-ROW(F$12),0)</f>
        <v>19.54</v>
      </c>
      <c r="G58" s="182"/>
      <c r="H58" s="182"/>
      <c r="I58" s="182"/>
      <c r="J58" s="182"/>
      <c r="K58" s="182"/>
      <c r="L58" s="182"/>
      <c r="M58" s="182"/>
      <c r="N58" s="182"/>
      <c r="O58" s="182"/>
      <c r="U58" s="182"/>
    </row>
    <row r="59" spans="1:21" s="1" customFormat="1" x14ac:dyDescent="0.2">
      <c r="A59" s="109" t="str">
        <f ca="1">OFFSET(PO!J$12,ROW(A59)-ROW($A$12),0)</f>
        <v>Nível 2</v>
      </c>
      <c r="B59" s="111" t="str">
        <f ca="1">IF($A59=0,"",OFFSET(PO!K$12,ROW(B59)-ROW(B$12),0))</f>
        <v>1.9.</v>
      </c>
      <c r="C59" s="108" t="str">
        <f ca="1">IF(OFFSET(PO!N$12,ROW(C59)-ROW(C$12),0)=0,"",OFFSET(PO!N$12,ROW(C59)-ROW(C$12),0))</f>
        <v>DEMOLIÇÕES E REMOÇÕES</v>
      </c>
      <c r="D59" s="110" t="str">
        <f ca="1">IF(OFFSET(PO!O$12,ROW(D59)-ROW(D$12),0)=0,"",OFFSET(PO!O$12,ROW(D59)-ROW(D$12),0))</f>
        <v/>
      </c>
      <c r="E59" s="140">
        <f ca="1">IF($A59&lt;&gt;"Serviço",0,ROUND(SUMIF($F$9:$P$9,"&lt;&gt;",$F59:$P59),15-13*PO!$X$3))</f>
        <v>0</v>
      </c>
      <c r="F59" s="182">
        <f ca="1">OFFSET(PO!$P$12,ROW($E59)-ROW(F$12),0)</f>
        <v>0</v>
      </c>
      <c r="G59" s="182"/>
      <c r="H59" s="182"/>
      <c r="I59" s="182"/>
      <c r="J59" s="182"/>
      <c r="K59" s="182"/>
      <c r="L59" s="182"/>
      <c r="M59" s="182"/>
      <c r="N59" s="182"/>
      <c r="O59" s="182"/>
      <c r="U59" s="182"/>
    </row>
    <row r="60" spans="1:21" s="1" customFormat="1" ht="38.25" x14ac:dyDescent="0.2">
      <c r="A60" s="109" t="str">
        <f ca="1">OFFSET(PO!J$12,ROW(A60)-ROW($A$12),0)</f>
        <v>Serviço</v>
      </c>
      <c r="B60" s="111" t="str">
        <f ca="1">IF($A60=0,"",OFFSET(PO!K$12,ROW(B60)-ROW(B$12),0))</f>
        <v>1.9.1.</v>
      </c>
      <c r="C60" s="108" t="str">
        <f ca="1">IF(OFFSET(PO!N$12,ROW(C60)-ROW(C$12),0)=0,"",OFFSET(PO!N$12,ROW(C60)-ROW(C$12),0))</f>
        <v>DEMOLIÇÃO DE PISO DE CONCRETO SIMPLES, DE FORMA MECANIZADA COM MARTELETE, SEM REAPROVEITAMENTO. AF_09/2023</v>
      </c>
      <c r="D60" s="110" t="str">
        <f ca="1">IF(OFFSET(PO!O$12,ROW(D60)-ROW(D$12),0)=0,"",OFFSET(PO!O$12,ROW(D60)-ROW(D$12),0))</f>
        <v>M3</v>
      </c>
      <c r="E60" s="140">
        <f ca="1">IF($A60&lt;&gt;"Serviço",0,ROUND(SUMIF($F$9:$P$9,"&lt;&gt;",$F60:$P60),15-13*PO!$X$3))</f>
        <v>10</v>
      </c>
      <c r="F60" s="182">
        <f ca="1">OFFSET(PO!$P$12,ROW($E60)-ROW(F$12),0)</f>
        <v>10</v>
      </c>
      <c r="G60" s="182"/>
      <c r="H60" s="182"/>
      <c r="I60" s="182"/>
      <c r="J60" s="182"/>
      <c r="K60" s="182"/>
      <c r="L60" s="182"/>
      <c r="M60" s="182"/>
      <c r="N60" s="182"/>
      <c r="O60" s="182"/>
      <c r="U60" s="182"/>
    </row>
    <row r="61" spans="1:21" s="1" customFormat="1" ht="25.5" x14ac:dyDescent="0.2">
      <c r="A61" s="109" t="str">
        <f ca="1">OFFSET(PO!J$12,ROW(A61)-ROW($A$12),0)</f>
        <v>Serviço</v>
      </c>
      <c r="B61" s="111" t="str">
        <f ca="1">IF($A61=0,"",OFFSET(PO!K$12,ROW(B61)-ROW(B$12),0))</f>
        <v>1.9.2.</v>
      </c>
      <c r="C61" s="108" t="str">
        <f ca="1">IF(OFFSET(PO!N$12,ROW(C61)-ROW(C$12),0)=0,"",OFFSET(PO!N$12,ROW(C61)-ROW(C$12),0))</f>
        <v>DEMOLIÇÃO DE REVESTIMENTO CERÂMICO, DE FORMA MANUAL, SEM REAPROVEITAMENTO. AF_09/2023</v>
      </c>
      <c r="D61" s="110" t="str">
        <f ca="1">IF(OFFSET(PO!O$12,ROW(D61)-ROW(D$12),0)=0,"",OFFSET(PO!O$12,ROW(D61)-ROW(D$12),0))</f>
        <v>M2</v>
      </c>
      <c r="E61" s="140">
        <f ca="1">IF($A61&lt;&gt;"Serviço",0,ROUND(SUMIF($F$9:$P$9,"&lt;&gt;",$F61:$P61),15-13*PO!$X$3))</f>
        <v>60</v>
      </c>
      <c r="F61" s="182">
        <f ca="1">OFFSET(PO!$P$12,ROW($E61)-ROW(F$12),0)</f>
        <v>60</v>
      </c>
      <c r="G61" s="182"/>
      <c r="H61" s="182"/>
      <c r="I61" s="182"/>
      <c r="J61" s="182"/>
      <c r="K61" s="182"/>
      <c r="L61" s="182"/>
      <c r="M61" s="182"/>
      <c r="N61" s="182"/>
      <c r="O61" s="182"/>
      <c r="U61" s="182"/>
    </row>
    <row r="62" spans="1:21" s="1" customFormat="1" ht="25.5" x14ac:dyDescent="0.2">
      <c r="A62" s="109" t="str">
        <f ca="1">OFFSET(PO!J$12,ROW(A62)-ROW($A$12),0)</f>
        <v>Serviço</v>
      </c>
      <c r="B62" s="111" t="str">
        <f ca="1">IF($A62=0,"",OFFSET(PO!K$12,ROW(B62)-ROW(B$12),0))</f>
        <v>1.9.3.</v>
      </c>
      <c r="C62" s="108" t="str">
        <f ca="1">IF(OFFSET(PO!N$12,ROW(C62)-ROW(C$12),0)=0,"",OFFSET(PO!N$12,ROW(C62)-ROW(C$12),0))</f>
        <v>DEMOLIÇÃO DE ALVENARIA DE BLOCO FURADO, DE FORMA MANUAL, SEM REAPROVEITAMENTO. AF_09/2023</v>
      </c>
      <c r="D62" s="110" t="str">
        <f ca="1">IF(OFFSET(PO!O$12,ROW(D62)-ROW(D$12),0)=0,"",OFFSET(PO!O$12,ROW(D62)-ROW(D$12),0))</f>
        <v>M3</v>
      </c>
      <c r="E62" s="140">
        <f ca="1">IF($A62&lt;&gt;"Serviço",0,ROUND(SUMIF($F$9:$P$9,"&lt;&gt;",$F62:$P62),15-13*PO!$X$3))</f>
        <v>40.340000000000003</v>
      </c>
      <c r="F62" s="182">
        <f ca="1">OFFSET(PO!$P$12,ROW($E62)-ROW(F$12),0)</f>
        <v>40.342500000000001</v>
      </c>
      <c r="G62" s="182"/>
      <c r="H62" s="182"/>
      <c r="I62" s="182"/>
      <c r="J62" s="182"/>
      <c r="K62" s="182"/>
      <c r="L62" s="182"/>
      <c r="M62" s="182"/>
      <c r="N62" s="182"/>
      <c r="O62" s="182"/>
      <c r="U62" s="182"/>
    </row>
    <row r="63" spans="1:21" s="1" customFormat="1" ht="38.25" x14ac:dyDescent="0.2">
      <c r="A63" s="109" t="str">
        <f ca="1">OFFSET(PO!J$12,ROW(A63)-ROW($A$12),0)</f>
        <v>Serviço</v>
      </c>
      <c r="B63" s="111" t="str">
        <f ca="1">IF($A63=0,"",OFFSET(PO!K$12,ROW(B63)-ROW(B$12),0))</f>
        <v>1.9.4.</v>
      </c>
      <c r="C63" s="108" t="str">
        <f ca="1">IF(OFFSET(PO!N$12,ROW(C63)-ROW(C$12),0)=0,"",OFFSET(PO!N$12,ROW(C63)-ROW(C$12),0))</f>
        <v>DEMOLIÇÃO DE PILARES E VIGAS EM CONCRETO ARMADO, DE FORMA MECANIZADA COM MARTELETE, SEM REAPROVEITAMENTO. AF_09/2023</v>
      </c>
      <c r="D63" s="110" t="str">
        <f ca="1">IF(OFFSET(PO!O$12,ROW(D63)-ROW(D$12),0)=0,"",OFFSET(PO!O$12,ROW(D63)-ROW(D$12),0))</f>
        <v>M3</v>
      </c>
      <c r="E63" s="140">
        <f ca="1">IF($A63&lt;&gt;"Serviço",0,ROUND(SUMIF($F$9:$P$9,"&lt;&gt;",$F63:$P63),15-13*PO!$X$3))</f>
        <v>10</v>
      </c>
      <c r="F63" s="182">
        <f ca="1">OFFSET(PO!$P$12,ROW($E63)-ROW(F$12),0)</f>
        <v>10</v>
      </c>
      <c r="G63" s="182"/>
      <c r="H63" s="182"/>
      <c r="I63" s="182"/>
      <c r="J63" s="182"/>
      <c r="K63" s="182"/>
      <c r="L63" s="182"/>
      <c r="M63" s="182"/>
      <c r="N63" s="182"/>
      <c r="O63" s="182"/>
      <c r="U63" s="182"/>
    </row>
    <row r="64" spans="1:21" s="1" customFormat="1" ht="38.25" x14ac:dyDescent="0.2">
      <c r="A64" s="109" t="str">
        <f ca="1">OFFSET(PO!J$12,ROW(A64)-ROW($A$12),0)</f>
        <v>Serviço</v>
      </c>
      <c r="B64" s="111" t="str">
        <f ca="1">IF($A64=0,"",OFFSET(PO!K$12,ROW(B64)-ROW(B$12),0))</f>
        <v>1.9.5.</v>
      </c>
      <c r="C64" s="108" t="str">
        <f ca="1">IF(OFFSET(PO!N$12,ROW(C64)-ROW(C$12),0)=0,"",OFFSET(PO!N$12,ROW(C64)-ROW(C$12),0))</f>
        <v>REMOÇÃO DE TELHAS DE FIBROCIMENTO METÁLICA E CERÂMICA, DE FORMA MANUAL, SEM REAPROVEITAMENTO. AF_09/2023</v>
      </c>
      <c r="D64" s="110" t="str">
        <f ca="1">IF(OFFSET(PO!O$12,ROW(D64)-ROW(D$12),0)=0,"",OFFSET(PO!O$12,ROW(D64)-ROW(D$12),0))</f>
        <v>M2</v>
      </c>
      <c r="E64" s="140">
        <f ca="1">IF($A64&lt;&gt;"Serviço",0,ROUND(SUMIF($F$9:$P$9,"&lt;&gt;",$F64:$P64),15-13*PO!$X$3))</f>
        <v>54</v>
      </c>
      <c r="F64" s="182">
        <f ca="1">OFFSET(PO!$P$12,ROW($E64)-ROW(F$12),0)</f>
        <v>54</v>
      </c>
      <c r="G64" s="182"/>
      <c r="H64" s="182"/>
      <c r="I64" s="182"/>
      <c r="J64" s="182"/>
      <c r="K64" s="182"/>
      <c r="L64" s="182"/>
      <c r="M64" s="182"/>
      <c r="N64" s="182"/>
      <c r="O64" s="182"/>
      <c r="U64" s="182"/>
    </row>
    <row r="65" spans="1:21" s="1" customFormat="1" ht="25.5" x14ac:dyDescent="0.2">
      <c r="A65" s="109" t="str">
        <f ca="1">OFFSET(PO!J$12,ROW(A65)-ROW($A$12),0)</f>
        <v>Serviço</v>
      </c>
      <c r="B65" s="111" t="str">
        <f ca="1">IF($A65=0,"",OFFSET(PO!K$12,ROW(B65)-ROW(B$12),0))</f>
        <v>1.9.6.</v>
      </c>
      <c r="C65" s="108" t="str">
        <f ca="1">IF(OFFSET(PO!N$12,ROW(C65)-ROW(C$12),0)=0,"",OFFSET(PO!N$12,ROW(C65)-ROW(C$12),0))</f>
        <v>REMOÇÃO DE TRAMA DE MADEIRA PARA COBERTURA, DE FORMA MANUAL, SEM REAPROVEITAMENTO. AF_09/2023</v>
      </c>
      <c r="D65" s="110" t="str">
        <f ca="1">IF(OFFSET(PO!O$12,ROW(D65)-ROW(D$12),0)=0,"",OFFSET(PO!O$12,ROW(D65)-ROW(D$12),0))</f>
        <v>M2</v>
      </c>
      <c r="E65" s="140">
        <f ca="1">IF($A65&lt;&gt;"Serviço",0,ROUND(SUMIF($F$9:$P$9,"&lt;&gt;",$F65:$P65),15-13*PO!$X$3))</f>
        <v>54</v>
      </c>
      <c r="F65" s="182">
        <f ca="1">OFFSET(PO!$P$12,ROW($E65)-ROW(F$12),0)</f>
        <v>54</v>
      </c>
      <c r="G65" s="182"/>
      <c r="H65" s="182"/>
      <c r="I65" s="182"/>
      <c r="J65" s="182"/>
      <c r="K65" s="182"/>
      <c r="L65" s="182"/>
      <c r="M65" s="182"/>
      <c r="N65" s="182"/>
      <c r="O65" s="182"/>
      <c r="U65" s="182"/>
    </row>
    <row r="66" spans="1:21" s="1" customFormat="1" ht="25.5" x14ac:dyDescent="0.2">
      <c r="A66" s="109" t="str">
        <f ca="1">OFFSET(PO!J$12,ROW(A66)-ROW($A$12),0)</f>
        <v>Serviço</v>
      </c>
      <c r="B66" s="111" t="str">
        <f ca="1">IF($A66=0,"",OFFSET(PO!K$12,ROW(B66)-ROW(B$12),0))</f>
        <v>1.9.7.</v>
      </c>
      <c r="C66" s="108" t="str">
        <f ca="1">IF(OFFSET(PO!N$12,ROW(C66)-ROW(C$12),0)=0,"",OFFSET(PO!N$12,ROW(C66)-ROW(C$12),0))</f>
        <v>REMOÇÃO DE JANELAS, DE FORMA MANUAL, SEM REAPROVEITAMENTO. AF_09/2023</v>
      </c>
      <c r="D66" s="110" t="str">
        <f ca="1">IF(OFFSET(PO!O$12,ROW(D66)-ROW(D$12),0)=0,"",OFFSET(PO!O$12,ROW(D66)-ROW(D$12),0))</f>
        <v>M2</v>
      </c>
      <c r="E66" s="140">
        <f ca="1">IF($A66&lt;&gt;"Serviço",0,ROUND(SUMIF($F$9:$P$9,"&lt;&gt;",$F66:$P66),15-13*PO!$X$3))</f>
        <v>11.71</v>
      </c>
      <c r="F66" s="182">
        <f ca="1">OFFSET(PO!$P$12,ROW($E66)-ROW(F$12),0)</f>
        <v>11.705</v>
      </c>
      <c r="G66" s="182"/>
      <c r="H66" s="182"/>
      <c r="I66" s="182"/>
      <c r="J66" s="182"/>
      <c r="K66" s="182"/>
      <c r="L66" s="182"/>
      <c r="M66" s="182"/>
      <c r="N66" s="182"/>
      <c r="O66" s="182"/>
      <c r="U66" s="182"/>
    </row>
    <row r="67" spans="1:21" s="1" customFormat="1" ht="25.5" x14ac:dyDescent="0.2">
      <c r="A67" s="109" t="str">
        <f ca="1">OFFSET(PO!J$12,ROW(A67)-ROW($A$12),0)</f>
        <v>Serviço</v>
      </c>
      <c r="B67" s="111" t="str">
        <f ca="1">IF($A67=0,"",OFFSET(PO!K$12,ROW(B67)-ROW(B$12),0))</f>
        <v>1.9.8.</v>
      </c>
      <c r="C67" s="108" t="str">
        <f ca="1">IF(OFFSET(PO!N$12,ROW(C67)-ROW(C$12),0)=0,"",OFFSET(PO!N$12,ROW(C67)-ROW(C$12),0))</f>
        <v>REMOÇÃO DE FORROS DE DRYWALL, PVC E FIBROMINERAL, DE FORMA MANUAL, SEM REAPROVEITAMENTO. AF_09/2023</v>
      </c>
      <c r="D67" s="110" t="str">
        <f ca="1">IF(OFFSET(PO!O$12,ROW(D67)-ROW(D$12),0)=0,"",OFFSET(PO!O$12,ROW(D67)-ROW(D$12),0))</f>
        <v>M2</v>
      </c>
      <c r="E67" s="140">
        <f ca="1">IF($A67&lt;&gt;"Serviço",0,ROUND(SUMIF($F$9:$P$9,"&lt;&gt;",$F67:$P67),15-13*PO!$X$3))</f>
        <v>155.41</v>
      </c>
      <c r="F67" s="182">
        <f ca="1">OFFSET(PO!$P$12,ROW($E67)-ROW(F$12),0)</f>
        <v>155.41</v>
      </c>
      <c r="G67" s="182"/>
      <c r="H67" s="182"/>
      <c r="I67" s="182"/>
      <c r="J67" s="182"/>
      <c r="K67" s="182"/>
      <c r="L67" s="182"/>
      <c r="M67" s="182"/>
      <c r="N67" s="182"/>
      <c r="O67" s="182"/>
      <c r="U67" s="182"/>
    </row>
    <row r="68" spans="1:21" s="1" customFormat="1" ht="25.5" x14ac:dyDescent="0.2">
      <c r="A68" s="109" t="str">
        <f ca="1">OFFSET(PO!J$12,ROW(A68)-ROW($A$12),0)</f>
        <v>Serviço</v>
      </c>
      <c r="B68" s="111" t="str">
        <f ca="1">IF($A68=0,"",OFFSET(PO!K$12,ROW(B68)-ROW(B$12),0))</f>
        <v>1.9.9.</v>
      </c>
      <c r="C68" s="108" t="str">
        <f ca="1">IF(OFFSET(PO!N$12,ROW(C68)-ROW(C$12),0)=0,"",OFFSET(PO!N$12,ROW(C68)-ROW(C$12),0))</f>
        <v>REMOÇÃO CALHAS E RUFOS, DE FORMA MANUAL, SEM REAPROVEITAMENTO. AF_09/2023</v>
      </c>
      <c r="D68" s="110" t="str">
        <f ca="1">IF(OFFSET(PO!O$12,ROW(D68)-ROW(D$12),0)=0,"",OFFSET(PO!O$12,ROW(D68)-ROW(D$12),0))</f>
        <v>M</v>
      </c>
      <c r="E68" s="140">
        <f ca="1">IF($A68&lt;&gt;"Serviço",0,ROUND(SUMIF($F$9:$P$9,"&lt;&gt;",$F68:$P68),15-13*PO!$X$3))</f>
        <v>30</v>
      </c>
      <c r="F68" s="182">
        <f ca="1">OFFSET(PO!$P$12,ROW($E68)-ROW(F$12),0)</f>
        <v>30</v>
      </c>
      <c r="G68" s="182"/>
      <c r="H68" s="182"/>
      <c r="I68" s="182"/>
      <c r="J68" s="182"/>
      <c r="K68" s="182"/>
      <c r="L68" s="182"/>
      <c r="M68" s="182"/>
      <c r="N68" s="182"/>
      <c r="O68" s="182"/>
      <c r="U68" s="182"/>
    </row>
    <row r="69" spans="1:21" s="1" customFormat="1" ht="38.25" x14ac:dyDescent="0.2">
      <c r="A69" s="109" t="str">
        <f ca="1">OFFSET(PO!J$12,ROW(A69)-ROW($A$12),0)</f>
        <v>Serviço</v>
      </c>
      <c r="B69" s="111" t="str">
        <f ca="1">IF($A69=0,"",OFFSET(PO!K$12,ROW(B69)-ROW(B$12),0))</f>
        <v>1.9.10.</v>
      </c>
      <c r="C69" s="108" t="str">
        <f ca="1">IF(OFFSET(PO!N$12,ROW(C69)-ROW(C$12),0)=0,"",OFFSET(PO!N$12,ROW(C69)-ROW(C$12),0))</f>
        <v>REMOÇÃO DE CABOS ELÉTRICOS, COM SEÇÃO MAIOR QUE 2,5 MM² E MENOR QUE 10 MM², DE FORMA MANUAL, SEM REAPROVEITAMENTO. AF_09/2023</v>
      </c>
      <c r="D69" s="110" t="str">
        <f ca="1">IF(OFFSET(PO!O$12,ROW(D69)-ROW(D$12),0)=0,"",OFFSET(PO!O$12,ROW(D69)-ROW(D$12),0))</f>
        <v>M</v>
      </c>
      <c r="E69" s="140">
        <f ca="1">IF($A69&lt;&gt;"Serviço",0,ROUND(SUMIF($F$9:$P$9,"&lt;&gt;",$F69:$P69),15-13*PO!$X$3))</f>
        <v>200</v>
      </c>
      <c r="F69" s="182">
        <f ca="1">OFFSET(PO!$P$12,ROW($E69)-ROW(F$12),0)</f>
        <v>200</v>
      </c>
      <c r="G69" s="182"/>
      <c r="H69" s="182"/>
      <c r="I69" s="182"/>
      <c r="J69" s="182"/>
      <c r="K69" s="182"/>
      <c r="L69" s="182"/>
      <c r="M69" s="182"/>
      <c r="N69" s="182"/>
      <c r="O69" s="182"/>
      <c r="U69" s="182"/>
    </row>
    <row r="70" spans="1:21" s="1" customFormat="1" ht="25.5" x14ac:dyDescent="0.2">
      <c r="A70" s="109" t="str">
        <f ca="1">OFFSET(PO!J$12,ROW(A70)-ROW($A$12),0)</f>
        <v>Serviço</v>
      </c>
      <c r="B70" s="111" t="str">
        <f ca="1">IF($A70=0,"",OFFSET(PO!K$12,ROW(B70)-ROW(B$12),0))</f>
        <v>1.9.11.</v>
      </c>
      <c r="C70" s="108" t="str">
        <f ca="1">IF(OFFSET(PO!N$12,ROW(C70)-ROW(C$12),0)=0,"",OFFSET(PO!N$12,ROW(C70)-ROW(C$12),0))</f>
        <v>REMOÇÃO DE PORTAS, DE FORMA MANUAL, SEM REAPROVEITAMENTO. AF_09/2023</v>
      </c>
      <c r="D70" s="110" t="str">
        <f ca="1">IF(OFFSET(PO!O$12,ROW(D70)-ROW(D$12),0)=0,"",OFFSET(PO!O$12,ROW(D70)-ROW(D$12),0))</f>
        <v>M2</v>
      </c>
      <c r="E70" s="140">
        <f ca="1">IF($A70&lt;&gt;"Serviço",0,ROUND(SUMIF($F$9:$P$9,"&lt;&gt;",$F70:$P70),15-13*PO!$X$3))</f>
        <v>17.010000000000002</v>
      </c>
      <c r="F70" s="182">
        <f ca="1">OFFSET(PO!$P$12,ROW($E70)-ROW(F$12),0)</f>
        <v>17.010000000000002</v>
      </c>
      <c r="G70" s="182"/>
      <c r="H70" s="182"/>
      <c r="I70" s="182"/>
      <c r="J70" s="182"/>
      <c r="K70" s="182"/>
      <c r="L70" s="182"/>
      <c r="M70" s="182"/>
      <c r="N70" s="182"/>
      <c r="O70" s="182"/>
      <c r="U70" s="182"/>
    </row>
    <row r="71" spans="1:21" s="1" customFormat="1" ht="25.5" x14ac:dyDescent="0.2">
      <c r="A71" s="109" t="str">
        <f ca="1">OFFSET(PO!J$12,ROW(A71)-ROW($A$12),0)</f>
        <v>Serviço</v>
      </c>
      <c r="B71" s="111" t="str">
        <f ca="1">IF($A71=0,"",OFFSET(PO!K$12,ROW(B71)-ROW(B$12),0))</f>
        <v>1.9.12.</v>
      </c>
      <c r="C71" s="108" t="str">
        <f ca="1">IF(OFFSET(PO!N$12,ROW(C71)-ROW(C$12),0)=0,"",OFFSET(PO!N$12,ROW(C71)-ROW(C$12),0))</f>
        <v>REMOÇÃO DE LUMINÁRIAS, DE FORMA MANUAL, SEM REAPROVEITAMENTO. AF_09/2023</v>
      </c>
      <c r="D71" s="110" t="str">
        <f ca="1">IF(OFFSET(PO!O$12,ROW(D71)-ROW(D$12),0)=0,"",OFFSET(PO!O$12,ROW(D71)-ROW(D$12),0))</f>
        <v>UN</v>
      </c>
      <c r="E71" s="140">
        <f ca="1">IF($A71&lt;&gt;"Serviço",0,ROUND(SUMIF($F$9:$P$9,"&lt;&gt;",$F71:$P71),15-13*PO!$X$3))</f>
        <v>40</v>
      </c>
      <c r="F71" s="182">
        <f ca="1">OFFSET(PO!$P$12,ROW($E71)-ROW(F$12),0)</f>
        <v>40</v>
      </c>
      <c r="G71" s="182"/>
      <c r="H71" s="182"/>
      <c r="I71" s="182"/>
      <c r="J71" s="182"/>
      <c r="K71" s="182"/>
      <c r="L71" s="182"/>
      <c r="M71" s="182"/>
      <c r="N71" s="182"/>
      <c r="O71" s="182"/>
      <c r="U71" s="182"/>
    </row>
    <row r="72" spans="1:21" s="1" customFormat="1" x14ac:dyDescent="0.2">
      <c r="A72" s="109" t="str">
        <f ca="1">OFFSET(PO!J$12,ROW(A72)-ROW($A$12),0)</f>
        <v>Serviço</v>
      </c>
      <c r="B72" s="111" t="str">
        <f ca="1">IF($A72=0,"",OFFSET(PO!K$12,ROW(B72)-ROW(B$12),0))</f>
        <v>1.9.13.</v>
      </c>
      <c r="C72" s="108" t="str">
        <f ca="1">IF(OFFSET(PO!N$12,ROW(C72)-ROW(C$12),0)=0,"",OFFSET(PO!N$12,ROW(C72)-ROW(C$12),0))</f>
        <v>RETIRADA, LIMPEZA E INSTALAÇÃO DE CLIMATIZADOR</v>
      </c>
      <c r="D72" s="110" t="str">
        <f ca="1">IF(OFFSET(PO!O$12,ROW(D72)-ROW(D$12),0)=0,"",OFFSET(PO!O$12,ROW(D72)-ROW(D$12),0))</f>
        <v>UND</v>
      </c>
      <c r="E72" s="140">
        <f ca="1">IF($A72&lt;&gt;"Serviço",0,ROUND(SUMIF($F$9:$P$9,"&lt;&gt;",$F72:$P72),15-13*PO!$X$3))</f>
        <v>9</v>
      </c>
      <c r="F72" s="182">
        <f ca="1">OFFSET(PO!$P$12,ROW($E72)-ROW(F$12),0)</f>
        <v>9</v>
      </c>
      <c r="G72" s="182"/>
      <c r="H72" s="182"/>
      <c r="I72" s="182"/>
      <c r="J72" s="182"/>
      <c r="K72" s="182"/>
      <c r="L72" s="182"/>
      <c r="M72" s="182"/>
      <c r="N72" s="182"/>
      <c r="O72" s="182"/>
      <c r="U72" s="182"/>
    </row>
    <row r="73" spans="1:21" s="1" customFormat="1" ht="51" x14ac:dyDescent="0.2">
      <c r="A73" s="109" t="str">
        <f ca="1">OFFSET(PO!J$12,ROW(A73)-ROW($A$12),0)</f>
        <v>Serviço</v>
      </c>
      <c r="B73" s="111" t="str">
        <f ca="1">IF($A73=0,"",OFFSET(PO!K$12,ROW(B73)-ROW(B$12),0))</f>
        <v>1.9.14.</v>
      </c>
      <c r="C73" s="108" t="str">
        <f ca="1">IF(OFFSET(PO!N$12,ROW(C73)-ROW(C$12),0)=0,"",OFFSET(PO!N$12,ROW(C73)-ROW(C$12),0))</f>
        <v>CARGA, MANOBRA E DESCARGA DE ENTULHO EM CAMINHÃO BASCULANTE 14 M³ - CARGA COM ESCAVADEIRA HIDRÁULICA  (CAÇAMBA DE 0,80 M³ / 111 HP) E DESCARGA LIVRE (UNIDADE: M3). AF_07/2020</v>
      </c>
      <c r="D73" s="110" t="str">
        <f ca="1">IF(OFFSET(PO!O$12,ROW(D73)-ROW(D$12),0)=0,"",OFFSET(PO!O$12,ROW(D73)-ROW(D$12),0))</f>
        <v>M3</v>
      </c>
      <c r="E73" s="140">
        <f ca="1">IF($A73&lt;&gt;"Serviço",0,ROUND(SUMIF($F$9:$P$9,"&lt;&gt;",$F73:$P73),15-13*PO!$X$3))</f>
        <v>200</v>
      </c>
      <c r="F73" s="182">
        <f ca="1">OFFSET(PO!$P$12,ROW($E73)-ROW(F$12),0)</f>
        <v>200</v>
      </c>
      <c r="G73" s="182"/>
      <c r="H73" s="182"/>
      <c r="I73" s="182"/>
      <c r="J73" s="182"/>
      <c r="K73" s="182"/>
      <c r="L73" s="182"/>
      <c r="M73" s="182"/>
      <c r="N73" s="182"/>
      <c r="O73" s="182"/>
      <c r="U73" s="182"/>
    </row>
    <row r="74" spans="1:21" s="1" customFormat="1" ht="38.25" x14ac:dyDescent="0.2">
      <c r="A74" s="109" t="str">
        <f ca="1">OFFSET(PO!J$12,ROW(A74)-ROW($A$12),0)</f>
        <v>Serviço</v>
      </c>
      <c r="B74" s="111" t="str">
        <f ca="1">IF($A74=0,"",OFFSET(PO!K$12,ROW(B74)-ROW(B$12),0))</f>
        <v>1.9.15.</v>
      </c>
      <c r="C74" s="108" t="str">
        <f ca="1">IF(OFFSET(PO!N$12,ROW(C74)-ROW(C$12),0)=0,"",OFFSET(PO!N$12,ROW(C74)-ROW(C$12),0))</f>
        <v xml:space="preserve">TAPUME DE MADEIRA COM CHAPA RESINADA PARAFUSADO NA PAREDE PARA PROTEÇÃO JANELAS E ISOLAMENTO DE COMODO COM MOVEIS DURANTE A OBRA </v>
      </c>
      <c r="D74" s="110" t="str">
        <f ca="1">IF(OFFSET(PO!O$12,ROW(D74)-ROW(D$12),0)=0,"",OFFSET(PO!O$12,ROW(D74)-ROW(D$12),0))</f>
        <v xml:space="preserve">M2    </v>
      </c>
      <c r="E74" s="140">
        <f ca="1">IF($A74&lt;&gt;"Serviço",0,ROUND(SUMIF($F$9:$P$9,"&lt;&gt;",$F74:$P74),15-13*PO!$X$3))</f>
        <v>10.75</v>
      </c>
      <c r="F74" s="182">
        <f ca="1">OFFSET(PO!$P$12,ROW($E74)-ROW(F$12),0)</f>
        <v>10.75</v>
      </c>
      <c r="G74" s="182"/>
      <c r="H74" s="182"/>
      <c r="I74" s="182"/>
      <c r="J74" s="182"/>
      <c r="K74" s="182"/>
      <c r="L74" s="182"/>
      <c r="M74" s="182"/>
      <c r="N74" s="182"/>
      <c r="O74" s="182"/>
      <c r="U74" s="182"/>
    </row>
    <row r="75" spans="1:21" s="1" customFormat="1" x14ac:dyDescent="0.2">
      <c r="A75" s="109" t="str">
        <f ca="1">OFFSET(PO!J$12,ROW(A75)-ROW($A$12),0)</f>
        <v>Nível 2</v>
      </c>
      <c r="B75" s="111" t="str">
        <f ca="1">IF($A75=0,"",OFFSET(PO!K$12,ROW(B75)-ROW(B$12),0))</f>
        <v>1.10.</v>
      </c>
      <c r="C75" s="108" t="str">
        <f ca="1">IF(OFFSET(PO!N$12,ROW(C75)-ROW(C$12),0)=0,"",OFFSET(PO!N$12,ROW(C75)-ROW(C$12),0))</f>
        <v>ALVENARIAS</v>
      </c>
      <c r="D75" s="110" t="str">
        <f ca="1">IF(OFFSET(PO!O$12,ROW(D75)-ROW(D$12),0)=0,"",OFFSET(PO!O$12,ROW(D75)-ROW(D$12),0))</f>
        <v/>
      </c>
      <c r="E75" s="140">
        <f ca="1">IF($A75&lt;&gt;"Serviço",0,ROUND(SUMIF($F$9:$P$9,"&lt;&gt;",$F75:$P75),15-13*PO!$X$3))</f>
        <v>0</v>
      </c>
      <c r="F75" s="182">
        <f ca="1">OFFSET(PO!$P$12,ROW($E75)-ROW(F$12),0)</f>
        <v>0</v>
      </c>
      <c r="G75" s="182"/>
      <c r="H75" s="182"/>
      <c r="I75" s="182"/>
      <c r="J75" s="182"/>
      <c r="K75" s="182"/>
      <c r="L75" s="182"/>
      <c r="M75" s="182"/>
      <c r="N75" s="182"/>
      <c r="O75" s="182"/>
      <c r="U75" s="182"/>
    </row>
    <row r="76" spans="1:21" s="1" customFormat="1" ht="38.25" x14ac:dyDescent="0.2">
      <c r="A76" s="109" t="str">
        <f ca="1">OFFSET(PO!J$12,ROW(A76)-ROW($A$12),0)</f>
        <v>Serviço</v>
      </c>
      <c r="B76" s="111" t="str">
        <f ca="1">IF($A76=0,"",OFFSET(PO!K$12,ROW(B76)-ROW(B$12),0))</f>
        <v>1.10.1.</v>
      </c>
      <c r="C76" s="108" t="str">
        <f ca="1">IF(OFFSET(PO!N$12,ROW(C76)-ROW(C$12),0)=0,"",OFFSET(PO!N$12,ROW(C76)-ROW(C$12),0))</f>
        <v>ALVENARIA DE VEDAÇÃO DE BLOCOS CERÂMICOS MACIÇOS DE 5X10X20CM (ESPESSURA 10CM) E ARGAMASSA DE ASSENTAMENTO COM PREPARO EM BETONEIRA. AF_05/2020</v>
      </c>
      <c r="D76" s="110" t="str">
        <f ca="1">IF(OFFSET(PO!O$12,ROW(D76)-ROW(D$12),0)=0,"",OFFSET(PO!O$12,ROW(D76)-ROW(D$12),0))</f>
        <v>M2</v>
      </c>
      <c r="E76" s="140">
        <f ca="1">IF($A76&lt;&gt;"Serviço",0,ROUND(SUMIF($F$9:$P$9,"&lt;&gt;",$F76:$P76),15-13*PO!$X$3))</f>
        <v>43.4</v>
      </c>
      <c r="F76" s="182">
        <f ca="1">OFFSET(PO!$P$12,ROW($E76)-ROW(F$12),0)</f>
        <v>43.4</v>
      </c>
      <c r="G76" s="182"/>
      <c r="H76" s="182"/>
      <c r="I76" s="182"/>
      <c r="J76" s="182"/>
      <c r="K76" s="182"/>
      <c r="L76" s="182"/>
      <c r="M76" s="182"/>
      <c r="N76" s="182"/>
      <c r="O76" s="182"/>
      <c r="U76" s="182"/>
    </row>
    <row r="77" spans="1:21" s="1" customFormat="1" ht="38.25" x14ac:dyDescent="0.2">
      <c r="A77" s="109" t="str">
        <f ca="1">OFFSET(PO!J$12,ROW(A77)-ROW($A$12),0)</f>
        <v>Serviço</v>
      </c>
      <c r="B77" s="111" t="str">
        <f ca="1">IF($A77=0,"",OFFSET(PO!K$12,ROW(B77)-ROW(B$12),0))</f>
        <v>1.10.2.</v>
      </c>
      <c r="C77" s="108" t="str">
        <f ca="1">IF(OFFSET(PO!N$12,ROW(C77)-ROW(C$12),0)=0,"",OFFSET(PO!N$12,ROW(C77)-ROW(C$12),0))</f>
        <v>PREPARO DE FUNDO DE VALA COM LARGURA MENOR QUE 1,5 M, COM CAMADA DE BRITA, LANÇAMENTO MANUAL. AF_08/2020</v>
      </c>
      <c r="D77" s="110" t="str">
        <f ca="1">IF(OFFSET(PO!O$12,ROW(D77)-ROW(D$12),0)=0,"",OFFSET(PO!O$12,ROW(D77)-ROW(D$12),0))</f>
        <v>M3</v>
      </c>
      <c r="E77" s="140">
        <f ca="1">IF($A77&lt;&gt;"Serviço",0,ROUND(SUMIF($F$9:$P$9,"&lt;&gt;",$F77:$P77),15-13*PO!$X$3))</f>
        <v>2.17</v>
      </c>
      <c r="F77" s="182">
        <f ca="1">OFFSET(PO!$P$12,ROW($E77)-ROW(F$12),0)</f>
        <v>2.17</v>
      </c>
      <c r="G77" s="182"/>
      <c r="H77" s="182"/>
      <c r="I77" s="182"/>
      <c r="J77" s="182"/>
      <c r="K77" s="182"/>
      <c r="L77" s="182"/>
      <c r="M77" s="182"/>
      <c r="N77" s="182"/>
      <c r="O77" s="182"/>
      <c r="U77" s="182"/>
    </row>
    <row r="78" spans="1:21" s="1" customFormat="1" ht="51" x14ac:dyDescent="0.2">
      <c r="A78" s="109" t="str">
        <f ca="1">OFFSET(PO!J$12,ROW(A78)-ROW($A$12),0)</f>
        <v>Serviço</v>
      </c>
      <c r="B78" s="111" t="str">
        <f ca="1">IF($A78=0,"",OFFSET(PO!K$12,ROW(B78)-ROW(B$12),0))</f>
        <v>1.10.3.</v>
      </c>
      <c r="C78" s="108" t="str">
        <f ca="1">IF(OFFSET(PO!N$12,ROW(C78)-ROW(C$12),0)=0,"",OFFSET(PO!N$12,ROW(C78)-ROW(C$12),0))</f>
        <v>ALVENARIA DE VEDAÇÃO DE BLOCOS CERÂMICOS FURADOS NA VERTICAL DE 14X19X39 CM (ESPESSURA 14 CM) E ARGAMASSA DE ASSENTAMENTO COM PREPARO EM BETONEIRA. AF_12/2021</v>
      </c>
      <c r="D78" s="110" t="str">
        <f ca="1">IF(OFFSET(PO!O$12,ROW(D78)-ROW(D$12),0)=0,"",OFFSET(PO!O$12,ROW(D78)-ROW(D$12),0))</f>
        <v>M2</v>
      </c>
      <c r="E78" s="140">
        <f ca="1">IF($A78&lt;&gt;"Serviço",0,ROUND(SUMIF($F$9:$P$9,"&lt;&gt;",$F78:$P78),15-13*PO!$X$3))</f>
        <v>494.77</v>
      </c>
      <c r="F78" s="182">
        <f ca="1">OFFSET(PO!$P$12,ROW($E78)-ROW(F$12),0)</f>
        <v>494.76600000000008</v>
      </c>
      <c r="G78" s="182"/>
      <c r="H78" s="182"/>
      <c r="I78" s="182"/>
      <c r="J78" s="182"/>
      <c r="K78" s="182"/>
      <c r="L78" s="182"/>
      <c r="M78" s="182"/>
      <c r="N78" s="182"/>
      <c r="O78" s="182"/>
      <c r="U78" s="182"/>
    </row>
    <row r="79" spans="1:21" s="1" customFormat="1" ht="51" x14ac:dyDescent="0.2">
      <c r="A79" s="109" t="str">
        <f ca="1">OFFSET(PO!J$12,ROW(A79)-ROW($A$12),0)</f>
        <v>Serviço</v>
      </c>
      <c r="B79" s="111" t="str">
        <f ca="1">IF($A79=0,"",OFFSET(PO!K$12,ROW(B79)-ROW(B$12),0))</f>
        <v>1.10.4.</v>
      </c>
      <c r="C79" s="108" t="str">
        <f ca="1">IF(OFFSET(PO!N$12,ROW(C79)-ROW(C$12),0)=0,"",OFFSET(PO!N$12,ROW(C79)-ROW(C$12),0))</f>
        <v>ALVENARIA DE VEDAÇÃO DE BLOCOS CERÂMICOS FURADOS NA VERTICAL DE 14X19X39 CM (ESPESSURA 14 CM) E ARGAMASSA DE ASSENTAMENTO COM PREPARO EM BETONEIRA. AF_12/2021</v>
      </c>
      <c r="D79" s="110" t="str">
        <f ca="1">IF(OFFSET(PO!O$12,ROW(D79)-ROW(D$12),0)=0,"",OFFSET(PO!O$12,ROW(D79)-ROW(D$12),0))</f>
        <v>M2</v>
      </c>
      <c r="E79" s="140">
        <f ca="1">IF($A79&lt;&gt;"Serviço",0,ROUND(SUMIF($F$9:$P$9,"&lt;&gt;",$F79:$P79),15-13*PO!$X$3))</f>
        <v>20.010000000000002</v>
      </c>
      <c r="F79" s="182">
        <f ca="1">OFFSET(PO!$P$12,ROW($E79)-ROW(F$12),0)</f>
        <v>20.009999999999998</v>
      </c>
      <c r="G79" s="182"/>
      <c r="H79" s="182"/>
      <c r="I79" s="182"/>
      <c r="J79" s="182"/>
      <c r="K79" s="182"/>
      <c r="L79" s="182"/>
      <c r="M79" s="182"/>
      <c r="N79" s="182"/>
      <c r="O79" s="182"/>
      <c r="U79" s="182"/>
    </row>
    <row r="80" spans="1:21" s="1" customFormat="1" ht="25.5" x14ac:dyDescent="0.2">
      <c r="A80" s="109" t="str">
        <f ca="1">OFFSET(PO!J$12,ROW(A80)-ROW($A$12),0)</f>
        <v>Serviço</v>
      </c>
      <c r="B80" s="111" t="str">
        <f ca="1">IF($A80=0,"",OFFSET(PO!K$12,ROW(B80)-ROW(B$12),0))</f>
        <v>1.10.5.</v>
      </c>
      <c r="C80" s="108" t="str">
        <f ca="1">IF(OFFSET(PO!N$12,ROW(C80)-ROW(C$12),0)=0,"",OFFSET(PO!N$12,ROW(C80)-ROW(C$12),0))</f>
        <v>VERGA MOLDADA IN LOCO EM CONCRETO, ESPESSURA DE *10* CM. AF_03/2024</v>
      </c>
      <c r="D80" s="110" t="str">
        <f ca="1">IF(OFFSET(PO!O$12,ROW(D80)-ROW(D$12),0)=0,"",OFFSET(PO!O$12,ROW(D80)-ROW(D$12),0))</f>
        <v>M</v>
      </c>
      <c r="E80" s="140">
        <f ca="1">IF($A80&lt;&gt;"Serviço",0,ROUND(SUMIF($F$9:$P$9,"&lt;&gt;",$F80:$P80),15-13*PO!$X$3))</f>
        <v>88.48</v>
      </c>
      <c r="F80" s="182">
        <f ca="1">OFFSET(PO!$P$12,ROW($E80)-ROW(F$12),0)</f>
        <v>88.48</v>
      </c>
      <c r="G80" s="182"/>
      <c r="H80" s="182"/>
      <c r="I80" s="182"/>
      <c r="J80" s="182"/>
      <c r="K80" s="182"/>
      <c r="L80" s="182"/>
      <c r="M80" s="182"/>
      <c r="N80" s="182"/>
      <c r="O80" s="182"/>
      <c r="U80" s="182"/>
    </row>
    <row r="81" spans="1:21" s="1" customFormat="1" ht="25.5" x14ac:dyDescent="0.2">
      <c r="A81" s="109" t="str">
        <f ca="1">OFFSET(PO!J$12,ROW(A81)-ROW($A$12),0)</f>
        <v>Serviço</v>
      </c>
      <c r="B81" s="111" t="str">
        <f ca="1">IF($A81=0,"",OFFSET(PO!K$12,ROW(B81)-ROW(B$12),0))</f>
        <v>1.10.6.</v>
      </c>
      <c r="C81" s="108" t="str">
        <f ca="1">IF(OFFSET(PO!N$12,ROW(C81)-ROW(C$12),0)=0,"",OFFSET(PO!N$12,ROW(C81)-ROW(C$12),0))</f>
        <v>CONTRAVERGA MOLDADA IN LOCO EM CONCRETO, ESPESSURA DE *10* CM. AF_03/2024</v>
      </c>
      <c r="D81" s="110" t="str">
        <f ca="1">IF(OFFSET(PO!O$12,ROW(D81)-ROW(D$12),0)=0,"",OFFSET(PO!O$12,ROW(D81)-ROW(D$12),0))</f>
        <v>M</v>
      </c>
      <c r="E81" s="140">
        <f ca="1">IF($A81&lt;&gt;"Serviço",0,ROUND(SUMIF($F$9:$P$9,"&lt;&gt;",$F81:$P81),15-13*PO!$X$3))</f>
        <v>60.06</v>
      </c>
      <c r="F81" s="182">
        <f ca="1">OFFSET(PO!$P$12,ROW($E81)-ROW(F$12),0)</f>
        <v>60.059999999999995</v>
      </c>
      <c r="G81" s="182"/>
      <c r="H81" s="182"/>
      <c r="I81" s="182"/>
      <c r="J81" s="182"/>
      <c r="K81" s="182"/>
      <c r="L81" s="182"/>
      <c r="M81" s="182"/>
      <c r="N81" s="182"/>
      <c r="O81" s="182"/>
      <c r="U81" s="182"/>
    </row>
    <row r="82" spans="1:21" s="1" customFormat="1" x14ac:dyDescent="0.2">
      <c r="A82" s="109" t="str">
        <f ca="1">OFFSET(PO!J$12,ROW(A82)-ROW($A$12),0)</f>
        <v>Nível 2</v>
      </c>
      <c r="B82" s="111" t="str">
        <f ca="1">IF($A82=0,"",OFFSET(PO!K$12,ROW(B82)-ROW(B$12),0))</f>
        <v>1.11.</v>
      </c>
      <c r="C82" s="108" t="str">
        <f ca="1">IF(OFFSET(PO!N$12,ROW(C82)-ROW(C$12),0)=0,"",OFFSET(PO!N$12,ROW(C82)-ROW(C$12),0))</f>
        <v>IMPERMEABILIZAÇÃO</v>
      </c>
      <c r="D82" s="110" t="str">
        <f ca="1">IF(OFFSET(PO!O$12,ROW(D82)-ROW(D$12),0)=0,"",OFFSET(PO!O$12,ROW(D82)-ROW(D$12),0))</f>
        <v/>
      </c>
      <c r="E82" s="140">
        <f ca="1">IF($A82&lt;&gt;"Serviço",0,ROUND(SUMIF($F$9:$P$9,"&lt;&gt;",$F82:$P82),15-13*PO!$X$3))</f>
        <v>0</v>
      </c>
      <c r="F82" s="182">
        <f ca="1">OFFSET(PO!$P$12,ROW($E82)-ROW(F$12),0)</f>
        <v>0</v>
      </c>
      <c r="G82" s="182"/>
      <c r="H82" s="182"/>
      <c r="I82" s="182"/>
      <c r="J82" s="182"/>
      <c r="K82" s="182"/>
      <c r="L82" s="182"/>
      <c r="M82" s="182"/>
      <c r="N82" s="182"/>
      <c r="O82" s="182"/>
      <c r="U82" s="182"/>
    </row>
    <row r="83" spans="1:21" s="1" customFormat="1" ht="38.25" x14ac:dyDescent="0.2">
      <c r="A83" s="109" t="str">
        <f ca="1">OFFSET(PO!J$12,ROW(A83)-ROW($A$12),0)</f>
        <v>Serviço</v>
      </c>
      <c r="B83" s="111" t="str">
        <f ca="1">IF($A83=0,"",OFFSET(PO!K$12,ROW(B83)-ROW(B$12),0))</f>
        <v>1.11.1.</v>
      </c>
      <c r="C83" s="108" t="str">
        <f ca="1">IF(OFFSET(PO!N$12,ROW(C83)-ROW(C$12),0)=0,"",OFFSET(PO!N$12,ROW(C83)-ROW(C$12),0))</f>
        <v>IMPERMEABILIZAÇÃO DE SUPERFÍCIE COM MANTA ASFÁLTICA, UMA CAMADA, INCLUSIVE APLICAÇÃO DE PRIMER ASFÁLTICO, E=4MM. AF_09/2023</v>
      </c>
      <c r="D83" s="110" t="str">
        <f ca="1">IF(OFFSET(PO!O$12,ROW(D83)-ROW(D$12),0)=0,"",OFFSET(PO!O$12,ROW(D83)-ROW(D$12),0))</f>
        <v>M2</v>
      </c>
      <c r="E83" s="140">
        <f ca="1">IF($A83&lt;&gt;"Serviço",0,ROUND(SUMIF($F$9:$P$9,"&lt;&gt;",$F83:$P83),15-13*PO!$X$3))</f>
        <v>11.55</v>
      </c>
      <c r="F83" s="182">
        <f ca="1">OFFSET(PO!$P$12,ROW($E83)-ROW(F$12),0)</f>
        <v>11.549999999999999</v>
      </c>
      <c r="G83" s="182"/>
      <c r="H83" s="182"/>
      <c r="I83" s="182"/>
      <c r="J83" s="182"/>
      <c r="K83" s="182"/>
      <c r="L83" s="182"/>
      <c r="M83" s="182"/>
      <c r="N83" s="182"/>
      <c r="O83" s="182"/>
      <c r="U83" s="182"/>
    </row>
    <row r="84" spans="1:21" s="1" customFormat="1" ht="38.25" x14ac:dyDescent="0.2">
      <c r="A84" s="109" t="str">
        <f ca="1">OFFSET(PO!J$12,ROW(A84)-ROW($A$12),0)</f>
        <v>Serviço</v>
      </c>
      <c r="B84" s="111" t="str">
        <f ca="1">IF($A84=0,"",OFFSET(PO!K$12,ROW(B84)-ROW(B$12),0))</f>
        <v>1.11.2.</v>
      </c>
      <c r="C84" s="108" t="str">
        <f ca="1">IF(OFFSET(PO!N$12,ROW(C84)-ROW(C$12),0)=0,"",OFFSET(PO!N$12,ROW(C84)-ROW(C$12),0))</f>
        <v>TRATAMENTO DE RALO OU PONTO EMERGENTE COM ARGAMASSA POLIMÉRICA / MEMBRANA ACRÍLICA REFORÇADO COM TELA DE POLIÉSTER (MAV). AF_09/2023</v>
      </c>
      <c r="D84" s="110" t="str">
        <f ca="1">IF(OFFSET(PO!O$12,ROW(D84)-ROW(D$12),0)=0,"",OFFSET(PO!O$12,ROW(D84)-ROW(D$12),0))</f>
        <v>UN</v>
      </c>
      <c r="E84" s="140">
        <f ca="1">IF($A84&lt;&gt;"Serviço",0,ROUND(SUMIF($F$9:$P$9,"&lt;&gt;",$F84:$P84),15-13*PO!$X$3))</f>
        <v>5</v>
      </c>
      <c r="F84" s="182">
        <f ca="1">OFFSET(PO!$P$12,ROW($E84)-ROW(F$12),0)</f>
        <v>5</v>
      </c>
      <c r="G84" s="182"/>
      <c r="H84" s="182"/>
      <c r="I84" s="182"/>
      <c r="J84" s="182"/>
      <c r="K84" s="182"/>
      <c r="L84" s="182"/>
      <c r="M84" s="182"/>
      <c r="N84" s="182"/>
      <c r="O84" s="182"/>
      <c r="U84" s="182"/>
    </row>
    <row r="85" spans="1:21" s="1" customFormat="1" ht="38.25" x14ac:dyDescent="0.2">
      <c r="A85" s="109" t="str">
        <f ca="1">OFFSET(PO!J$12,ROW(A85)-ROW($A$12),0)</f>
        <v>Serviço</v>
      </c>
      <c r="B85" s="111" t="str">
        <f ca="1">IF($A85=0,"",OFFSET(PO!K$12,ROW(B85)-ROW(B$12),0))</f>
        <v>1.11.3.</v>
      </c>
      <c r="C85" s="108" t="str">
        <f ca="1">IF(OFFSET(PO!N$12,ROW(C85)-ROW(C$12),0)=0,"",OFFSET(PO!N$12,ROW(C85)-ROW(C$12),0))</f>
        <v>IMPERMEABILIZAÇÃO DE SUPERFÍCIE COM ARGAMASSA DE CIMENTO E AREIA, COM ADITIVO IMPERMEABILIZANTE, E = 1,5CM. AF_09/2023</v>
      </c>
      <c r="D85" s="110" t="str">
        <f ca="1">IF(OFFSET(PO!O$12,ROW(D85)-ROW(D$12),0)=0,"",OFFSET(PO!O$12,ROW(D85)-ROW(D$12),0))</f>
        <v>M2</v>
      </c>
      <c r="E85" s="140">
        <f ca="1">IF($A85&lt;&gt;"Serviço",0,ROUND(SUMIF($F$9:$P$9,"&lt;&gt;",$F85:$P85),15-13*PO!$X$3))</f>
        <v>148.74</v>
      </c>
      <c r="F85" s="182">
        <f ca="1">OFFSET(PO!$P$12,ROW($E85)-ROW(F$12),0)</f>
        <v>148.74</v>
      </c>
      <c r="G85" s="182"/>
      <c r="H85" s="182"/>
      <c r="I85" s="182"/>
      <c r="J85" s="182"/>
      <c r="K85" s="182"/>
      <c r="L85" s="182"/>
      <c r="M85" s="182"/>
      <c r="N85" s="182"/>
      <c r="O85" s="182"/>
      <c r="U85" s="182"/>
    </row>
    <row r="86" spans="1:21" s="1" customFormat="1" x14ac:dyDescent="0.2">
      <c r="A86" s="109" t="str">
        <f ca="1">OFFSET(PO!J$12,ROW(A86)-ROW($A$12),0)</f>
        <v>Nível 2</v>
      </c>
      <c r="B86" s="111" t="str">
        <f ca="1">IF($A86=0,"",OFFSET(PO!K$12,ROW(B86)-ROW(B$12),0))</f>
        <v>1.12.</v>
      </c>
      <c r="C86" s="108" t="str">
        <f ca="1">IF(OFFSET(PO!N$12,ROW(C86)-ROW(C$12),0)=0,"",OFFSET(PO!N$12,ROW(C86)-ROW(C$12),0))</f>
        <v>INSTALAÇÕES ELÉTRICAS</v>
      </c>
      <c r="D86" s="110" t="str">
        <f ca="1">IF(OFFSET(PO!O$12,ROW(D86)-ROW(D$12),0)=0,"",OFFSET(PO!O$12,ROW(D86)-ROW(D$12),0))</f>
        <v/>
      </c>
      <c r="E86" s="140">
        <f ca="1">IF($A86&lt;&gt;"Serviço",0,ROUND(SUMIF($F$9:$P$9,"&lt;&gt;",$F86:$P86),15-13*PO!$X$3))</f>
        <v>0</v>
      </c>
      <c r="F86" s="182">
        <f ca="1">OFFSET(PO!$P$12,ROW($E86)-ROW(F$12),0)</f>
        <v>0</v>
      </c>
      <c r="G86" s="182"/>
      <c r="H86" s="182"/>
      <c r="I86" s="182"/>
      <c r="J86" s="182"/>
      <c r="K86" s="182"/>
      <c r="L86" s="182"/>
      <c r="M86" s="182"/>
      <c r="N86" s="182"/>
      <c r="O86" s="182"/>
      <c r="U86" s="182"/>
    </row>
    <row r="87" spans="1:21" s="1" customFormat="1" ht="51" x14ac:dyDescent="0.2">
      <c r="A87" s="109" t="str">
        <f ca="1">OFFSET(PO!J$12,ROW(A87)-ROW($A$12),0)</f>
        <v>Serviço</v>
      </c>
      <c r="B87" s="111" t="str">
        <f ca="1">IF($A87=0,"",OFFSET(PO!K$12,ROW(B87)-ROW(B$12),0))</f>
        <v>1.12.1.</v>
      </c>
      <c r="C87" s="108" t="str">
        <f ca="1">IF(OFFSET(PO!N$12,ROW(C87)-ROW(C$12),0)=0,"",OFFSET(PO!N$12,ROW(C87)-ROW(C$12),0))</f>
        <v>PADRÃO DE ENTRADA TRIFÁSICO COMPLETO, ENTRADA AÉREA, SAÍDA SUBTERRÂNEA - INCLUSIVE POSTE, ATERRAMENTO E CAIXA INSPEÇÃO/PASSSAGEM ATERRAMENTO - FORNECIMENTO E INSTALAÇÃO</v>
      </c>
      <c r="D87" s="110" t="str">
        <f ca="1">IF(OFFSET(PO!O$12,ROW(D87)-ROW(D$12),0)=0,"",OFFSET(PO!O$12,ROW(D87)-ROW(D$12),0))</f>
        <v>UN</v>
      </c>
      <c r="E87" s="140">
        <f ca="1">IF($A87&lt;&gt;"Serviço",0,ROUND(SUMIF($F$9:$P$9,"&lt;&gt;",$F87:$P87),15-13*PO!$X$3))</f>
        <v>1</v>
      </c>
      <c r="F87" s="182">
        <f ca="1">OFFSET(PO!$P$12,ROW($E87)-ROW(F$12),0)</f>
        <v>1</v>
      </c>
      <c r="G87" s="182"/>
      <c r="H87" s="182"/>
      <c r="I87" s="182"/>
      <c r="J87" s="182"/>
      <c r="K87" s="182"/>
      <c r="L87" s="182"/>
      <c r="M87" s="182"/>
      <c r="N87" s="182"/>
      <c r="O87" s="182"/>
      <c r="U87" s="182"/>
    </row>
    <row r="88" spans="1:21" s="1" customFormat="1" ht="38.25" x14ac:dyDescent="0.2">
      <c r="A88" s="109" t="str">
        <f ca="1">OFFSET(PO!J$12,ROW(A88)-ROW($A$12),0)</f>
        <v>Serviço</v>
      </c>
      <c r="B88" s="111" t="str">
        <f ca="1">IF($A88=0,"",OFFSET(PO!K$12,ROW(B88)-ROW(B$12),0))</f>
        <v>1.12.2.</v>
      </c>
      <c r="C88" s="108" t="str">
        <f ca="1">IF(OFFSET(PO!N$12,ROW(C88)-ROW(C$12),0)=0,"",OFFSET(PO!N$12,ROW(C88)-ROW(C$12),0))</f>
        <v>CABO DE COBRE FLEXÍVEL ISOLADO, 6 MM², ANTI-CHAMA 0,6/1,0 KV, PARA CIRCUITOS TERMINAIS - FORNECIMENTO E INSTALAÇÃO. AF_03/2023</v>
      </c>
      <c r="D88" s="110" t="str">
        <f ca="1">IF(OFFSET(PO!O$12,ROW(D88)-ROW(D$12),0)=0,"",OFFSET(PO!O$12,ROW(D88)-ROW(D$12),0))</f>
        <v>M</v>
      </c>
      <c r="E88" s="140">
        <f ca="1">IF($A88&lt;&gt;"Serviço",0,ROUND(SUMIF($F$9:$P$9,"&lt;&gt;",$F88:$P88),15-13*PO!$X$3))</f>
        <v>150</v>
      </c>
      <c r="F88" s="182">
        <f ca="1">OFFSET(PO!$P$12,ROW($E88)-ROW(F$12),0)</f>
        <v>150</v>
      </c>
      <c r="G88" s="182"/>
      <c r="H88" s="182"/>
      <c r="I88" s="182"/>
      <c r="J88" s="182"/>
      <c r="K88" s="182"/>
      <c r="L88" s="182"/>
      <c r="M88" s="182"/>
      <c r="N88" s="182"/>
      <c r="O88" s="182"/>
      <c r="U88" s="182"/>
    </row>
    <row r="89" spans="1:21" s="1" customFormat="1" ht="38.25" x14ac:dyDescent="0.2">
      <c r="A89" s="109" t="str">
        <f ca="1">OFFSET(PO!J$12,ROW(A89)-ROW($A$12),0)</f>
        <v>Serviço</v>
      </c>
      <c r="B89" s="111" t="str">
        <f ca="1">IF($A89=0,"",OFFSET(PO!K$12,ROW(B89)-ROW(B$12),0))</f>
        <v>1.12.3.</v>
      </c>
      <c r="C89" s="108" t="str">
        <f ca="1">IF(OFFSET(PO!N$12,ROW(C89)-ROW(C$12),0)=0,"",OFFSET(PO!N$12,ROW(C89)-ROW(C$12),0))</f>
        <v>CABO DE COBRE FLEXÍVEL ISOLADO, 4 MM², ANTI-CHAMA 450/750 V, PARA CIRCUITOS TERMINAIS - FORNECIMENTO E INSTALAÇÃO. AF_03/2023</v>
      </c>
      <c r="D89" s="110" t="str">
        <f ca="1">IF(OFFSET(PO!O$12,ROW(D89)-ROW(D$12),0)=0,"",OFFSET(PO!O$12,ROW(D89)-ROW(D$12),0))</f>
        <v>M</v>
      </c>
      <c r="E89" s="140">
        <f ca="1">IF($A89&lt;&gt;"Serviço",0,ROUND(SUMIF($F$9:$P$9,"&lt;&gt;",$F89:$P89),15-13*PO!$X$3))</f>
        <v>450</v>
      </c>
      <c r="F89" s="182">
        <f ca="1">OFFSET(PO!$P$12,ROW($E89)-ROW(F$12),0)</f>
        <v>450</v>
      </c>
      <c r="G89" s="182"/>
      <c r="H89" s="182"/>
      <c r="I89" s="182"/>
      <c r="J89" s="182"/>
      <c r="K89" s="182"/>
      <c r="L89" s="182"/>
      <c r="M89" s="182"/>
      <c r="N89" s="182"/>
      <c r="O89" s="182"/>
      <c r="U89" s="182"/>
    </row>
    <row r="90" spans="1:21" s="1" customFormat="1" ht="38.25" x14ac:dyDescent="0.2">
      <c r="A90" s="109" t="str">
        <f ca="1">OFFSET(PO!J$12,ROW(A90)-ROW($A$12),0)</f>
        <v>Serviço</v>
      </c>
      <c r="B90" s="111" t="str">
        <f ca="1">IF($A90=0,"",OFFSET(PO!K$12,ROW(B90)-ROW(B$12),0))</f>
        <v>1.12.4.</v>
      </c>
      <c r="C90" s="108" t="str">
        <f ca="1">IF(OFFSET(PO!N$12,ROW(C90)-ROW(C$12),0)=0,"",OFFSET(PO!N$12,ROW(C90)-ROW(C$12),0))</f>
        <v>CABO DE COBRE FLEXÍVEL ISOLADO, 2,5 MM², ANTI-CHAMA 0,6/1,0 KV, PARA CIRCUITOS TERMINAIS - FORNECIMENTO E INSTALAÇÃO. AF_03/2023</v>
      </c>
      <c r="D90" s="110" t="str">
        <f ca="1">IF(OFFSET(PO!O$12,ROW(D90)-ROW(D$12),0)=0,"",OFFSET(PO!O$12,ROW(D90)-ROW(D$12),0))</f>
        <v>M</v>
      </c>
      <c r="E90" s="140">
        <f ca="1">IF($A90&lt;&gt;"Serviço",0,ROUND(SUMIF($F$9:$P$9,"&lt;&gt;",$F90:$P90),15-13*PO!$X$3))</f>
        <v>600</v>
      </c>
      <c r="F90" s="182">
        <f ca="1">OFFSET(PO!$P$12,ROW($E90)-ROW(F$12),0)</f>
        <v>600</v>
      </c>
      <c r="G90" s="182"/>
      <c r="H90" s="182"/>
      <c r="I90" s="182"/>
      <c r="J90" s="182"/>
      <c r="K90" s="182"/>
      <c r="L90" s="182"/>
      <c r="M90" s="182"/>
      <c r="N90" s="182"/>
      <c r="O90" s="182"/>
      <c r="U90" s="182"/>
    </row>
    <row r="91" spans="1:21" s="1" customFormat="1" ht="25.5" x14ac:dyDescent="0.2">
      <c r="A91" s="109" t="str">
        <f ca="1">OFFSET(PO!J$12,ROW(A91)-ROW($A$12),0)</f>
        <v>Serviço</v>
      </c>
      <c r="B91" s="111" t="str">
        <f ca="1">IF($A91=0,"",OFFSET(PO!K$12,ROW(B91)-ROW(B$12),0))</f>
        <v>1.12.5.</v>
      </c>
      <c r="C91" s="108" t="str">
        <f ca="1">IF(OFFSET(PO!N$12,ROW(C91)-ROW(C$12),0)=0,"",OFFSET(PO!N$12,ROW(C91)-ROW(C$12),0))</f>
        <v>HASTE DE ATERRAMENTO, DIÂMETRO 3/4", COM 3 METROS - FORNECIMENTO E INSTALAÇÃO. AF_08/2023</v>
      </c>
      <c r="D91" s="110" t="str">
        <f ca="1">IF(OFFSET(PO!O$12,ROW(D91)-ROW(D$12),0)=0,"",OFFSET(PO!O$12,ROW(D91)-ROW(D$12),0))</f>
        <v>UN</v>
      </c>
      <c r="E91" s="140">
        <f ca="1">IF($A91&lt;&gt;"Serviço",0,ROUND(SUMIF($F$9:$P$9,"&lt;&gt;",$F91:$P91),15-13*PO!$X$3))</f>
        <v>3</v>
      </c>
      <c r="F91" s="182">
        <f ca="1">OFFSET(PO!$P$12,ROW($E91)-ROW(F$12),0)</f>
        <v>3</v>
      </c>
      <c r="G91" s="182"/>
      <c r="H91" s="182"/>
      <c r="I91" s="182"/>
      <c r="J91" s="182"/>
      <c r="K91" s="182"/>
      <c r="L91" s="182"/>
      <c r="M91" s="182"/>
      <c r="N91" s="182"/>
      <c r="O91" s="182"/>
      <c r="U91" s="182"/>
    </row>
    <row r="92" spans="1:21" s="1" customFormat="1" ht="25.5" x14ac:dyDescent="0.2">
      <c r="A92" s="109" t="str">
        <f ca="1">OFFSET(PO!J$12,ROW(A92)-ROW($A$12),0)</f>
        <v>Serviço</v>
      </c>
      <c r="B92" s="111" t="str">
        <f ca="1">IF($A92=0,"",OFFSET(PO!K$12,ROW(B92)-ROW(B$12),0))</f>
        <v>1.12.6.</v>
      </c>
      <c r="C92" s="108" t="str">
        <f ca="1">IF(OFFSET(PO!N$12,ROW(C92)-ROW(C$12),0)=0,"",OFFSET(PO!N$12,ROW(C92)-ROW(C$12),0))</f>
        <v>CAIXA DE INSPEÇÃO PARA ATERRAMENTO, CIRCULAR, EM POLIETILENO, DIÂMETRO INTERNO = 0,3 M. AF_12/2020</v>
      </c>
      <c r="D92" s="110" t="str">
        <f ca="1">IF(OFFSET(PO!O$12,ROW(D92)-ROW(D$12),0)=0,"",OFFSET(PO!O$12,ROW(D92)-ROW(D$12),0))</f>
        <v>UN</v>
      </c>
      <c r="E92" s="140">
        <f ca="1">IF($A92&lt;&gt;"Serviço",0,ROUND(SUMIF($F$9:$P$9,"&lt;&gt;",$F92:$P92),15-13*PO!$X$3))</f>
        <v>3</v>
      </c>
      <c r="F92" s="182">
        <f ca="1">OFFSET(PO!$P$12,ROW($E92)-ROW(F$12),0)</f>
        <v>3</v>
      </c>
      <c r="G92" s="182"/>
      <c r="H92" s="182"/>
      <c r="I92" s="182"/>
      <c r="J92" s="182"/>
      <c r="K92" s="182"/>
      <c r="L92" s="182"/>
      <c r="M92" s="182"/>
      <c r="N92" s="182"/>
      <c r="O92" s="182"/>
      <c r="U92" s="182"/>
    </row>
    <row r="93" spans="1:21" s="1" customFormat="1" ht="38.25" x14ac:dyDescent="0.2">
      <c r="A93" s="109" t="str">
        <f ca="1">OFFSET(PO!J$12,ROW(A93)-ROW($A$12),0)</f>
        <v>Serviço</v>
      </c>
      <c r="B93" s="111" t="str">
        <f ca="1">IF($A93=0,"",OFFSET(PO!K$12,ROW(B93)-ROW(B$12),0))</f>
        <v>1.12.7.</v>
      </c>
      <c r="C93" s="108" t="str">
        <f ca="1">IF(OFFSET(PO!N$12,ROW(C93)-ROW(C$12),0)=0,"",OFFSET(PO!N$12,ROW(C93)-ROW(C$12),0))</f>
        <v>ELETRODUTO FLEXÍVEL CORRUGADO, PVC, DN 25 MM (3/4"), PARA CIRCUITOS TERMINAIS, INSTALADO EM FORRO - FORNECIMENTO E INSTALAÇÃO. AF_03/2023_PA</v>
      </c>
      <c r="D93" s="110" t="str">
        <f ca="1">IF(OFFSET(PO!O$12,ROW(D93)-ROW(D$12),0)=0,"",OFFSET(PO!O$12,ROW(D93)-ROW(D$12),0))</f>
        <v>M</v>
      </c>
      <c r="E93" s="140">
        <f ca="1">IF($A93&lt;&gt;"Serviço",0,ROUND(SUMIF($F$9:$P$9,"&lt;&gt;",$F93:$P93),15-13*PO!$X$3))</f>
        <v>200</v>
      </c>
      <c r="F93" s="182">
        <f ca="1">OFFSET(PO!$P$12,ROW($E93)-ROW(F$12),0)</f>
        <v>200</v>
      </c>
      <c r="G93" s="182"/>
      <c r="H93" s="182"/>
      <c r="I93" s="182"/>
      <c r="J93" s="182"/>
      <c r="K93" s="182"/>
      <c r="L93" s="182"/>
      <c r="M93" s="182"/>
      <c r="N93" s="182"/>
      <c r="O93" s="182"/>
      <c r="U93" s="182"/>
    </row>
    <row r="94" spans="1:21" s="1" customFormat="1" ht="38.25" x14ac:dyDescent="0.2">
      <c r="A94" s="109" t="str">
        <f ca="1">OFFSET(PO!J$12,ROW(A94)-ROW($A$12),0)</f>
        <v>Serviço</v>
      </c>
      <c r="B94" s="111" t="str">
        <f ca="1">IF($A94=0,"",OFFSET(PO!K$12,ROW(B94)-ROW(B$12),0))</f>
        <v>1.12.8.</v>
      </c>
      <c r="C94" s="108" t="str">
        <f ca="1">IF(OFFSET(PO!N$12,ROW(C94)-ROW(C$12),0)=0,"",OFFSET(PO!N$12,ROW(C94)-ROW(C$12),0))</f>
        <v>ELETRODUTO FLEXÍVEL CORRUGADO REFORÇADO, PVC, DN 32 MM (1"), PARA CIRCUITOS TERMINAIS, INSTALADO EM FORRO - FORNECIMENTO E INSTALAÇÃO. AF_03/2023_PA</v>
      </c>
      <c r="D94" s="110" t="str">
        <f ca="1">IF(OFFSET(PO!O$12,ROW(D94)-ROW(D$12),0)=0,"",OFFSET(PO!O$12,ROW(D94)-ROW(D$12),0))</f>
        <v>M</v>
      </c>
      <c r="E94" s="140">
        <f ca="1">IF($A94&lt;&gt;"Serviço",0,ROUND(SUMIF($F$9:$P$9,"&lt;&gt;",$F94:$P94),15-13*PO!$X$3))</f>
        <v>100</v>
      </c>
      <c r="F94" s="182">
        <f ca="1">OFFSET(PO!$P$12,ROW($E94)-ROW(F$12),0)</f>
        <v>100</v>
      </c>
      <c r="G94" s="182"/>
      <c r="H94" s="182"/>
      <c r="I94" s="182"/>
      <c r="J94" s="182"/>
      <c r="K94" s="182"/>
      <c r="L94" s="182"/>
      <c r="M94" s="182"/>
      <c r="N94" s="182"/>
      <c r="O94" s="182"/>
      <c r="U94" s="182"/>
    </row>
    <row r="95" spans="1:21" s="1" customFormat="1" ht="38.25" x14ac:dyDescent="0.2">
      <c r="A95" s="109" t="str">
        <f ca="1">OFFSET(PO!J$12,ROW(A95)-ROW($A$12),0)</f>
        <v>Serviço</v>
      </c>
      <c r="B95" s="111" t="str">
        <f ca="1">IF($A95=0,"",OFFSET(PO!K$12,ROW(B95)-ROW(B$12),0))</f>
        <v>1.12.9.</v>
      </c>
      <c r="C95" s="108" t="str">
        <f ca="1">IF(OFFSET(PO!N$12,ROW(C95)-ROW(C$12),0)=0,"",OFFSET(PO!N$12,ROW(C95)-ROW(C$12),0))</f>
        <v>TOMADA ALTA DE EMBUTIR (1 MÓDULO), 2P+T 20 A, INCLUINDO SUPORTE E PLACA - FORNECIMENTO E INSTALAÇÃO. AF_03/2023</v>
      </c>
      <c r="D95" s="110" t="str">
        <f ca="1">IF(OFFSET(PO!O$12,ROW(D95)-ROW(D$12),0)=0,"",OFFSET(PO!O$12,ROW(D95)-ROW(D$12),0))</f>
        <v>UN</v>
      </c>
      <c r="E95" s="140">
        <f ca="1">IF($A95&lt;&gt;"Serviço",0,ROUND(SUMIF($F$9:$P$9,"&lt;&gt;",$F95:$P95),15-13*PO!$X$3))</f>
        <v>10</v>
      </c>
      <c r="F95" s="182">
        <f ca="1">OFFSET(PO!$P$12,ROW($E95)-ROW(F$12),0)</f>
        <v>10</v>
      </c>
      <c r="G95" s="182"/>
      <c r="H95" s="182"/>
      <c r="I95" s="182"/>
      <c r="J95" s="182"/>
      <c r="K95" s="182"/>
      <c r="L95" s="182"/>
      <c r="M95" s="182"/>
      <c r="N95" s="182"/>
      <c r="O95" s="182"/>
      <c r="U95" s="182"/>
    </row>
    <row r="96" spans="1:21" s="1" customFormat="1" ht="38.25" x14ac:dyDescent="0.2">
      <c r="A96" s="109" t="str">
        <f ca="1">OFFSET(PO!J$12,ROW(A96)-ROW($A$12),0)</f>
        <v>Serviço</v>
      </c>
      <c r="B96" s="111" t="str">
        <f ca="1">IF($A96=0,"",OFFSET(PO!K$12,ROW(B96)-ROW(B$12),0))</f>
        <v>1.12.10.</v>
      </c>
      <c r="C96" s="108" t="str">
        <f ca="1">IF(OFFSET(PO!N$12,ROW(C96)-ROW(C$12),0)=0,"",OFFSET(PO!N$12,ROW(C96)-ROW(C$12),0))</f>
        <v>TOMADA ALTA DE EMBUTIR (1 MÓDULO), 2P+T 20 A, INCLUINDO SUPORTE E PLACA - FORNECIMENTO E INSTALAÇÃO. AF_03/2023</v>
      </c>
      <c r="D96" s="110" t="str">
        <f ca="1">IF(OFFSET(PO!O$12,ROW(D96)-ROW(D$12),0)=0,"",OFFSET(PO!O$12,ROW(D96)-ROW(D$12),0))</f>
        <v>UN</v>
      </c>
      <c r="E96" s="140">
        <f ca="1">IF($A96&lt;&gt;"Serviço",0,ROUND(SUMIF($F$9:$P$9,"&lt;&gt;",$F96:$P96),15-13*PO!$X$3))</f>
        <v>6</v>
      </c>
      <c r="F96" s="182">
        <f ca="1">OFFSET(PO!$P$12,ROW($E96)-ROW(F$12),0)</f>
        <v>6</v>
      </c>
      <c r="G96" s="182"/>
      <c r="H96" s="182"/>
      <c r="I96" s="182"/>
      <c r="J96" s="182"/>
      <c r="K96" s="182"/>
      <c r="L96" s="182"/>
      <c r="M96" s="182"/>
      <c r="N96" s="182"/>
      <c r="O96" s="182"/>
      <c r="U96" s="182"/>
    </row>
    <row r="97" spans="1:21" s="1" customFormat="1" ht="38.25" x14ac:dyDescent="0.2">
      <c r="A97" s="109" t="str">
        <f ca="1">OFFSET(PO!J$12,ROW(A97)-ROW($A$12),0)</f>
        <v>Serviço</v>
      </c>
      <c r="B97" s="111" t="str">
        <f ca="1">IF($A97=0,"",OFFSET(PO!K$12,ROW(B97)-ROW(B$12),0))</f>
        <v>1.12.11.</v>
      </c>
      <c r="C97" s="108" t="str">
        <f ca="1">IF(OFFSET(PO!N$12,ROW(C97)-ROW(C$12),0)=0,"",OFFSET(PO!N$12,ROW(C97)-ROW(C$12),0))</f>
        <v>TOMADA BAIXA DE EMBUTIR (2 MÓDULOS), 2P+T 10 A, INCLUINDO SUPORTE E PLACA - FORNECIMENTO E INSTALAÇÃO. AF_03/2023</v>
      </c>
      <c r="D97" s="110" t="str">
        <f ca="1">IF(OFFSET(PO!O$12,ROW(D97)-ROW(D$12),0)=0,"",OFFSET(PO!O$12,ROW(D97)-ROW(D$12),0))</f>
        <v>UN</v>
      </c>
      <c r="E97" s="140">
        <f ca="1">IF($A97&lt;&gt;"Serviço",0,ROUND(SUMIF($F$9:$P$9,"&lt;&gt;",$F97:$P97),15-13*PO!$X$3))</f>
        <v>27</v>
      </c>
      <c r="F97" s="182">
        <f ca="1">OFFSET(PO!$P$12,ROW($E97)-ROW(F$12),0)</f>
        <v>27</v>
      </c>
      <c r="G97" s="182"/>
      <c r="H97" s="182"/>
      <c r="I97" s="182"/>
      <c r="J97" s="182"/>
      <c r="K97" s="182"/>
      <c r="L97" s="182"/>
      <c r="M97" s="182"/>
      <c r="N97" s="182"/>
      <c r="O97" s="182"/>
      <c r="U97" s="182"/>
    </row>
    <row r="98" spans="1:21" s="1" customFormat="1" ht="63.75" x14ac:dyDescent="0.2">
      <c r="A98" s="109" t="str">
        <f ca="1">OFFSET(PO!J$12,ROW(A98)-ROW($A$12),0)</f>
        <v>Serviço</v>
      </c>
      <c r="B98" s="111" t="str">
        <f ca="1">IF($A98=0,"",OFFSET(PO!K$12,ROW(B98)-ROW(B$12),0))</f>
        <v>1.12.12.</v>
      </c>
      <c r="C98" s="108" t="str">
        <f ca="1">IF(OFFSET(PO!N$12,ROW(C98)-ROW(C$12),0)=0,"",OFFSET(PO!N$12,ROW(C98)-ROW(C$12),0))</f>
        <v xml:space="preserve">COMPOSIÇÃO PARAMÉTRICA DE PONTO ELÉTRICO DE TOMADA DE USO ESPECÍFICO 2P+T (20A/250V) EM OBRA COM ELETRODUTO EMBUTIDO EM RASGOS NAS PAREDES, INCLUSO TOMADA, ELETRODUTO, CABO, RASGO, QUEBRA E CHUMBAMENTO (CLIMATIZADORES, COZINHA E LAVANDERIA). </v>
      </c>
      <c r="D98" s="110" t="str">
        <f ca="1">IF(OFFSET(PO!O$12,ROW(D98)-ROW(D$12),0)=0,"",OFFSET(PO!O$12,ROW(D98)-ROW(D$12),0))</f>
        <v>UND</v>
      </c>
      <c r="E98" s="140">
        <f ca="1">IF($A98&lt;&gt;"Serviço",0,ROUND(SUMIF($F$9:$P$9,"&lt;&gt;",$F98:$P98),15-13*PO!$X$3))</f>
        <v>21</v>
      </c>
      <c r="F98" s="182">
        <f ca="1">OFFSET(PO!$P$12,ROW($E98)-ROW(F$12),0)</f>
        <v>21</v>
      </c>
      <c r="G98" s="182"/>
      <c r="H98" s="182"/>
      <c r="I98" s="182"/>
      <c r="J98" s="182"/>
      <c r="K98" s="182"/>
      <c r="L98" s="182"/>
      <c r="M98" s="182"/>
      <c r="N98" s="182"/>
      <c r="O98" s="182"/>
      <c r="U98" s="182"/>
    </row>
    <row r="99" spans="1:21" s="1" customFormat="1" ht="38.25" x14ac:dyDescent="0.2">
      <c r="A99" s="109" t="str">
        <f ca="1">OFFSET(PO!J$12,ROW(A99)-ROW($A$12),0)</f>
        <v>Serviço</v>
      </c>
      <c r="B99" s="111" t="str">
        <f ca="1">IF($A99=0,"",OFFSET(PO!K$12,ROW(B99)-ROW(B$12),0))</f>
        <v>1.12.13.</v>
      </c>
      <c r="C99" s="108" t="str">
        <f ca="1">IF(OFFSET(PO!N$12,ROW(C99)-ROW(C$12),0)=0,"",OFFSET(PO!N$12,ROW(C99)-ROW(C$12),0))</f>
        <v>TOMADA MÉDIA DE EMBUTIR (2 MÓDULOS), 2P+T 10 A, INCLUINDO SUPORTE E PLACA - FORNECIMENTO E INSTALAÇÃO. AF_03/2023</v>
      </c>
      <c r="D99" s="110" t="str">
        <f ca="1">IF(OFFSET(PO!O$12,ROW(D99)-ROW(D$12),0)=0,"",OFFSET(PO!O$12,ROW(D99)-ROW(D$12),0))</f>
        <v>UN</v>
      </c>
      <c r="E99" s="140">
        <f ca="1">IF($A99&lt;&gt;"Serviço",0,ROUND(SUMIF($F$9:$P$9,"&lt;&gt;",$F99:$P99),15-13*PO!$X$3))</f>
        <v>10</v>
      </c>
      <c r="F99" s="182">
        <f ca="1">OFFSET(PO!$P$12,ROW($E99)-ROW(F$12),0)</f>
        <v>10</v>
      </c>
      <c r="G99" s="182"/>
      <c r="H99" s="182"/>
      <c r="I99" s="182"/>
      <c r="J99" s="182"/>
      <c r="K99" s="182"/>
      <c r="L99" s="182"/>
      <c r="M99" s="182"/>
      <c r="N99" s="182"/>
      <c r="O99" s="182"/>
      <c r="U99" s="182"/>
    </row>
    <row r="100" spans="1:21" s="1" customFormat="1" ht="38.25" x14ac:dyDescent="0.2">
      <c r="A100" s="109" t="str">
        <f ca="1">OFFSET(PO!J$12,ROW(A100)-ROW($A$12),0)</f>
        <v>Serviço</v>
      </c>
      <c r="B100" s="111" t="str">
        <f ca="1">IF($A100=0,"",OFFSET(PO!K$12,ROW(B100)-ROW(B$12),0))</f>
        <v>1.12.14.</v>
      </c>
      <c r="C100" s="108" t="str">
        <f ca="1">IF(OFFSET(PO!N$12,ROW(C100)-ROW(C$12),0)=0,"",OFFSET(PO!N$12,ROW(C100)-ROW(C$12),0))</f>
        <v>TOMADA MÉDIA DE EMBUTIR (3 MÓDULOS), 2P+T 20 A, INCLUINDO SUPORTE E PLACA - FORNECIMENTO E INSTALAÇÃO. AF_03/2023</v>
      </c>
      <c r="D100" s="110" t="str">
        <f ca="1">IF(OFFSET(PO!O$12,ROW(D100)-ROW(D$12),0)=0,"",OFFSET(PO!O$12,ROW(D100)-ROW(D$12),0))</f>
        <v>UN</v>
      </c>
      <c r="E100" s="140">
        <f ca="1">IF($A100&lt;&gt;"Serviço",0,ROUND(SUMIF($F$9:$P$9,"&lt;&gt;",$F100:$P100),15-13*PO!$X$3))</f>
        <v>18</v>
      </c>
      <c r="F100" s="182">
        <f ca="1">OFFSET(PO!$P$12,ROW($E100)-ROW(F$12),0)</f>
        <v>18</v>
      </c>
      <c r="G100" s="182"/>
      <c r="H100" s="182"/>
      <c r="I100" s="182"/>
      <c r="J100" s="182"/>
      <c r="K100" s="182"/>
      <c r="L100" s="182"/>
      <c r="M100" s="182"/>
      <c r="N100" s="182"/>
      <c r="O100" s="182"/>
      <c r="U100" s="182"/>
    </row>
    <row r="101" spans="1:21" s="1" customFormat="1" ht="38.25" x14ac:dyDescent="0.2">
      <c r="A101" s="109" t="str">
        <f ca="1">OFFSET(PO!J$12,ROW(A101)-ROW($A$12),0)</f>
        <v>Serviço</v>
      </c>
      <c r="B101" s="111" t="str">
        <f ca="1">IF($A101=0,"",OFFSET(PO!K$12,ROW(B101)-ROW(B$12),0))</f>
        <v>1.12.15.</v>
      </c>
      <c r="C101" s="108" t="str">
        <f ca="1">IF(OFFSET(PO!N$12,ROW(C101)-ROW(C$12),0)=0,"",OFFSET(PO!N$12,ROW(C101)-ROW(C$12),0))</f>
        <v>LUMINÁRIA ARANDELA TIPO TARTARUGA, DE SOBREPOR, COM 1 LÂMPADA LED DE 6 W, SEM REATOR - FORNECIMENTO E INSTALAÇÃO. AF_09/2024</v>
      </c>
      <c r="D101" s="110" t="str">
        <f ca="1">IF(OFFSET(PO!O$12,ROW(D101)-ROW(D$12),0)=0,"",OFFSET(PO!O$12,ROW(D101)-ROW(D$12),0))</f>
        <v>UN</v>
      </c>
      <c r="E101" s="140">
        <f ca="1">IF($A101&lt;&gt;"Serviço",0,ROUND(SUMIF($F$9:$P$9,"&lt;&gt;",$F101:$P101),15-13*PO!$X$3))</f>
        <v>8</v>
      </c>
      <c r="F101" s="182">
        <f ca="1">OFFSET(PO!$P$12,ROW($E101)-ROW(F$12),0)</f>
        <v>8</v>
      </c>
      <c r="G101" s="182"/>
      <c r="H101" s="182"/>
      <c r="I101" s="182"/>
      <c r="J101" s="182"/>
      <c r="K101" s="182"/>
      <c r="L101" s="182"/>
      <c r="M101" s="182"/>
      <c r="N101" s="182"/>
      <c r="O101" s="182"/>
      <c r="U101" s="182"/>
    </row>
    <row r="102" spans="1:21" s="1" customFormat="1" ht="63.75" x14ac:dyDescent="0.2">
      <c r="A102" s="109" t="str">
        <f ca="1">OFFSET(PO!J$12,ROW(A102)-ROW($A$12),0)</f>
        <v>Serviço</v>
      </c>
      <c r="B102" s="111" t="str">
        <f ca="1">IF($A102=0,"",OFFSET(PO!K$12,ROW(B102)-ROW(B$12),0))</f>
        <v>1.12.16.</v>
      </c>
      <c r="C102" s="108" t="str">
        <f ca="1">IF(OFFSET(PO!N$12,ROW(C102)-ROW(C$12),0)=0,"",OFFSET(PO!N$12,ROW(C102)-ROW(C$12),0))</f>
        <v>LUMINÁRIA CALHA DE SOBREPOR  ALETADA COMPLETAS COM 2 LÂMPADAS TUBULARES DE LED, COM POTENCIA DE 18 WATTS, FLUXO LUMINOSO MINIMO DE 1000 LUMENS, TCC MINIMO DE 6000K, 220 VCA, 60 HZ. LÂMPADAS DEVERÃO POSSUIR SELO PROCEL.</v>
      </c>
      <c r="D102" s="110" t="str">
        <f ca="1">IF(OFFSET(PO!O$12,ROW(D102)-ROW(D$12),0)=0,"",OFFSET(PO!O$12,ROW(D102)-ROW(D$12),0))</f>
        <v>UN</v>
      </c>
      <c r="E102" s="140">
        <f ca="1">IF($A102&lt;&gt;"Serviço",0,ROUND(SUMIF($F$9:$P$9,"&lt;&gt;",$F102:$P102),15-13*PO!$X$3))</f>
        <v>81</v>
      </c>
      <c r="F102" s="182">
        <f ca="1">OFFSET(PO!$P$12,ROW($E102)-ROW(F$12),0)</f>
        <v>81</v>
      </c>
      <c r="G102" s="182"/>
      <c r="H102" s="182"/>
      <c r="I102" s="182"/>
      <c r="J102" s="182"/>
      <c r="K102" s="182"/>
      <c r="L102" s="182"/>
      <c r="M102" s="182"/>
      <c r="N102" s="182"/>
      <c r="O102" s="182"/>
      <c r="U102" s="182"/>
    </row>
    <row r="103" spans="1:21" s="1" customFormat="1" ht="63.75" x14ac:dyDescent="0.2">
      <c r="A103" s="109" t="str">
        <f ca="1">OFFSET(PO!J$12,ROW(A103)-ROW($A$12),0)</f>
        <v>Serviço</v>
      </c>
      <c r="B103" s="111" t="str">
        <f ca="1">IF($A103=0,"",OFFSET(PO!K$12,ROW(B103)-ROW(B$12),0))</f>
        <v>1.12.17.</v>
      </c>
      <c r="C103" s="108" t="str">
        <f ca="1">IF(OFFSET(PO!N$12,ROW(C103)-ROW(C$12),0)=0,"",OFFSET(PO!N$12,ROW(C103)-ROW(C$12),0))</f>
        <v>LUMINÁRIA DE SOBREPOR  COMPLETAS COM 1 LÂMPADAS QUADRADA DE LED, COM POTENCIA DE 18 WATTS, FLUXO LUMINOSO MINIMO DE 1000 LUMENS, TCC MINIMO DE 6000K, 220 VCA, 60 HZ. LÂMPADAS DEVERÃO POSSUIR SELO PROCEL.</v>
      </c>
      <c r="D103" s="110" t="str">
        <f ca="1">IF(OFFSET(PO!O$12,ROW(D103)-ROW(D$12),0)=0,"",OFFSET(PO!O$12,ROW(D103)-ROW(D$12),0))</f>
        <v>UN</v>
      </c>
      <c r="E103" s="140">
        <f ca="1">IF($A103&lt;&gt;"Serviço",0,ROUND(SUMIF($F$9:$P$9,"&lt;&gt;",$F103:$P103),15-13*PO!$X$3))</f>
        <v>22</v>
      </c>
      <c r="F103" s="182">
        <f ca="1">OFFSET(PO!$P$12,ROW($E103)-ROW(F$12),0)</f>
        <v>22</v>
      </c>
      <c r="G103" s="182"/>
      <c r="H103" s="182"/>
      <c r="I103" s="182"/>
      <c r="J103" s="182"/>
      <c r="K103" s="182"/>
      <c r="L103" s="182"/>
      <c r="M103" s="182"/>
      <c r="N103" s="182"/>
      <c r="O103" s="182"/>
      <c r="U103" s="182"/>
    </row>
    <row r="104" spans="1:21" s="1" customFormat="1" ht="63.75" x14ac:dyDescent="0.2">
      <c r="A104" s="109" t="str">
        <f ca="1">OFFSET(PO!J$12,ROW(A104)-ROW($A$12),0)</f>
        <v>Serviço</v>
      </c>
      <c r="B104" s="111" t="str">
        <f ca="1">IF($A104=0,"",OFFSET(PO!K$12,ROW(B104)-ROW(B$12),0))</f>
        <v>1.12.18.</v>
      </c>
      <c r="C104" s="108" t="str">
        <f ca="1">IF(OFFSET(PO!N$12,ROW(C104)-ROW(C$12),0)=0,"",OFFSET(PO!N$12,ROW(C104)-ROW(C$12),0))</f>
        <v>LUMINÁRIA DE SOBREPOR  COMPLETAS COM 1 LÂMPADAS QUADRADA DE LED, COM POTENCIA DE 18 WATTS, FLUXO LUMINOSO MINIMO DE 1000 LUMENS, TCC MINIMO DE 6000K, 220 VCA, 60 HZ. LÂMPADAS DEVERÃO POSSUIR SELO PROCEL.</v>
      </c>
      <c r="D104" s="110" t="str">
        <f ca="1">IF(OFFSET(PO!O$12,ROW(D104)-ROW(D$12),0)=0,"",OFFSET(PO!O$12,ROW(D104)-ROW(D$12),0))</f>
        <v>UN</v>
      </c>
      <c r="E104" s="140">
        <f ca="1">IF($A104&lt;&gt;"Serviço",0,ROUND(SUMIF($F$9:$P$9,"&lt;&gt;",$F104:$P104),15-13*PO!$X$3))</f>
        <v>18</v>
      </c>
      <c r="F104" s="182">
        <f ca="1">OFFSET(PO!$P$12,ROW($E104)-ROW(F$12),0)</f>
        <v>18</v>
      </c>
      <c r="G104" s="182"/>
      <c r="H104" s="182"/>
      <c r="I104" s="182"/>
      <c r="J104" s="182"/>
      <c r="K104" s="182"/>
      <c r="L104" s="182"/>
      <c r="M104" s="182"/>
      <c r="N104" s="182"/>
      <c r="O104" s="182"/>
      <c r="U104" s="182"/>
    </row>
    <row r="105" spans="1:21" s="1" customFormat="1" ht="25.5" x14ac:dyDescent="0.2">
      <c r="A105" s="109" t="str">
        <f ca="1">OFFSET(PO!J$12,ROW(A105)-ROW($A$12),0)</f>
        <v>Serviço</v>
      </c>
      <c r="B105" s="111" t="str">
        <f ca="1">IF($A105=0,"",OFFSET(PO!K$12,ROW(B105)-ROW(B$12),0))</f>
        <v>1.12.19.</v>
      </c>
      <c r="C105" s="108" t="str">
        <f ca="1">IF(OFFSET(PO!N$12,ROW(C105)-ROW(C$12),0)=0,"",OFFSET(PO!N$12,ROW(C105)-ROW(C$12),0))</f>
        <v xml:space="preserve">PONTO DE TOMADA DE REDE RJ45 - FORNECIMENTO E INSTALAÇÃO. </v>
      </c>
      <c r="D105" s="110" t="str">
        <f ca="1">IF(OFFSET(PO!O$12,ROW(D105)-ROW(D$12),0)=0,"",OFFSET(PO!O$12,ROW(D105)-ROW(D$12),0))</f>
        <v>UND</v>
      </c>
      <c r="E105" s="140">
        <f ca="1">IF($A105&lt;&gt;"Serviço",0,ROUND(SUMIF($F$9:$P$9,"&lt;&gt;",$F105:$P105),15-13*PO!$X$3))</f>
        <v>12</v>
      </c>
      <c r="F105" s="182">
        <f ca="1">OFFSET(PO!$P$12,ROW($E105)-ROW(F$12),0)</f>
        <v>12</v>
      </c>
      <c r="G105" s="182"/>
      <c r="H105" s="182"/>
      <c r="I105" s="182"/>
      <c r="J105" s="182"/>
      <c r="K105" s="182"/>
      <c r="L105" s="182"/>
      <c r="M105" s="182"/>
      <c r="N105" s="182"/>
      <c r="O105" s="182"/>
      <c r="U105" s="182"/>
    </row>
    <row r="106" spans="1:21" s="1" customFormat="1" ht="51" x14ac:dyDescent="0.2">
      <c r="A106" s="109" t="str">
        <f ca="1">OFFSET(PO!J$12,ROW(A106)-ROW($A$12),0)</f>
        <v>Serviço</v>
      </c>
      <c r="B106" s="111" t="str">
        <f ca="1">IF($A106=0,"",OFFSET(PO!K$12,ROW(B106)-ROW(B$12),0))</f>
        <v>1.12.20.</v>
      </c>
      <c r="C106" s="108" t="str">
        <f ca="1">IF(OFFSET(PO!N$12,ROW(C106)-ROW(C$12),0)=0,"",OFFSET(PO!N$12,ROW(C106)-ROW(C$12),0))</f>
        <v>QUADRO DE DISTRIBUIÇÃO DE ENERGIA EM CHAPA DE AÇO GALVANIZADO, DE EMBUTIR, COM BARRAMENTO TRIFÁSICO, PARA 30 DISJUNTORES DIN 225A - FORNECIMENTO E INSTALAÇÃO. AF_10/2020</v>
      </c>
      <c r="D106" s="110" t="str">
        <f ca="1">IF(OFFSET(PO!O$12,ROW(D106)-ROW(D$12),0)=0,"",OFFSET(PO!O$12,ROW(D106)-ROW(D$12),0))</f>
        <v>UN</v>
      </c>
      <c r="E106" s="140">
        <f ca="1">IF($A106&lt;&gt;"Serviço",0,ROUND(SUMIF($F$9:$P$9,"&lt;&gt;",$F106:$P106),15-13*PO!$X$3))</f>
        <v>1</v>
      </c>
      <c r="F106" s="182">
        <f ca="1">OFFSET(PO!$P$12,ROW($E106)-ROW(F$12),0)</f>
        <v>1</v>
      </c>
      <c r="G106" s="182"/>
      <c r="H106" s="182"/>
      <c r="I106" s="182"/>
      <c r="J106" s="182"/>
      <c r="K106" s="182"/>
      <c r="L106" s="182"/>
      <c r="M106" s="182"/>
      <c r="N106" s="182"/>
      <c r="O106" s="182"/>
      <c r="U106" s="182"/>
    </row>
    <row r="107" spans="1:21" s="1" customFormat="1" ht="25.5" x14ac:dyDescent="0.2">
      <c r="A107" s="109" t="str">
        <f ca="1">OFFSET(PO!J$12,ROW(A107)-ROW($A$12),0)</f>
        <v>Serviço</v>
      </c>
      <c r="B107" s="111" t="str">
        <f ca="1">IF($A107=0,"",OFFSET(PO!K$12,ROW(B107)-ROW(B$12),0))</f>
        <v>1.12.21.</v>
      </c>
      <c r="C107" s="108" t="str">
        <f ca="1">IF(OFFSET(PO!N$12,ROW(C107)-ROW(C$12),0)=0,"",OFFSET(PO!N$12,ROW(C107)-ROW(C$12),0))</f>
        <v>QUEBRA EM ALVENARIA PARA INSTALAÇÃO DE QUADRO DISTRIBUIÇÃO GRANDE (76X40 CM). AF_09/2023</v>
      </c>
      <c r="D107" s="110" t="str">
        <f ca="1">IF(OFFSET(PO!O$12,ROW(D107)-ROW(D$12),0)=0,"",OFFSET(PO!O$12,ROW(D107)-ROW(D$12),0))</f>
        <v>UN</v>
      </c>
      <c r="E107" s="140">
        <f ca="1">IF($A107&lt;&gt;"Serviço",0,ROUND(SUMIF($F$9:$P$9,"&lt;&gt;",$F107:$P107),15-13*PO!$X$3))</f>
        <v>2</v>
      </c>
      <c r="F107" s="182">
        <f ca="1">OFFSET(PO!$P$12,ROW($E107)-ROW(F$12),0)</f>
        <v>2</v>
      </c>
      <c r="G107" s="182"/>
      <c r="H107" s="182"/>
      <c r="I107" s="182"/>
      <c r="J107" s="182"/>
      <c r="K107" s="182"/>
      <c r="L107" s="182"/>
      <c r="M107" s="182"/>
      <c r="N107" s="182"/>
      <c r="O107" s="182"/>
      <c r="U107" s="182"/>
    </row>
    <row r="108" spans="1:21" s="1" customFormat="1" ht="25.5" x14ac:dyDescent="0.2">
      <c r="A108" s="109" t="str">
        <f ca="1">OFFSET(PO!J$12,ROW(A108)-ROW($A$12),0)</f>
        <v>Serviço</v>
      </c>
      <c r="B108" s="111" t="str">
        <f ca="1">IF($A108=0,"",OFFSET(PO!K$12,ROW(B108)-ROW(B$12),0))</f>
        <v>1.12.22.</v>
      </c>
      <c r="C108" s="108" t="str">
        <f ca="1">IF(OFFSET(PO!N$12,ROW(C108)-ROW(C$12),0)=0,"",OFFSET(PO!N$12,ROW(C108)-ROW(C$12),0))</f>
        <v>QUADRO DE MEDIÇÃO GERAL DE ENERGIA COM 8 MEDIDORES - FORNECIMENTO E INSTALAÇÃO. AF_10/2020</v>
      </c>
      <c r="D108" s="110" t="str">
        <f ca="1">IF(OFFSET(PO!O$12,ROW(D108)-ROW(D$12),0)=0,"",OFFSET(PO!O$12,ROW(D108)-ROW(D$12),0))</f>
        <v>UN</v>
      </c>
      <c r="E108" s="140">
        <f ca="1">IF($A108&lt;&gt;"Serviço",0,ROUND(SUMIF($F$9:$P$9,"&lt;&gt;",$F108:$P108),15-13*PO!$X$3))</f>
        <v>1</v>
      </c>
      <c r="F108" s="182">
        <f ca="1">OFFSET(PO!$P$12,ROW($E108)-ROW(F$12),0)</f>
        <v>1</v>
      </c>
      <c r="G108" s="182"/>
      <c r="H108" s="182"/>
      <c r="I108" s="182"/>
      <c r="J108" s="182"/>
      <c r="K108" s="182"/>
      <c r="L108" s="182"/>
      <c r="M108" s="182"/>
      <c r="N108" s="182"/>
      <c r="O108" s="182"/>
      <c r="U108" s="182"/>
    </row>
    <row r="109" spans="1:21" s="1" customFormat="1" ht="25.5" x14ac:dyDescent="0.2">
      <c r="A109" s="109" t="str">
        <f ca="1">OFFSET(PO!J$12,ROW(A109)-ROW($A$12),0)</f>
        <v>Serviço</v>
      </c>
      <c r="B109" s="111" t="str">
        <f ca="1">IF($A109=0,"",OFFSET(PO!K$12,ROW(B109)-ROW(B$12),0))</f>
        <v>1.12.23.</v>
      </c>
      <c r="C109" s="108" t="str">
        <f ca="1">IF(OFFSET(PO!N$12,ROW(C109)-ROW(C$12),0)=0,"",OFFSET(PO!N$12,ROW(C109)-ROW(C$12),0))</f>
        <v>RASGO E CHUMBAMENTO EM ALVENARIA PARA TUBOS DE SPLIT PAREDE DE 9000 A 24000 BTUS/H. AF_11/2021</v>
      </c>
      <c r="D109" s="110" t="str">
        <f ca="1">IF(OFFSET(PO!O$12,ROW(D109)-ROW(D$12),0)=0,"",OFFSET(PO!O$12,ROW(D109)-ROW(D$12),0))</f>
        <v>UN</v>
      </c>
      <c r="E109" s="140">
        <f ca="1">IF($A109&lt;&gt;"Serviço",0,ROUND(SUMIF($F$9:$P$9,"&lt;&gt;",$F109:$P109),15-13*PO!$X$3))</f>
        <v>9</v>
      </c>
      <c r="F109" s="182">
        <f ca="1">OFFSET(PO!$P$12,ROW($E109)-ROW(F$12),0)</f>
        <v>9</v>
      </c>
      <c r="G109" s="182"/>
      <c r="H109" s="182"/>
      <c r="I109" s="182"/>
      <c r="J109" s="182"/>
      <c r="K109" s="182"/>
      <c r="L109" s="182"/>
      <c r="M109" s="182"/>
      <c r="N109" s="182"/>
      <c r="O109" s="182"/>
      <c r="U109" s="182"/>
    </row>
    <row r="110" spans="1:21" s="1" customFormat="1" ht="25.5" x14ac:dyDescent="0.2">
      <c r="A110" s="109" t="str">
        <f ca="1">OFFSET(PO!J$12,ROW(A110)-ROW($A$12),0)</f>
        <v>Serviço</v>
      </c>
      <c r="B110" s="111" t="str">
        <f ca="1">IF($A110=0,"",OFFSET(PO!K$12,ROW(B110)-ROW(B$12),0))</f>
        <v>1.12.24.</v>
      </c>
      <c r="C110" s="108" t="str">
        <f ca="1">IF(OFFSET(PO!N$12,ROW(C110)-ROW(C$12),0)=0,"",OFFSET(PO!N$12,ROW(C110)-ROW(C$12),0))</f>
        <v>RASGO LINEAR MANUAL EM ALVENARIA, PARA ELETRODUTOS, DIÂMETROS MENORES OU IGUAIS A 40 MM. AF_09/2023</v>
      </c>
      <c r="D110" s="110" t="str">
        <f ca="1">IF(OFFSET(PO!O$12,ROW(D110)-ROW(D$12),0)=0,"",OFFSET(PO!O$12,ROW(D110)-ROW(D$12),0))</f>
        <v>M</v>
      </c>
      <c r="E110" s="140">
        <f ca="1">IF($A110&lt;&gt;"Serviço",0,ROUND(SUMIF($F$9:$P$9,"&lt;&gt;",$F110:$P110),15-13*PO!$X$3))</f>
        <v>276</v>
      </c>
      <c r="F110" s="182">
        <f ca="1">OFFSET(PO!$P$12,ROW($E110)-ROW(F$12),0)</f>
        <v>276</v>
      </c>
      <c r="G110" s="182"/>
      <c r="H110" s="182"/>
      <c r="I110" s="182"/>
      <c r="J110" s="182"/>
      <c r="K110" s="182"/>
      <c r="L110" s="182"/>
      <c r="M110" s="182"/>
      <c r="N110" s="182"/>
      <c r="O110" s="182"/>
      <c r="U110" s="182"/>
    </row>
    <row r="111" spans="1:21" s="1" customFormat="1" ht="25.5" x14ac:dyDescent="0.2">
      <c r="A111" s="109" t="str">
        <f ca="1">OFFSET(PO!J$12,ROW(A111)-ROW($A$12),0)</f>
        <v>Serviço</v>
      </c>
      <c r="B111" s="111" t="str">
        <f ca="1">IF($A111=0,"",OFFSET(PO!K$12,ROW(B111)-ROW(B$12),0))</f>
        <v>1.12.25.</v>
      </c>
      <c r="C111" s="108" t="str">
        <f ca="1">IF(OFFSET(PO!N$12,ROW(C111)-ROW(C$12),0)=0,"",OFFSET(PO!N$12,ROW(C111)-ROW(C$12),0))</f>
        <v>SENSOR DE PRESENÇA COM FOTOCÉLULA, FIXAÇÃO EM TETO - FORNECIMENTO E INSTALAÇÃO. AF_09/2024</v>
      </c>
      <c r="D111" s="110" t="str">
        <f ca="1">IF(OFFSET(PO!O$12,ROW(D111)-ROW(D$12),0)=0,"",OFFSET(PO!O$12,ROW(D111)-ROW(D$12),0))</f>
        <v>UN</v>
      </c>
      <c r="E111" s="140">
        <f ca="1">IF($A111&lt;&gt;"Serviço",0,ROUND(SUMIF($F$9:$P$9,"&lt;&gt;",$F111:$P111),15-13*PO!$X$3))</f>
        <v>6</v>
      </c>
      <c r="F111" s="182">
        <f ca="1">OFFSET(PO!$P$12,ROW($E111)-ROW(F$12),0)</f>
        <v>6</v>
      </c>
      <c r="G111" s="182"/>
      <c r="H111" s="182"/>
      <c r="I111" s="182"/>
      <c r="J111" s="182"/>
      <c r="K111" s="182"/>
      <c r="L111" s="182"/>
      <c r="M111" s="182"/>
      <c r="N111" s="182"/>
      <c r="O111" s="182"/>
      <c r="U111" s="182"/>
    </row>
    <row r="112" spans="1:21" s="1" customFormat="1" ht="25.5" x14ac:dyDescent="0.2">
      <c r="A112" s="109" t="str">
        <f ca="1">OFFSET(PO!J$12,ROW(A112)-ROW($A$12),0)</f>
        <v>Serviço</v>
      </c>
      <c r="B112" s="111" t="str">
        <f ca="1">IF($A112=0,"",OFFSET(PO!K$12,ROW(B112)-ROW(B$12),0))</f>
        <v>1.12.26.</v>
      </c>
      <c r="C112" s="108" t="str">
        <f ca="1">IF(OFFSET(PO!N$12,ROW(C112)-ROW(C$12),0)=0,"",OFFSET(PO!N$12,ROW(C112)-ROW(C$12),0))</f>
        <v>DISJUNTOR BIPOLAR TIPO DIN, CORRENTE NOMINAL DE 16A - FORNECIMENTO E INSTALAÇÃO. AF_10/2020</v>
      </c>
      <c r="D112" s="110" t="str">
        <f ca="1">IF(OFFSET(PO!O$12,ROW(D112)-ROW(D$12),0)=0,"",OFFSET(PO!O$12,ROW(D112)-ROW(D$12),0))</f>
        <v>UN</v>
      </c>
      <c r="E112" s="140">
        <f ca="1">IF($A112&lt;&gt;"Serviço",0,ROUND(SUMIF($F$9:$P$9,"&lt;&gt;",$F112:$P112),15-13*PO!$X$3))</f>
        <v>5</v>
      </c>
      <c r="F112" s="182">
        <f ca="1">OFFSET(PO!$P$12,ROW($E112)-ROW(F$12),0)</f>
        <v>5</v>
      </c>
      <c r="G112" s="182"/>
      <c r="H112" s="182"/>
      <c r="I112" s="182"/>
      <c r="J112" s="182"/>
      <c r="K112" s="182"/>
      <c r="L112" s="182"/>
      <c r="M112" s="182"/>
      <c r="N112" s="182"/>
      <c r="O112" s="182"/>
      <c r="U112" s="182"/>
    </row>
    <row r="113" spans="1:21" s="1" customFormat="1" ht="25.5" x14ac:dyDescent="0.2">
      <c r="A113" s="109" t="str">
        <f ca="1">OFFSET(PO!J$12,ROW(A113)-ROW($A$12),0)</f>
        <v>Serviço</v>
      </c>
      <c r="B113" s="111" t="str">
        <f ca="1">IF($A113=0,"",OFFSET(PO!K$12,ROW(B113)-ROW(B$12),0))</f>
        <v>1.12.27.</v>
      </c>
      <c r="C113" s="108" t="str">
        <f ca="1">IF(OFFSET(PO!N$12,ROW(C113)-ROW(C$12),0)=0,"",OFFSET(PO!N$12,ROW(C113)-ROW(C$12),0))</f>
        <v>DISJUNTOR BIPOLAR TIPO DIN, CORRENTE NOMINAL DE 32A - FORNECIMENTO E INSTALAÇÃO. AF_10/2020</v>
      </c>
      <c r="D113" s="110" t="str">
        <f ca="1">IF(OFFSET(PO!O$12,ROW(D113)-ROW(D$12),0)=0,"",OFFSET(PO!O$12,ROW(D113)-ROW(D$12),0))</f>
        <v>UN</v>
      </c>
      <c r="E113" s="140">
        <f ca="1">IF($A113&lt;&gt;"Serviço",0,ROUND(SUMIF($F$9:$P$9,"&lt;&gt;",$F113:$P113),15-13*PO!$X$3))</f>
        <v>5</v>
      </c>
      <c r="F113" s="182">
        <f ca="1">OFFSET(PO!$P$12,ROW($E113)-ROW(F$12),0)</f>
        <v>5</v>
      </c>
      <c r="G113" s="182"/>
      <c r="H113" s="182"/>
      <c r="I113" s="182"/>
      <c r="J113" s="182"/>
      <c r="K113" s="182"/>
      <c r="L113" s="182"/>
      <c r="M113" s="182"/>
      <c r="N113" s="182"/>
      <c r="O113" s="182"/>
      <c r="U113" s="182"/>
    </row>
    <row r="114" spans="1:21" s="1" customFormat="1" ht="25.5" x14ac:dyDescent="0.2">
      <c r="A114" s="109" t="str">
        <f ca="1">OFFSET(PO!J$12,ROW(A114)-ROW($A$12),0)</f>
        <v>Serviço</v>
      </c>
      <c r="B114" s="111" t="str">
        <f ca="1">IF($A114=0,"",OFFSET(PO!K$12,ROW(B114)-ROW(B$12),0))</f>
        <v>1.12.28.</v>
      </c>
      <c r="C114" s="108" t="str">
        <f ca="1">IF(OFFSET(PO!N$12,ROW(C114)-ROW(C$12),0)=0,"",OFFSET(PO!N$12,ROW(C114)-ROW(C$12),0))</f>
        <v>DISJUNTOR BIPOLAR TIPO DIN, CORRENTE NOMINAL DE 20A - FORNECIMENTO E INSTALAÇÃO. AF_10/2020</v>
      </c>
      <c r="D114" s="110" t="str">
        <f ca="1">IF(OFFSET(PO!O$12,ROW(D114)-ROW(D$12),0)=0,"",OFFSET(PO!O$12,ROW(D114)-ROW(D$12),0))</f>
        <v>UN</v>
      </c>
      <c r="E114" s="140">
        <f ca="1">IF($A114&lt;&gt;"Serviço",0,ROUND(SUMIF($F$9:$P$9,"&lt;&gt;",$F114:$P114),15-13*PO!$X$3))</f>
        <v>16</v>
      </c>
      <c r="F114" s="182">
        <f ca="1">OFFSET(PO!$P$12,ROW($E114)-ROW(F$12),0)</f>
        <v>16</v>
      </c>
      <c r="G114" s="182"/>
      <c r="H114" s="182"/>
      <c r="I114" s="182"/>
      <c r="J114" s="182"/>
      <c r="K114" s="182"/>
      <c r="L114" s="182"/>
      <c r="M114" s="182"/>
      <c r="N114" s="182"/>
      <c r="O114" s="182"/>
      <c r="U114" s="182"/>
    </row>
    <row r="115" spans="1:21" s="1" customFormat="1" x14ac:dyDescent="0.2">
      <c r="A115" s="109" t="str">
        <f ca="1">OFFSET(PO!J$12,ROW(A115)-ROW($A$12),0)</f>
        <v>Serviço</v>
      </c>
      <c r="B115" s="111" t="str">
        <f ca="1">IF($A115=0,"",OFFSET(PO!K$12,ROW(B115)-ROW(B$12),0))</f>
        <v>1.12.29.</v>
      </c>
      <c r="C115" s="108" t="str">
        <f ca="1">IF(OFFSET(PO!N$12,ROW(C115)-ROW(C$12),0)=0,"",OFFSET(PO!N$12,ROW(C115)-ROW(C$12),0))</f>
        <v>AR CONDICIONADO SPLIT ON/OFF, CASSETE (TETO), 18000 BTU/H, CICLO QUENTE/FRIO - FORNECIMENTO E INSTALAÇÃO. AF_11/2021_PE</v>
      </c>
      <c r="D115" s="110" t="str">
        <f ca="1">IF(OFFSET(PO!O$12,ROW(D115)-ROW(D$12),0)=0,"",OFFSET(PO!O$12,ROW(D115)-ROW(D$12),0))</f>
        <v>UN</v>
      </c>
      <c r="E115" s="140">
        <f ca="1">IF($A115&lt;&gt;"Serviço",0,ROUND(SUMIF($F$9:$P$9,"&lt;&gt;",$F115:$P115),15-13*PO!$X$3))</f>
        <v>5</v>
      </c>
      <c r="F115" s="182">
        <f ca="1">OFFSET(PO!$P$12,ROW($E115)-ROW(F$12),0)</f>
        <v>5</v>
      </c>
      <c r="G115" s="182"/>
      <c r="H115" s="182"/>
      <c r="I115" s="182"/>
      <c r="J115" s="182"/>
      <c r="K115" s="182"/>
      <c r="L115" s="182"/>
      <c r="M115" s="182"/>
      <c r="N115" s="182"/>
      <c r="O115" s="182"/>
      <c r="U115" s="182"/>
    </row>
    <row r="116" spans="1:21" s="1" customFormat="1" x14ac:dyDescent="0.2">
      <c r="A116" s="109" t="str">
        <f ca="1">OFFSET(PO!J$12,ROW(A116)-ROW($A$12),0)</f>
        <v>Serviço</v>
      </c>
      <c r="B116" s="111" t="str">
        <f ca="1">IF($A116=0,"",OFFSET(PO!K$12,ROW(B116)-ROW(B$12),0))</f>
        <v>1.12.30.</v>
      </c>
      <c r="C116" s="108" t="str">
        <f ca="1">IF(OFFSET(PO!N$12,ROW(C116)-ROW(C$12),0)=0,"",OFFSET(PO!N$12,ROW(C116)-ROW(C$12),0))</f>
        <v>AR CONDICIONADO SPLIT ON/OFF, CASSETE (TETO), 24000 BTU/H, CICLO QUENTE/FRIO - FORNECIMENTO E INSTALAÇÃO. AF_11/2021_PE</v>
      </c>
      <c r="D116" s="110" t="str">
        <f ca="1">IF(OFFSET(PO!O$12,ROW(D116)-ROW(D$12),0)=0,"",OFFSET(PO!O$12,ROW(D116)-ROW(D$12),0))</f>
        <v>UN</v>
      </c>
      <c r="E116" s="140">
        <f ca="1">IF($A116&lt;&gt;"Serviço",0,ROUND(SUMIF($F$9:$P$9,"&lt;&gt;",$F116:$P116),15-13*PO!$X$3))</f>
        <v>2</v>
      </c>
      <c r="F116" s="182">
        <f ca="1">OFFSET(PO!$P$12,ROW($E116)-ROW(F$12),0)</f>
        <v>2</v>
      </c>
      <c r="G116" s="182"/>
      <c r="H116" s="182"/>
      <c r="I116" s="182"/>
      <c r="J116" s="182"/>
      <c r="K116" s="182"/>
      <c r="L116" s="182"/>
      <c r="M116" s="182"/>
      <c r="N116" s="182"/>
      <c r="O116" s="182"/>
      <c r="U116" s="182"/>
    </row>
    <row r="117" spans="1:21" s="1" customFormat="1" x14ac:dyDescent="0.2">
      <c r="A117" s="109" t="str">
        <f ca="1">OFFSET(PO!J$12,ROW(A117)-ROW($A$12),0)</f>
        <v>Serviço</v>
      </c>
      <c r="B117" s="111" t="str">
        <f ca="1">IF($A117=0,"",OFFSET(PO!K$12,ROW(B117)-ROW(B$12),0))</f>
        <v>1.12.31.</v>
      </c>
      <c r="C117" s="108" t="str">
        <f ca="1">IF(OFFSET(PO!N$12,ROW(C117)-ROW(C$12),0)=0,"",OFFSET(PO!N$12,ROW(C117)-ROW(C$12),0))</f>
        <v>AR CONDICIONADO SPLIT ON/OFF, HI-WALL (PAREDE), 12000 BTUS/H, CICLO QUENTE/FRIO - FORNECIMENTO E INSTALAÇÃO. AF_11/2021_PE</v>
      </c>
      <c r="D117" s="110" t="str">
        <f ca="1">IF(OFFSET(PO!O$12,ROW(D117)-ROW(D$12),0)=0,"",OFFSET(PO!O$12,ROW(D117)-ROW(D$12),0))</f>
        <v>UN</v>
      </c>
      <c r="E117" s="140">
        <f ca="1">IF($A117&lt;&gt;"Serviço",0,ROUND(SUMIF($F$9:$P$9,"&lt;&gt;",$F117:$P117),15-13*PO!$X$3))</f>
        <v>2</v>
      </c>
      <c r="F117" s="182">
        <f ca="1">OFFSET(PO!$P$12,ROW($E117)-ROW(F$12),0)</f>
        <v>2</v>
      </c>
      <c r="G117" s="182"/>
      <c r="H117" s="182"/>
      <c r="I117" s="182"/>
      <c r="J117" s="182"/>
      <c r="K117" s="182"/>
      <c r="L117" s="182"/>
      <c r="M117" s="182"/>
      <c r="N117" s="182"/>
      <c r="O117" s="182"/>
      <c r="U117" s="182"/>
    </row>
    <row r="118" spans="1:21" s="1" customFormat="1" x14ac:dyDescent="0.2">
      <c r="A118" s="109" t="str">
        <f ca="1">OFFSET(PO!J$12,ROW(A118)-ROW($A$12),0)</f>
        <v>Nível 2</v>
      </c>
      <c r="B118" s="111" t="str">
        <f ca="1">IF($A118=0,"",OFFSET(PO!K$12,ROW(B118)-ROW(B$12),0))</f>
        <v>1.13.</v>
      </c>
      <c r="C118" s="108" t="str">
        <f ca="1">IF(OFFSET(PO!N$12,ROW(C118)-ROW(C$12),0)=0,"",OFFSET(PO!N$12,ROW(C118)-ROW(C$12),0))</f>
        <v>INSTALAÇÕES HIDROSSANITÁRIAS</v>
      </c>
      <c r="D118" s="110" t="str">
        <f ca="1">IF(OFFSET(PO!O$12,ROW(D118)-ROW(D$12),0)=0,"",OFFSET(PO!O$12,ROW(D118)-ROW(D$12),0))</f>
        <v/>
      </c>
      <c r="E118" s="140">
        <f ca="1">IF($A118&lt;&gt;"Serviço",0,ROUND(SUMIF($F$9:$P$9,"&lt;&gt;",$F118:$P118),15-13*PO!$X$3))</f>
        <v>0</v>
      </c>
      <c r="F118" s="182">
        <f ca="1">OFFSET(PO!$P$12,ROW($E118)-ROW(F$12),0)</f>
        <v>0</v>
      </c>
      <c r="G118" s="182"/>
      <c r="H118" s="182"/>
      <c r="I118" s="182"/>
      <c r="J118" s="182"/>
      <c r="K118" s="182"/>
      <c r="L118" s="182"/>
      <c r="M118" s="182"/>
      <c r="N118" s="182"/>
      <c r="O118" s="182"/>
      <c r="U118" s="182"/>
    </row>
    <row r="119" spans="1:21" s="1" customFormat="1" ht="38.25" x14ac:dyDescent="0.2">
      <c r="A119" s="109" t="str">
        <f ca="1">OFFSET(PO!J$12,ROW(A119)-ROW($A$12),0)</f>
        <v>Serviço</v>
      </c>
      <c r="B119" s="111" t="str">
        <f ca="1">IF($A119=0,"",OFFSET(PO!K$12,ROW(B119)-ROW(B$12),0))</f>
        <v>1.13.1.</v>
      </c>
      <c r="C119" s="108" t="str">
        <f ca="1">IF(OFFSET(PO!N$12,ROW(C119)-ROW(C$12),0)=0,"",OFFSET(PO!N$12,ROW(C119)-ROW(C$12),0))</f>
        <v>CAIXA D´ÁGUA EM POLIÉSTER REFORÇADO COM FIBRA DE VIDRO, 5000 LITROS - FORNECIMENTO E INSTALAÇÃO. AF_06/2021</v>
      </c>
      <c r="D119" s="110" t="str">
        <f ca="1">IF(OFFSET(PO!O$12,ROW(D119)-ROW(D$12),0)=0,"",OFFSET(PO!O$12,ROW(D119)-ROW(D$12),0))</f>
        <v>UN</v>
      </c>
      <c r="E119" s="140">
        <f ca="1">IF($A119&lt;&gt;"Serviço",0,ROUND(SUMIF($F$9:$P$9,"&lt;&gt;",$F119:$P119),15-13*PO!$X$3))</f>
        <v>1</v>
      </c>
      <c r="F119" s="182">
        <f ca="1">OFFSET(PO!$P$12,ROW($E119)-ROW(F$12),0)</f>
        <v>1</v>
      </c>
      <c r="G119" s="182"/>
      <c r="H119" s="182"/>
      <c r="I119" s="182"/>
      <c r="J119" s="182"/>
      <c r="K119" s="182"/>
      <c r="L119" s="182"/>
      <c r="M119" s="182"/>
      <c r="N119" s="182"/>
      <c r="O119" s="182"/>
      <c r="U119" s="182"/>
    </row>
    <row r="120" spans="1:21" s="1" customFormat="1" ht="25.5" x14ac:dyDescent="0.2">
      <c r="A120" s="109" t="str">
        <f ca="1">OFFSET(PO!J$12,ROW(A120)-ROW($A$12),0)</f>
        <v>Serviço</v>
      </c>
      <c r="B120" s="111" t="str">
        <f ca="1">IF($A120=0,"",OFFSET(PO!K$12,ROW(B120)-ROW(B$12),0))</f>
        <v>1.13.2.</v>
      </c>
      <c r="C120" s="108" t="str">
        <f ca="1">IF(OFFSET(PO!N$12,ROW(C120)-ROW(C$12),0)=0,"",OFFSET(PO!N$12,ROW(C120)-ROW(C$12),0))</f>
        <v>TORNEIRA DE BOIA PARA CAIXA D'ÁGUA, ROSCÁVEL, 3/4" - FORNECIMENTO E INSTALAÇÃO. AF_08/2021</v>
      </c>
      <c r="D120" s="110" t="str">
        <f ca="1">IF(OFFSET(PO!O$12,ROW(D120)-ROW(D$12),0)=0,"",OFFSET(PO!O$12,ROW(D120)-ROW(D$12),0))</f>
        <v>UN</v>
      </c>
      <c r="E120" s="140">
        <f ca="1">IF($A120&lt;&gt;"Serviço",0,ROUND(SUMIF($F$9:$P$9,"&lt;&gt;",$F120:$P120),15-13*PO!$X$3))</f>
        <v>1</v>
      </c>
      <c r="F120" s="182">
        <f ca="1">OFFSET(PO!$P$12,ROW($E120)-ROW(F$12),0)</f>
        <v>1</v>
      </c>
      <c r="G120" s="182"/>
      <c r="H120" s="182"/>
      <c r="I120" s="182"/>
      <c r="J120" s="182"/>
      <c r="K120" s="182"/>
      <c r="L120" s="182"/>
      <c r="M120" s="182"/>
      <c r="N120" s="182"/>
      <c r="O120" s="182"/>
      <c r="U120" s="182"/>
    </row>
    <row r="121" spans="1:21" s="1" customFormat="1" ht="51" x14ac:dyDescent="0.2">
      <c r="A121" s="109" t="str">
        <f ca="1">OFFSET(PO!J$12,ROW(A121)-ROW($A$12),0)</f>
        <v>Serviço</v>
      </c>
      <c r="B121" s="111" t="str">
        <f ca="1">IF($A121=0,"",OFFSET(PO!K$12,ROW(B121)-ROW(B$12),0))</f>
        <v>1.13.3.</v>
      </c>
      <c r="C121" s="108" t="str">
        <f ca="1">IF(OFFSET(PO!N$12,ROW(C121)-ROW(C$12),0)=0,"",OFFSET(PO!N$12,ROW(C121)-ROW(C$12),0))</f>
        <v>TANQUE SÉPTICO CIRCULAR, EM CONCRETO PRÉ-MOLDADO, DIÂMETRO INTERNO = 1,40 M, ALTURA INTERNA = 2,50 M, VOLUME ÚTIL: 3463,6 L (PARA 13 CONTRIBUINTES). AF_12/2020_PA</v>
      </c>
      <c r="D121" s="110" t="str">
        <f ca="1">IF(OFFSET(PO!O$12,ROW(D121)-ROW(D$12),0)=0,"",OFFSET(PO!O$12,ROW(D121)-ROW(D$12),0))</f>
        <v>UN</v>
      </c>
      <c r="E121" s="140">
        <f ca="1">IF($A121&lt;&gt;"Serviço",0,ROUND(SUMIF($F$9:$P$9,"&lt;&gt;",$F121:$P121),15-13*PO!$X$3))</f>
        <v>1</v>
      </c>
      <c r="F121" s="182">
        <f ca="1">OFFSET(PO!$P$12,ROW($E121)-ROW(F$12),0)</f>
        <v>1</v>
      </c>
      <c r="G121" s="182"/>
      <c r="H121" s="182"/>
      <c r="I121" s="182"/>
      <c r="J121" s="182"/>
      <c r="K121" s="182"/>
      <c r="L121" s="182"/>
      <c r="M121" s="182"/>
      <c r="N121" s="182"/>
      <c r="O121" s="182"/>
      <c r="U121" s="182"/>
    </row>
    <row r="122" spans="1:21" s="1" customFormat="1" ht="51" x14ac:dyDescent="0.2">
      <c r="A122" s="109" t="str">
        <f ca="1">OFFSET(PO!J$12,ROW(A122)-ROW($A$12),0)</f>
        <v>Serviço</v>
      </c>
      <c r="B122" s="111" t="str">
        <f ca="1">IF($A122=0,"",OFFSET(PO!K$12,ROW(B122)-ROW(B$12),0))</f>
        <v>1.13.4.</v>
      </c>
      <c r="C122" s="108" t="str">
        <f ca="1">IF(OFFSET(PO!N$12,ROW(C122)-ROW(C$12),0)=0,"",OFFSET(PO!N$12,ROW(C122)-ROW(C$12),0))</f>
        <v>TANQUE SÉPTICO CIRCULAR, EM CONCRETO PRÉ-MOLDADO, DIÂMETRO INTERNO = 1,88 M, ALTURA INTERNA = 2,50 M, VOLUME ÚTIL: 6245,8 L (PARA 32 CONTRIBUINTES). AF_12/2020_PA</v>
      </c>
      <c r="D122" s="110" t="str">
        <f ca="1">IF(OFFSET(PO!O$12,ROW(D122)-ROW(D$12),0)=0,"",OFFSET(PO!O$12,ROW(D122)-ROW(D$12),0))</f>
        <v>UN</v>
      </c>
      <c r="E122" s="140">
        <f ca="1">IF($A122&lt;&gt;"Serviço",0,ROUND(SUMIF($F$9:$P$9,"&lt;&gt;",$F122:$P122),15-13*PO!$X$3))</f>
        <v>1</v>
      </c>
      <c r="F122" s="182">
        <f ca="1">OFFSET(PO!$P$12,ROW($E122)-ROW(F$12),0)</f>
        <v>1</v>
      </c>
      <c r="G122" s="182"/>
      <c r="H122" s="182"/>
      <c r="I122" s="182"/>
      <c r="J122" s="182"/>
      <c r="K122" s="182"/>
      <c r="L122" s="182"/>
      <c r="M122" s="182"/>
      <c r="N122" s="182"/>
      <c r="O122" s="182"/>
      <c r="U122" s="182"/>
    </row>
    <row r="123" spans="1:21" s="1" customFormat="1" ht="51" x14ac:dyDescent="0.2">
      <c r="A123" s="109" t="str">
        <f ca="1">OFFSET(PO!J$12,ROW(A123)-ROW($A$12),0)</f>
        <v>Serviço</v>
      </c>
      <c r="B123" s="111" t="str">
        <f ca="1">IF($A123=0,"",OFFSET(PO!K$12,ROW(B123)-ROW(B$12),0))</f>
        <v>1.13.5.</v>
      </c>
      <c r="C123" s="108" t="str">
        <f ca="1">IF(OFFSET(PO!N$12,ROW(C123)-ROW(C$12),0)=0,"",OFFSET(PO!N$12,ROW(C123)-ROW(C$12),0))</f>
        <v>FILTRO ANAERÓBIO CIRCULAR, EM CONCRETO PRÉ-MOLDADO, DIÂMETRO INTERNO = 1,88 M, ALTURA INTERNA = 1,50 M, VOLUME ÚTIL: 3331,1 L (PARA 19 CONTRIBUINTES). AF_12/2020_PA</v>
      </c>
      <c r="D123" s="110" t="str">
        <f ca="1">IF(OFFSET(PO!O$12,ROW(D123)-ROW(D$12),0)=0,"",OFFSET(PO!O$12,ROW(D123)-ROW(D$12),0))</f>
        <v>UN</v>
      </c>
      <c r="E123" s="140">
        <f ca="1">IF($A123&lt;&gt;"Serviço",0,ROUND(SUMIF($F$9:$P$9,"&lt;&gt;",$F123:$P123),15-13*PO!$X$3))</f>
        <v>3</v>
      </c>
      <c r="F123" s="182">
        <f ca="1">OFFSET(PO!$P$12,ROW($E123)-ROW(F$12),0)</f>
        <v>3</v>
      </c>
      <c r="G123" s="182"/>
      <c r="H123" s="182"/>
      <c r="I123" s="182"/>
      <c r="J123" s="182"/>
      <c r="K123" s="182"/>
      <c r="L123" s="182"/>
      <c r="M123" s="182"/>
      <c r="N123" s="182"/>
      <c r="O123" s="182"/>
      <c r="U123" s="182"/>
    </row>
    <row r="124" spans="1:21" s="1" customFormat="1" ht="38.25" x14ac:dyDescent="0.2">
      <c r="A124" s="109" t="str">
        <f ca="1">OFFSET(PO!J$12,ROW(A124)-ROW($A$12),0)</f>
        <v>Serviço</v>
      </c>
      <c r="B124" s="111" t="str">
        <f ca="1">IF($A124=0,"",OFFSET(PO!K$12,ROW(B124)-ROW(B$12),0))</f>
        <v>1.13.6.</v>
      </c>
      <c r="C124" s="108" t="str">
        <f ca="1">IF(OFFSET(PO!N$12,ROW(C124)-ROW(C$12),0)=0,"",OFFSET(PO!N$12,ROW(C124)-ROW(C$12),0))</f>
        <v>CAIXA COM GRELHA RETANGULAR DE FERRO FUNDIDO, EM ALVENARIA COM BLOCOS DE CONCRETO, DIMENSÕES INTERNAS: 0,30 X 1,00 X 1,00. AF_12/2020</v>
      </c>
      <c r="D124" s="110" t="str">
        <f ca="1">IF(OFFSET(PO!O$12,ROW(D124)-ROW(D$12),0)=0,"",OFFSET(PO!O$12,ROW(D124)-ROW(D$12),0))</f>
        <v>UN</v>
      </c>
      <c r="E124" s="140">
        <f ca="1">IF($A124&lt;&gt;"Serviço",0,ROUND(SUMIF($F$9:$P$9,"&lt;&gt;",$F124:$P124),15-13*PO!$X$3))</f>
        <v>4</v>
      </c>
      <c r="F124" s="182">
        <f ca="1">OFFSET(PO!$P$12,ROW($E124)-ROW(F$12),0)</f>
        <v>4</v>
      </c>
      <c r="G124" s="182"/>
      <c r="H124" s="182"/>
      <c r="I124" s="182"/>
      <c r="J124" s="182"/>
      <c r="K124" s="182"/>
      <c r="L124" s="182"/>
      <c r="M124" s="182"/>
      <c r="N124" s="182"/>
      <c r="O124" s="182"/>
      <c r="U124" s="182"/>
    </row>
    <row r="125" spans="1:21" s="1" customFormat="1" ht="51" x14ac:dyDescent="0.2">
      <c r="A125" s="109" t="str">
        <f ca="1">OFFSET(PO!J$12,ROW(A125)-ROW($A$12),0)</f>
        <v>Serviço</v>
      </c>
      <c r="B125" s="111" t="str">
        <f ca="1">IF($A125=0,"",OFFSET(PO!K$12,ROW(B125)-ROW(B$12),0))</f>
        <v>1.13.7.</v>
      </c>
      <c r="C125" s="108" t="str">
        <f ca="1">IF(OFFSET(PO!N$12,ROW(C125)-ROW(C$12),0)=0,"",OFFSET(PO!N$12,ROW(C125)-ROW(C$12),0))</f>
        <v>SUMIDOURO RETANGULAR, EM ALVENARIA COM BLOCOS DE CONCRETO, DIMENSÕES INTERNAS: 1,6 X 3,4 X H=3,0 M, ÁREA DE INFILTRAÇÃO: 32,9 M² (PARA 13 CONTRIBUINTES). . AF_12/2020</v>
      </c>
      <c r="D125" s="110" t="str">
        <f ca="1">IF(OFFSET(PO!O$12,ROW(D125)-ROW(D$12),0)=0,"",OFFSET(PO!O$12,ROW(D125)-ROW(D$12),0))</f>
        <v>UN</v>
      </c>
      <c r="E125" s="140">
        <f ca="1">IF($A125&lt;&gt;"Serviço",0,ROUND(SUMIF($F$9:$P$9,"&lt;&gt;",$F125:$P125),15-13*PO!$X$3))</f>
        <v>1</v>
      </c>
      <c r="F125" s="182">
        <f ca="1">OFFSET(PO!$P$12,ROW($E125)-ROW(F$12),0)</f>
        <v>1</v>
      </c>
      <c r="G125" s="182"/>
      <c r="H125" s="182"/>
      <c r="I125" s="182"/>
      <c r="J125" s="182"/>
      <c r="K125" s="182"/>
      <c r="L125" s="182"/>
      <c r="M125" s="182"/>
      <c r="N125" s="182"/>
      <c r="O125" s="182"/>
      <c r="U125" s="182"/>
    </row>
    <row r="126" spans="1:21" s="1" customFormat="1" ht="38.25" x14ac:dyDescent="0.2">
      <c r="A126" s="109" t="str">
        <f ca="1">OFFSET(PO!J$12,ROW(A126)-ROW($A$12),0)</f>
        <v>Serviço</v>
      </c>
      <c r="B126" s="111" t="str">
        <f ca="1">IF($A126=0,"",OFFSET(PO!K$12,ROW(B126)-ROW(B$12),0))</f>
        <v>1.13.8.</v>
      </c>
      <c r="C126" s="108" t="str">
        <f ca="1">IF(OFFSET(PO!N$12,ROW(C126)-ROW(C$12),0)=0,"",OFFSET(PO!N$12,ROW(C126)-ROW(C$12),0))</f>
        <v>SUMIDOURO RETANGULAR, EM ALVENARIA COM BLOCOS DE CONCRETO, DIMENSÕES INTERNAS: 1,0 X 3,0 X H=3,0 M, ÁREA DE INFILTRAÇÃO: 25 M² (PARA 10 CONTRIBUINTES). AF_12/2020</v>
      </c>
      <c r="D126" s="110" t="str">
        <f ca="1">IF(OFFSET(PO!O$12,ROW(D126)-ROW(D$12),0)=0,"",OFFSET(PO!O$12,ROW(D126)-ROW(D$12),0))</f>
        <v>UN</v>
      </c>
      <c r="E126" s="140">
        <f ca="1">IF($A126&lt;&gt;"Serviço",0,ROUND(SUMIF($F$9:$P$9,"&lt;&gt;",$F126:$P126),15-13*PO!$X$3))</f>
        <v>1</v>
      </c>
      <c r="F126" s="182">
        <f ca="1">OFFSET(PO!$P$12,ROW($E126)-ROW(F$12),0)</f>
        <v>1</v>
      </c>
      <c r="G126" s="182"/>
      <c r="H126" s="182"/>
      <c r="I126" s="182"/>
      <c r="J126" s="182"/>
      <c r="K126" s="182"/>
      <c r="L126" s="182"/>
      <c r="M126" s="182"/>
      <c r="N126" s="182"/>
      <c r="O126" s="182"/>
      <c r="U126" s="182"/>
    </row>
    <row r="127" spans="1:21" s="1" customFormat="1" ht="38.25" x14ac:dyDescent="0.2">
      <c r="A127" s="109" t="str">
        <f ca="1">OFFSET(PO!J$12,ROW(A127)-ROW($A$12),0)</f>
        <v>Serviço</v>
      </c>
      <c r="B127" s="111" t="str">
        <f ca="1">IF($A127=0,"",OFFSET(PO!K$12,ROW(B127)-ROW(B$12),0))</f>
        <v>1.13.9.</v>
      </c>
      <c r="C127" s="108" t="str">
        <f ca="1">IF(OFFSET(PO!N$12,ROW(C127)-ROW(C$12),0)=0,"",OFFSET(PO!N$12,ROW(C127)-ROW(C$12),0))</f>
        <v>CAIXA ENTERRADA HIDRÁULICA RETANGULAR EM ALVENARIA COM TIJOLOS CERÂMICOS MACIÇOS, DIMENSÕES INTERNAS: 0,6X0,6X0,6 M PARA REDE DE ESGOTO. AF_12/2020</v>
      </c>
      <c r="D127" s="110" t="str">
        <f ca="1">IF(OFFSET(PO!O$12,ROW(D127)-ROW(D$12),0)=0,"",OFFSET(PO!O$12,ROW(D127)-ROW(D$12),0))</f>
        <v>UN</v>
      </c>
      <c r="E127" s="140">
        <f ca="1">IF($A127&lt;&gt;"Serviço",0,ROUND(SUMIF($F$9:$P$9,"&lt;&gt;",$F127:$P127),15-13*PO!$X$3))</f>
        <v>4</v>
      </c>
      <c r="F127" s="182">
        <f ca="1">OFFSET(PO!$P$12,ROW($E127)-ROW(F$12),0)</f>
        <v>4</v>
      </c>
      <c r="G127" s="182"/>
      <c r="H127" s="182"/>
      <c r="I127" s="182"/>
      <c r="J127" s="182"/>
      <c r="K127" s="182"/>
      <c r="L127" s="182"/>
      <c r="M127" s="182"/>
      <c r="N127" s="182"/>
      <c r="O127" s="182"/>
      <c r="U127" s="182"/>
    </row>
    <row r="128" spans="1:21" s="1" customFormat="1" ht="51" x14ac:dyDescent="0.2">
      <c r="A128" s="109" t="str">
        <f ca="1">OFFSET(PO!J$12,ROW(A128)-ROW($A$12),0)</f>
        <v>Serviço</v>
      </c>
      <c r="B128" s="111" t="str">
        <f ca="1">IF($A128=0,"",OFFSET(PO!K$12,ROW(B128)-ROW(B$12),0))</f>
        <v>1.13.10.</v>
      </c>
      <c r="C128" s="108" t="str">
        <f ca="1">IF(OFFSET(PO!N$12,ROW(C128)-ROW(C$12),0)=0,"",OFFSET(PO!N$12,ROW(C128)-ROW(C$12),0))</f>
        <v>CAIXA DE GORDURA SIMPLES (CAPACIDADE: 36L), RETANGULAR, EM ALVENARIA COM TIJOLOS CERÂMICOS MACIÇOS, DIMENSÕES INTERNAS = 0,2X0,4 M, ALTURA INTERNA = 0,8 M. AF_12/2020</v>
      </c>
      <c r="D128" s="110" t="str">
        <f ca="1">IF(OFFSET(PO!O$12,ROW(D128)-ROW(D$12),0)=0,"",OFFSET(PO!O$12,ROW(D128)-ROW(D$12),0))</f>
        <v>UN</v>
      </c>
      <c r="E128" s="140">
        <f ca="1">IF($A128&lt;&gt;"Serviço",0,ROUND(SUMIF($F$9:$P$9,"&lt;&gt;",$F128:$P128),15-13*PO!$X$3))</f>
        <v>2</v>
      </c>
      <c r="F128" s="182">
        <f ca="1">OFFSET(PO!$P$12,ROW($E128)-ROW(F$12),0)</f>
        <v>2</v>
      </c>
      <c r="G128" s="182"/>
      <c r="H128" s="182"/>
      <c r="I128" s="182"/>
      <c r="J128" s="182"/>
      <c r="K128" s="182"/>
      <c r="L128" s="182"/>
      <c r="M128" s="182"/>
      <c r="N128" s="182"/>
      <c r="O128" s="182"/>
      <c r="U128" s="182"/>
    </row>
    <row r="129" spans="1:21" s="1" customFormat="1" ht="25.5" x14ac:dyDescent="0.2">
      <c r="A129" s="109" t="str">
        <f ca="1">OFFSET(PO!J$12,ROW(A129)-ROW($A$12),0)</f>
        <v>Serviço</v>
      </c>
      <c r="B129" s="111" t="str">
        <f ca="1">IF($A129=0,"",OFFSET(PO!K$12,ROW(B129)-ROW(B$12),0))</f>
        <v>1.13.11.</v>
      </c>
      <c r="C129" s="108" t="str">
        <f ca="1">IF(OFFSET(PO!N$12,ROW(C129)-ROW(C$12),0)=0,"",OFFSET(PO!N$12,ROW(C129)-ROW(C$12),0))</f>
        <v xml:space="preserve">TAMPA DE CONCRETO ARMADO PARA FOSSA, D = *0,90* M, E = 0,05 M                                                                                                                                                                                                                                                                                                                                                                                                                                             </v>
      </c>
      <c r="D129" s="110" t="str">
        <f ca="1">IF(OFFSET(PO!O$12,ROW(D129)-ROW(D$12),0)=0,"",OFFSET(PO!O$12,ROW(D129)-ROW(D$12),0))</f>
        <v xml:space="preserve">UN    </v>
      </c>
      <c r="E129" s="140">
        <f ca="1">IF($A129&lt;&gt;"Serviço",0,ROUND(SUMIF($F$9:$P$9,"&lt;&gt;",$F129:$P129),15-13*PO!$X$3))</f>
        <v>5</v>
      </c>
      <c r="F129" s="182">
        <f ca="1">OFFSET(PO!$P$12,ROW($E129)-ROW(F$12),0)</f>
        <v>5</v>
      </c>
      <c r="G129" s="182"/>
      <c r="H129" s="182"/>
      <c r="I129" s="182"/>
      <c r="J129" s="182"/>
      <c r="K129" s="182"/>
      <c r="L129" s="182"/>
      <c r="M129" s="182"/>
      <c r="N129" s="182"/>
      <c r="O129" s="182"/>
      <c r="U129" s="182"/>
    </row>
    <row r="130" spans="1:21" s="1" customFormat="1" ht="25.5" x14ac:dyDescent="0.2">
      <c r="A130" s="109" t="str">
        <f ca="1">OFFSET(PO!J$12,ROW(A130)-ROW($A$12),0)</f>
        <v>Serviço</v>
      </c>
      <c r="B130" s="111" t="str">
        <f ca="1">IF($A130=0,"",OFFSET(PO!K$12,ROW(B130)-ROW(B$12),0))</f>
        <v>1.13.12.</v>
      </c>
      <c r="C130" s="108" t="str">
        <f ca="1">IF(OFFSET(PO!N$12,ROW(C130)-ROW(C$12),0)=0,"",OFFSET(PO!N$12,ROW(C130)-ROW(C$12),0))</f>
        <v>IMPERMEABILIZAÇÃO DE SUPERFÍCIE COM EMULSÃO ASFÁLTICA, 2 DEMÃOS. AF_09/2023</v>
      </c>
      <c r="D130" s="110" t="str">
        <f ca="1">IF(OFFSET(PO!O$12,ROW(D130)-ROW(D$12),0)=0,"",OFFSET(PO!O$12,ROW(D130)-ROW(D$12),0))</f>
        <v>M2</v>
      </c>
      <c r="E130" s="140">
        <f ca="1">IF($A130&lt;&gt;"Serviço",0,ROUND(SUMIF($F$9:$P$9,"&lt;&gt;",$F130:$P130),15-13*PO!$X$3))</f>
        <v>25.13</v>
      </c>
      <c r="F130" s="182">
        <f ca="1">OFFSET(PO!$P$12,ROW($E130)-ROW(F$12),0)</f>
        <v>25.13</v>
      </c>
      <c r="G130" s="182"/>
      <c r="H130" s="182"/>
      <c r="I130" s="182"/>
      <c r="J130" s="182"/>
      <c r="K130" s="182"/>
      <c r="L130" s="182"/>
      <c r="M130" s="182"/>
      <c r="N130" s="182"/>
      <c r="O130" s="182"/>
      <c r="U130" s="182"/>
    </row>
    <row r="131" spans="1:21" s="1" customFormat="1" ht="38.25" x14ac:dyDescent="0.2">
      <c r="A131" s="109" t="str">
        <f ca="1">OFFSET(PO!J$12,ROW(A131)-ROW($A$12),0)</f>
        <v>Serviço</v>
      </c>
      <c r="B131" s="111" t="str">
        <f ca="1">IF($A131=0,"",OFFSET(PO!K$12,ROW(B131)-ROW(B$12),0))</f>
        <v>1.13.13.</v>
      </c>
      <c r="C131" s="108" t="str">
        <f ca="1">IF(OFFSET(PO!N$12,ROW(C131)-ROW(C$12),0)=0,"",OFFSET(PO!N$12,ROW(C131)-ROW(C$12),0))</f>
        <v>TUBO PVC, SERIE NORMAL, ESGOTO PREDIAL, DN 50 MM, FORNECIDO E INSTALADO EM PRUMADA DE ESGOTO SANITÁRIO OU VENTILAÇÃO. AF_08/2022</v>
      </c>
      <c r="D131" s="110" t="str">
        <f ca="1">IF(OFFSET(PO!O$12,ROW(D131)-ROW(D$12),0)=0,"",OFFSET(PO!O$12,ROW(D131)-ROW(D$12),0))</f>
        <v>M</v>
      </c>
      <c r="E131" s="140">
        <f ca="1">IF($A131&lt;&gt;"Serviço",0,ROUND(SUMIF($F$9:$P$9,"&lt;&gt;",$F131:$P131),15-13*PO!$X$3))</f>
        <v>36</v>
      </c>
      <c r="F131" s="182">
        <f ca="1">OFFSET(PO!$P$12,ROW($E131)-ROW(F$12),0)</f>
        <v>36</v>
      </c>
      <c r="G131" s="182"/>
      <c r="H131" s="182"/>
      <c r="I131" s="182"/>
      <c r="J131" s="182"/>
      <c r="K131" s="182"/>
      <c r="L131" s="182"/>
      <c r="M131" s="182"/>
      <c r="N131" s="182"/>
      <c r="O131" s="182"/>
      <c r="U131" s="182"/>
    </row>
    <row r="132" spans="1:21" s="1" customFormat="1" ht="38.25" x14ac:dyDescent="0.2">
      <c r="A132" s="109" t="str">
        <f ca="1">OFFSET(PO!J$12,ROW(A132)-ROW($A$12),0)</f>
        <v>Serviço</v>
      </c>
      <c r="B132" s="111" t="str">
        <f ca="1">IF($A132=0,"",OFFSET(PO!K$12,ROW(B132)-ROW(B$12),0))</f>
        <v>1.13.14.</v>
      </c>
      <c r="C132" s="108" t="str">
        <f ca="1">IF(OFFSET(PO!N$12,ROW(C132)-ROW(C$12),0)=0,"",OFFSET(PO!N$12,ROW(C132)-ROW(C$12),0))</f>
        <v>TUBO PVC, SERIE NORMAL, ESGOTO PREDIAL, DN 75 MM, FORNECIDO E INSTALADO EM RAMAL DE DESCARGA OU RAMAL DE ESGOTO SANITÁRIO. AF_08/2022</v>
      </c>
      <c r="D132" s="110" t="str">
        <f ca="1">IF(OFFSET(PO!O$12,ROW(D132)-ROW(D$12),0)=0,"",OFFSET(PO!O$12,ROW(D132)-ROW(D$12),0))</f>
        <v>M</v>
      </c>
      <c r="E132" s="140">
        <f ca="1">IF($A132&lt;&gt;"Serviço",0,ROUND(SUMIF($F$9:$P$9,"&lt;&gt;",$F132:$P132),15-13*PO!$X$3))</f>
        <v>24</v>
      </c>
      <c r="F132" s="182">
        <f ca="1">OFFSET(PO!$P$12,ROW($E132)-ROW(F$12),0)</f>
        <v>24</v>
      </c>
      <c r="G132" s="182"/>
      <c r="H132" s="182"/>
      <c r="I132" s="182"/>
      <c r="J132" s="182"/>
      <c r="K132" s="182"/>
      <c r="L132" s="182"/>
      <c r="M132" s="182"/>
      <c r="N132" s="182"/>
      <c r="O132" s="182"/>
      <c r="U132" s="182"/>
    </row>
    <row r="133" spans="1:21" s="1" customFormat="1" ht="38.25" x14ac:dyDescent="0.2">
      <c r="A133" s="109" t="str">
        <f ca="1">OFFSET(PO!J$12,ROW(A133)-ROW($A$12),0)</f>
        <v>Serviço</v>
      </c>
      <c r="B133" s="111" t="str">
        <f ca="1">IF($A133=0,"",OFFSET(PO!K$12,ROW(B133)-ROW(B$12),0))</f>
        <v>1.13.15.</v>
      </c>
      <c r="C133" s="108" t="str">
        <f ca="1">IF(OFFSET(PO!N$12,ROW(C133)-ROW(C$12),0)=0,"",OFFSET(PO!N$12,ROW(C133)-ROW(C$12),0))</f>
        <v>TUBO PVC, SERIE NORMAL, ESGOTO PREDIAL, DN 50 MM, FORNECIDO E INSTALADO EM PRUMADA DE ESGOTO SANITÁRIO OU VENTILAÇÃO. AF_08/2022</v>
      </c>
      <c r="D133" s="110" t="str">
        <f ca="1">IF(OFFSET(PO!O$12,ROW(D133)-ROW(D$12),0)=0,"",OFFSET(PO!O$12,ROW(D133)-ROW(D$12),0))</f>
        <v>M</v>
      </c>
      <c r="E133" s="140">
        <f ca="1">IF($A133&lt;&gt;"Serviço",0,ROUND(SUMIF($F$9:$P$9,"&lt;&gt;",$F133:$P133),15-13*PO!$X$3))</f>
        <v>24</v>
      </c>
      <c r="F133" s="182">
        <f ca="1">OFFSET(PO!$P$12,ROW($E133)-ROW(F$12),0)</f>
        <v>24</v>
      </c>
      <c r="G133" s="182"/>
      <c r="H133" s="182"/>
      <c r="I133" s="182"/>
      <c r="J133" s="182"/>
      <c r="K133" s="182"/>
      <c r="L133" s="182"/>
      <c r="M133" s="182"/>
      <c r="N133" s="182"/>
      <c r="O133" s="182"/>
      <c r="U133" s="182"/>
    </row>
    <row r="134" spans="1:21" s="1" customFormat="1" ht="38.25" x14ac:dyDescent="0.2">
      <c r="A134" s="109" t="str">
        <f ca="1">OFFSET(PO!J$12,ROW(A134)-ROW($A$12),0)</f>
        <v>Serviço</v>
      </c>
      <c r="B134" s="111" t="str">
        <f ca="1">IF($A134=0,"",OFFSET(PO!K$12,ROW(B134)-ROW(B$12),0))</f>
        <v>1.13.16.</v>
      </c>
      <c r="C134" s="108" t="str">
        <f ca="1">IF(OFFSET(PO!N$12,ROW(C134)-ROW(C$12),0)=0,"",OFFSET(PO!N$12,ROW(C134)-ROW(C$12),0))</f>
        <v>TUBO PVC, SERIE NORMAL, ESGOTO PREDIAL, DN 40 MM, FORNECIDO E INSTALADO EM RAMAL DE DESCARGA OU RAMAL DE ESGOTO SANITÁRIO. AF_08/2022</v>
      </c>
      <c r="D134" s="110" t="str">
        <f ca="1">IF(OFFSET(PO!O$12,ROW(D134)-ROW(D$12),0)=0,"",OFFSET(PO!O$12,ROW(D134)-ROW(D$12),0))</f>
        <v>M</v>
      </c>
      <c r="E134" s="140">
        <f ca="1">IF($A134&lt;&gt;"Serviço",0,ROUND(SUMIF($F$9:$P$9,"&lt;&gt;",$F134:$P134),15-13*PO!$X$3))</f>
        <v>30</v>
      </c>
      <c r="F134" s="182">
        <f ca="1">OFFSET(PO!$P$12,ROW($E134)-ROW(F$12),0)</f>
        <v>30</v>
      </c>
      <c r="G134" s="182"/>
      <c r="H134" s="182"/>
      <c r="I134" s="182"/>
      <c r="J134" s="182"/>
      <c r="K134" s="182"/>
      <c r="L134" s="182"/>
      <c r="M134" s="182"/>
      <c r="N134" s="182"/>
      <c r="O134" s="182"/>
      <c r="U134" s="182"/>
    </row>
    <row r="135" spans="1:21" s="1" customFormat="1" ht="38.25" x14ac:dyDescent="0.2">
      <c r="A135" s="109" t="str">
        <f ca="1">OFFSET(PO!J$12,ROW(A135)-ROW($A$12),0)</f>
        <v>Serviço</v>
      </c>
      <c r="B135" s="111" t="str">
        <f ca="1">IF($A135=0,"",OFFSET(PO!K$12,ROW(B135)-ROW(B$12),0))</f>
        <v>1.13.17.</v>
      </c>
      <c r="C135" s="108" t="str">
        <f ca="1">IF(OFFSET(PO!N$12,ROW(C135)-ROW(C$12),0)=0,"",OFFSET(PO!N$12,ROW(C135)-ROW(C$12),0))</f>
        <v>TUBO PVC, SERIE NORMAL, ESGOTO PREDIAL, DN 100 MM, FORNECIDO E INSTALADO EM RAMAL DE DESCARGA OU RAMAL DE ESGOTO SANITÁRIO. AF_08/2022</v>
      </c>
      <c r="D135" s="110" t="str">
        <f ca="1">IF(OFFSET(PO!O$12,ROW(D135)-ROW(D$12),0)=0,"",OFFSET(PO!O$12,ROW(D135)-ROW(D$12),0))</f>
        <v>M</v>
      </c>
      <c r="E135" s="140">
        <f ca="1">IF($A135&lt;&gt;"Serviço",0,ROUND(SUMIF($F$9:$P$9,"&lt;&gt;",$F135:$P135),15-13*PO!$X$3))</f>
        <v>102</v>
      </c>
      <c r="F135" s="182">
        <f ca="1">OFFSET(PO!$P$12,ROW($E135)-ROW(F$12),0)</f>
        <v>102</v>
      </c>
      <c r="G135" s="182"/>
      <c r="H135" s="182"/>
      <c r="I135" s="182"/>
      <c r="J135" s="182"/>
      <c r="K135" s="182"/>
      <c r="L135" s="182"/>
      <c r="M135" s="182"/>
      <c r="N135" s="182"/>
      <c r="O135" s="182"/>
      <c r="U135" s="182"/>
    </row>
    <row r="136" spans="1:21" s="1" customFormat="1" ht="38.25" x14ac:dyDescent="0.2">
      <c r="A136" s="109" t="str">
        <f ca="1">OFFSET(PO!J$12,ROW(A136)-ROW($A$12),0)</f>
        <v>Serviço</v>
      </c>
      <c r="B136" s="111" t="str">
        <f ca="1">IF($A136=0,"",OFFSET(PO!K$12,ROW(B136)-ROW(B$12),0))</f>
        <v>1.13.18.</v>
      </c>
      <c r="C136" s="108" t="str">
        <f ca="1">IF(OFFSET(PO!N$12,ROW(C136)-ROW(C$12),0)=0,"",OFFSET(PO!N$12,ROW(C136)-ROW(C$12),0))</f>
        <v>TUBO EM COBRE FLEXÍVEL, DN 5/8", COM ISOLAMENTO, INSTALADO EM FORRO, PARA RAMAL DE ALIMENTAÇÃO DE AR CONDICIONADO, INCLUSO FIXADOR. AF_11/2021_PA</v>
      </c>
      <c r="D136" s="110" t="str">
        <f ca="1">IF(OFFSET(PO!O$12,ROW(D136)-ROW(D$12),0)=0,"",OFFSET(PO!O$12,ROW(D136)-ROW(D$12),0))</f>
        <v>M</v>
      </c>
      <c r="E136" s="140">
        <f ca="1">IF($A136&lt;&gt;"Serviço",0,ROUND(SUMIF($F$9:$P$9,"&lt;&gt;",$F136:$P136),15-13*PO!$X$3))</f>
        <v>15</v>
      </c>
      <c r="F136" s="182">
        <f ca="1">OFFSET(PO!$P$12,ROW($E136)-ROW(F$12),0)</f>
        <v>15</v>
      </c>
      <c r="G136" s="182"/>
      <c r="H136" s="182"/>
      <c r="I136" s="182"/>
      <c r="J136" s="182"/>
      <c r="K136" s="182"/>
      <c r="L136" s="182"/>
      <c r="M136" s="182"/>
      <c r="N136" s="182"/>
      <c r="O136" s="182"/>
      <c r="U136" s="182"/>
    </row>
    <row r="137" spans="1:21" s="1" customFormat="1" ht="38.25" x14ac:dyDescent="0.2">
      <c r="A137" s="109" t="str">
        <f ca="1">OFFSET(PO!J$12,ROW(A137)-ROW($A$12),0)</f>
        <v>Serviço</v>
      </c>
      <c r="B137" s="111" t="str">
        <f ca="1">IF($A137=0,"",OFFSET(PO!K$12,ROW(B137)-ROW(B$12),0))</f>
        <v>1.13.19.</v>
      </c>
      <c r="C137" s="108" t="str">
        <f ca="1">IF(OFFSET(PO!N$12,ROW(C137)-ROW(C$12),0)=0,"",OFFSET(PO!N$12,ROW(C137)-ROW(C$12),0))</f>
        <v>TUBO EM COBRE FLEXÍVEL, DN 1/2", COM ISOLAMENTO, INSTALADO EM FORRO, PARA RAMAL DE ALIMENTAÇÃO DE AR CONDICIONADO, INCLUSO FIXADOR. AF_11/2021_PA</v>
      </c>
      <c r="D137" s="110" t="str">
        <f ca="1">IF(OFFSET(PO!O$12,ROW(D137)-ROW(D$12),0)=0,"",OFFSET(PO!O$12,ROW(D137)-ROW(D$12),0))</f>
        <v>M</v>
      </c>
      <c r="E137" s="140">
        <f ca="1">IF($A137&lt;&gt;"Serviço",0,ROUND(SUMIF($F$9:$P$9,"&lt;&gt;",$F137:$P137),15-13*PO!$X$3))</f>
        <v>15</v>
      </c>
      <c r="F137" s="182">
        <f ca="1">OFFSET(PO!$P$12,ROW($E137)-ROW(F$12),0)</f>
        <v>15</v>
      </c>
      <c r="G137" s="182"/>
      <c r="H137" s="182"/>
      <c r="I137" s="182"/>
      <c r="J137" s="182"/>
      <c r="K137" s="182"/>
      <c r="L137" s="182"/>
      <c r="M137" s="182"/>
      <c r="N137" s="182"/>
      <c r="O137" s="182"/>
      <c r="U137" s="182"/>
    </row>
    <row r="138" spans="1:21" s="1" customFormat="1" ht="51" x14ac:dyDescent="0.2">
      <c r="A138" s="109" t="str">
        <f ca="1">OFFSET(PO!J$12,ROW(A138)-ROW($A$12),0)</f>
        <v>Serviço</v>
      </c>
      <c r="B138" s="111" t="str">
        <f ca="1">IF($A138=0,"",OFFSET(PO!K$12,ROW(B138)-ROW(B$12),0))</f>
        <v>1.13.20.</v>
      </c>
      <c r="C138" s="108" t="str">
        <f ca="1">IF(OFFSET(PO!N$12,ROW(C138)-ROW(C$12),0)=0,"",OFFSET(PO!N$12,ROW(C138)-ROW(C$12),0))</f>
        <v>TUBO PEAD LISO PARA REDE DE ÁGUA OU ESGOTO, DIÂMETRO DE 32 MM, JUNTA SOLDADA (NÃO INCLUI A EXECUÇÃO DE SOLDA) - FORNECIMENTO E ASSENTAMENTO. AF_12/2021</v>
      </c>
      <c r="D138" s="110" t="str">
        <f ca="1">IF(OFFSET(PO!O$12,ROW(D138)-ROW(D$12),0)=0,"",OFFSET(PO!O$12,ROW(D138)-ROW(D$12),0))</f>
        <v>M</v>
      </c>
      <c r="E138" s="140">
        <f ca="1">IF($A138&lt;&gt;"Serviço",0,ROUND(SUMIF($F$9:$P$9,"&lt;&gt;",$F138:$P138),15-13*PO!$X$3))</f>
        <v>30</v>
      </c>
      <c r="F138" s="182">
        <f ca="1">OFFSET(PO!$P$12,ROW($E138)-ROW(F$12),0)</f>
        <v>30</v>
      </c>
      <c r="G138" s="182"/>
      <c r="H138" s="182"/>
      <c r="I138" s="182"/>
      <c r="J138" s="182"/>
      <c r="K138" s="182"/>
      <c r="L138" s="182"/>
      <c r="M138" s="182"/>
      <c r="N138" s="182"/>
      <c r="O138" s="182"/>
      <c r="U138" s="182"/>
    </row>
    <row r="139" spans="1:21" s="1" customFormat="1" ht="38.25" x14ac:dyDescent="0.2">
      <c r="A139" s="109" t="str">
        <f ca="1">OFFSET(PO!J$12,ROW(A139)-ROW($A$12),0)</f>
        <v>Serviço</v>
      </c>
      <c r="B139" s="111" t="str">
        <f ca="1">IF($A139=0,"",OFFSET(PO!K$12,ROW(B139)-ROW(B$12),0))</f>
        <v>1.13.21.</v>
      </c>
      <c r="C139" s="108" t="str">
        <f ca="1">IF(OFFSET(PO!N$12,ROW(C139)-ROW(C$12),0)=0,"",OFFSET(PO!N$12,ROW(C139)-ROW(C$12),0))</f>
        <v>TUBO, PVC, SOLDÁVEL, DE 50MM, INSTALADO EM RAMAL DE DISTRIBUIÇÃO DE ÁGUA - FORNECIMENTO E INSTALAÇÃO. AF_06/2022</v>
      </c>
      <c r="D139" s="110" t="str">
        <f ca="1">IF(OFFSET(PO!O$12,ROW(D139)-ROW(D$12),0)=0,"",OFFSET(PO!O$12,ROW(D139)-ROW(D$12),0))</f>
        <v>M</v>
      </c>
      <c r="E139" s="140">
        <f ca="1">IF($A139&lt;&gt;"Serviço",0,ROUND(SUMIF($F$9:$P$9,"&lt;&gt;",$F139:$P139),15-13*PO!$X$3))</f>
        <v>30</v>
      </c>
      <c r="F139" s="182">
        <f ca="1">OFFSET(PO!$P$12,ROW($E139)-ROW(F$12),0)</f>
        <v>30</v>
      </c>
      <c r="G139" s="182"/>
      <c r="H139" s="182"/>
      <c r="I139" s="182"/>
      <c r="J139" s="182"/>
      <c r="K139" s="182"/>
      <c r="L139" s="182"/>
      <c r="M139" s="182"/>
      <c r="N139" s="182"/>
      <c r="O139" s="182"/>
      <c r="U139" s="182"/>
    </row>
    <row r="140" spans="1:21" s="1" customFormat="1" ht="38.25" x14ac:dyDescent="0.2">
      <c r="A140" s="109" t="str">
        <f ca="1">OFFSET(PO!J$12,ROW(A140)-ROW($A$12),0)</f>
        <v>Serviço</v>
      </c>
      <c r="B140" s="111" t="str">
        <f ca="1">IF($A140=0,"",OFFSET(PO!K$12,ROW(B140)-ROW(B$12),0))</f>
        <v>1.13.22.</v>
      </c>
      <c r="C140" s="108" t="str">
        <f ca="1">IF(OFFSET(PO!N$12,ROW(C140)-ROW(C$12),0)=0,"",OFFSET(PO!N$12,ROW(C140)-ROW(C$12),0))</f>
        <v>TUBO, PVC, SOLDÁVEL, DE 32MM, INSTALADO EM DRENO DE AR CONDICIONADO - FORNECIMENTO E INSTALAÇÃO. AF_08/2022</v>
      </c>
      <c r="D140" s="110" t="str">
        <f ca="1">IF(OFFSET(PO!O$12,ROW(D140)-ROW(D$12),0)=0,"",OFFSET(PO!O$12,ROW(D140)-ROW(D$12),0))</f>
        <v>M</v>
      </c>
      <c r="E140" s="140">
        <f ca="1">IF($A140&lt;&gt;"Serviço",0,ROUND(SUMIF($F$9:$P$9,"&lt;&gt;",$F140:$P140),15-13*PO!$X$3))</f>
        <v>20</v>
      </c>
      <c r="F140" s="182">
        <f ca="1">OFFSET(PO!$P$12,ROW($E140)-ROW(F$12),0)</f>
        <v>20</v>
      </c>
      <c r="G140" s="182"/>
      <c r="H140" s="182"/>
      <c r="I140" s="182"/>
      <c r="J140" s="182"/>
      <c r="K140" s="182"/>
      <c r="L140" s="182"/>
      <c r="M140" s="182"/>
      <c r="N140" s="182"/>
      <c r="O140" s="182"/>
      <c r="U140" s="182"/>
    </row>
    <row r="141" spans="1:21" s="1" customFormat="1" ht="38.25" x14ac:dyDescent="0.2">
      <c r="A141" s="109" t="str">
        <f ca="1">OFFSET(PO!J$12,ROW(A141)-ROW($A$12),0)</f>
        <v>Serviço</v>
      </c>
      <c r="B141" s="111" t="str">
        <f ca="1">IF($A141=0,"",OFFSET(PO!K$12,ROW(B141)-ROW(B$12),0))</f>
        <v>1.13.23.</v>
      </c>
      <c r="C141" s="108" t="str">
        <f ca="1">IF(OFFSET(PO!N$12,ROW(C141)-ROW(C$12),0)=0,"",OFFSET(PO!N$12,ROW(C141)-ROW(C$12),0))</f>
        <v>TUBO, PVC, SOLDÁVEL, DE 32MM, INSTALADO EM DRENO DE AR CONDICIONADO - FORNECIMENTO E INSTALAÇÃO. AF_08/2022</v>
      </c>
      <c r="D141" s="110" t="str">
        <f ca="1">IF(OFFSET(PO!O$12,ROW(D141)-ROW(D$12),0)=0,"",OFFSET(PO!O$12,ROW(D141)-ROW(D$12),0))</f>
        <v>M</v>
      </c>
      <c r="E141" s="140">
        <f ca="1">IF($A141&lt;&gt;"Serviço",0,ROUND(SUMIF($F$9:$P$9,"&lt;&gt;",$F141:$P141),15-13*PO!$X$3))</f>
        <v>70</v>
      </c>
      <c r="F141" s="182">
        <f ca="1">OFFSET(PO!$P$12,ROW($E141)-ROW(F$12),0)</f>
        <v>70</v>
      </c>
      <c r="G141" s="182"/>
      <c r="H141" s="182"/>
      <c r="I141" s="182"/>
      <c r="J141" s="182"/>
      <c r="K141" s="182"/>
      <c r="L141" s="182"/>
      <c r="M141" s="182"/>
      <c r="N141" s="182"/>
      <c r="O141" s="182"/>
      <c r="U141" s="182"/>
    </row>
    <row r="142" spans="1:21" s="1" customFormat="1" ht="38.25" x14ac:dyDescent="0.2">
      <c r="A142" s="109" t="str">
        <f ca="1">OFFSET(PO!J$12,ROW(A142)-ROW($A$12),0)</f>
        <v>Serviço</v>
      </c>
      <c r="B142" s="111" t="str">
        <f ca="1">IF($A142=0,"",OFFSET(PO!K$12,ROW(B142)-ROW(B$12),0))</f>
        <v>1.13.24.</v>
      </c>
      <c r="C142" s="108" t="str">
        <f ca="1">IF(OFFSET(PO!N$12,ROW(C142)-ROW(C$12),0)=0,"",OFFSET(PO!N$12,ROW(C142)-ROW(C$12),0))</f>
        <v>TUBO, PVC, SOLDÁVEL, DE 25MM, INSTALADO EM RAMAL DE DISTRIBUIÇÃO DE ÁGUA - FORNECIMENTO E INSTALAÇÃO. AF_06/2022</v>
      </c>
      <c r="D142" s="110" t="str">
        <f ca="1">IF(OFFSET(PO!O$12,ROW(D142)-ROW(D$12),0)=0,"",OFFSET(PO!O$12,ROW(D142)-ROW(D$12),0))</f>
        <v>M</v>
      </c>
      <c r="E142" s="140">
        <f ca="1">IF($A142&lt;&gt;"Serviço",0,ROUND(SUMIF($F$9:$P$9,"&lt;&gt;",$F142:$P142),15-13*PO!$X$3))</f>
        <v>30</v>
      </c>
      <c r="F142" s="182">
        <f ca="1">OFFSET(PO!$P$12,ROW($E142)-ROW(F$12),0)</f>
        <v>30</v>
      </c>
      <c r="G142" s="182"/>
      <c r="H142" s="182"/>
      <c r="I142" s="182"/>
      <c r="J142" s="182"/>
      <c r="K142" s="182"/>
      <c r="L142" s="182"/>
      <c r="M142" s="182"/>
      <c r="N142" s="182"/>
      <c r="O142" s="182"/>
      <c r="U142" s="182"/>
    </row>
    <row r="143" spans="1:21" s="1" customFormat="1" ht="38.25" x14ac:dyDescent="0.2">
      <c r="A143" s="109" t="str">
        <f ca="1">OFFSET(PO!J$12,ROW(A143)-ROW($A$12),0)</f>
        <v>Serviço</v>
      </c>
      <c r="B143" s="111" t="str">
        <f ca="1">IF($A143=0,"",OFFSET(PO!K$12,ROW(B143)-ROW(B$12),0))</f>
        <v>1.13.25.</v>
      </c>
      <c r="C143" s="108" t="str">
        <f ca="1">IF(OFFSET(PO!N$12,ROW(C143)-ROW(C$12),0)=0,"",OFFSET(PO!N$12,ROW(C143)-ROW(C$12),0))</f>
        <v>RASGO LINEAR MECANIZADO EM ALVENARIA, PARA RAMAIS/ DISTRIBUIÇÃO DE INSTALAÇÕES HIDRÁULICAS, DIÂMETROS MENORES OU IGUAIS A 40 MM. AF_09/2023</v>
      </c>
      <c r="D143" s="110" t="str">
        <f ca="1">IF(OFFSET(PO!O$12,ROW(D143)-ROW(D$12),0)=0,"",OFFSET(PO!O$12,ROW(D143)-ROW(D$12),0))</f>
        <v>M</v>
      </c>
      <c r="E143" s="140">
        <f ca="1">IF($A143&lt;&gt;"Serviço",0,ROUND(SUMIF($F$9:$P$9,"&lt;&gt;",$F143:$P143),15-13*PO!$X$3))</f>
        <v>95</v>
      </c>
      <c r="F143" s="182">
        <f ca="1">OFFSET(PO!$P$12,ROW($E143)-ROW(F$12),0)</f>
        <v>95</v>
      </c>
      <c r="G143" s="182"/>
      <c r="H143" s="182"/>
      <c r="I143" s="182"/>
      <c r="J143" s="182"/>
      <c r="K143" s="182"/>
      <c r="L143" s="182"/>
      <c r="M143" s="182"/>
      <c r="N143" s="182"/>
      <c r="O143" s="182"/>
      <c r="U143" s="182"/>
    </row>
    <row r="144" spans="1:21" s="1" customFormat="1" x14ac:dyDescent="0.2">
      <c r="A144" s="109" t="str">
        <f ca="1">OFFSET(PO!J$12,ROW(A144)-ROW($A$12),0)</f>
        <v>Nível 2</v>
      </c>
      <c r="B144" s="111" t="str">
        <f ca="1">IF($A144=0,"",OFFSET(PO!K$12,ROW(B144)-ROW(B$12),0))</f>
        <v>1.14.</v>
      </c>
      <c r="C144" s="108" t="str">
        <f ca="1">IF(OFFSET(PO!N$12,ROW(C144)-ROW(C$12),0)=0,"",OFFSET(PO!N$12,ROW(C144)-ROW(C$12),0))</f>
        <v>CENTRAL DE GLP</v>
      </c>
      <c r="D144" s="110" t="str">
        <f ca="1">IF(OFFSET(PO!O$12,ROW(D144)-ROW(D$12),0)=0,"",OFFSET(PO!O$12,ROW(D144)-ROW(D$12),0))</f>
        <v/>
      </c>
      <c r="E144" s="140">
        <f ca="1">IF($A144&lt;&gt;"Serviço",0,ROUND(SUMIF($F$9:$P$9,"&lt;&gt;",$F144:$P144),15-13*PO!$X$3))</f>
        <v>0</v>
      </c>
      <c r="F144" s="182">
        <f ca="1">OFFSET(PO!$P$12,ROW($E144)-ROW(F$12),0)</f>
        <v>0</v>
      </c>
      <c r="G144" s="182"/>
      <c r="H144" s="182"/>
      <c r="I144" s="182"/>
      <c r="J144" s="182"/>
      <c r="K144" s="182"/>
      <c r="L144" s="182"/>
      <c r="M144" s="182"/>
      <c r="N144" s="182"/>
      <c r="O144" s="182"/>
      <c r="U144" s="182"/>
    </row>
    <row r="145" spans="1:21" s="1" customFormat="1" ht="25.5" x14ac:dyDescent="0.2">
      <c r="A145" s="109" t="str">
        <f ca="1">OFFSET(PO!J$12,ROW(A145)-ROW($A$12),0)</f>
        <v>Serviço</v>
      </c>
      <c r="B145" s="111" t="str">
        <f ca="1">IF($A145=0,"",OFFSET(PO!K$12,ROW(B145)-ROW(B$12),0))</f>
        <v>1.14.1.</v>
      </c>
      <c r="C145" s="108" t="str">
        <f ca="1">IF(OFFSET(PO!N$12,ROW(C145)-ROW(C$12),0)=0,"",OFFSET(PO!N$12,ROW(C145)-ROW(C$12),0))</f>
        <v>EXECUÇÃO DE RADIER, ESPESSURA DE 10 CM, FCK = 30 MPA, COM USO DE FORMAS EM MADEIRA SERRADA. AF_09/2021</v>
      </c>
      <c r="D145" s="110" t="str">
        <f ca="1">IF(OFFSET(PO!O$12,ROW(D145)-ROW(D$12),0)=0,"",OFFSET(PO!O$12,ROW(D145)-ROW(D$12),0))</f>
        <v>M2</v>
      </c>
      <c r="E145" s="140">
        <f ca="1">IF($A145&lt;&gt;"Serviço",0,ROUND(SUMIF($F$9:$P$9,"&lt;&gt;",$F145:$P145),15-13*PO!$X$3))</f>
        <v>2.76</v>
      </c>
      <c r="F145" s="182">
        <f ca="1">OFFSET(PO!$P$12,ROW($E145)-ROW(F$12),0)</f>
        <v>2.76</v>
      </c>
      <c r="G145" s="182"/>
      <c r="H145" s="182"/>
      <c r="I145" s="182"/>
      <c r="J145" s="182"/>
      <c r="K145" s="182"/>
      <c r="L145" s="182"/>
      <c r="M145" s="182"/>
      <c r="N145" s="182"/>
      <c r="O145" s="182"/>
      <c r="U145" s="182"/>
    </row>
    <row r="146" spans="1:21" s="1" customFormat="1" ht="25.5" x14ac:dyDescent="0.2">
      <c r="A146" s="109" t="str">
        <f ca="1">OFFSET(PO!J$12,ROW(A146)-ROW($A$12),0)</f>
        <v>Serviço</v>
      </c>
      <c r="B146" s="111" t="str">
        <f ca="1">IF($A146=0,"",OFFSET(PO!K$12,ROW(B146)-ROW(B$12),0))</f>
        <v>1.14.2.</v>
      </c>
      <c r="C146" s="108" t="str">
        <f ca="1">IF(OFFSET(PO!N$12,ROW(C146)-ROW(C$12),0)=0,"",OFFSET(PO!N$12,ROW(C146)-ROW(C$12),0))</f>
        <v>ACABAMENTO POLIDO PARA PISO DE CONCRETO ARMADO OU LAJE SOBRE SOLO DE ALTA RESISTÊNCIA. AF_09/2021</v>
      </c>
      <c r="D146" s="110" t="str">
        <f ca="1">IF(OFFSET(PO!O$12,ROW(D146)-ROW(D$12),0)=0,"",OFFSET(PO!O$12,ROW(D146)-ROW(D$12),0))</f>
        <v>M2</v>
      </c>
      <c r="E146" s="140">
        <f ca="1">IF($A146&lt;&gt;"Serviço",0,ROUND(SUMIF($F$9:$P$9,"&lt;&gt;",$F146:$P146),15-13*PO!$X$3))</f>
        <v>2.76</v>
      </c>
      <c r="F146" s="182">
        <f ca="1">OFFSET(PO!$P$12,ROW($E146)-ROW(F$12),0)</f>
        <v>2.76</v>
      </c>
      <c r="G146" s="182"/>
      <c r="H146" s="182"/>
      <c r="I146" s="182"/>
      <c r="J146" s="182"/>
      <c r="K146" s="182"/>
      <c r="L146" s="182"/>
      <c r="M146" s="182"/>
      <c r="N146" s="182"/>
      <c r="O146" s="182"/>
      <c r="U146" s="182"/>
    </row>
    <row r="147" spans="1:21" s="1" customFormat="1" ht="38.25" x14ac:dyDescent="0.2">
      <c r="A147" s="109" t="str">
        <f ca="1">OFFSET(PO!J$12,ROW(A147)-ROW($A$12),0)</f>
        <v>Serviço</v>
      </c>
      <c r="B147" s="111" t="str">
        <f ca="1">IF($A147=0,"",OFFSET(PO!K$12,ROW(B147)-ROW(B$12),0))</f>
        <v>1.14.3.</v>
      </c>
      <c r="C147" s="108" t="str">
        <f ca="1">IF(OFFSET(PO!N$12,ROW(C147)-ROW(C$12),0)=0,"",OFFSET(PO!N$12,ROW(C147)-ROW(C$12),0))</f>
        <v>ALVENARIA DE BLOCOS DE CONCRETO ESTRUTURAL 14X19X29 CM (ESPESSURA 14 CM), FBK = 14 MPA, UTILIZANDO COLHER DE PEDREIRO. AF_10/2022</v>
      </c>
      <c r="D147" s="110" t="str">
        <f ca="1">IF(OFFSET(PO!O$12,ROW(D147)-ROW(D$12),0)=0,"",OFFSET(PO!O$12,ROW(D147)-ROW(D$12),0))</f>
        <v>M2</v>
      </c>
      <c r="E147" s="140">
        <f ca="1">IF($A147&lt;&gt;"Serviço",0,ROUND(SUMIF($F$9:$P$9,"&lt;&gt;",$F147:$P147),15-13*PO!$X$3))</f>
        <v>7.6</v>
      </c>
      <c r="F147" s="182">
        <f ca="1">OFFSET(PO!$P$12,ROW($E147)-ROW(F$12),0)</f>
        <v>7.6</v>
      </c>
      <c r="G147" s="182"/>
      <c r="H147" s="182"/>
      <c r="I147" s="182"/>
      <c r="J147" s="182"/>
      <c r="K147" s="182"/>
      <c r="L147" s="182"/>
      <c r="M147" s="182"/>
      <c r="N147" s="182"/>
      <c r="O147" s="182"/>
      <c r="U147" s="182"/>
    </row>
    <row r="148" spans="1:21" s="1" customFormat="1" ht="38.25" x14ac:dyDescent="0.2">
      <c r="A148" s="109" t="str">
        <f ca="1">OFFSET(PO!J$12,ROW(A148)-ROW($A$12),0)</f>
        <v>Serviço</v>
      </c>
      <c r="B148" s="111" t="str">
        <f ca="1">IF($A148=0,"",OFFSET(PO!K$12,ROW(B148)-ROW(B$12),0))</f>
        <v>1.14.4.</v>
      </c>
      <c r="C148" s="108" t="str">
        <f ca="1">IF(OFFSET(PO!N$12,ROW(C148)-ROW(C$12),0)=0,"",OFFSET(PO!N$12,ROW(C148)-ROW(C$12),0))</f>
        <v>LAJE PRÉ-MOLDADA UNIDIRECIONAL, BIAPOIADA, PARA PISO, ENCHIMENTO EM CERÂMICA, VIGOTA CONVENCIONAL, ALTURA TOTAL DA LAJE (ENCHIMENTO+CAPA) = (8+4). AF_11/2020_PA</v>
      </c>
      <c r="D148" s="110" t="str">
        <f ca="1">IF(OFFSET(PO!O$12,ROW(D148)-ROW(D$12),0)=0,"",OFFSET(PO!O$12,ROW(D148)-ROW(D$12),0))</f>
        <v>M2</v>
      </c>
      <c r="E148" s="140">
        <f ca="1">IF($A148&lt;&gt;"Serviço",0,ROUND(SUMIF($F$9:$P$9,"&lt;&gt;",$F148:$P148),15-13*PO!$X$3))</f>
        <v>1.8</v>
      </c>
      <c r="F148" s="182">
        <f ca="1">OFFSET(PO!$P$12,ROW($E148)-ROW(F$12),0)</f>
        <v>1.8</v>
      </c>
      <c r="G148" s="182"/>
      <c r="H148" s="182"/>
      <c r="I148" s="182"/>
      <c r="J148" s="182"/>
      <c r="K148" s="182"/>
      <c r="L148" s="182"/>
      <c r="M148" s="182"/>
      <c r="N148" s="182"/>
      <c r="O148" s="182"/>
      <c r="U148" s="182"/>
    </row>
    <row r="149" spans="1:21" s="1" customFormat="1" ht="51" x14ac:dyDescent="0.2">
      <c r="A149" s="109" t="str">
        <f ca="1">OFFSET(PO!J$12,ROW(A149)-ROW($A$12),0)</f>
        <v>Serviço</v>
      </c>
      <c r="B149" s="111" t="str">
        <f ca="1">IF($A149=0,"",OFFSET(PO!K$12,ROW(B149)-ROW(B$12),0))</f>
        <v>1.14.5.</v>
      </c>
      <c r="C149" s="108" t="str">
        <f ca="1">IF(OFFSET(PO!N$12,ROW(C149)-ROW(C$12),0)=0,"",OFFSET(PO!N$12,ROW(C149)-ROW(C$12),0))</f>
        <v>CONCRETAGEM DE VIGAS E LAJES, FCK=25 MPA, PARA QUALQUER TIPO DE LAJE COM BALDES EM EDIFICAÇÃO TÉRREA - LANÇAMENTO, ADENSAMENTO E ACABAMENTO. AF_02/2022</v>
      </c>
      <c r="D149" s="110" t="str">
        <f ca="1">IF(OFFSET(PO!O$12,ROW(D149)-ROW(D$12),0)=0,"",OFFSET(PO!O$12,ROW(D149)-ROW(D$12),0))</f>
        <v>M3</v>
      </c>
      <c r="E149" s="140">
        <f ca="1">IF($A149&lt;&gt;"Serviço",0,ROUND(SUMIF($F$9:$P$9,"&lt;&gt;",$F149:$P149),15-13*PO!$X$3))</f>
        <v>0.13</v>
      </c>
      <c r="F149" s="182">
        <f ca="1">OFFSET(PO!$P$12,ROW($E149)-ROW(F$12),0)</f>
        <v>0.13200000000000001</v>
      </c>
      <c r="G149" s="182"/>
      <c r="H149" s="182"/>
      <c r="I149" s="182"/>
      <c r="J149" s="182"/>
      <c r="K149" s="182"/>
      <c r="L149" s="182"/>
      <c r="M149" s="182"/>
      <c r="N149" s="182"/>
      <c r="O149" s="182"/>
      <c r="U149" s="182"/>
    </row>
    <row r="150" spans="1:21" s="1" customFormat="1" ht="38.25" x14ac:dyDescent="0.2">
      <c r="A150" s="109" t="str">
        <f ca="1">OFFSET(PO!J$12,ROW(A150)-ROW($A$12),0)</f>
        <v>Serviço</v>
      </c>
      <c r="B150" s="111" t="str">
        <f ca="1">IF($A150=0,"",OFFSET(PO!K$12,ROW(B150)-ROW(B$12),0))</f>
        <v>1.14.6.</v>
      </c>
      <c r="C150" s="108" t="str">
        <f ca="1">IF(OFFSET(PO!N$12,ROW(C150)-ROW(C$12),0)=0,"",OFFSET(PO!N$12,ROW(C150)-ROW(C$12),0))</f>
        <v>CONCRETAGEM DE PILARES, FCK = 25 MPA,  COM USO DE BALDES - LANÇAMENTO, ADENSAMENTO E ACABAMENTO. AF_02/2022</v>
      </c>
      <c r="D150" s="110" t="str">
        <f ca="1">IF(OFFSET(PO!O$12,ROW(D150)-ROW(D$12),0)=0,"",OFFSET(PO!O$12,ROW(D150)-ROW(D$12),0))</f>
        <v>M3</v>
      </c>
      <c r="E150" s="140">
        <f ca="1">IF($A150&lt;&gt;"Serviço",0,ROUND(SUMIF($F$9:$P$9,"&lt;&gt;",$F150:$P150),15-13*PO!$X$3))</f>
        <v>0.24</v>
      </c>
      <c r="F150" s="182">
        <f ca="1">OFFSET(PO!$P$12,ROW($E150)-ROW(F$12),0)</f>
        <v>0.24</v>
      </c>
      <c r="G150" s="182"/>
      <c r="H150" s="182"/>
      <c r="I150" s="182"/>
      <c r="J150" s="182"/>
      <c r="K150" s="182"/>
      <c r="L150" s="182"/>
      <c r="M150" s="182"/>
      <c r="N150" s="182"/>
      <c r="O150" s="182"/>
      <c r="U150" s="182"/>
    </row>
    <row r="151" spans="1:21" s="1" customFormat="1" ht="38.25" x14ac:dyDescent="0.2">
      <c r="A151" s="109" t="str">
        <f ca="1">OFFSET(PO!J$12,ROW(A151)-ROW($A$12),0)</f>
        <v>Serviço</v>
      </c>
      <c r="B151" s="111" t="str">
        <f ca="1">IF($A151=0,"",OFFSET(PO!K$12,ROW(B151)-ROW(B$12),0))</f>
        <v>1.14.7.</v>
      </c>
      <c r="C151" s="108" t="str">
        <f ca="1">IF(OFFSET(PO!N$12,ROW(C151)-ROW(C$12),0)=0,"",OFFSET(PO!N$12,ROW(C151)-ROW(C$12),0))</f>
        <v>ARMAÇÃO DE PILAR OU VIGA DE ESTRUTURA CONVENCIONAL DE CONCRETO ARMADO UTILIZANDO AÇO CA-50 DE 10,0 MM - MONTAGEM. AF_06/2022</v>
      </c>
      <c r="D151" s="110" t="str">
        <f ca="1">IF(OFFSET(PO!O$12,ROW(D151)-ROW(D$12),0)=0,"",OFFSET(PO!O$12,ROW(D151)-ROW(D$12),0))</f>
        <v>KG</v>
      </c>
      <c r="E151" s="140">
        <f ca="1">IF($A151&lt;&gt;"Serviço",0,ROUND(SUMIF($F$9:$P$9,"&lt;&gt;",$F151:$P151),15-13*PO!$X$3))</f>
        <v>15.17</v>
      </c>
      <c r="F151" s="182">
        <f ca="1">OFFSET(PO!$P$12,ROW($E151)-ROW(F$12),0)</f>
        <v>15.17</v>
      </c>
      <c r="G151" s="182"/>
      <c r="H151" s="182"/>
      <c r="I151" s="182"/>
      <c r="J151" s="182"/>
      <c r="K151" s="182"/>
      <c r="L151" s="182"/>
      <c r="M151" s="182"/>
      <c r="N151" s="182"/>
      <c r="O151" s="182"/>
      <c r="U151" s="182"/>
    </row>
    <row r="152" spans="1:21" s="1" customFormat="1" ht="38.25" x14ac:dyDescent="0.2">
      <c r="A152" s="109" t="str">
        <f ca="1">OFFSET(PO!J$12,ROW(A152)-ROW($A$12),0)</f>
        <v>Serviço</v>
      </c>
      <c r="B152" s="111" t="str">
        <f ca="1">IF($A152=0,"",OFFSET(PO!K$12,ROW(B152)-ROW(B$12),0))</f>
        <v>1.14.8.</v>
      </c>
      <c r="C152" s="108" t="str">
        <f ca="1">IF(OFFSET(PO!N$12,ROW(C152)-ROW(C$12),0)=0,"",OFFSET(PO!N$12,ROW(C152)-ROW(C$12),0))</f>
        <v>ARMAÇÃO DE PILAR OU VIGA DE ESTRUTURA CONVENCIONAL DE CONCRETO ARMADO UTILIZANDO AÇO CA-60 DE 5,0 MM - MONTAGEM. AF_06/2022</v>
      </c>
      <c r="D152" s="110" t="str">
        <f ca="1">IF(OFFSET(PO!O$12,ROW(D152)-ROW(D$12),0)=0,"",OFFSET(PO!O$12,ROW(D152)-ROW(D$12),0))</f>
        <v>KG</v>
      </c>
      <c r="E152" s="140">
        <f ca="1">IF($A152&lt;&gt;"Serviço",0,ROUND(SUMIF($F$9:$P$9,"&lt;&gt;",$F152:$P152),15-13*PO!$X$3))</f>
        <v>8.01</v>
      </c>
      <c r="F152" s="182">
        <f ca="1">OFFSET(PO!$P$12,ROW($E152)-ROW(F$12),0)</f>
        <v>8.0080000000000009</v>
      </c>
      <c r="G152" s="182"/>
      <c r="H152" s="182"/>
      <c r="I152" s="182"/>
      <c r="J152" s="182"/>
      <c r="K152" s="182"/>
      <c r="L152" s="182"/>
      <c r="M152" s="182"/>
      <c r="N152" s="182"/>
      <c r="O152" s="182"/>
      <c r="U152" s="182"/>
    </row>
    <row r="153" spans="1:21" s="1" customFormat="1" ht="25.5" x14ac:dyDescent="0.2">
      <c r="A153" s="109" t="str">
        <f ca="1">OFFSET(PO!J$12,ROW(A153)-ROW($A$12),0)</f>
        <v>Serviço</v>
      </c>
      <c r="B153" s="111" t="str">
        <f ca="1">IF($A153=0,"",OFFSET(PO!K$12,ROW(B153)-ROW(B$12),0))</f>
        <v>1.14.9.</v>
      </c>
      <c r="C153" s="108" t="str">
        <f ca="1">IF(OFFSET(PO!N$12,ROW(C153)-ROW(C$12),0)=0,"",OFFSET(PO!N$12,ROW(C153)-ROW(C$12),0))</f>
        <v>APLICAÇÃO MANUAL DE FUNDO SELADOR ACRÍLICO EM PAREDES EXTERNAS DE CASAS. AF_03/2024</v>
      </c>
      <c r="D153" s="110" t="str">
        <f ca="1">IF(OFFSET(PO!O$12,ROW(D153)-ROW(D$12),0)=0,"",OFFSET(PO!O$12,ROW(D153)-ROW(D$12),0))</f>
        <v>M2</v>
      </c>
      <c r="E153" s="140">
        <f ca="1">IF($A153&lt;&gt;"Serviço",0,ROUND(SUMIF($F$9:$P$9,"&lt;&gt;",$F153:$P153),15-13*PO!$X$3))</f>
        <v>31.56</v>
      </c>
      <c r="F153" s="182">
        <f ca="1">OFFSET(PO!$P$12,ROW($E153)-ROW(F$12),0)</f>
        <v>31.56</v>
      </c>
      <c r="G153" s="182"/>
      <c r="H153" s="182"/>
      <c r="I153" s="182"/>
      <c r="J153" s="182"/>
      <c r="K153" s="182"/>
      <c r="L153" s="182"/>
      <c r="M153" s="182"/>
      <c r="N153" s="182"/>
      <c r="O153" s="182"/>
      <c r="U153" s="182"/>
    </row>
    <row r="154" spans="1:21" s="1" customFormat="1" ht="38.25" x14ac:dyDescent="0.2">
      <c r="A154" s="109" t="str">
        <f ca="1">OFFSET(PO!J$12,ROW(A154)-ROW($A$12),0)</f>
        <v>Serviço</v>
      </c>
      <c r="B154" s="111" t="str">
        <f ca="1">IF($A154=0,"",OFFSET(PO!K$12,ROW(B154)-ROW(B$12),0))</f>
        <v>1.14.10.</v>
      </c>
      <c r="C154" s="108" t="str">
        <f ca="1">IF(OFFSET(PO!N$12,ROW(C154)-ROW(C$12),0)=0,"",OFFSET(PO!N$12,ROW(C154)-ROW(C$12),0))</f>
        <v>APLICAÇÃO MANUAL DE PINTURA COM TINTA TEXTURIZADA ACRÍLICA EM PAREDES EXTERNAS DE CASAS, UMA COR. AF_03/2024</v>
      </c>
      <c r="D154" s="110" t="str">
        <f ca="1">IF(OFFSET(PO!O$12,ROW(D154)-ROW(D$12),0)=0,"",OFFSET(PO!O$12,ROW(D154)-ROW(D$12),0))</f>
        <v>M2</v>
      </c>
      <c r="E154" s="140">
        <f ca="1">IF($A154&lt;&gt;"Serviço",0,ROUND(SUMIF($F$9:$P$9,"&lt;&gt;",$F154:$P154),15-13*PO!$X$3))</f>
        <v>15.78</v>
      </c>
      <c r="F154" s="182">
        <f ca="1">OFFSET(PO!$P$12,ROW($E154)-ROW(F$12),0)</f>
        <v>15.78</v>
      </c>
      <c r="G154" s="182"/>
      <c r="H154" s="182"/>
      <c r="I154" s="182"/>
      <c r="J154" s="182"/>
      <c r="K154" s="182"/>
      <c r="L154" s="182"/>
      <c r="M154" s="182"/>
      <c r="N154" s="182"/>
      <c r="O154" s="182"/>
      <c r="U154" s="182"/>
    </row>
    <row r="155" spans="1:21" s="1" customFormat="1" ht="25.5" x14ac:dyDescent="0.2">
      <c r="A155" s="109" t="str">
        <f ca="1">OFFSET(PO!J$12,ROW(A155)-ROW($A$12),0)</f>
        <v>Serviço</v>
      </c>
      <c r="B155" s="111" t="str">
        <f ca="1">IF($A155=0,"",OFFSET(PO!K$12,ROW(B155)-ROW(B$12),0))</f>
        <v>1.14.11.</v>
      </c>
      <c r="C155" s="108" t="str">
        <f ca="1">IF(OFFSET(PO!N$12,ROW(C155)-ROW(C$12),0)=0,"",OFFSET(PO!N$12,ROW(C155)-ROW(C$12),0))</f>
        <v>IMPERMEABILIZAÇÃO DE SUPERFÍCIE COM ARGAMASSA POLIMÉRICA / MEMBRANA ACRÍLICA, 3 DEMÃOS. AF_09/2023</v>
      </c>
      <c r="D155" s="110" t="str">
        <f ca="1">IF(OFFSET(PO!O$12,ROW(D155)-ROW(D$12),0)=0,"",OFFSET(PO!O$12,ROW(D155)-ROW(D$12),0))</f>
        <v>M2</v>
      </c>
      <c r="E155" s="140">
        <f ca="1">IF($A155&lt;&gt;"Serviço",0,ROUND(SUMIF($F$9:$P$9,"&lt;&gt;",$F155:$P155),15-13*PO!$X$3))</f>
        <v>2.2000000000000002</v>
      </c>
      <c r="F155" s="182">
        <f ca="1">OFFSET(PO!$P$12,ROW($E155)-ROW(F$12),0)</f>
        <v>2.2000000000000002</v>
      </c>
      <c r="G155" s="182"/>
      <c r="H155" s="182"/>
      <c r="I155" s="182"/>
      <c r="J155" s="182"/>
      <c r="K155" s="182"/>
      <c r="L155" s="182"/>
      <c r="M155" s="182"/>
      <c r="N155" s="182"/>
      <c r="O155" s="182"/>
      <c r="U155" s="182"/>
    </row>
    <row r="156" spans="1:21" s="1" customFormat="1" ht="51" x14ac:dyDescent="0.2">
      <c r="A156" s="109" t="str">
        <f ca="1">OFFSET(PO!J$12,ROW(A156)-ROW($A$12),0)</f>
        <v>Serviço</v>
      </c>
      <c r="B156" s="111" t="str">
        <f ca="1">IF($A156=0,"",OFFSET(PO!K$12,ROW(B156)-ROW(B$12),0))</f>
        <v>1.14.12.</v>
      </c>
      <c r="C156" s="108" t="str">
        <f ca="1">IF(OFFSET(PO!N$12,ROW(C156)-ROW(C$12),0)=0,"",OFFSET(PO!N$12,ROW(C156)-ROW(C$12),0))</f>
        <v>KIT CAVALETE PARA GÁS - SEM MEDIDOR OU REGULADOR - ENTRADA INDIVIDUAL PRINCIPAL, EM AÇO GALVANIZADO DN 15 E 25 MM (1/2" E 1") - FORNECIMENTO E INSTALAÇÃO. AF_01/2020</v>
      </c>
      <c r="D156" s="110" t="str">
        <f ca="1">IF(OFFSET(PO!O$12,ROW(D156)-ROW(D$12),0)=0,"",OFFSET(PO!O$12,ROW(D156)-ROW(D$12),0))</f>
        <v>UN</v>
      </c>
      <c r="E156" s="140">
        <f ca="1">IF($A156&lt;&gt;"Serviço",0,ROUND(SUMIF($F$9:$P$9,"&lt;&gt;",$F156:$P156),15-13*PO!$X$3))</f>
        <v>1</v>
      </c>
      <c r="F156" s="182">
        <f ca="1">OFFSET(PO!$P$12,ROW($E156)-ROW(F$12),0)</f>
        <v>1</v>
      </c>
      <c r="G156" s="182"/>
      <c r="H156" s="182"/>
      <c r="I156" s="182"/>
      <c r="J156" s="182"/>
      <c r="K156" s="182"/>
      <c r="L156" s="182"/>
      <c r="M156" s="182"/>
      <c r="N156" s="182"/>
      <c r="O156" s="182"/>
      <c r="U156" s="182"/>
    </row>
    <row r="157" spans="1:21" s="1" customFormat="1" ht="51" x14ac:dyDescent="0.2">
      <c r="A157" s="109" t="str">
        <f ca="1">OFFSET(PO!J$12,ROW(A157)-ROW($A$12),0)</f>
        <v>Serviço</v>
      </c>
      <c r="B157" s="111" t="str">
        <f ca="1">IF($A157=0,"",OFFSET(PO!K$12,ROW(B157)-ROW(B$12),0))</f>
        <v>1.14.13.</v>
      </c>
      <c r="C157" s="108" t="str">
        <f ca="1">IF(OFFSET(PO!N$12,ROW(C157)-ROW(C$12),0)=0,"",OFFSET(PO!N$12,ROW(C157)-ROW(C$12),0))</f>
        <v>TUBO DE AÇO GALVANIZADO COM COSTURA, CLASSE MÉDIA, CONEXÃO ROSQUEADA, DN 20 (3/4"), INSTALADO EM RAMAIS E SUB-RAMAIS DE GÁS - FORNECIMENTO E INSTALAÇÃO. AF_10/2020</v>
      </c>
      <c r="D157" s="110" t="str">
        <f ca="1">IF(OFFSET(PO!O$12,ROW(D157)-ROW(D$12),0)=0,"",OFFSET(PO!O$12,ROW(D157)-ROW(D$12),0))</f>
        <v>M</v>
      </c>
      <c r="E157" s="140">
        <f ca="1">IF($A157&lt;&gt;"Serviço",0,ROUND(SUMIF($F$9:$P$9,"&lt;&gt;",$F157:$P157),15-13*PO!$X$3))</f>
        <v>15</v>
      </c>
      <c r="F157" s="182">
        <f ca="1">OFFSET(PO!$P$12,ROW($E157)-ROW(F$12),0)</f>
        <v>15</v>
      </c>
      <c r="G157" s="182"/>
      <c r="H157" s="182"/>
      <c r="I157" s="182"/>
      <c r="J157" s="182"/>
      <c r="K157" s="182"/>
      <c r="L157" s="182"/>
      <c r="M157" s="182"/>
      <c r="N157" s="182"/>
      <c r="O157" s="182"/>
      <c r="U157" s="182"/>
    </row>
    <row r="158" spans="1:21" s="1" customFormat="1" ht="38.25" x14ac:dyDescent="0.2">
      <c r="A158" s="109" t="str">
        <f ca="1">OFFSET(PO!J$12,ROW(A158)-ROW($A$12),0)</f>
        <v>Serviço</v>
      </c>
      <c r="B158" s="111" t="str">
        <f ca="1">IF($A158=0,"",OFFSET(PO!K$12,ROW(B158)-ROW(B$12),0))</f>
        <v>1.14.14.</v>
      </c>
      <c r="C158" s="108" t="str">
        <f ca="1">IF(OFFSET(PO!N$12,ROW(C158)-ROW(C$12),0)=0,"",OFFSET(PO!N$12,ROW(C158)-ROW(C$12),0))</f>
        <v>JOELHO 45 GRAUS, EM FERRO GALVANIZADO, CONEXÃO ROSQUEADA, DN 20 (3/4"), INSTALADO EM RAMAIS E SUB-RAMAIS DE GÁS - FORNECIMENTO E INSTALAÇÃO. AF_10/2020</v>
      </c>
      <c r="D158" s="110" t="str">
        <f ca="1">IF(OFFSET(PO!O$12,ROW(D158)-ROW(D$12),0)=0,"",OFFSET(PO!O$12,ROW(D158)-ROW(D$12),0))</f>
        <v>UN</v>
      </c>
      <c r="E158" s="140">
        <f ca="1">IF($A158&lt;&gt;"Serviço",0,ROUND(SUMIF($F$9:$P$9,"&lt;&gt;",$F158:$P158),15-13*PO!$X$3))</f>
        <v>8</v>
      </c>
      <c r="F158" s="182">
        <f ca="1">OFFSET(PO!$P$12,ROW($E158)-ROW(F$12),0)</f>
        <v>8</v>
      </c>
      <c r="G158" s="182"/>
      <c r="H158" s="182"/>
      <c r="I158" s="182"/>
      <c r="J158" s="182"/>
      <c r="K158" s="182"/>
      <c r="L158" s="182"/>
      <c r="M158" s="182"/>
      <c r="N158" s="182"/>
      <c r="O158" s="182"/>
      <c r="U158" s="182"/>
    </row>
    <row r="159" spans="1:21" s="1" customFormat="1" ht="25.5" x14ac:dyDescent="0.2">
      <c r="A159" s="109" t="str">
        <f ca="1">OFFSET(PO!J$12,ROW(A159)-ROW($A$12),0)</f>
        <v>Serviço</v>
      </c>
      <c r="B159" s="111" t="str">
        <f ca="1">IF($A159=0,"",OFFSET(PO!K$12,ROW(B159)-ROW(B$12),0))</f>
        <v>1.14.15.</v>
      </c>
      <c r="C159" s="108" t="str">
        <f ca="1">IF(OFFSET(PO!N$12,ROW(C159)-ROW(C$12),0)=0,"",OFFSET(PO!N$12,ROW(C159)-ROW(C$12),0))</f>
        <v>REGISTRO OU REGULADOR DE GÁS DE COZINHA - FORNECIMENTO E INSTALAÇÃO. AF_08/2021</v>
      </c>
      <c r="D159" s="110" t="str">
        <f ca="1">IF(OFFSET(PO!O$12,ROW(D159)-ROW(D$12),0)=0,"",OFFSET(PO!O$12,ROW(D159)-ROW(D$12),0))</f>
        <v>UN</v>
      </c>
      <c r="E159" s="140">
        <f ca="1">IF($A159&lt;&gt;"Serviço",0,ROUND(SUMIF($F$9:$P$9,"&lt;&gt;",$F159:$P159),15-13*PO!$X$3))</f>
        <v>1</v>
      </c>
      <c r="F159" s="182">
        <f ca="1">OFFSET(PO!$P$12,ROW($E159)-ROW(F$12),0)</f>
        <v>1</v>
      </c>
      <c r="G159" s="182"/>
      <c r="H159" s="182"/>
      <c r="I159" s="182"/>
      <c r="J159" s="182"/>
      <c r="K159" s="182"/>
      <c r="L159" s="182"/>
      <c r="M159" s="182"/>
      <c r="N159" s="182"/>
      <c r="O159" s="182"/>
      <c r="U159" s="182"/>
    </row>
    <row r="160" spans="1:21" s="1" customFormat="1" x14ac:dyDescent="0.2">
      <c r="A160" s="109" t="str">
        <f ca="1">OFFSET(PO!J$12,ROW(A160)-ROW($A$12),0)</f>
        <v>Serviço</v>
      </c>
      <c r="B160" s="111" t="str">
        <f ca="1">IF($A160=0,"",OFFSET(PO!K$12,ROW(B160)-ROW(B$12),0))</f>
        <v>1.14.16.</v>
      </c>
      <c r="C160" s="108" t="str">
        <f ca="1">IF(OFFSET(PO!N$12,ROW(C160)-ROW(C$12),0)=0,"",OFFSET(PO!N$12,ROW(C160)-ROW(C$12),0))</f>
        <v xml:space="preserve">MANGUEIRA CRISTAL, LISA, PVC TRANSPARENTE, 3/4" X 2 MM                                                                                                                                                                                                                                                                                                                                                                                                                                                    </v>
      </c>
      <c r="D160" s="110" t="str">
        <f ca="1">IF(OFFSET(PO!O$12,ROW(D160)-ROW(D$12),0)=0,"",OFFSET(PO!O$12,ROW(D160)-ROW(D$12),0))</f>
        <v xml:space="preserve">M     </v>
      </c>
      <c r="E160" s="140">
        <f ca="1">IF($A160&lt;&gt;"Serviço",0,ROUND(SUMIF($F$9:$P$9,"&lt;&gt;",$F160:$P160),15-13*PO!$X$3))</f>
        <v>2</v>
      </c>
      <c r="F160" s="182">
        <f ca="1">OFFSET(PO!$P$12,ROW($E160)-ROW(F$12),0)</f>
        <v>2</v>
      </c>
      <c r="G160" s="182"/>
      <c r="H160" s="182"/>
      <c r="I160" s="182"/>
      <c r="J160" s="182"/>
      <c r="K160" s="182"/>
      <c r="L160" s="182"/>
      <c r="M160" s="182"/>
      <c r="N160" s="182"/>
      <c r="O160" s="182"/>
      <c r="U160" s="182"/>
    </row>
    <row r="161" spans="1:21" s="1" customFormat="1" ht="25.5" x14ac:dyDescent="0.2">
      <c r="A161" s="109" t="str">
        <f ca="1">OFFSET(PO!J$12,ROW(A161)-ROW($A$12),0)</f>
        <v>Serviço</v>
      </c>
      <c r="B161" s="111" t="str">
        <f ca="1">IF($A161=0,"",OFFSET(PO!K$12,ROW(B161)-ROW(B$12),0))</f>
        <v>1.14.17.</v>
      </c>
      <c r="C161" s="108" t="str">
        <f ca="1">IF(OFFSET(PO!N$12,ROW(C161)-ROW(C$12),0)=0,"",OFFSET(PO!N$12,ROW(C161)-ROW(C$12),0))</f>
        <v>MANÔMETRO 0 A 200 PSI (0 A 14 KGF/CM2), D = 50MM - FORNECIMENTO E INSTALAÇÃO. AF_10/2020</v>
      </c>
      <c r="D161" s="110" t="str">
        <f ca="1">IF(OFFSET(PO!O$12,ROW(D161)-ROW(D$12),0)=0,"",OFFSET(PO!O$12,ROW(D161)-ROW(D$12),0))</f>
        <v>UN</v>
      </c>
      <c r="E161" s="140">
        <f ca="1">IF($A161&lt;&gt;"Serviço",0,ROUND(SUMIF($F$9:$P$9,"&lt;&gt;",$F161:$P161),15-13*PO!$X$3))</f>
        <v>1</v>
      </c>
      <c r="F161" s="182">
        <f ca="1">OFFSET(PO!$P$12,ROW($E161)-ROW(F$12),0)</f>
        <v>1</v>
      </c>
      <c r="G161" s="182"/>
      <c r="H161" s="182"/>
      <c r="I161" s="182"/>
      <c r="J161" s="182"/>
      <c r="K161" s="182"/>
      <c r="L161" s="182"/>
      <c r="M161" s="182"/>
      <c r="N161" s="182"/>
      <c r="O161" s="182"/>
      <c r="U161" s="182"/>
    </row>
    <row r="162" spans="1:21" s="1" customFormat="1" ht="38.25" x14ac:dyDescent="0.2">
      <c r="A162" s="109" t="str">
        <f ca="1">OFFSET(PO!J$12,ROW(A162)-ROW($A$12),0)</f>
        <v>Serviço</v>
      </c>
      <c r="B162" s="111" t="str">
        <f ca="1">IF($A162=0,"",OFFSET(PO!K$12,ROW(B162)-ROW(B$12),0))</f>
        <v>1.14.18.</v>
      </c>
      <c r="C162" s="108" t="str">
        <f ca="1">IF(OFFSET(PO!N$12,ROW(C162)-ROW(C$12),0)=0,"",OFFSET(PO!N$12,ROW(C162)-ROW(C$12),0))</f>
        <v>NIPLE, EM FERRO GALVANIZADO, CONEXÃO ROSQUEADA, DN 15 (1/2"), INSTALADO EM RAMAIS E SUB-RAMAIS DE GÁS - FORNECIMENTO E INSTALAÇÃO. AF_10/2020</v>
      </c>
      <c r="D162" s="110" t="str">
        <f ca="1">IF(OFFSET(PO!O$12,ROW(D162)-ROW(D$12),0)=0,"",OFFSET(PO!O$12,ROW(D162)-ROW(D$12),0))</f>
        <v>UN</v>
      </c>
      <c r="E162" s="140">
        <f ca="1">IF($A162&lt;&gt;"Serviço",0,ROUND(SUMIF($F$9:$P$9,"&lt;&gt;",$F162:$P162),15-13*PO!$X$3))</f>
        <v>3</v>
      </c>
      <c r="F162" s="182">
        <f ca="1">OFFSET(PO!$P$12,ROW($E162)-ROW(F$12),0)</f>
        <v>3</v>
      </c>
      <c r="G162" s="182"/>
      <c r="H162" s="182"/>
      <c r="I162" s="182"/>
      <c r="J162" s="182"/>
      <c r="K162" s="182"/>
      <c r="L162" s="182"/>
      <c r="M162" s="182"/>
      <c r="N162" s="182"/>
      <c r="O162" s="182"/>
      <c r="U162" s="182"/>
    </row>
    <row r="163" spans="1:21" s="1" customFormat="1" ht="38.25" x14ac:dyDescent="0.2">
      <c r="A163" s="109" t="str">
        <f ca="1">OFFSET(PO!J$12,ROW(A163)-ROW($A$12),0)</f>
        <v>Serviço</v>
      </c>
      <c r="B163" s="111" t="str">
        <f ca="1">IF($A163=0,"",OFFSET(PO!K$12,ROW(B163)-ROW(B$12),0))</f>
        <v>1.14.19.</v>
      </c>
      <c r="C163" s="108" t="str">
        <f ca="1">IF(OFFSET(PO!N$12,ROW(C163)-ROW(C$12),0)=0,"",OFFSET(PO!N$12,ROW(C163)-ROW(C$12),0))</f>
        <v>UNIÃO, EM FERRO GALVANIZADO, CONEXÃO ROSQUEADA, DN 20 (3/4"), INSTALADO EM RAMAIS E SUB-RAMAIS DE GÁS - FORNECIMENTO E INSTALAÇÃO. AF_10/2020</v>
      </c>
      <c r="D163" s="110" t="str">
        <f ca="1">IF(OFFSET(PO!O$12,ROW(D163)-ROW(D$12),0)=0,"",OFFSET(PO!O$12,ROW(D163)-ROW(D$12),0))</f>
        <v>UN</v>
      </c>
      <c r="E163" s="140">
        <f ca="1">IF($A163&lt;&gt;"Serviço",0,ROUND(SUMIF($F$9:$P$9,"&lt;&gt;",$F163:$P163),15-13*PO!$X$3))</f>
        <v>2</v>
      </c>
      <c r="F163" s="182">
        <f ca="1">OFFSET(PO!$P$12,ROW($E163)-ROW(F$12),0)</f>
        <v>2</v>
      </c>
      <c r="G163" s="182"/>
      <c r="H163" s="182"/>
      <c r="I163" s="182"/>
      <c r="J163" s="182"/>
      <c r="K163" s="182"/>
      <c r="L163" s="182"/>
      <c r="M163" s="182"/>
      <c r="N163" s="182"/>
      <c r="O163" s="182"/>
      <c r="U163" s="182"/>
    </row>
    <row r="164" spans="1:21" s="1" customFormat="1" x14ac:dyDescent="0.2">
      <c r="A164" s="109" t="str">
        <f ca="1">OFFSET(PO!J$12,ROW(A164)-ROW($A$12),0)</f>
        <v>Serviço</v>
      </c>
      <c r="B164" s="111" t="str">
        <f ca="1">IF($A164=0,"",OFFSET(PO!K$12,ROW(B164)-ROW(B$12),0))</f>
        <v>1.14.20.</v>
      </c>
      <c r="C164" s="108" t="str">
        <f ca="1">IF(OFFSET(PO!N$12,ROW(C164)-ROW(C$12),0)=0,"",OFFSET(PO!N$12,ROW(C164)-ROW(C$12),0))</f>
        <v>ESCAVAÇÃO MANUAL DE VALA. AF_09/2024</v>
      </c>
      <c r="D164" s="110" t="str">
        <f ca="1">IF(OFFSET(PO!O$12,ROW(D164)-ROW(D$12),0)=0,"",OFFSET(PO!O$12,ROW(D164)-ROW(D$12),0))</f>
        <v>M3</v>
      </c>
      <c r="E164" s="140">
        <f ca="1">IF($A164&lt;&gt;"Serviço",0,ROUND(SUMIF($F$9:$P$9,"&lt;&gt;",$F164:$P164),15-13*PO!$X$3))</f>
        <v>1.5</v>
      </c>
      <c r="F164" s="182">
        <f ca="1">OFFSET(PO!$P$12,ROW($E164)-ROW(F$12),0)</f>
        <v>1.5</v>
      </c>
      <c r="G164" s="182"/>
      <c r="H164" s="182"/>
      <c r="I164" s="182"/>
      <c r="J164" s="182"/>
      <c r="K164" s="182"/>
      <c r="L164" s="182"/>
      <c r="M164" s="182"/>
      <c r="N164" s="182"/>
      <c r="O164" s="182"/>
      <c r="U164" s="182"/>
    </row>
    <row r="165" spans="1:21" s="1" customFormat="1" ht="25.5" x14ac:dyDescent="0.2">
      <c r="A165" s="109" t="str">
        <f ca="1">OFFSET(PO!J$12,ROW(A165)-ROW($A$12),0)</f>
        <v>Serviço</v>
      </c>
      <c r="B165" s="111" t="str">
        <f ca="1">IF($A165=0,"",OFFSET(PO!K$12,ROW(B165)-ROW(B$12),0))</f>
        <v>1.14.21.</v>
      </c>
      <c r="C165" s="108" t="str">
        <f ca="1">IF(OFFSET(PO!N$12,ROW(C165)-ROW(C$12),0)=0,"",OFFSET(PO!N$12,ROW(C165)-ROW(C$12),0))</f>
        <v>ATERRO MANUAL DE VALAS COM SOLO ARGILO-ARENOSO. AF_08/2023</v>
      </c>
      <c r="D165" s="110" t="str">
        <f ca="1">IF(OFFSET(PO!O$12,ROW(D165)-ROW(D$12),0)=0,"",OFFSET(PO!O$12,ROW(D165)-ROW(D$12),0))</f>
        <v>M3</v>
      </c>
      <c r="E165" s="140">
        <f ca="1">IF($A165&lt;&gt;"Serviço",0,ROUND(SUMIF($F$9:$P$9,"&lt;&gt;",$F165:$P165),15-13*PO!$X$3))</f>
        <v>1.95</v>
      </c>
      <c r="F165" s="182">
        <f ca="1">OFFSET(PO!$P$12,ROW($E165)-ROW(F$12),0)</f>
        <v>1.9500000000000002</v>
      </c>
      <c r="G165" s="182"/>
      <c r="H165" s="182"/>
      <c r="I165" s="182"/>
      <c r="J165" s="182"/>
      <c r="K165" s="182"/>
      <c r="L165" s="182"/>
      <c r="M165" s="182"/>
      <c r="N165" s="182"/>
      <c r="O165" s="182"/>
      <c r="U165" s="182"/>
    </row>
    <row r="166" spans="1:21" s="1" customFormat="1" x14ac:dyDescent="0.2">
      <c r="A166" s="109" t="str">
        <f ca="1">OFFSET(PO!J$12,ROW(A166)-ROW($A$12),0)</f>
        <v>Nível 2</v>
      </c>
      <c r="B166" s="111" t="str">
        <f ca="1">IF($A166=0,"",OFFSET(PO!K$12,ROW(B166)-ROW(B$12),0))</f>
        <v>1.15.</v>
      </c>
      <c r="C166" s="108" t="str">
        <f ca="1">IF(OFFSET(PO!N$12,ROW(C166)-ROW(C$12),0)=0,"",OFFSET(PO!N$12,ROW(C166)-ROW(C$12),0))</f>
        <v xml:space="preserve">COBERTURA </v>
      </c>
      <c r="D166" s="110" t="str">
        <f ca="1">IF(OFFSET(PO!O$12,ROW(D166)-ROW(D$12),0)=0,"",OFFSET(PO!O$12,ROW(D166)-ROW(D$12),0))</f>
        <v/>
      </c>
      <c r="E166" s="140">
        <f ca="1">IF($A166&lt;&gt;"Serviço",0,ROUND(SUMIF($F$9:$P$9,"&lt;&gt;",$F166:$P166),15-13*PO!$X$3))</f>
        <v>0</v>
      </c>
      <c r="F166" s="182">
        <f ca="1">OFFSET(PO!$P$12,ROW($E166)-ROW(F$12),0)</f>
        <v>0</v>
      </c>
      <c r="G166" s="182"/>
      <c r="H166" s="182"/>
      <c r="I166" s="182"/>
      <c r="J166" s="182"/>
      <c r="K166" s="182"/>
      <c r="L166" s="182"/>
      <c r="M166" s="182"/>
      <c r="N166" s="182"/>
      <c r="O166" s="182"/>
      <c r="U166" s="182"/>
    </row>
    <row r="167" spans="1:21" s="1" customFormat="1" ht="51" x14ac:dyDescent="0.2">
      <c r="A167" s="109" t="str">
        <f ca="1">OFFSET(PO!J$12,ROW(A167)-ROW($A$12),0)</f>
        <v>Serviço</v>
      </c>
      <c r="B167" s="111" t="str">
        <f ca="1">IF($A167=0,"",OFFSET(PO!K$12,ROW(B167)-ROW(B$12),0))</f>
        <v>1.15.1.</v>
      </c>
      <c r="C167" s="108" t="str">
        <f ca="1">IF(OFFSET(PO!N$12,ROW(C167)-ROW(C$12),0)=0,"",OFFSET(PO!N$12,ROW(C167)-ROW(C$12),0))</f>
        <v>ALVENARIA DE VEDAÇÃO DE BLOCOS CERÂMICOS FURADOS NA HORIZONTAL DE 11,5X19X19 CM (ESPESSURA 11,5 CM) E ARGAMASSA DE ASSENTAMENTO COM PREPARO EM BETONEIRA. AF_12/2021</v>
      </c>
      <c r="D167" s="110" t="str">
        <f ca="1">IF(OFFSET(PO!O$12,ROW(D167)-ROW(D$12),0)=0,"",OFFSET(PO!O$12,ROW(D167)-ROW(D$12),0))</f>
        <v>M2</v>
      </c>
      <c r="E167" s="140">
        <f ca="1">IF($A167&lt;&gt;"Serviço",0,ROUND(SUMIF($F$9:$P$9,"&lt;&gt;",$F167:$P167),15-13*PO!$X$3))</f>
        <v>57</v>
      </c>
      <c r="F167" s="182">
        <f ca="1">OFFSET(PO!$P$12,ROW($E167)-ROW(F$12),0)</f>
        <v>57</v>
      </c>
      <c r="G167" s="182"/>
      <c r="H167" s="182"/>
      <c r="I167" s="182"/>
      <c r="J167" s="182"/>
      <c r="K167" s="182"/>
      <c r="L167" s="182"/>
      <c r="M167" s="182"/>
      <c r="N167" s="182"/>
      <c r="O167" s="182"/>
      <c r="U167" s="182"/>
    </row>
    <row r="168" spans="1:21" s="1" customFormat="1" ht="51" x14ac:dyDescent="0.2">
      <c r="A168" s="109" t="str">
        <f ca="1">OFFSET(PO!J$12,ROW(A168)-ROW($A$12),0)</f>
        <v>Serviço</v>
      </c>
      <c r="B168" s="111" t="str">
        <f ca="1">IF($A168=0,"",OFFSET(PO!K$12,ROW(B168)-ROW(B$12),0))</f>
        <v>1.15.2.</v>
      </c>
      <c r="C168" s="108" t="str">
        <f ca="1">IF(OFFSET(PO!N$12,ROW(C168)-ROW(C$12),0)=0,"",OFFSET(PO!N$12,ROW(C168)-ROW(C$12),0))</f>
        <v>CHAPISCO APLICADO EM ALVENARIA (COM PRESENÇA DE VÃOS) E ESTRUTURAS DE CONCRETO DE FACHADA, COM COLHER DE PEDREIRO.  ARGAMASSA TRAÇO 1:3 COM PREPARO EM BETONEIRA 400L. AF_10/2022</v>
      </c>
      <c r="D168" s="110" t="str">
        <f ca="1">IF(OFFSET(PO!O$12,ROW(D168)-ROW(D$12),0)=0,"",OFFSET(PO!O$12,ROW(D168)-ROW(D$12),0))</f>
        <v>M2</v>
      </c>
      <c r="E168" s="140">
        <f ca="1">IF($A168&lt;&gt;"Serviço",0,ROUND(SUMIF($F$9:$P$9,"&lt;&gt;",$F168:$P168),15-13*PO!$X$3))</f>
        <v>114</v>
      </c>
      <c r="F168" s="182">
        <f ca="1">OFFSET(PO!$P$12,ROW($E168)-ROW(F$12),0)</f>
        <v>114</v>
      </c>
      <c r="G168" s="182"/>
      <c r="H168" s="182"/>
      <c r="I168" s="182"/>
      <c r="J168" s="182"/>
      <c r="K168" s="182"/>
      <c r="L168" s="182"/>
      <c r="M168" s="182"/>
      <c r="N168" s="182"/>
      <c r="O168" s="182"/>
      <c r="U168" s="182"/>
    </row>
    <row r="169" spans="1:21" s="1" customFormat="1" ht="51" x14ac:dyDescent="0.2">
      <c r="A169" s="109" t="str">
        <f ca="1">OFFSET(PO!J$12,ROW(A169)-ROW($A$12),0)</f>
        <v>Serviço</v>
      </c>
      <c r="B169" s="111" t="str">
        <f ca="1">IF($A169=0,"",OFFSET(PO!K$12,ROW(B169)-ROW(B$12),0))</f>
        <v>1.15.3.</v>
      </c>
      <c r="C169" s="108" t="str">
        <f ca="1">IF(OFFSET(PO!N$12,ROW(C169)-ROW(C$12),0)=0,"",OFFSET(PO!N$12,ROW(C169)-ROW(C$12),0))</f>
        <v>MASSA ÚNICA, EM ARGAMASSA TRAÇO 1:2:8, PREPARO MECÂNICO, APLICADA MANUALMENTE EM PAREDES INTERNAS DE AMBIENTES COM ÁREA ENTRE 5M² E 10M², E = 10MM, COM TALISCAS. AF_03/2024</v>
      </c>
      <c r="D169" s="110" t="str">
        <f ca="1">IF(OFFSET(PO!O$12,ROW(D169)-ROW(D$12),0)=0,"",OFFSET(PO!O$12,ROW(D169)-ROW(D$12),0))</f>
        <v>M2</v>
      </c>
      <c r="E169" s="140">
        <f ca="1">IF($A169&lt;&gt;"Serviço",0,ROUND(SUMIF($F$9:$P$9,"&lt;&gt;",$F169:$P169),15-13*PO!$X$3))</f>
        <v>114</v>
      </c>
      <c r="F169" s="182">
        <f ca="1">OFFSET(PO!$P$12,ROW($E169)-ROW(F$12),0)</f>
        <v>114</v>
      </c>
      <c r="G169" s="182"/>
      <c r="H169" s="182"/>
      <c r="I169" s="182"/>
      <c r="J169" s="182"/>
      <c r="K169" s="182"/>
      <c r="L169" s="182"/>
      <c r="M169" s="182"/>
      <c r="N169" s="182"/>
      <c r="O169" s="182"/>
      <c r="U169" s="182"/>
    </row>
    <row r="170" spans="1:21" s="1" customFormat="1" ht="51" x14ac:dyDescent="0.2">
      <c r="A170" s="109" t="str">
        <f ca="1">OFFSET(PO!J$12,ROW(A170)-ROW($A$12),0)</f>
        <v>Serviço</v>
      </c>
      <c r="B170" s="111" t="str">
        <f ca="1">IF($A170=0,"",OFFSET(PO!K$12,ROW(B170)-ROW(B$12),0))</f>
        <v>1.15.4.</v>
      </c>
      <c r="C170" s="108" t="str">
        <f ca="1">IF(OFFSET(PO!N$12,ROW(C170)-ROW(C$12),0)=0,"",OFFSET(PO!N$12,ROW(C170)-ROW(C$12),0))</f>
        <v>EMBOÇO OU MASSA ÚNICA EM ARGAMASSA TRAÇO 1:2:8, PREPARO MECÂNICO COM BETONEIRA 400 L, APLICADA MANUALMENTE EM PANOS CEGOS DE FACHADA (SEM PRESENÇA DE VÃOS), ESPESSURA DE 25 MM. AF_08/2022</v>
      </c>
      <c r="D170" s="110" t="str">
        <f ca="1">IF(OFFSET(PO!O$12,ROW(D170)-ROW(D$12),0)=0,"",OFFSET(PO!O$12,ROW(D170)-ROW(D$12),0))</f>
        <v>M2</v>
      </c>
      <c r="E170" s="140">
        <f ca="1">IF($A170&lt;&gt;"Serviço",0,ROUND(SUMIF($F$9:$P$9,"&lt;&gt;",$F170:$P170),15-13*PO!$X$3))</f>
        <v>114</v>
      </c>
      <c r="F170" s="182">
        <f ca="1">OFFSET(PO!$P$12,ROW($E170)-ROW(F$12),0)</f>
        <v>114</v>
      </c>
      <c r="G170" s="182"/>
      <c r="H170" s="182"/>
      <c r="I170" s="182"/>
      <c r="J170" s="182"/>
      <c r="K170" s="182"/>
      <c r="L170" s="182"/>
      <c r="M170" s="182"/>
      <c r="N170" s="182"/>
      <c r="O170" s="182"/>
      <c r="U170" s="182"/>
    </row>
    <row r="171" spans="1:21" s="1" customFormat="1" ht="51" x14ac:dyDescent="0.2">
      <c r="A171" s="109" t="str">
        <f ca="1">OFFSET(PO!J$12,ROW(A171)-ROW($A$12),0)</f>
        <v>Serviço</v>
      </c>
      <c r="B171" s="111" t="str">
        <f ca="1">IF($A171=0,"",OFFSET(PO!K$12,ROW(B171)-ROW(B$12),0))</f>
        <v>1.15.5.</v>
      </c>
      <c r="C171" s="108" t="str">
        <f ca="1">IF(OFFSET(PO!N$12,ROW(C171)-ROW(C$12),0)=0,"",OFFSET(PO!N$12,ROW(C171)-ROW(C$12),0))</f>
        <v>FABRICAÇÃO E INSTALAÇÃO DE TESOURA INTEIRA EM MADEIRA NÃO APARELHADA, VÃO DE 6 M, PARA TELHA ONDULADA DE FIBROCIMENTO, METÁLICA, PLÁSTICA OU TERMOACÚSTICA, INCLUSO IÇAMENTO. AF_07/2019</v>
      </c>
      <c r="D171" s="110" t="str">
        <f ca="1">IF(OFFSET(PO!O$12,ROW(D171)-ROW(D$12),0)=0,"",OFFSET(PO!O$12,ROW(D171)-ROW(D$12),0))</f>
        <v>UN</v>
      </c>
      <c r="E171" s="140">
        <f ca="1">IF($A171&lt;&gt;"Serviço",0,ROUND(SUMIF($F$9:$P$9,"&lt;&gt;",$F171:$P171),15-13*PO!$X$3))</f>
        <v>12</v>
      </c>
      <c r="F171" s="182">
        <f ca="1">OFFSET(PO!$P$12,ROW($E171)-ROW(F$12),0)</f>
        <v>12</v>
      </c>
      <c r="G171" s="182"/>
      <c r="H171" s="182"/>
      <c r="I171" s="182"/>
      <c r="J171" s="182"/>
      <c r="K171" s="182"/>
      <c r="L171" s="182"/>
      <c r="M171" s="182"/>
      <c r="N171" s="182"/>
      <c r="O171" s="182"/>
      <c r="U171" s="182"/>
    </row>
    <row r="172" spans="1:21" s="1" customFormat="1" ht="51" x14ac:dyDescent="0.2">
      <c r="A172" s="109" t="str">
        <f ca="1">OFFSET(PO!J$12,ROW(A172)-ROW($A$12),0)</f>
        <v>Serviço</v>
      </c>
      <c r="B172" s="111" t="str">
        <f ca="1">IF($A172=0,"",OFFSET(PO!K$12,ROW(B172)-ROW(B$12),0))</f>
        <v>1.15.6.</v>
      </c>
      <c r="C172" s="108" t="str">
        <f ca="1">IF(OFFSET(PO!N$12,ROW(C172)-ROW(C$12),0)=0,"",OFFSET(PO!N$12,ROW(C172)-ROW(C$12),0))</f>
        <v>FABRICAÇÃO E INSTALAÇÃO DE TESOURA INTEIRA EM MADEIRA NÃO APARELHADA, VÃO DE 9 M, PARA TELHA ONDULADA DE FIBROCIMENTO, METÁLICA, PLÁSTICA OU TERMOACÚSTICA, INCLUSO IÇAMENTO. AF_07/2019</v>
      </c>
      <c r="D172" s="110" t="str">
        <f ca="1">IF(OFFSET(PO!O$12,ROW(D172)-ROW(D$12),0)=0,"",OFFSET(PO!O$12,ROW(D172)-ROW(D$12),0))</f>
        <v>UN</v>
      </c>
      <c r="E172" s="140">
        <f ca="1">IF($A172&lt;&gt;"Serviço",0,ROUND(SUMIF($F$9:$P$9,"&lt;&gt;",$F172:$P172),15-13*PO!$X$3))</f>
        <v>2</v>
      </c>
      <c r="F172" s="182">
        <f ca="1">OFFSET(PO!$P$12,ROW($E172)-ROW(F$12),0)</f>
        <v>2</v>
      </c>
      <c r="G172" s="182"/>
      <c r="H172" s="182"/>
      <c r="I172" s="182"/>
      <c r="J172" s="182"/>
      <c r="K172" s="182"/>
      <c r="L172" s="182"/>
      <c r="M172" s="182"/>
      <c r="N172" s="182"/>
      <c r="O172" s="182"/>
      <c r="U172" s="182"/>
    </row>
    <row r="173" spans="1:21" s="1" customFormat="1" ht="51" x14ac:dyDescent="0.2">
      <c r="A173" s="109" t="str">
        <f ca="1">OFFSET(PO!J$12,ROW(A173)-ROW($A$12),0)</f>
        <v>Serviço</v>
      </c>
      <c r="B173" s="111" t="str">
        <f ca="1">IF($A173=0,"",OFFSET(PO!K$12,ROW(B173)-ROW(B$12),0))</f>
        <v>1.15.7.</v>
      </c>
      <c r="C173" s="108" t="str">
        <f ca="1">IF(OFFSET(PO!N$12,ROW(C173)-ROW(C$12),0)=0,"",OFFSET(PO!N$12,ROW(C173)-ROW(C$12),0))</f>
        <v>FABRICAÇÃO E INSTALAÇÃO DE TESOURA INTEIRA EM MADEIRA NÃO APARELHADA, VÃO DE 7 M, PARA TELHA ONDULADA DE FIBROCIMENTO, METÁLICA, PLÁSTICA OU TERMOACÚSTICA, INCLUSO IÇAMENTO. AF_07/2019</v>
      </c>
      <c r="D173" s="110" t="str">
        <f ca="1">IF(OFFSET(PO!O$12,ROW(D173)-ROW(D$12),0)=0,"",OFFSET(PO!O$12,ROW(D173)-ROW(D$12),0))</f>
        <v>UN</v>
      </c>
      <c r="E173" s="140">
        <f ca="1">IF($A173&lt;&gt;"Serviço",0,ROUND(SUMIF($F$9:$P$9,"&lt;&gt;",$F173:$P173),15-13*PO!$X$3))</f>
        <v>10</v>
      </c>
      <c r="F173" s="182">
        <f ca="1">OFFSET(PO!$P$12,ROW($E173)-ROW(F$12),0)</f>
        <v>10</v>
      </c>
      <c r="G173" s="182"/>
      <c r="H173" s="182"/>
      <c r="I173" s="182"/>
      <c r="J173" s="182"/>
      <c r="K173" s="182"/>
      <c r="L173" s="182"/>
      <c r="M173" s="182"/>
      <c r="N173" s="182"/>
      <c r="O173" s="182"/>
      <c r="U173" s="182"/>
    </row>
    <row r="174" spans="1:21" s="1" customFormat="1" ht="51" x14ac:dyDescent="0.2">
      <c r="A174" s="109" t="str">
        <f ca="1">OFFSET(PO!J$12,ROW(A174)-ROW($A$12),0)</f>
        <v>Serviço</v>
      </c>
      <c r="B174" s="111" t="str">
        <f ca="1">IF($A174=0,"",OFFSET(PO!K$12,ROW(B174)-ROW(B$12),0))</f>
        <v>1.15.8.</v>
      </c>
      <c r="C174" s="108" t="str">
        <f ca="1">IF(OFFSET(PO!N$12,ROW(C174)-ROW(C$12),0)=0,"",OFFSET(PO!N$12,ROW(C174)-ROW(C$12),0))</f>
        <v>TRAMA DE MADEIRA COMPOSTA POR TERÇAS PARA TELHADOS DE ATÉ 2 ÁGUAS PARA TELHA ONDULADA DE FIBROCIMENTO, METÁLICA, PLÁSTICA OU TERMOACÚSTICA, INCLUSO TRANSPORTE VERTICAL. AF_07/2019</v>
      </c>
      <c r="D174" s="110" t="str">
        <f ca="1">IF(OFFSET(PO!O$12,ROW(D174)-ROW(D$12),0)=0,"",OFFSET(PO!O$12,ROW(D174)-ROW(D$12),0))</f>
        <v>M2</v>
      </c>
      <c r="E174" s="140">
        <f ca="1">IF($A174&lt;&gt;"Serviço",0,ROUND(SUMIF($F$9:$P$9,"&lt;&gt;",$F174:$P174),15-13*PO!$X$3))</f>
        <v>461</v>
      </c>
      <c r="F174" s="182">
        <f ca="1">OFFSET(PO!$P$12,ROW($E174)-ROW(F$12),0)</f>
        <v>461</v>
      </c>
      <c r="G174" s="182"/>
      <c r="H174" s="182"/>
      <c r="I174" s="182"/>
      <c r="J174" s="182"/>
      <c r="K174" s="182"/>
      <c r="L174" s="182"/>
      <c r="M174" s="182"/>
      <c r="N174" s="182"/>
      <c r="O174" s="182"/>
      <c r="U174" s="182"/>
    </row>
    <row r="175" spans="1:21" s="1" customFormat="1" ht="38.25" x14ac:dyDescent="0.2">
      <c r="A175" s="109" t="str">
        <f ca="1">OFFSET(PO!J$12,ROW(A175)-ROW($A$12),0)</f>
        <v>Serviço</v>
      </c>
      <c r="B175" s="111" t="str">
        <f ca="1">IF($A175=0,"",OFFSET(PO!K$12,ROW(B175)-ROW(B$12),0))</f>
        <v>1.15.9.</v>
      </c>
      <c r="C175" s="108" t="str">
        <f ca="1">IF(OFFSET(PO!N$12,ROW(C175)-ROW(C$12),0)=0,"",OFFSET(PO!N$12,ROW(C175)-ROW(C$12),0))</f>
        <v>ESPELHO PARA BEIRAL EM MADEIRA MACARANDUBA, ANGELIM OU EQUIVALENTE DA REGIÃO, ALTURA: 15CM, INCLUSO PINTURA NA COR BRANCA.</v>
      </c>
      <c r="D175" s="110" t="str">
        <f ca="1">IF(OFFSET(PO!O$12,ROW(D175)-ROW(D$12),0)=0,"",OFFSET(PO!O$12,ROW(D175)-ROW(D$12),0))</f>
        <v>M2</v>
      </c>
      <c r="E175" s="140">
        <f ca="1">IF($A175&lt;&gt;"Serviço",0,ROUND(SUMIF($F$9:$P$9,"&lt;&gt;",$F175:$P175),15-13*PO!$X$3))</f>
        <v>13.72</v>
      </c>
      <c r="F175" s="182">
        <f ca="1">OFFSET(PO!$P$12,ROW($E175)-ROW(F$12),0)</f>
        <v>13.72</v>
      </c>
      <c r="G175" s="182"/>
      <c r="H175" s="182"/>
      <c r="I175" s="182"/>
      <c r="J175" s="182"/>
      <c r="K175" s="182"/>
      <c r="L175" s="182"/>
      <c r="M175" s="182"/>
      <c r="N175" s="182"/>
      <c r="O175" s="182"/>
      <c r="U175" s="182"/>
    </row>
    <row r="176" spans="1:21" s="1" customFormat="1" ht="51" x14ac:dyDescent="0.2">
      <c r="A176" s="109" t="str">
        <f ca="1">OFFSET(PO!J$12,ROW(A176)-ROW($A$12),0)</f>
        <v>Serviço</v>
      </c>
      <c r="B176" s="111" t="str">
        <f ca="1">IF($A176=0,"",OFFSET(PO!K$12,ROW(B176)-ROW(B$12),0))</f>
        <v>1.15.10.</v>
      </c>
      <c r="C176" s="108" t="str">
        <f ca="1">IF(OFFSET(PO!N$12,ROW(C176)-ROW(C$12),0)=0,"",OFFSET(PO!N$12,ROW(C176)-ROW(C$12),0))</f>
        <v>TELHAMENTO COM TELHA TRAPEZOIDAL TIPO SANDUICHE (TP40/980 0,50 + EPS 30MM + TP40/980 0,43), Cor externa azul (Incluso transporte, içamento, instalação, cumeeira, bobina, parafusos, calços).</v>
      </c>
      <c r="D176" s="110" t="str">
        <f ca="1">IF(OFFSET(PO!O$12,ROW(D176)-ROW(D$12),0)=0,"",OFFSET(PO!O$12,ROW(D176)-ROW(D$12),0))</f>
        <v xml:space="preserve">M2    </v>
      </c>
      <c r="E176" s="140">
        <f ca="1">IF($A176&lt;&gt;"Serviço",0,ROUND(SUMIF($F$9:$P$9,"&lt;&gt;",$F176:$P176),15-13*PO!$X$3))</f>
        <v>461</v>
      </c>
      <c r="F176" s="182">
        <f ca="1">OFFSET(PO!$P$12,ROW($E176)-ROW(F$12),0)</f>
        <v>461</v>
      </c>
      <c r="G176" s="182"/>
      <c r="H176" s="182"/>
      <c r="I176" s="182"/>
      <c r="J176" s="182"/>
      <c r="K176" s="182"/>
      <c r="L176" s="182"/>
      <c r="M176" s="182"/>
      <c r="N176" s="182"/>
      <c r="O176" s="182"/>
      <c r="U176" s="182"/>
    </row>
    <row r="177" spans="1:21" s="1" customFormat="1" ht="25.5" x14ac:dyDescent="0.2">
      <c r="A177" s="109" t="str">
        <f ca="1">OFFSET(PO!J$12,ROW(A177)-ROW($A$12),0)</f>
        <v>Serviço</v>
      </c>
      <c r="B177" s="111" t="str">
        <f ca="1">IF($A177=0,"",OFFSET(PO!K$12,ROW(B177)-ROW(B$12),0))</f>
        <v>1.15.11.</v>
      </c>
      <c r="C177" s="108" t="str">
        <f ca="1">IF(OFFSET(PO!N$12,ROW(C177)-ROW(C$12),0)=0,"",OFFSET(PO!N$12,ROW(C177)-ROW(C$12),0))</f>
        <v>RUFO EM CHAPA DE AÇO GALVANIZADO NÚMERO 24, CORTE DE 25 CM, INCLUSO TRANSPORTE VERTICAL. AF_07/2019</v>
      </c>
      <c r="D177" s="110" t="str">
        <f ca="1">IF(OFFSET(PO!O$12,ROW(D177)-ROW(D$12),0)=0,"",OFFSET(PO!O$12,ROW(D177)-ROW(D$12),0))</f>
        <v>M</v>
      </c>
      <c r="E177" s="140">
        <f ca="1">IF($A177&lt;&gt;"Serviço",0,ROUND(SUMIF($F$9:$P$9,"&lt;&gt;",$F177:$P177),15-13*PO!$X$3))</f>
        <v>25.45</v>
      </c>
      <c r="F177" s="182">
        <f ca="1">OFFSET(PO!$P$12,ROW($E177)-ROW(F$12),0)</f>
        <v>25.450000000000003</v>
      </c>
      <c r="G177" s="182"/>
      <c r="H177" s="182"/>
      <c r="I177" s="182"/>
      <c r="J177" s="182"/>
      <c r="K177" s="182"/>
      <c r="L177" s="182"/>
      <c r="M177" s="182"/>
      <c r="N177" s="182"/>
      <c r="O177" s="182"/>
      <c r="U177" s="182"/>
    </row>
    <row r="178" spans="1:21" s="1" customFormat="1" ht="38.25" x14ac:dyDescent="0.2">
      <c r="A178" s="109" t="str">
        <f ca="1">OFFSET(PO!J$12,ROW(A178)-ROW($A$12),0)</f>
        <v>Serviço</v>
      </c>
      <c r="B178" s="111" t="str">
        <f ca="1">IF($A178=0,"",OFFSET(PO!K$12,ROW(B178)-ROW(B$12),0))</f>
        <v>1.15.12.</v>
      </c>
      <c r="C178" s="108" t="str">
        <f ca="1">IF(OFFSET(PO!N$12,ROW(C178)-ROW(C$12),0)=0,"",OFFSET(PO!N$12,ROW(C178)-ROW(C$12),0))</f>
        <v>CALHA EM CHAPA DE AÇO GALVANIZADO NÚMERO 24, DESENVOLVIMENTO DE 33 CM, INCLUSO TRANSPORTE VERTICAL. AF_07/2019</v>
      </c>
      <c r="D178" s="110" t="str">
        <f ca="1">IF(OFFSET(PO!O$12,ROW(D178)-ROW(D$12),0)=0,"",OFFSET(PO!O$12,ROW(D178)-ROW(D$12),0))</f>
        <v>M</v>
      </c>
      <c r="E178" s="140">
        <f ca="1">IF($A178&lt;&gt;"Serviço",0,ROUND(SUMIF($F$9:$P$9,"&lt;&gt;",$F178:$P178),15-13*PO!$X$3))</f>
        <v>23.7</v>
      </c>
      <c r="F178" s="182">
        <f ca="1">OFFSET(PO!$P$12,ROW($E178)-ROW(F$12),0)</f>
        <v>23.7</v>
      </c>
      <c r="G178" s="182"/>
      <c r="H178" s="182"/>
      <c r="I178" s="182"/>
      <c r="J178" s="182"/>
      <c r="K178" s="182"/>
      <c r="L178" s="182"/>
      <c r="M178" s="182"/>
      <c r="N178" s="182"/>
      <c r="O178" s="182"/>
      <c r="U178" s="182"/>
    </row>
    <row r="179" spans="1:21" s="1" customFormat="1" ht="38.25" x14ac:dyDescent="0.2">
      <c r="A179" s="109" t="str">
        <f ca="1">OFFSET(PO!J$12,ROW(A179)-ROW($A$12),0)</f>
        <v>Serviço</v>
      </c>
      <c r="B179" s="111" t="str">
        <f ca="1">IF($A179=0,"",OFFSET(PO!K$12,ROW(B179)-ROW(B$12),0))</f>
        <v>1.15.13.</v>
      </c>
      <c r="C179" s="108" t="str">
        <f ca="1">IF(OFFSET(PO!N$12,ROW(C179)-ROW(C$12),0)=0,"",OFFSET(PO!N$12,ROW(C179)-ROW(C$12),0))</f>
        <v xml:space="preserve">SUPORTE METALICO PARA CALHA PLUVIAL, ZINCADO, DOBRADO, DIAMETRO ENTRE 119 E 170 MM, PARA DRENAGEM PLUVIAL PREDIAL                                                                                                                                                                                                                                                                                                                                                                                         </v>
      </c>
      <c r="D179" s="110" t="str">
        <f ca="1">IF(OFFSET(PO!O$12,ROW(D179)-ROW(D$12),0)=0,"",OFFSET(PO!O$12,ROW(D179)-ROW(D$12),0))</f>
        <v xml:space="preserve">UN    </v>
      </c>
      <c r="E179" s="140">
        <f ca="1">IF($A179&lt;&gt;"Serviço",0,ROUND(SUMIF($F$9:$P$9,"&lt;&gt;",$F179:$P179),15-13*PO!$X$3))</f>
        <v>30</v>
      </c>
      <c r="F179" s="182">
        <f ca="1">OFFSET(PO!$P$12,ROW($E179)-ROW(F$12),0)</f>
        <v>30</v>
      </c>
      <c r="G179" s="182"/>
      <c r="H179" s="182"/>
      <c r="I179" s="182"/>
      <c r="J179" s="182"/>
      <c r="K179" s="182"/>
      <c r="L179" s="182"/>
      <c r="M179" s="182"/>
      <c r="N179" s="182"/>
      <c r="O179" s="182"/>
      <c r="U179" s="182"/>
    </row>
    <row r="180" spans="1:21" s="1" customFormat="1" x14ac:dyDescent="0.2">
      <c r="A180" s="109" t="str">
        <f ca="1">OFFSET(PO!J$12,ROW(A180)-ROW($A$12),0)</f>
        <v>Nível 2</v>
      </c>
      <c r="B180" s="111" t="str">
        <f ca="1">IF($A180=0,"",OFFSET(PO!K$12,ROW(B180)-ROW(B$12),0))</f>
        <v>1.16.</v>
      </c>
      <c r="C180" s="108" t="str">
        <f ca="1">IF(OFFSET(PO!N$12,ROW(C180)-ROW(C$12),0)=0,"",OFFSET(PO!N$12,ROW(C180)-ROW(C$12),0))</f>
        <v>COBERTURA DO ACESSO A ESCOLA E FACHADA</v>
      </c>
      <c r="D180" s="110" t="str">
        <f ca="1">IF(OFFSET(PO!O$12,ROW(D180)-ROW(D$12),0)=0,"",OFFSET(PO!O$12,ROW(D180)-ROW(D$12),0))</f>
        <v/>
      </c>
      <c r="E180" s="140">
        <f ca="1">IF($A180&lt;&gt;"Serviço",0,ROUND(SUMIF($F$9:$P$9,"&lt;&gt;",$F180:$P180),15-13*PO!$X$3))</f>
        <v>0</v>
      </c>
      <c r="F180" s="182">
        <f ca="1">OFFSET(PO!$P$12,ROW($E180)-ROW(F$12),0)</f>
        <v>0</v>
      </c>
      <c r="G180" s="182"/>
      <c r="H180" s="182"/>
      <c r="I180" s="182"/>
      <c r="J180" s="182"/>
      <c r="K180" s="182"/>
      <c r="L180" s="182"/>
      <c r="M180" s="182"/>
      <c r="N180" s="182"/>
      <c r="O180" s="182"/>
      <c r="U180" s="182"/>
    </row>
    <row r="181" spans="1:21" s="1" customFormat="1" ht="51" x14ac:dyDescent="0.2">
      <c r="A181" s="109" t="str">
        <f ca="1">OFFSET(PO!J$12,ROW(A181)-ROW($A$12),0)</f>
        <v>Serviço</v>
      </c>
      <c r="B181" s="111" t="str">
        <f ca="1">IF($A181=0,"",OFFSET(PO!K$12,ROW(B181)-ROW(B$12),0))</f>
        <v>1.16.1.</v>
      </c>
      <c r="C181" s="108" t="str">
        <f ca="1">IF(OFFSET(PO!N$12,ROW(C181)-ROW(C$12),0)=0,"",OFFSET(PO!N$12,ROW(C181)-ROW(C$12),0))</f>
        <v>ESTRUTURA TRELIÇADA DE COBERTURA, TIPO FINK, COM LIGAÇÕES SOLDADAS, INCLUSOS PERFIS METÁLICOS, CHAPAS METÁLICAS, MÃO DE OBRA E TRANSPORTE COM GUINDASTE - FORNECIMENTO E INSTALAÇÃO. AF_01/2020_PSA</v>
      </c>
      <c r="D181" s="110" t="str">
        <f ca="1">IF(OFFSET(PO!O$12,ROW(D181)-ROW(D$12),0)=0,"",OFFSET(PO!O$12,ROW(D181)-ROW(D$12),0))</f>
        <v>KG</v>
      </c>
      <c r="E181" s="140">
        <f ca="1">IF($A181&lt;&gt;"Serviço",0,ROUND(SUMIF($F$9:$P$9,"&lt;&gt;",$F181:$P181),15-13*PO!$X$3))</f>
        <v>300</v>
      </c>
      <c r="F181" s="182">
        <f ca="1">OFFSET(PO!$P$12,ROW($E181)-ROW(F$12),0)</f>
        <v>300</v>
      </c>
      <c r="G181" s="182"/>
      <c r="H181" s="182"/>
      <c r="I181" s="182"/>
      <c r="J181" s="182"/>
      <c r="K181" s="182"/>
      <c r="L181" s="182"/>
      <c r="M181" s="182"/>
      <c r="N181" s="182"/>
      <c r="O181" s="182"/>
      <c r="U181" s="182"/>
    </row>
    <row r="182" spans="1:21" s="1" customFormat="1" ht="51" x14ac:dyDescent="0.2">
      <c r="A182" s="109" t="str">
        <f ca="1">OFFSET(PO!J$12,ROW(A182)-ROW($A$12),0)</f>
        <v>Serviço</v>
      </c>
      <c r="B182" s="111" t="str">
        <f ca="1">IF($A182=0,"",OFFSET(PO!K$12,ROW(B182)-ROW(B$12),0))</f>
        <v>1.16.2.</v>
      </c>
      <c r="C182" s="108" t="str">
        <f ca="1">IF(OFFSET(PO!N$12,ROW(C182)-ROW(C$12),0)=0,"",OFFSET(PO!N$12,ROW(C182)-ROW(C$12),0))</f>
        <v>VIGA METÁLICA EM PERFIL LAMINADO OU SOLDADO EM AÇO ESTRUTURAL, COM CONEXÕES SOLDADAS, INCLUSOS MÃO DE OBRA, TRANSPORTE E IÇAMENTO UTILIZANDO GUINDASTE - FORNECIMENTO E INSTALAÇÃO. AF_01/2020_PA</v>
      </c>
      <c r="D182" s="110" t="str">
        <f ca="1">IF(OFFSET(PO!O$12,ROW(D182)-ROW(D$12),0)=0,"",OFFSET(PO!O$12,ROW(D182)-ROW(D$12),0))</f>
        <v>KG</v>
      </c>
      <c r="E182" s="140">
        <f ca="1">IF($A182&lt;&gt;"Serviço",0,ROUND(SUMIF($F$9:$P$9,"&lt;&gt;",$F182:$P182),15-13*PO!$X$3))</f>
        <v>100</v>
      </c>
      <c r="F182" s="182">
        <f ca="1">OFFSET(PO!$P$12,ROW($E182)-ROW(F$12),0)</f>
        <v>100</v>
      </c>
      <c r="G182" s="182"/>
      <c r="H182" s="182"/>
      <c r="I182" s="182"/>
      <c r="J182" s="182"/>
      <c r="K182" s="182"/>
      <c r="L182" s="182"/>
      <c r="M182" s="182"/>
      <c r="N182" s="182"/>
      <c r="O182" s="182"/>
      <c r="U182" s="182"/>
    </row>
    <row r="183" spans="1:21" s="1" customFormat="1" ht="51" x14ac:dyDescent="0.2">
      <c r="A183" s="109" t="str">
        <f ca="1">OFFSET(PO!J$12,ROW(A183)-ROW($A$12),0)</f>
        <v>Serviço</v>
      </c>
      <c r="B183" s="111" t="str">
        <f ca="1">IF($A183=0,"",OFFSET(PO!K$12,ROW(B183)-ROW(B$12),0))</f>
        <v>1.16.3.</v>
      </c>
      <c r="C183" s="108" t="str">
        <f ca="1">IF(OFFSET(PO!N$12,ROW(C183)-ROW(C$12),0)=0,"",OFFSET(PO!N$12,ROW(C183)-ROW(C$12),0))</f>
        <v>TRAMA DE AÇO COMPOSTA POR TERÇAS PARA TELHADOS DE ATÉ 2 ÁGUAS PARA TELHA ONDULADA DE FIBROCIMENTO, METÁLICA, PLÁSTICA OU TERMOACÚSTICA, INCLUSO TRANSPORTE VERTICAL. AF_07/2019</v>
      </c>
      <c r="D183" s="110" t="str">
        <f ca="1">IF(OFFSET(PO!O$12,ROW(D183)-ROW(D$12),0)=0,"",OFFSET(PO!O$12,ROW(D183)-ROW(D$12),0))</f>
        <v>M2</v>
      </c>
      <c r="E183" s="140">
        <f ca="1">IF($A183&lt;&gt;"Serviço",0,ROUND(SUMIF($F$9:$P$9,"&lt;&gt;",$F183:$P183),15-13*PO!$X$3))</f>
        <v>39.11</v>
      </c>
      <c r="F183" s="182">
        <f ca="1">OFFSET(PO!$P$12,ROW($E183)-ROW(F$12),0)</f>
        <v>39.11</v>
      </c>
      <c r="G183" s="182"/>
      <c r="H183" s="182"/>
      <c r="I183" s="182"/>
      <c r="J183" s="182"/>
      <c r="K183" s="182"/>
      <c r="L183" s="182"/>
      <c r="M183" s="182"/>
      <c r="N183" s="182"/>
      <c r="O183" s="182"/>
      <c r="U183" s="182"/>
    </row>
    <row r="184" spans="1:21" s="1" customFormat="1" ht="25.5" x14ac:dyDescent="0.2">
      <c r="A184" s="109" t="str">
        <f ca="1">OFFSET(PO!J$12,ROW(A184)-ROW($A$12),0)</f>
        <v>Serviço</v>
      </c>
      <c r="B184" s="111" t="str">
        <f ca="1">IF($A184=0,"",OFFSET(PO!K$12,ROW(B184)-ROW(B$12),0))</f>
        <v>1.16.4.</v>
      </c>
      <c r="C184" s="108" t="str">
        <f ca="1">IF(OFFSET(PO!N$12,ROW(C184)-ROW(C$12),0)=0,"",OFFSET(PO!N$12,ROW(C184)-ROW(C$12),0))</f>
        <v>MONTADOR DE ESTRUTURA METÁLICA COM ENCARGOS COMPLEMENTARES</v>
      </c>
      <c r="D184" s="110" t="str">
        <f ca="1">IF(OFFSET(PO!O$12,ROW(D184)-ROW(D$12),0)=0,"",OFFSET(PO!O$12,ROW(D184)-ROW(D$12),0))</f>
        <v>H</v>
      </c>
      <c r="E184" s="140">
        <f ca="1">IF($A184&lt;&gt;"Serviço",0,ROUND(SUMIF($F$9:$P$9,"&lt;&gt;",$F184:$P184),15-13*PO!$X$3))</f>
        <v>16</v>
      </c>
      <c r="F184" s="182">
        <f ca="1">OFFSET(PO!$P$12,ROW($E184)-ROW(F$12),0)</f>
        <v>16</v>
      </c>
      <c r="G184" s="182"/>
      <c r="H184" s="182"/>
      <c r="I184" s="182"/>
      <c r="J184" s="182"/>
      <c r="K184" s="182"/>
      <c r="L184" s="182"/>
      <c r="M184" s="182"/>
      <c r="N184" s="182"/>
      <c r="O184" s="182"/>
      <c r="U184" s="182"/>
    </row>
    <row r="185" spans="1:21" s="1" customFormat="1" ht="25.5" x14ac:dyDescent="0.2">
      <c r="A185" s="109" t="str">
        <f ca="1">OFFSET(PO!J$12,ROW(A185)-ROW($A$12),0)</f>
        <v>Serviço</v>
      </c>
      <c r="B185" s="111" t="str">
        <f ca="1">IF($A185=0,"",OFFSET(PO!K$12,ROW(B185)-ROW(B$12),0))</f>
        <v>1.16.5.</v>
      </c>
      <c r="C185" s="108" t="str">
        <f ca="1">IF(OFFSET(PO!N$12,ROW(C185)-ROW(C$12),0)=0,"",OFFSET(PO!N$12,ROW(C185)-ROW(C$12),0))</f>
        <v>FACHADA COM FECHAMENTO DE ESTRUTURA METÁLICA COM ACM 3MM</v>
      </c>
      <c r="D185" s="110" t="str">
        <f ca="1">IF(OFFSET(PO!O$12,ROW(D185)-ROW(D$12),0)=0,"",OFFSET(PO!O$12,ROW(D185)-ROW(D$12),0))</f>
        <v>M2</v>
      </c>
      <c r="E185" s="140">
        <f ca="1">IF($A185&lt;&gt;"Serviço",0,ROUND(SUMIF($F$9:$P$9,"&lt;&gt;",$F185:$P185),15-13*PO!$X$3))</f>
        <v>15.4</v>
      </c>
      <c r="F185" s="182">
        <f ca="1">OFFSET(PO!$P$12,ROW($E185)-ROW(F$12),0)</f>
        <v>15.400000000000002</v>
      </c>
      <c r="G185" s="182"/>
      <c r="H185" s="182"/>
      <c r="I185" s="182"/>
      <c r="J185" s="182"/>
      <c r="K185" s="182"/>
      <c r="L185" s="182"/>
      <c r="M185" s="182"/>
      <c r="N185" s="182"/>
      <c r="O185" s="182"/>
      <c r="U185" s="182"/>
    </row>
    <row r="186" spans="1:21" s="1" customFormat="1" ht="25.5" x14ac:dyDescent="0.2">
      <c r="A186" s="109" t="str">
        <f ca="1">OFFSET(PO!J$12,ROW(A186)-ROW($A$12),0)</f>
        <v>Serviço</v>
      </c>
      <c r="B186" s="111" t="str">
        <f ca="1">IF($A186=0,"",OFFSET(PO!K$12,ROW(B186)-ROW(B$12),0))</f>
        <v>1.16.6.</v>
      </c>
      <c r="C186" s="108" t="str">
        <f ca="1">IF(OFFSET(PO!N$12,ROW(C186)-ROW(C$12),0)=0,"",OFFSET(PO!N$12,ROW(C186)-ROW(C$12),0))</f>
        <v>FACHADA COM FECHAMENTO DE ESTRUTURA METÁLICA COM ACM 3MM</v>
      </c>
      <c r="D186" s="110" t="str">
        <f ca="1">IF(OFFSET(PO!O$12,ROW(D186)-ROW(D$12),0)=0,"",OFFSET(PO!O$12,ROW(D186)-ROW(D$12),0))</f>
        <v>M2</v>
      </c>
      <c r="E186" s="140">
        <f ca="1">IF($A186&lt;&gt;"Serviço",0,ROUND(SUMIF($F$9:$P$9,"&lt;&gt;",$F186:$P186),15-13*PO!$X$3))</f>
        <v>8.4</v>
      </c>
      <c r="F186" s="182">
        <f ca="1">OFFSET(PO!$P$12,ROW($E186)-ROW(F$12),0)</f>
        <v>8.4</v>
      </c>
      <c r="G186" s="182"/>
      <c r="H186" s="182"/>
      <c r="I186" s="182"/>
      <c r="J186" s="182"/>
      <c r="K186" s="182"/>
      <c r="L186" s="182"/>
      <c r="M186" s="182"/>
      <c r="N186" s="182"/>
      <c r="O186" s="182"/>
      <c r="U186" s="182"/>
    </row>
    <row r="187" spans="1:21" s="1" customFormat="1" ht="25.5" x14ac:dyDescent="0.2">
      <c r="A187" s="109" t="str">
        <f ca="1">OFFSET(PO!J$12,ROW(A187)-ROW($A$12),0)</f>
        <v>Serviço</v>
      </c>
      <c r="B187" s="111" t="str">
        <f ca="1">IF($A187=0,"",OFFSET(PO!K$12,ROW(B187)-ROW(B$12),0))</f>
        <v>1.16.7.</v>
      </c>
      <c r="C187" s="108" t="str">
        <f ca="1">IF(OFFSET(PO!N$12,ROW(C187)-ROW(C$12),0)=0,"",OFFSET(PO!N$12,ROW(C187)-ROW(C$12),0))</f>
        <v>FACHADA COM FECHAMENTO DE ESTRUTURA METÁLICA COM ACM 3MM</v>
      </c>
      <c r="D187" s="110" t="str">
        <f ca="1">IF(OFFSET(PO!O$12,ROW(D187)-ROW(D$12),0)=0,"",OFFSET(PO!O$12,ROW(D187)-ROW(D$12),0))</f>
        <v>M2</v>
      </c>
      <c r="E187" s="140">
        <f ca="1">IF($A187&lt;&gt;"Serviço",0,ROUND(SUMIF($F$9:$P$9,"&lt;&gt;",$F187:$P187),15-13*PO!$X$3))</f>
        <v>9.9</v>
      </c>
      <c r="F187" s="182">
        <f ca="1">OFFSET(PO!$P$12,ROW($E187)-ROW(F$12),0)</f>
        <v>9.9</v>
      </c>
      <c r="G187" s="182"/>
      <c r="H187" s="182"/>
      <c r="I187" s="182"/>
      <c r="J187" s="182"/>
      <c r="K187" s="182"/>
      <c r="L187" s="182"/>
      <c r="M187" s="182"/>
      <c r="N187" s="182"/>
      <c r="O187" s="182"/>
      <c r="U187" s="182"/>
    </row>
    <row r="188" spans="1:21" s="1" customFormat="1" ht="25.5" x14ac:dyDescent="0.2">
      <c r="A188" s="109" t="str">
        <f ca="1">OFFSET(PO!J$12,ROW(A188)-ROW($A$12),0)</f>
        <v>Serviço</v>
      </c>
      <c r="B188" s="111" t="str">
        <f ca="1">IF($A188=0,"",OFFSET(PO!K$12,ROW(B188)-ROW(B$12),0))</f>
        <v>1.16.8.</v>
      </c>
      <c r="C188" s="108" t="str">
        <f ca="1">IF(OFFSET(PO!N$12,ROW(C188)-ROW(C$12),0)=0,"",OFFSET(PO!N$12,ROW(C188)-ROW(C$12),0))</f>
        <v>LAUDO TÉCNICO DE DIMENSIONAMENTO DA ESTRUTURA, COM ART</v>
      </c>
      <c r="D188" s="110" t="str">
        <f ca="1">IF(OFFSET(PO!O$12,ROW(D188)-ROW(D$12),0)=0,"",OFFSET(PO!O$12,ROW(D188)-ROW(D$12),0))</f>
        <v xml:space="preserve">UN    </v>
      </c>
      <c r="E188" s="140">
        <f ca="1">IF($A188&lt;&gt;"Serviço",0,ROUND(SUMIF($F$9:$P$9,"&lt;&gt;",$F188:$P188),15-13*PO!$X$3))</f>
        <v>1</v>
      </c>
      <c r="F188" s="182">
        <f ca="1">OFFSET(PO!$P$12,ROW($E188)-ROW(F$12),0)</f>
        <v>1</v>
      </c>
      <c r="G188" s="182"/>
      <c r="H188" s="182"/>
      <c r="I188" s="182"/>
      <c r="J188" s="182"/>
      <c r="K188" s="182"/>
      <c r="L188" s="182"/>
      <c r="M188" s="182"/>
      <c r="N188" s="182"/>
      <c r="O188" s="182"/>
      <c r="U188" s="182"/>
    </row>
    <row r="189" spans="1:21" s="1" customFormat="1" x14ac:dyDescent="0.2">
      <c r="A189" s="109" t="str">
        <f ca="1">OFFSET(PO!J$12,ROW(A189)-ROW($A$12),0)</f>
        <v>Nível 2</v>
      </c>
      <c r="B189" s="111" t="str">
        <f ca="1">IF($A189=0,"",OFFSET(PO!K$12,ROW(B189)-ROW(B$12),0))</f>
        <v>1.17.</v>
      </c>
      <c r="C189" s="108" t="str">
        <f ca="1">IF(OFFSET(PO!N$12,ROW(C189)-ROW(C$12),0)=0,"",OFFSET(PO!N$12,ROW(C189)-ROW(C$12),0))</f>
        <v xml:space="preserve">FORRO </v>
      </c>
      <c r="D189" s="110" t="str">
        <f ca="1">IF(OFFSET(PO!O$12,ROW(D189)-ROW(D$12),0)=0,"",OFFSET(PO!O$12,ROW(D189)-ROW(D$12),0))</f>
        <v/>
      </c>
      <c r="E189" s="140">
        <f ca="1">IF($A189&lt;&gt;"Serviço",0,ROUND(SUMIF($F$9:$P$9,"&lt;&gt;",$F189:$P189),15-13*PO!$X$3))</f>
        <v>0</v>
      </c>
      <c r="F189" s="182">
        <f ca="1">OFFSET(PO!$P$12,ROW($E189)-ROW(F$12),0)</f>
        <v>0</v>
      </c>
      <c r="G189" s="182"/>
      <c r="H189" s="182"/>
      <c r="I189" s="182"/>
      <c r="J189" s="182"/>
      <c r="K189" s="182"/>
      <c r="L189" s="182"/>
      <c r="M189" s="182"/>
      <c r="N189" s="182"/>
      <c r="O189" s="182"/>
      <c r="U189" s="182"/>
    </row>
    <row r="190" spans="1:21" s="1" customFormat="1" ht="38.25" x14ac:dyDescent="0.2">
      <c r="A190" s="109" t="str">
        <f ca="1">OFFSET(PO!J$12,ROW(A190)-ROW($A$12),0)</f>
        <v>Serviço</v>
      </c>
      <c r="B190" s="111" t="str">
        <f ca="1">IF($A190=0,"",OFFSET(PO!K$12,ROW(B190)-ROW(B$12),0))</f>
        <v>1.17.1.</v>
      </c>
      <c r="C190" s="108" t="str">
        <f ca="1">IF(OFFSET(PO!N$12,ROW(C190)-ROW(C$12),0)=0,"",OFFSET(PO!N$12,ROW(C190)-ROW(C$12),0))</f>
        <v>FORRO EM RÉGUAS PVC BRANCO, LISO, PARA BEIRAL EXTERNO, REGUA DE 20 CM, INCLUSIVE ESTRUTURA METÁLICA DE FIXAÇÃO.</v>
      </c>
      <c r="D190" s="110" t="str">
        <f ca="1">IF(OFFSET(PO!O$12,ROW(D190)-ROW(D$12),0)=0,"",OFFSET(PO!O$12,ROW(D190)-ROW(D$12),0))</f>
        <v xml:space="preserve">M2    </v>
      </c>
      <c r="E190" s="140">
        <f ca="1">IF($A190&lt;&gt;"Serviço",0,ROUND(SUMIF($F$9:$P$9,"&lt;&gt;",$F190:$P190),15-13*PO!$X$3))</f>
        <v>73.03</v>
      </c>
      <c r="F190" s="182">
        <f ca="1">OFFSET(PO!$P$12,ROW($E190)-ROW(F$12),0)</f>
        <v>73.03</v>
      </c>
      <c r="G190" s="182"/>
      <c r="H190" s="182"/>
      <c r="I190" s="182"/>
      <c r="J190" s="182"/>
      <c r="K190" s="182"/>
      <c r="L190" s="182"/>
      <c r="M190" s="182"/>
      <c r="N190" s="182"/>
      <c r="O190" s="182"/>
      <c r="U190" s="182"/>
    </row>
    <row r="191" spans="1:21" s="1" customFormat="1" ht="38.25" x14ac:dyDescent="0.2">
      <c r="A191" s="109" t="str">
        <f ca="1">OFFSET(PO!J$12,ROW(A191)-ROW($A$12),0)</f>
        <v>Serviço</v>
      </c>
      <c r="B191" s="111" t="str">
        <f ca="1">IF($A191=0,"",OFFSET(PO!K$12,ROW(B191)-ROW(B$12),0))</f>
        <v>1.17.2.</v>
      </c>
      <c r="C191" s="108" t="str">
        <f ca="1">IF(OFFSET(PO!N$12,ROW(C191)-ROW(C$12),0)=0,"",OFFSET(PO!N$12,ROW(C191)-ROW(C$12),0))</f>
        <v>FORRO EM RÉGUAS DE PVC, LISO, PARA AMBIENTES COMERCIAIS, INCLUSIVE ESTRUTURA BIDIRECIONAL DE FIXAÇÃO. AF_08/2023_PS</v>
      </c>
      <c r="D191" s="110" t="str">
        <f ca="1">IF(OFFSET(PO!O$12,ROW(D191)-ROW(D$12),0)=0,"",OFFSET(PO!O$12,ROW(D191)-ROW(D$12),0))</f>
        <v>M2</v>
      </c>
      <c r="E191" s="140">
        <f ca="1">IF($A191&lt;&gt;"Serviço",0,ROUND(SUMIF($F$9:$P$9,"&lt;&gt;",$F191:$P191),15-13*PO!$X$3))</f>
        <v>464.19</v>
      </c>
      <c r="F191" s="182">
        <f ca="1">OFFSET(PO!$P$12,ROW($E191)-ROW(F$12),0)</f>
        <v>464.19</v>
      </c>
      <c r="G191" s="182"/>
      <c r="H191" s="182"/>
      <c r="I191" s="182"/>
      <c r="J191" s="182"/>
      <c r="K191" s="182"/>
      <c r="L191" s="182"/>
      <c r="M191" s="182"/>
      <c r="N191" s="182"/>
      <c r="O191" s="182"/>
      <c r="U191" s="182"/>
    </row>
    <row r="192" spans="1:21" s="1" customFormat="1" ht="25.5" x14ac:dyDescent="0.2">
      <c r="A192" s="109" t="str">
        <f ca="1">OFFSET(PO!J$12,ROW(A192)-ROW($A$12),0)</f>
        <v>Serviço</v>
      </c>
      <c r="B192" s="111" t="str">
        <f ca="1">IF($A192=0,"",OFFSET(PO!K$12,ROW(B192)-ROW(B$12),0))</f>
        <v>1.17.3.</v>
      </c>
      <c r="C192" s="108" t="str">
        <f ca="1">IF(OFFSET(PO!N$12,ROW(C192)-ROW(C$12),0)=0,"",OFFSET(PO!N$12,ROW(C192)-ROW(C$12),0))</f>
        <v>ACABAMENTOS PARA FORRO (RODA-FORRO EM PERFIL METÁLICO E PLÁSTICO). AF_08/2023</v>
      </c>
      <c r="D192" s="110" t="str">
        <f ca="1">IF(OFFSET(PO!O$12,ROW(D192)-ROW(D$12),0)=0,"",OFFSET(PO!O$12,ROW(D192)-ROW(D$12),0))</f>
        <v>M</v>
      </c>
      <c r="E192" s="140">
        <f ca="1">IF($A192&lt;&gt;"Serviço",0,ROUND(SUMIF($F$9:$P$9,"&lt;&gt;",$F192:$P192),15-13*PO!$X$3))</f>
        <v>723.64</v>
      </c>
      <c r="F192" s="182">
        <f ca="1">OFFSET(PO!$P$12,ROW($E192)-ROW(F$12),0)</f>
        <v>723.63999999999987</v>
      </c>
      <c r="G192" s="182"/>
      <c r="H192" s="182"/>
      <c r="I192" s="182"/>
      <c r="J192" s="182"/>
      <c r="K192" s="182"/>
      <c r="L192" s="182"/>
      <c r="M192" s="182"/>
      <c r="N192" s="182"/>
      <c r="O192" s="182"/>
      <c r="U192" s="182"/>
    </row>
    <row r="193" spans="1:21" s="1" customFormat="1" x14ac:dyDescent="0.2">
      <c r="A193" s="109" t="str">
        <f ca="1">OFFSET(PO!J$12,ROW(A193)-ROW($A$12),0)</f>
        <v>Nível 2</v>
      </c>
      <c r="B193" s="111" t="str">
        <f ca="1">IF($A193=0,"",OFFSET(PO!K$12,ROW(B193)-ROW(B$12),0))</f>
        <v>1.18.</v>
      </c>
      <c r="C193" s="108" t="str">
        <f ca="1">IF(OFFSET(PO!N$12,ROW(C193)-ROW(C$12),0)=0,"",OFFSET(PO!N$12,ROW(C193)-ROW(C$12),0))</f>
        <v>ESQUADRIAS</v>
      </c>
      <c r="D193" s="110" t="str">
        <f ca="1">IF(OFFSET(PO!O$12,ROW(D193)-ROW(D$12),0)=0,"",OFFSET(PO!O$12,ROW(D193)-ROW(D$12),0))</f>
        <v/>
      </c>
      <c r="E193" s="140">
        <f ca="1">IF($A193&lt;&gt;"Serviço",0,ROUND(SUMIF($F$9:$P$9,"&lt;&gt;",$F193:$P193),15-13*PO!$X$3))</f>
        <v>0</v>
      </c>
      <c r="F193" s="182">
        <f ca="1">OFFSET(PO!$P$12,ROW($E193)-ROW(F$12),0)</f>
        <v>0</v>
      </c>
      <c r="G193" s="182"/>
      <c r="H193" s="182"/>
      <c r="I193" s="182"/>
      <c r="J193" s="182"/>
      <c r="K193" s="182"/>
      <c r="L193" s="182"/>
      <c r="M193" s="182"/>
      <c r="N193" s="182"/>
      <c r="O193" s="182"/>
      <c r="U193" s="182"/>
    </row>
    <row r="194" spans="1:21" s="1" customFormat="1" ht="63.75" x14ac:dyDescent="0.2">
      <c r="A194" s="109" t="str">
        <f ca="1">OFFSET(PO!J$12,ROW(A194)-ROW($A$12),0)</f>
        <v>Serviço</v>
      </c>
      <c r="B194" s="111" t="str">
        <f ca="1">IF($A194=0,"",OFFSET(PO!K$12,ROW(B194)-ROW(B$12),0))</f>
        <v>1.18.1.</v>
      </c>
      <c r="C194" s="108" t="str">
        <f ca="1">IF(OFFSET(PO!N$12,ROW(C194)-ROW(C$12),0)=0,"",OFFSET(PO!N$12,ROW(C194)-ROW(C$12),0))</f>
        <v>JOGO DE FERRAGENS CROMADAS PARA PORTA DE VIDRO TEMPERADO, UMA FOLHA COMPOSTO DE DOBRADICAS SUPERIOR E INFERIOR, TRINCO, FECHADURA, CONTRA FECHADURA COM CAPUCHINHO SEM MOLA E PUXADOR. AF_01/2021</v>
      </c>
      <c r="D194" s="110" t="str">
        <f ca="1">IF(OFFSET(PO!O$12,ROW(D194)-ROW(D$12),0)=0,"",OFFSET(PO!O$12,ROW(D194)-ROW(D$12),0))</f>
        <v>UN</v>
      </c>
      <c r="E194" s="140">
        <f ca="1">IF($A194&lt;&gt;"Serviço",0,ROUND(SUMIF($F$9:$P$9,"&lt;&gt;",$F194:$P194),15-13*PO!$X$3))</f>
        <v>1</v>
      </c>
      <c r="F194" s="182">
        <f ca="1">OFFSET(PO!$P$12,ROW($E194)-ROW(F$12),0)</f>
        <v>1</v>
      </c>
      <c r="G194" s="182"/>
      <c r="H194" s="182"/>
      <c r="I194" s="182"/>
      <c r="J194" s="182"/>
      <c r="K194" s="182"/>
      <c r="L194" s="182"/>
      <c r="M194" s="182"/>
      <c r="N194" s="182"/>
      <c r="O194" s="182"/>
      <c r="U194" s="182"/>
    </row>
    <row r="195" spans="1:21" s="1" customFormat="1" ht="25.5" x14ac:dyDescent="0.2">
      <c r="A195" s="109" t="str">
        <f ca="1">OFFSET(PO!J$12,ROW(A195)-ROW($A$12),0)</f>
        <v>Serviço</v>
      </c>
      <c r="B195" s="111" t="str">
        <f ca="1">IF($A195=0,"",OFFSET(PO!K$12,ROW(B195)-ROW(B$12),0))</f>
        <v>1.18.2.</v>
      </c>
      <c r="C195" s="108" t="str">
        <f ca="1">IF(OFFSET(PO!N$12,ROW(C195)-ROW(C$12),0)=0,"",OFFSET(PO!N$12,ROW(C195)-ROW(C$12),0))</f>
        <v xml:space="preserve">BARRA ANTIPANICO DUPLA, PARA PORTA DE VIDRO, COR CINZA                                                                                                                                                                                                                                                                                                                                                                                                                                                    </v>
      </c>
      <c r="D195" s="110" t="str">
        <f ca="1">IF(OFFSET(PO!O$12,ROW(D195)-ROW(D$12),0)=0,"",OFFSET(PO!O$12,ROW(D195)-ROW(D$12),0))</f>
        <v xml:space="preserve">PAR   </v>
      </c>
      <c r="E195" s="140">
        <f ca="1">IF($A195&lt;&gt;"Serviço",0,ROUND(SUMIF($F$9:$P$9,"&lt;&gt;",$F195:$P195),15-13*PO!$X$3))</f>
        <v>1</v>
      </c>
      <c r="F195" s="182">
        <f ca="1">OFFSET(PO!$P$12,ROW($E195)-ROW(F$12),0)</f>
        <v>1</v>
      </c>
      <c r="G195" s="182"/>
      <c r="H195" s="182"/>
      <c r="I195" s="182"/>
      <c r="J195" s="182"/>
      <c r="K195" s="182"/>
      <c r="L195" s="182"/>
      <c r="M195" s="182"/>
      <c r="N195" s="182"/>
      <c r="O195" s="182"/>
      <c r="U195" s="182"/>
    </row>
    <row r="196" spans="1:21" s="1" customFormat="1" ht="38.25" x14ac:dyDescent="0.2">
      <c r="A196" s="109" t="str">
        <f ca="1">OFFSET(PO!J$12,ROW(A196)-ROW($A$12),0)</f>
        <v>Serviço</v>
      </c>
      <c r="B196" s="111" t="str">
        <f ca="1">IF($A196=0,"",OFFSET(PO!K$12,ROW(B196)-ROW(B$12),0))</f>
        <v>1.18.3.</v>
      </c>
      <c r="C196" s="108" t="str">
        <f ca="1">IF(OFFSET(PO!N$12,ROW(C196)-ROW(C$12),0)=0,"",OFFSET(PO!N$12,ROW(C196)-ROW(C$12),0))</f>
        <v>PORTA DE ABRIR COM MOLA HIDRÁULICA, EM VIDRO TEMPERADO, 2 FOLHAS DE 90X210 CM, ESPESSURA DD 10MM, INCLUSIVE ACESSÓRIOS. AF_01/2021</v>
      </c>
      <c r="D196" s="110" t="str">
        <f ca="1">IF(OFFSET(PO!O$12,ROW(D196)-ROW(D$12),0)=0,"",OFFSET(PO!O$12,ROW(D196)-ROW(D$12),0))</f>
        <v>UN</v>
      </c>
      <c r="E196" s="140">
        <f ca="1">IF($A196&lt;&gt;"Serviço",0,ROUND(SUMIF($F$9:$P$9,"&lt;&gt;",$F196:$P196),15-13*PO!$X$3))</f>
        <v>1</v>
      </c>
      <c r="F196" s="182">
        <f ca="1">OFFSET(PO!$P$12,ROW($E196)-ROW(F$12),0)</f>
        <v>1</v>
      </c>
      <c r="G196" s="182"/>
      <c r="H196" s="182"/>
      <c r="I196" s="182"/>
      <c r="J196" s="182"/>
      <c r="K196" s="182"/>
      <c r="L196" s="182"/>
      <c r="M196" s="182"/>
      <c r="N196" s="182"/>
      <c r="O196" s="182"/>
      <c r="U196" s="182"/>
    </row>
    <row r="197" spans="1:21" s="1" customFormat="1" ht="51" x14ac:dyDescent="0.2">
      <c r="A197" s="109" t="str">
        <f ca="1">OFFSET(PO!J$12,ROW(A197)-ROW($A$12),0)</f>
        <v>Serviço</v>
      </c>
      <c r="B197" s="111" t="str">
        <f ca="1">IF($A197=0,"",OFFSET(PO!K$12,ROW(B197)-ROW(B$12),0))</f>
        <v>1.18.4.</v>
      </c>
      <c r="C197" s="108" t="str">
        <f ca="1">IF(OFFSET(PO!N$12,ROW(C197)-ROW(C$12),0)=0,"",OFFSET(PO!N$12,ROW(C197)-ROW(C$12),0))</f>
        <v>PORTA DE ABRIR ENTRADA PRINCIPAL COM MOLA HIDRÁULICA, EM VIDRO TEMPERADO, 2 FOLHAS DIMENSÃO 205X250 CM, ESPESSURA DD 10MM, INCLUSIVE ACESSÓRIOS. AF_01/2021</v>
      </c>
      <c r="D197" s="110" t="str">
        <f ca="1">IF(OFFSET(PO!O$12,ROW(D197)-ROW(D$12),0)=0,"",OFFSET(PO!O$12,ROW(D197)-ROW(D$12),0))</f>
        <v>UND</v>
      </c>
      <c r="E197" s="140">
        <f ca="1">IF($A197&lt;&gt;"Serviço",0,ROUND(SUMIF($F$9:$P$9,"&lt;&gt;",$F197:$P197),15-13*PO!$X$3))</f>
        <v>1</v>
      </c>
      <c r="F197" s="182">
        <f ca="1">OFFSET(PO!$P$12,ROW($E197)-ROW(F$12),0)</f>
        <v>1</v>
      </c>
      <c r="G197" s="182"/>
      <c r="H197" s="182"/>
      <c r="I197" s="182"/>
      <c r="J197" s="182"/>
      <c r="K197" s="182"/>
      <c r="L197" s="182"/>
      <c r="M197" s="182"/>
      <c r="N197" s="182"/>
      <c r="O197" s="182"/>
      <c r="U197" s="182"/>
    </row>
    <row r="198" spans="1:21" s="1" customFormat="1" ht="25.5" x14ac:dyDescent="0.2">
      <c r="A198" s="109" t="str">
        <f ca="1">OFFSET(PO!J$12,ROW(A198)-ROW($A$12),0)</f>
        <v>Serviço</v>
      </c>
      <c r="B198" s="111" t="str">
        <f ca="1">IF($A198=0,"",OFFSET(PO!K$12,ROW(B198)-ROW(B$12),0))</f>
        <v>1.18.5.</v>
      </c>
      <c r="C198" s="108" t="str">
        <f ca="1">IF(OFFSET(PO!N$12,ROW(C198)-ROW(C$12),0)=0,"",OFFSET(PO!N$12,ROW(C198)-ROW(C$12),0))</f>
        <v>GRADIL EM FERRO FIXADO EM VÃOS DE JANELAS, FORMADO POR BARRAS CHATAS DE 25X4,8 MM. AF_04/2019</v>
      </c>
      <c r="D198" s="110" t="str">
        <f ca="1">IF(OFFSET(PO!O$12,ROW(D198)-ROW(D$12),0)=0,"",OFFSET(PO!O$12,ROW(D198)-ROW(D$12),0))</f>
        <v>M2</v>
      </c>
      <c r="E198" s="140">
        <f ca="1">IF($A198&lt;&gt;"Serviço",0,ROUND(SUMIF($F$9:$P$9,"&lt;&gt;",$F198:$P198),15-13*PO!$X$3))</f>
        <v>45.67</v>
      </c>
      <c r="F198" s="182">
        <f ca="1">OFFSET(PO!$P$12,ROW($E198)-ROW(F$12),0)</f>
        <v>45.67</v>
      </c>
      <c r="G198" s="182"/>
      <c r="H198" s="182"/>
      <c r="I198" s="182"/>
      <c r="J198" s="182"/>
      <c r="K198" s="182"/>
      <c r="L198" s="182"/>
      <c r="M198" s="182"/>
      <c r="N198" s="182"/>
      <c r="O198" s="182"/>
      <c r="U198" s="182"/>
    </row>
    <row r="199" spans="1:21" s="1" customFormat="1" ht="25.5" x14ac:dyDescent="0.2">
      <c r="A199" s="109" t="str">
        <f ca="1">OFFSET(PO!J$12,ROW(A199)-ROW($A$12),0)</f>
        <v>Serviço</v>
      </c>
      <c r="B199" s="111" t="str">
        <f ca="1">IF($A199=0,"",OFFSET(PO!K$12,ROW(B199)-ROW(B$12),0))</f>
        <v>1.18.6.</v>
      </c>
      <c r="C199" s="108" t="str">
        <f ca="1">IF(OFFSET(PO!N$12,ROW(C199)-ROW(C$12),0)=0,"",OFFSET(PO!N$12,ROW(C199)-ROW(C$12),0))</f>
        <v>PORTA DE FERRO, DE ABRIR, TIPO GRADE COM CHAPA, COM GUARNIÇÕES. AF_12/2019</v>
      </c>
      <c r="D199" s="110" t="str">
        <f ca="1">IF(OFFSET(PO!O$12,ROW(D199)-ROW(D$12),0)=0,"",OFFSET(PO!O$12,ROW(D199)-ROW(D$12),0))</f>
        <v>M2</v>
      </c>
      <c r="E199" s="140">
        <f ca="1">IF($A199&lt;&gt;"Serviço",0,ROUND(SUMIF($F$9:$P$9,"&lt;&gt;",$F199:$P199),15-13*PO!$X$3))</f>
        <v>2.89</v>
      </c>
      <c r="F199" s="182">
        <f ca="1">OFFSET(PO!$P$12,ROW($E199)-ROW(F$12),0)</f>
        <v>2.8899999999999997</v>
      </c>
      <c r="G199" s="182"/>
      <c r="H199" s="182"/>
      <c r="I199" s="182"/>
      <c r="J199" s="182"/>
      <c r="K199" s="182"/>
      <c r="L199" s="182"/>
      <c r="M199" s="182"/>
      <c r="N199" s="182"/>
      <c r="O199" s="182"/>
      <c r="U199" s="182"/>
    </row>
    <row r="200" spans="1:21" s="1" customFormat="1" ht="38.25" x14ac:dyDescent="0.2">
      <c r="A200" s="109" t="str">
        <f ca="1">OFFSET(PO!J$12,ROW(A200)-ROW($A$12),0)</f>
        <v>Serviço</v>
      </c>
      <c r="B200" s="111" t="str">
        <f ca="1">IF($A200=0,"",OFFSET(PO!K$12,ROW(B200)-ROW(B$12),0))</f>
        <v>1.18.7.</v>
      </c>
      <c r="C200" s="108" t="str">
        <f ca="1">IF(OFFSET(PO!N$12,ROW(C200)-ROW(C$12),0)=0,"",OFFSET(PO!N$12,ROW(C200)-ROW(C$12),0))</f>
        <v>JANELA DE ALUMÍNIO TIPO MAXIM-AR, COM VIDROS, BATENTE E FERRAGENS. EXCLUSIVE ALIZAR, ACABAMENTO E CONTRAMARCO. FORNECIMENTO E INSTALAÇÃO. AF_12/2019</v>
      </c>
      <c r="D200" s="110" t="str">
        <f ca="1">IF(OFFSET(PO!O$12,ROW(D200)-ROW(D$12),0)=0,"",OFFSET(PO!O$12,ROW(D200)-ROW(D$12),0))</f>
        <v>M2</v>
      </c>
      <c r="E200" s="140">
        <f ca="1">IF($A200&lt;&gt;"Serviço",0,ROUND(SUMIF($F$9:$P$9,"&lt;&gt;",$F200:$P200),15-13*PO!$X$3))</f>
        <v>2.6</v>
      </c>
      <c r="F200" s="182">
        <f ca="1">OFFSET(PO!$P$12,ROW($E200)-ROW(F$12),0)</f>
        <v>2.6</v>
      </c>
      <c r="G200" s="182"/>
      <c r="H200" s="182"/>
      <c r="I200" s="182"/>
      <c r="J200" s="182"/>
      <c r="K200" s="182"/>
      <c r="L200" s="182"/>
      <c r="M200" s="182"/>
      <c r="N200" s="182"/>
      <c r="O200" s="182"/>
      <c r="U200" s="182"/>
    </row>
    <row r="201" spans="1:21" s="1" customFormat="1" ht="38.25" x14ac:dyDescent="0.2">
      <c r="A201" s="109" t="str">
        <f ca="1">OFFSET(PO!J$12,ROW(A201)-ROW($A$12),0)</f>
        <v>Serviço</v>
      </c>
      <c r="B201" s="111" t="str">
        <f ca="1">IF($A201=0,"",OFFSET(PO!K$12,ROW(B201)-ROW(B$12),0))</f>
        <v>1.18.8.</v>
      </c>
      <c r="C201" s="108" t="str">
        <f ca="1">IF(OFFSET(PO!N$12,ROW(C201)-ROW(C$12),0)=0,"",OFFSET(PO!N$12,ROW(C201)-ROW(C$12),0))</f>
        <v>PORTA DE ALUMÍNIO DE ABRIR COM LAMBRI, COM GUARNIÇÃO, FIXAÇÃO COM PARAFUSOS - FORNECIMENTO E INSTALAÇÃO. AF_12/2019</v>
      </c>
      <c r="D201" s="110" t="str">
        <f ca="1">IF(OFFSET(PO!O$12,ROW(D201)-ROW(D$12),0)=0,"",OFFSET(PO!O$12,ROW(D201)-ROW(D$12),0))</f>
        <v>M2</v>
      </c>
      <c r="E201" s="140">
        <f ca="1">IF($A201&lt;&gt;"Serviço",0,ROUND(SUMIF($F$9:$P$9,"&lt;&gt;",$F201:$P201),15-13*PO!$X$3))</f>
        <v>17.7</v>
      </c>
      <c r="F201" s="182">
        <f ca="1">OFFSET(PO!$P$12,ROW($E201)-ROW(F$12),0)</f>
        <v>17.7</v>
      </c>
      <c r="G201" s="182"/>
      <c r="H201" s="182"/>
      <c r="I201" s="182"/>
      <c r="J201" s="182"/>
      <c r="K201" s="182"/>
      <c r="L201" s="182"/>
      <c r="M201" s="182"/>
      <c r="N201" s="182"/>
      <c r="O201" s="182"/>
      <c r="U201" s="182"/>
    </row>
    <row r="202" spans="1:21" s="1" customFormat="1" ht="38.25" x14ac:dyDescent="0.2">
      <c r="A202" s="109" t="str">
        <f ca="1">OFFSET(PO!J$12,ROW(A202)-ROW($A$12),0)</f>
        <v>Serviço</v>
      </c>
      <c r="B202" s="111" t="str">
        <f ca="1">IF($A202=0,"",OFFSET(PO!K$12,ROW(B202)-ROW(B$12),0))</f>
        <v>1.18.9.</v>
      </c>
      <c r="C202" s="108" t="str">
        <f ca="1">IF(OFFSET(PO!N$12,ROW(C202)-ROW(C$12),0)=0,"",OFFSET(PO!N$12,ROW(C202)-ROW(C$12),0))</f>
        <v>PORTA DE ALUMÍNIO DE CORRER COM LAMBRI, COM GUARNIÇÃO, FIXAÇÃO COM PARAFUSOS - FORNECIMENTO E INSTALAÇÃO. AF_12/2019</v>
      </c>
      <c r="D202" s="110" t="str">
        <f ca="1">IF(OFFSET(PO!O$12,ROW(D202)-ROW(D$12),0)=0,"",OFFSET(PO!O$12,ROW(D202)-ROW(D$12),0))</f>
        <v>M2</v>
      </c>
      <c r="E202" s="140">
        <f ca="1">IF($A202&lt;&gt;"Serviço",0,ROUND(SUMIF($F$9:$P$9,"&lt;&gt;",$F202:$P202),15-13*PO!$X$3))</f>
        <v>3.78</v>
      </c>
      <c r="F202" s="182">
        <f ca="1">OFFSET(PO!$P$12,ROW($E202)-ROW(F$12),0)</f>
        <v>3.78</v>
      </c>
      <c r="G202" s="182"/>
      <c r="H202" s="182"/>
      <c r="I202" s="182"/>
      <c r="J202" s="182"/>
      <c r="K202" s="182"/>
      <c r="L202" s="182"/>
      <c r="M202" s="182"/>
      <c r="N202" s="182"/>
      <c r="O202" s="182"/>
      <c r="U202" s="182"/>
    </row>
    <row r="203" spans="1:21" s="1" customFormat="1" ht="63.75" x14ac:dyDescent="0.2">
      <c r="A203" s="109" t="str">
        <f ca="1">OFFSET(PO!J$12,ROW(A203)-ROW($A$12),0)</f>
        <v>Serviço</v>
      </c>
      <c r="B203" s="111" t="str">
        <f ca="1">IF($A203=0,"",OFFSET(PO!K$12,ROW(B203)-ROW(B$12),0))</f>
        <v>1.18.10.</v>
      </c>
      <c r="C203" s="108" t="str">
        <f ca="1">IF(OFFSET(PO!N$12,ROW(C203)-ROW(C$12),0)=0,"",OFFSET(PO!N$12,ROW(C203)-ROW(C$12),0))</f>
        <v>KIT DE PORTA-PRONTA DE MADEIRA EM ACABAMENTO MELAMÍNICO BRANCO, FOLHA LEVE OU MÉDIA, 70X210CM, EXCLUSIVE FECHADURA, FIXAÇÃO COM PREENCHIMENTO PARCIAL DE ESPUMA EXPANSIVA - FORNECIMENTO E INSTALAÇÃO. AF_12/2019</v>
      </c>
      <c r="D203" s="110" t="str">
        <f ca="1">IF(OFFSET(PO!O$12,ROW(D203)-ROW(D$12),0)=0,"",OFFSET(PO!O$12,ROW(D203)-ROW(D$12),0))</f>
        <v>UN</v>
      </c>
      <c r="E203" s="140">
        <f ca="1">IF($A203&lt;&gt;"Serviço",0,ROUND(SUMIF($F$9:$P$9,"&lt;&gt;",$F203:$P203),15-13*PO!$X$3))</f>
        <v>1</v>
      </c>
      <c r="F203" s="182">
        <f ca="1">OFFSET(PO!$P$12,ROW($E203)-ROW(F$12),0)</f>
        <v>1</v>
      </c>
      <c r="G203" s="182"/>
      <c r="H203" s="182"/>
      <c r="I203" s="182"/>
      <c r="J203" s="182"/>
      <c r="K203" s="182"/>
      <c r="L203" s="182"/>
      <c r="M203" s="182"/>
      <c r="N203" s="182"/>
      <c r="O203" s="182"/>
      <c r="U203" s="182"/>
    </row>
    <row r="204" spans="1:21" s="1" customFormat="1" ht="63.75" x14ac:dyDescent="0.2">
      <c r="A204" s="109" t="str">
        <f ca="1">OFFSET(PO!J$12,ROW(A204)-ROW($A$12),0)</f>
        <v>Serviço</v>
      </c>
      <c r="B204" s="111" t="str">
        <f ca="1">IF($A204=0,"",OFFSET(PO!K$12,ROW(B204)-ROW(B$12),0))</f>
        <v>1.18.11.</v>
      </c>
      <c r="C204" s="108" t="str">
        <f ca="1">IF(OFFSET(PO!N$12,ROW(C204)-ROW(C$12),0)=0,"",OFFSET(PO!N$12,ROW(C204)-ROW(C$12),0))</f>
        <v>KIT DE PORTA-PRONTA DE MADEIRA EM ACABAMENTO MELAMÍNICO BRANCO, FOLHA LEVE OU MÉDIA, 80X210CM, EXCLUSIVE FECHADURA, FIXAÇÃO COM PREENCHIMENTO PARCIAL DE ESPUMA EXPANSIVA - FORNECIMENTO E INSTALAÇÃO. AF_12/2019</v>
      </c>
      <c r="D204" s="110" t="str">
        <f ca="1">IF(OFFSET(PO!O$12,ROW(D204)-ROW(D$12),0)=0,"",OFFSET(PO!O$12,ROW(D204)-ROW(D$12),0))</f>
        <v>UN</v>
      </c>
      <c r="E204" s="140">
        <f ca="1">IF($A204&lt;&gt;"Serviço",0,ROUND(SUMIF($F$9:$P$9,"&lt;&gt;",$F204:$P204),15-13*PO!$X$3))</f>
        <v>5</v>
      </c>
      <c r="F204" s="182">
        <f ca="1">OFFSET(PO!$P$12,ROW($E204)-ROW(F$12),0)</f>
        <v>5</v>
      </c>
      <c r="G204" s="182"/>
      <c r="H204" s="182"/>
      <c r="I204" s="182"/>
      <c r="J204" s="182"/>
      <c r="K204" s="182"/>
      <c r="L204" s="182"/>
      <c r="M204" s="182"/>
      <c r="N204" s="182"/>
      <c r="O204" s="182"/>
      <c r="U204" s="182"/>
    </row>
    <row r="205" spans="1:21" s="1" customFormat="1" ht="51" x14ac:dyDescent="0.2">
      <c r="A205" s="109" t="str">
        <f ca="1">OFFSET(PO!J$12,ROW(A205)-ROW($A$12),0)</f>
        <v>Serviço</v>
      </c>
      <c r="B205" s="111" t="str">
        <f ca="1">IF($A205=0,"",OFFSET(PO!K$12,ROW(B205)-ROW(B$12),0))</f>
        <v>1.18.12.</v>
      </c>
      <c r="C205" s="108" t="str">
        <f ca="1">IF(OFFSET(PO!N$12,ROW(C205)-ROW(C$12),0)=0,"",OFFSET(PO!N$12,ROW(C205)-ROW(C$12),0))</f>
        <v>JANELA DE ALUMÍNIO DE CORRER COM 4 FOLHAS PARA VIDROS, COM VIDROS, BATENTE, ACABAMENTO COM ACETATO OU BRILHANTE E FERRAGENS. EXCLUSIVE ALIZAR E CONTRAMARCO. FORNECIMENTO E INSTALAÇÃO. AF_12/2019</v>
      </c>
      <c r="D205" s="110" t="str">
        <f ca="1">IF(OFFSET(PO!O$12,ROW(D205)-ROW(D$12),0)=0,"",OFFSET(PO!O$12,ROW(D205)-ROW(D$12),0))</f>
        <v>M2</v>
      </c>
      <c r="E205" s="140">
        <f ca="1">IF($A205&lt;&gt;"Serviço",0,ROUND(SUMIF($F$9:$P$9,"&lt;&gt;",$F205:$P205),15-13*PO!$X$3))</f>
        <v>47.57</v>
      </c>
      <c r="F205" s="182">
        <f ca="1">OFFSET(PO!$P$12,ROW($E205)-ROW(F$12),0)</f>
        <v>47.57</v>
      </c>
      <c r="G205" s="182"/>
      <c r="H205" s="182"/>
      <c r="I205" s="182"/>
      <c r="J205" s="182"/>
      <c r="K205" s="182"/>
      <c r="L205" s="182"/>
      <c r="M205" s="182"/>
      <c r="N205" s="182"/>
      <c r="O205" s="182"/>
      <c r="U205" s="182"/>
    </row>
    <row r="206" spans="1:21" s="1" customFormat="1" ht="38.25" x14ac:dyDescent="0.2">
      <c r="A206" s="109" t="str">
        <f ca="1">OFFSET(PO!J$12,ROW(A206)-ROW($A$12),0)</f>
        <v>Serviço</v>
      </c>
      <c r="B206" s="111" t="str">
        <f ca="1">IF($A206=0,"",OFFSET(PO!K$12,ROW(B206)-ROW(B$12),0))</f>
        <v>1.18.13.</v>
      </c>
      <c r="C206" s="108" t="str">
        <f ca="1">IF(OFFSET(PO!N$12,ROW(C206)-ROW(C$12),0)=0,"",OFFSET(PO!N$12,ROW(C206)-ROW(C$12),0))</f>
        <v>PORTA DE CORRER DE ALUMÍNIO, COM DUAS FOLHAS PARA VIDRO, INCLUSO VIDRO LISO INCOLOR, FECHADURA E PUXADOR, SEM ALIZAR. AF_12/2019</v>
      </c>
      <c r="D206" s="110" t="str">
        <f ca="1">IF(OFFSET(PO!O$12,ROW(D206)-ROW(D$12),0)=0,"",OFFSET(PO!O$12,ROW(D206)-ROW(D$12),0))</f>
        <v>M2</v>
      </c>
      <c r="E206" s="140">
        <f ca="1">IF($A206&lt;&gt;"Serviço",0,ROUND(SUMIF($F$9:$P$9,"&lt;&gt;",$F206:$P206),15-13*PO!$X$3))</f>
        <v>12.69</v>
      </c>
      <c r="F206" s="182">
        <f ca="1">OFFSET(PO!$P$12,ROW($E206)-ROW(F$12),0)</f>
        <v>12.69</v>
      </c>
      <c r="G206" s="182"/>
      <c r="H206" s="182"/>
      <c r="I206" s="182"/>
      <c r="J206" s="182"/>
      <c r="K206" s="182"/>
      <c r="L206" s="182"/>
      <c r="M206" s="182"/>
      <c r="N206" s="182"/>
      <c r="O206" s="182"/>
      <c r="U206" s="182"/>
    </row>
    <row r="207" spans="1:21" s="1" customFormat="1" x14ac:dyDescent="0.2">
      <c r="A207" s="109" t="str">
        <f ca="1">OFFSET(PO!J$12,ROW(A207)-ROW($A$12),0)</f>
        <v>Nível 2</v>
      </c>
      <c r="B207" s="111" t="str">
        <f ca="1">IF($A207=0,"",OFFSET(PO!K$12,ROW(B207)-ROW(B$12),0))</f>
        <v>1.19.</v>
      </c>
      <c r="C207" s="108" t="str">
        <f ca="1">IF(OFFSET(PO!N$12,ROW(C207)-ROW(C$12),0)=0,"",OFFSET(PO!N$12,ROW(C207)-ROW(C$12),0))</f>
        <v xml:space="preserve">REVESTIMENTOS CERÂMICA DE PISO E PAREDE E CALÇADAS </v>
      </c>
      <c r="D207" s="110" t="str">
        <f ca="1">IF(OFFSET(PO!O$12,ROW(D207)-ROW(D$12),0)=0,"",OFFSET(PO!O$12,ROW(D207)-ROW(D$12),0))</f>
        <v/>
      </c>
      <c r="E207" s="140">
        <f ca="1">IF($A207&lt;&gt;"Serviço",0,ROUND(SUMIF($F$9:$P$9,"&lt;&gt;",$F207:$P207),15-13*PO!$X$3))</f>
        <v>0</v>
      </c>
      <c r="F207" s="182">
        <f ca="1">OFFSET(PO!$P$12,ROW($E207)-ROW(F$12),0)</f>
        <v>0</v>
      </c>
      <c r="G207" s="182"/>
      <c r="H207" s="182"/>
      <c r="I207" s="182"/>
      <c r="J207" s="182"/>
      <c r="K207" s="182"/>
      <c r="L207" s="182"/>
      <c r="M207" s="182"/>
      <c r="N207" s="182"/>
      <c r="O207" s="182"/>
      <c r="U207" s="182"/>
    </row>
    <row r="208" spans="1:21" s="1" customFormat="1" ht="38.25" x14ac:dyDescent="0.2">
      <c r="A208" s="109" t="str">
        <f ca="1">OFFSET(PO!J$12,ROW(A208)-ROW($A$12),0)</f>
        <v>Serviço</v>
      </c>
      <c r="B208" s="111" t="str">
        <f ca="1">IF($A208=0,"",OFFSET(PO!K$12,ROW(B208)-ROW(B$12),0))</f>
        <v>1.19.1.</v>
      </c>
      <c r="C208" s="108" t="str">
        <f ca="1">IF(OFFSET(PO!N$12,ROW(C208)-ROW(C$12),0)=0,"",OFFSET(PO!N$12,ROW(C208)-ROW(C$12),0))</f>
        <v>EXECUÇÃO DE PASSEIO (CALÇADA) OU PISO DE CONCRETO COM CONCRETO MOLDADO IN LOCO, FEITO EM OBRA, ACABAMENTO CONVENCIONAL, NÃO ARMADO. AF_08/2022</v>
      </c>
      <c r="D208" s="110" t="str">
        <f ca="1">IF(OFFSET(PO!O$12,ROW(D208)-ROW(D$12),0)=0,"",OFFSET(PO!O$12,ROW(D208)-ROW(D$12),0))</f>
        <v>M3</v>
      </c>
      <c r="E208" s="140">
        <f ca="1">IF($A208&lt;&gt;"Serviço",0,ROUND(SUMIF($F$9:$P$9,"&lt;&gt;",$F208:$P208),15-13*PO!$X$3))</f>
        <v>14.87</v>
      </c>
      <c r="F208" s="182">
        <f ca="1">OFFSET(PO!$P$12,ROW($E208)-ROW(F$12),0)</f>
        <v>14.874000000000002</v>
      </c>
      <c r="G208" s="182"/>
      <c r="H208" s="182"/>
      <c r="I208" s="182"/>
      <c r="J208" s="182"/>
      <c r="K208" s="182"/>
      <c r="L208" s="182"/>
      <c r="M208" s="182"/>
      <c r="N208" s="182"/>
      <c r="O208" s="182"/>
      <c r="U208" s="182"/>
    </row>
    <row r="209" spans="1:21" s="1" customFormat="1" ht="38.25" x14ac:dyDescent="0.2">
      <c r="A209" s="109" t="str">
        <f ca="1">OFFSET(PO!J$12,ROW(A209)-ROW($A$12),0)</f>
        <v>Serviço</v>
      </c>
      <c r="B209" s="111" t="str">
        <f ca="1">IF($A209=0,"",OFFSET(PO!K$12,ROW(B209)-ROW(B$12),0))</f>
        <v>1.19.2.</v>
      </c>
      <c r="C209" s="108" t="str">
        <f ca="1">IF(OFFSET(PO!N$12,ROW(C209)-ROW(C$12),0)=0,"",OFFSET(PO!N$12,ROW(C209)-ROW(C$12),0))</f>
        <v>LASTRO COM MATERIAL GRANULAR (PEDRA BRITADA N.1 E PEDRA BRITADA N.2), APLICADO EM PISOS OU LAJES SOBRE SOLO, ESPESSURA DE *10 CM*. AF_01/2024</v>
      </c>
      <c r="D209" s="110" t="str">
        <f ca="1">IF(OFFSET(PO!O$12,ROW(D209)-ROW(D$12),0)=0,"",OFFSET(PO!O$12,ROW(D209)-ROW(D$12),0))</f>
        <v>M3</v>
      </c>
      <c r="E209" s="140">
        <f ca="1">IF($A209&lt;&gt;"Serviço",0,ROUND(SUMIF($F$9:$P$9,"&lt;&gt;",$F209:$P209),15-13*PO!$X$3))</f>
        <v>57.46</v>
      </c>
      <c r="F209" s="182">
        <f ca="1">OFFSET(PO!$P$12,ROW($E209)-ROW(F$12),0)</f>
        <v>57.457999999999998</v>
      </c>
      <c r="G209" s="182"/>
      <c r="H209" s="182"/>
      <c r="I209" s="182"/>
      <c r="J209" s="182"/>
      <c r="K209" s="182"/>
      <c r="L209" s="182"/>
      <c r="M209" s="182"/>
      <c r="N209" s="182"/>
      <c r="O209" s="182"/>
      <c r="U209" s="182"/>
    </row>
    <row r="210" spans="1:21" s="1" customFormat="1" ht="38.25" x14ac:dyDescent="0.2">
      <c r="A210" s="109" t="str">
        <f ca="1">OFFSET(PO!J$12,ROW(A210)-ROW($A$12),0)</f>
        <v>Serviço</v>
      </c>
      <c r="B210" s="111" t="str">
        <f ca="1">IF($A210=0,"",OFFSET(PO!K$12,ROW(B210)-ROW(B$12),0))</f>
        <v>1.19.3.</v>
      </c>
      <c r="C210" s="108" t="str">
        <f ca="1">IF(OFFSET(PO!N$12,ROW(C210)-ROW(C$12),0)=0,"",OFFSET(PO!N$12,ROW(C210)-ROW(C$12),0))</f>
        <v>CAMADA SEPARADORA PARA EXECUÇÃO DE RADIER, PISO DE CONCRETO OU LAJE SOBRE SOLO, EM LONA PLÁSTICA. AF_09/2021</v>
      </c>
      <c r="D210" s="110" t="str">
        <f ca="1">IF(OFFSET(PO!O$12,ROW(D210)-ROW(D$12),0)=0,"",OFFSET(PO!O$12,ROW(D210)-ROW(D$12),0))</f>
        <v>M2</v>
      </c>
      <c r="E210" s="140">
        <f ca="1">IF($A210&lt;&gt;"Serviço",0,ROUND(SUMIF($F$9:$P$9,"&lt;&gt;",$F210:$P210),15-13*PO!$X$3))</f>
        <v>574.58000000000004</v>
      </c>
      <c r="F210" s="182">
        <f ca="1">OFFSET(PO!$P$12,ROW($E210)-ROW(F$12),0)</f>
        <v>574.57999999999993</v>
      </c>
      <c r="G210" s="182"/>
      <c r="H210" s="182"/>
      <c r="I210" s="182"/>
      <c r="J210" s="182"/>
      <c r="K210" s="182"/>
      <c r="L210" s="182"/>
      <c r="M210" s="182"/>
      <c r="N210" s="182"/>
      <c r="O210" s="182"/>
      <c r="U210" s="182"/>
    </row>
    <row r="211" spans="1:21" s="1" customFormat="1" ht="38.25" x14ac:dyDescent="0.2">
      <c r="A211" s="109" t="str">
        <f ca="1">OFFSET(PO!J$12,ROW(A211)-ROW($A$12),0)</f>
        <v>Serviço</v>
      </c>
      <c r="B211" s="111" t="str">
        <f ca="1">IF($A211=0,"",OFFSET(PO!K$12,ROW(B211)-ROW(B$12),0))</f>
        <v>1.19.4.</v>
      </c>
      <c r="C211" s="108" t="str">
        <f ca="1">IF(OFFSET(PO!N$12,ROW(C211)-ROW(C$12),0)=0,"",OFFSET(PO!N$12,ROW(C211)-ROW(C$12),0))</f>
        <v>IMPERMEABILIZAÇÃO DE SUPERFÍCIE COM ARGAMASSA DE CIMENTO E AREIA, COM ADITIVO IMPERMEABILIZANTE, E = 1,5CM. AF_09/2023</v>
      </c>
      <c r="D211" s="110" t="str">
        <f ca="1">IF(OFFSET(PO!O$12,ROW(D211)-ROW(D$12),0)=0,"",OFFSET(PO!O$12,ROW(D211)-ROW(D$12),0))</f>
        <v>M2</v>
      </c>
      <c r="E211" s="140">
        <f ca="1">IF($A211&lt;&gt;"Serviço",0,ROUND(SUMIF($F$9:$P$9,"&lt;&gt;",$F211:$P211),15-13*PO!$X$3))</f>
        <v>148.74</v>
      </c>
      <c r="F211" s="182">
        <f ca="1">OFFSET(PO!$P$12,ROW($E211)-ROW(F$12),0)</f>
        <v>148.74</v>
      </c>
      <c r="G211" s="182"/>
      <c r="H211" s="182"/>
      <c r="I211" s="182"/>
      <c r="J211" s="182"/>
      <c r="K211" s="182"/>
      <c r="L211" s="182"/>
      <c r="M211" s="182"/>
      <c r="N211" s="182"/>
      <c r="O211" s="182"/>
      <c r="U211" s="182"/>
    </row>
    <row r="212" spans="1:21" s="1" customFormat="1" ht="38.25" x14ac:dyDescent="0.2">
      <c r="A212" s="109" t="str">
        <f ca="1">OFFSET(PO!J$12,ROW(A212)-ROW($A$12),0)</f>
        <v>Serviço</v>
      </c>
      <c r="B212" s="111" t="str">
        <f ca="1">IF($A212=0,"",OFFSET(PO!K$12,ROW(B212)-ROW(B$12),0))</f>
        <v>1.19.5.</v>
      </c>
      <c r="C212" s="108" t="str">
        <f ca="1">IF(OFFSET(PO!N$12,ROW(C212)-ROW(C$12),0)=0,"",OFFSET(PO!N$12,ROW(C212)-ROW(C$12),0))</f>
        <v>LASTRO COM MATERIAL GRANULAR (AREIA MÉDIA), APLICADO EM PISOS OU LAJES SOBRE SOLO, ESPESSURA DE *10 CM*. AF_01/2024</v>
      </c>
      <c r="D212" s="110" t="str">
        <f ca="1">IF(OFFSET(PO!O$12,ROW(D212)-ROW(D$12),0)=0,"",OFFSET(PO!O$12,ROW(D212)-ROW(D$12),0))</f>
        <v>M3</v>
      </c>
      <c r="E212" s="140">
        <f ca="1">IF($A212&lt;&gt;"Serviço",0,ROUND(SUMIF($F$9:$P$9,"&lt;&gt;",$F212:$P212),15-13*PO!$X$3))</f>
        <v>6.26</v>
      </c>
      <c r="F212" s="182">
        <f ca="1">OFFSET(PO!$P$12,ROW($E212)-ROW(F$12),0)</f>
        <v>6.258</v>
      </c>
      <c r="G212" s="182"/>
      <c r="H212" s="182"/>
      <c r="I212" s="182"/>
      <c r="J212" s="182"/>
      <c r="K212" s="182"/>
      <c r="L212" s="182"/>
      <c r="M212" s="182"/>
      <c r="N212" s="182"/>
      <c r="O212" s="182"/>
      <c r="U212" s="182"/>
    </row>
    <row r="213" spans="1:21" s="1" customFormat="1" ht="38.25" x14ac:dyDescent="0.2">
      <c r="A213" s="109" t="str">
        <f ca="1">OFFSET(PO!J$12,ROW(A213)-ROW($A$12),0)</f>
        <v>Serviço</v>
      </c>
      <c r="B213" s="111" t="str">
        <f ca="1">IF($A213=0,"",OFFSET(PO!K$12,ROW(B213)-ROW(B$12),0))</f>
        <v>1.19.6.</v>
      </c>
      <c r="C213" s="108" t="str">
        <f ca="1">IF(OFFSET(PO!N$12,ROW(C213)-ROW(C$12),0)=0,"",OFFSET(PO!N$12,ROW(C213)-ROW(C$12),0))</f>
        <v>LASTRO COM MATERIAL GRANULAR (PEDRA BRITADA N.1 E PEDRA BRITADA N.2), APLICADO EM PISOS OU LAJES SOBRE SOLO, ESPESSURA DE *10 CM*. AF_01/2024</v>
      </c>
      <c r="D213" s="110" t="str">
        <f ca="1">IF(OFFSET(PO!O$12,ROW(D213)-ROW(D$12),0)=0,"",OFFSET(PO!O$12,ROW(D213)-ROW(D$12),0))</f>
        <v>M3</v>
      </c>
      <c r="E213" s="140">
        <f ca="1">IF($A213&lt;&gt;"Serviço",0,ROUND(SUMIF($F$9:$P$9,"&lt;&gt;",$F213:$P213),15-13*PO!$X$3))</f>
        <v>4.5</v>
      </c>
      <c r="F213" s="182">
        <f ca="1">OFFSET(PO!$P$12,ROW($E213)-ROW(F$12),0)</f>
        <v>4.5</v>
      </c>
      <c r="G213" s="182"/>
      <c r="H213" s="182"/>
      <c r="I213" s="182"/>
      <c r="J213" s="182"/>
      <c r="K213" s="182"/>
      <c r="L213" s="182"/>
      <c r="M213" s="182"/>
      <c r="N213" s="182"/>
      <c r="O213" s="182"/>
      <c r="U213" s="182"/>
    </row>
    <row r="214" spans="1:21" s="1" customFormat="1" ht="38.25" x14ac:dyDescent="0.2">
      <c r="A214" s="109" t="str">
        <f ca="1">OFFSET(PO!J$12,ROW(A214)-ROW($A$12),0)</f>
        <v>Serviço</v>
      </c>
      <c r="B214" s="111" t="str">
        <f ca="1">IF($A214=0,"",OFFSET(PO!K$12,ROW(B214)-ROW(B$12),0))</f>
        <v>1.19.7.</v>
      </c>
      <c r="C214" s="108" t="str">
        <f ca="1">IF(OFFSET(PO!N$12,ROW(C214)-ROW(C$12),0)=0,"",OFFSET(PO!N$12,ROW(C214)-ROW(C$12),0))</f>
        <v>EXECUÇÃO DE PASSEIO (CALÇADA) OU PISO DE CONCRETO COM CONCRETO MOLDADO IN LOCO, USINADO C25, ACABAMENTO CONVENCIONAL, NÃO ARMADO. AF_03/2023</v>
      </c>
      <c r="D214" s="110" t="str">
        <f ca="1">IF(OFFSET(PO!O$12,ROW(D214)-ROW(D$12),0)=0,"",OFFSET(PO!O$12,ROW(D214)-ROW(D$12),0))</f>
        <v>M3</v>
      </c>
      <c r="E214" s="140">
        <f ca="1">IF($A214&lt;&gt;"Serviço",0,ROUND(SUMIF($F$9:$P$9,"&lt;&gt;",$F214:$P214),15-13*PO!$X$3))</f>
        <v>25.55</v>
      </c>
      <c r="F214" s="182">
        <f ca="1">OFFSET(PO!$P$12,ROW($E214)-ROW(F$12),0)</f>
        <v>25.550399999999996</v>
      </c>
      <c r="G214" s="182"/>
      <c r="H214" s="182"/>
      <c r="I214" s="182"/>
      <c r="J214" s="182"/>
      <c r="K214" s="182"/>
      <c r="L214" s="182"/>
      <c r="M214" s="182"/>
      <c r="N214" s="182"/>
      <c r="O214" s="182"/>
      <c r="U214" s="182"/>
    </row>
    <row r="215" spans="1:21" s="1" customFormat="1" ht="38.25" x14ac:dyDescent="0.2">
      <c r="A215" s="109" t="str">
        <f ca="1">OFFSET(PO!J$12,ROW(A215)-ROW($A$12),0)</f>
        <v>Serviço</v>
      </c>
      <c r="B215" s="111" t="str">
        <f ca="1">IF($A215=0,"",OFFSET(PO!K$12,ROW(B215)-ROW(B$12),0))</f>
        <v>1.19.8.</v>
      </c>
      <c r="C215" s="108" t="str">
        <f ca="1">IF(OFFSET(PO!N$12,ROW(C215)-ROW(C$12),0)=0,"",OFFSET(PO!N$12,ROW(C215)-ROW(C$12),0))</f>
        <v>LASTRO COM MATERIAL GRANULAR (PEDRA BRITADA N.1 E PEDRA BRITADA N.2), APLICADO EM PISOS OU LAJES SOBRE SOLO, ESPESSURA DE *10 CM*. AF_01/2024</v>
      </c>
      <c r="D215" s="110" t="str">
        <f ca="1">IF(OFFSET(PO!O$12,ROW(D215)-ROW(D$12),0)=0,"",OFFSET(PO!O$12,ROW(D215)-ROW(D$12),0))</f>
        <v>M3</v>
      </c>
      <c r="E215" s="140">
        <f ca="1">IF($A215&lt;&gt;"Serviço",0,ROUND(SUMIF($F$9:$P$9,"&lt;&gt;",$F215:$P215),15-13*PO!$X$3))</f>
        <v>24.92</v>
      </c>
      <c r="F215" s="182">
        <f ca="1">OFFSET(PO!$P$12,ROW($E215)-ROW(F$12),0)</f>
        <v>24.917999999999999</v>
      </c>
      <c r="G215" s="182"/>
      <c r="H215" s="182"/>
      <c r="I215" s="182"/>
      <c r="J215" s="182"/>
      <c r="K215" s="182"/>
      <c r="L215" s="182"/>
      <c r="M215" s="182"/>
      <c r="N215" s="182"/>
      <c r="O215" s="182"/>
      <c r="U215" s="182"/>
    </row>
    <row r="216" spans="1:21" s="1" customFormat="1" ht="51" x14ac:dyDescent="0.2">
      <c r="A216" s="109" t="str">
        <f ca="1">OFFSET(PO!J$12,ROW(A216)-ROW($A$12),0)</f>
        <v>Serviço</v>
      </c>
      <c r="B216" s="111" t="str">
        <f ca="1">IF($A216=0,"",OFFSET(PO!K$12,ROW(B216)-ROW(B$12),0))</f>
        <v>1.19.9.</v>
      </c>
      <c r="C216" s="108" t="str">
        <f ca="1">IF(OFFSET(PO!N$12,ROW(C216)-ROW(C$12),0)=0,"",OFFSET(PO!N$12,ROW(C216)-ROW(C$12),0))</f>
        <v>EXECUÇÃO DE PASSEIO (CALÇADA) OU PISO DE CONCRETO COM CONCRETO MOLDADO IN LOCO, FEITO EM OBRA, ACABAMENTO CONVENCIONAL, ESPESSURA 6 CM, ARMADO. AF_08/2022</v>
      </c>
      <c r="D216" s="110" t="str">
        <f ca="1">IF(OFFSET(PO!O$12,ROW(D216)-ROW(D$12),0)=0,"",OFFSET(PO!O$12,ROW(D216)-ROW(D$12),0))</f>
        <v>M2</v>
      </c>
      <c r="E216" s="140">
        <f ca="1">IF($A216&lt;&gt;"Serviço",0,ROUND(SUMIF($F$9:$P$9,"&lt;&gt;",$F216:$P216),15-13*PO!$X$3))</f>
        <v>75.52</v>
      </c>
      <c r="F216" s="182">
        <f ca="1">OFFSET(PO!$P$12,ROW($E216)-ROW(F$12),0)</f>
        <v>75.52</v>
      </c>
      <c r="G216" s="182"/>
      <c r="H216" s="182"/>
      <c r="I216" s="182"/>
      <c r="J216" s="182"/>
      <c r="K216" s="182"/>
      <c r="L216" s="182"/>
      <c r="M216" s="182"/>
      <c r="N216" s="182"/>
      <c r="O216" s="182"/>
      <c r="U216" s="182"/>
    </row>
    <row r="217" spans="1:21" s="1" customFormat="1" ht="38.25" x14ac:dyDescent="0.2">
      <c r="A217" s="109" t="str">
        <f ca="1">OFFSET(PO!J$12,ROW(A217)-ROW($A$12),0)</f>
        <v>Serviço</v>
      </c>
      <c r="B217" s="111" t="str">
        <f ca="1">IF($A217=0,"",OFFSET(PO!K$12,ROW(B217)-ROW(B$12),0))</f>
        <v>1.19.10.</v>
      </c>
      <c r="C217" s="108" t="str">
        <f ca="1">IF(OFFSET(PO!N$12,ROW(C217)-ROW(C$12),0)=0,"",OFFSET(PO!N$12,ROW(C217)-ROW(C$12),0))</f>
        <v>REVESTIMENTO CERÂMICO PARA PAREDES INTERNAS COM PLACAS TIPO ESMALTADA DE DIMENSÕES 33X45 CM APLICADAS NA ALTURA INTEIRA DAS PAREDES. AF_02/2023_PE</v>
      </c>
      <c r="D217" s="110" t="str">
        <f ca="1">IF(OFFSET(PO!O$12,ROW(D217)-ROW(D$12),0)=0,"",OFFSET(PO!O$12,ROW(D217)-ROW(D$12),0))</f>
        <v>M2</v>
      </c>
      <c r="E217" s="140">
        <f ca="1">IF($A217&lt;&gt;"Serviço",0,ROUND(SUMIF($F$9:$P$9,"&lt;&gt;",$F217:$P217),15-13*PO!$X$3))</f>
        <v>334.5</v>
      </c>
      <c r="F217" s="182">
        <f ca="1">OFFSET(PO!$P$12,ROW($E217)-ROW(F$12),0)</f>
        <v>334.5</v>
      </c>
      <c r="G217" s="182"/>
      <c r="H217" s="182"/>
      <c r="I217" s="182"/>
      <c r="J217" s="182"/>
      <c r="K217" s="182"/>
      <c r="L217" s="182"/>
      <c r="M217" s="182"/>
      <c r="N217" s="182"/>
      <c r="O217" s="182"/>
      <c r="U217" s="182"/>
    </row>
    <row r="218" spans="1:21" s="1" customFormat="1" ht="38.25" x14ac:dyDescent="0.2">
      <c r="A218" s="109" t="str">
        <f ca="1">OFFSET(PO!J$12,ROW(A218)-ROW($A$12),0)</f>
        <v>Serviço</v>
      </c>
      <c r="B218" s="111" t="str">
        <f ca="1">IF($A218=0,"",OFFSET(PO!K$12,ROW(B218)-ROW(B$12),0))</f>
        <v>1.19.11.</v>
      </c>
      <c r="C218" s="108" t="str">
        <f ca="1">IF(OFFSET(PO!N$12,ROW(C218)-ROW(C$12),0)=0,"",OFFSET(PO!N$12,ROW(C218)-ROW(C$12),0))</f>
        <v>REVESTIMENTO CERÂMICO PARA PISO COM PLACAS TIPO PORCELANATO DE DIMENSÕES 80X80 CM APLICADA EM AMBIENTES DE ÁREA MENOR QUE 5 M². AF_02/2023_PE</v>
      </c>
      <c r="D218" s="110" t="str">
        <f ca="1">IF(OFFSET(PO!O$12,ROW(D218)-ROW(D$12),0)=0,"",OFFSET(PO!O$12,ROW(D218)-ROW(D$12),0))</f>
        <v>M2</v>
      </c>
      <c r="E218" s="140">
        <f ca="1">IF($A218&lt;&gt;"Serviço",0,ROUND(SUMIF($F$9:$P$9,"&lt;&gt;",$F218:$P218),15-13*PO!$X$3))</f>
        <v>18.13</v>
      </c>
      <c r="F218" s="182">
        <f ca="1">OFFSET(PO!$P$12,ROW($E218)-ROW(F$12),0)</f>
        <v>18.13</v>
      </c>
      <c r="G218" s="182"/>
      <c r="H218" s="182"/>
      <c r="I218" s="182"/>
      <c r="J218" s="182"/>
      <c r="K218" s="182"/>
      <c r="L218" s="182"/>
      <c r="M218" s="182"/>
      <c r="N218" s="182"/>
      <c r="O218" s="182"/>
      <c r="U218" s="182"/>
    </row>
    <row r="219" spans="1:21" s="1" customFormat="1" ht="38.25" x14ac:dyDescent="0.2">
      <c r="A219" s="109" t="str">
        <f ca="1">OFFSET(PO!J$12,ROW(A219)-ROW($A$12),0)</f>
        <v>Serviço</v>
      </c>
      <c r="B219" s="111" t="str">
        <f ca="1">IF($A219=0,"",OFFSET(PO!K$12,ROW(B219)-ROW(B$12),0))</f>
        <v>1.19.12.</v>
      </c>
      <c r="C219" s="108" t="str">
        <f ca="1">IF(OFFSET(PO!N$12,ROW(C219)-ROW(C$12),0)=0,"",OFFSET(PO!N$12,ROW(C219)-ROW(C$12),0))</f>
        <v>REVESTIMENTO CERÂMICO PARA PISO COM PLACAS TIPO PORCELANATO DE DIMENSÕES 80X80 CM APLICADA EM AMBIENTES DE ÁREA ENTRE 5 M² E 10 M². AF_02/2023_PE</v>
      </c>
      <c r="D219" s="110" t="str">
        <f ca="1">IF(OFFSET(PO!O$12,ROW(D219)-ROW(D$12),0)=0,"",OFFSET(PO!O$12,ROW(D219)-ROW(D$12),0))</f>
        <v>M2</v>
      </c>
      <c r="E219" s="140">
        <f ca="1">IF($A219&lt;&gt;"Serviço",0,ROUND(SUMIF($F$9:$P$9,"&lt;&gt;",$F219:$P219),15-13*PO!$X$3))</f>
        <v>24.54</v>
      </c>
      <c r="F219" s="182">
        <f ca="1">OFFSET(PO!$P$12,ROW($E219)-ROW(F$12),0)</f>
        <v>24.54</v>
      </c>
      <c r="G219" s="182"/>
      <c r="H219" s="182"/>
      <c r="I219" s="182"/>
      <c r="J219" s="182"/>
      <c r="K219" s="182"/>
      <c r="L219" s="182"/>
      <c r="M219" s="182"/>
      <c r="N219" s="182"/>
      <c r="O219" s="182"/>
      <c r="U219" s="182"/>
    </row>
    <row r="220" spans="1:21" s="1" customFormat="1" ht="38.25" x14ac:dyDescent="0.2">
      <c r="A220" s="109" t="str">
        <f ca="1">OFFSET(PO!J$12,ROW(A220)-ROW($A$12),0)</f>
        <v>Serviço</v>
      </c>
      <c r="B220" s="111" t="str">
        <f ca="1">IF($A220=0,"",OFFSET(PO!K$12,ROW(B220)-ROW(B$12),0))</f>
        <v>1.19.13.</v>
      </c>
      <c r="C220" s="108" t="str">
        <f ca="1">IF(OFFSET(PO!N$12,ROW(C220)-ROW(C$12),0)=0,"",OFFSET(PO!N$12,ROW(C220)-ROW(C$12),0))</f>
        <v>REVESTIMENTO CERÂMICO PARA PISO COM PLACAS TIPO PORCELANATO DE DIMENSÕES 80X80 CM APLICADA EM AMBIENTES DE ÁREA MAIOR QUE 10 M². AF_02/2023_PE</v>
      </c>
      <c r="D220" s="110" t="str">
        <f ca="1">IF(OFFSET(PO!O$12,ROW(D220)-ROW(D$12),0)=0,"",OFFSET(PO!O$12,ROW(D220)-ROW(D$12),0))</f>
        <v>M2</v>
      </c>
      <c r="E220" s="140">
        <f ca="1">IF($A220&lt;&gt;"Serviço",0,ROUND(SUMIF($F$9:$P$9,"&lt;&gt;",$F220:$P220),15-13*PO!$X$3))</f>
        <v>346.96</v>
      </c>
      <c r="F220" s="182">
        <f ca="1">OFFSET(PO!$P$12,ROW($E220)-ROW(F$12),0)</f>
        <v>346.96</v>
      </c>
      <c r="G220" s="182"/>
      <c r="H220" s="182"/>
      <c r="I220" s="182"/>
      <c r="J220" s="182"/>
      <c r="K220" s="182"/>
      <c r="L220" s="182"/>
      <c r="M220" s="182"/>
      <c r="N220" s="182"/>
      <c r="O220" s="182"/>
      <c r="U220" s="182"/>
    </row>
    <row r="221" spans="1:21" s="1" customFormat="1" ht="38.25" x14ac:dyDescent="0.2">
      <c r="A221" s="109" t="str">
        <f ca="1">OFFSET(PO!J$12,ROW(A221)-ROW($A$12),0)</f>
        <v>Serviço</v>
      </c>
      <c r="B221" s="111" t="str">
        <f ca="1">IF($A221=0,"",OFFSET(PO!K$12,ROW(B221)-ROW(B$12),0))</f>
        <v>1.19.14.</v>
      </c>
      <c r="C221" s="108" t="str">
        <f ca="1">IF(OFFSET(PO!N$12,ROW(C221)-ROW(C$12),0)=0,"",OFFSET(PO!N$12,ROW(C221)-ROW(C$12),0))</f>
        <v>REVESTIMENTO CERÂMICO PARA PISO COM PLACAS TIPO PORCELANATO DE DIMENSÕES 60X60 CM APLICADA EM AMBIENTES DE ÁREA MAIOR QUE 10 M². AF_02/2023_PE</v>
      </c>
      <c r="D221" s="110" t="str">
        <f ca="1">IF(OFFSET(PO!O$12,ROW(D221)-ROW(D$12),0)=0,"",OFFSET(PO!O$12,ROW(D221)-ROW(D$12),0))</f>
        <v>M2</v>
      </c>
      <c r="E221" s="140">
        <f ca="1">IF($A221&lt;&gt;"Serviço",0,ROUND(SUMIF($F$9:$P$9,"&lt;&gt;",$F221:$P221),15-13*PO!$X$3))</f>
        <v>111.76</v>
      </c>
      <c r="F221" s="182">
        <f ca="1">OFFSET(PO!$P$12,ROW($E221)-ROW(F$12),0)</f>
        <v>111.76</v>
      </c>
      <c r="G221" s="182"/>
      <c r="H221" s="182"/>
      <c r="I221" s="182"/>
      <c r="J221" s="182"/>
      <c r="K221" s="182"/>
      <c r="L221" s="182"/>
      <c r="M221" s="182"/>
      <c r="N221" s="182"/>
      <c r="O221" s="182"/>
      <c r="U221" s="182"/>
    </row>
    <row r="222" spans="1:21" s="1" customFormat="1" ht="25.5" x14ac:dyDescent="0.2">
      <c r="A222" s="109" t="str">
        <f ca="1">OFFSET(PO!J$12,ROW(A222)-ROW($A$12),0)</f>
        <v>Serviço</v>
      </c>
      <c r="B222" s="111" t="str">
        <f ca="1">IF($A222=0,"",OFFSET(PO!K$12,ROW(B222)-ROW(B$12),0))</f>
        <v>1.19.15.</v>
      </c>
      <c r="C222" s="108" t="str">
        <f ca="1">IF(OFFSET(PO!N$12,ROW(C222)-ROW(C$12),0)=0,"",OFFSET(PO!N$12,ROW(C222)-ROW(C$12),0))</f>
        <v>RODAPÉ EMBUTIDO CERÂMICO DE 7CM DE ALTURA COM PORCELANATO DE DIMENSÕES 60X60CM ACETINADO CINZA.</v>
      </c>
      <c r="D222" s="110" t="str">
        <f ca="1">IF(OFFSET(PO!O$12,ROW(D222)-ROW(D$12),0)=0,"",OFFSET(PO!O$12,ROW(D222)-ROW(D$12),0))</f>
        <v>M</v>
      </c>
      <c r="E222" s="140">
        <f ca="1">IF($A222&lt;&gt;"Serviço",0,ROUND(SUMIF($F$9:$P$9,"&lt;&gt;",$F222:$P222),15-13*PO!$X$3))</f>
        <v>327.5</v>
      </c>
      <c r="F222" s="182">
        <f ca="1">OFFSET(PO!$P$12,ROW($E222)-ROW(F$12),0)</f>
        <v>327.5</v>
      </c>
      <c r="G222" s="182"/>
      <c r="H222" s="182"/>
      <c r="I222" s="182"/>
      <c r="J222" s="182"/>
      <c r="K222" s="182"/>
      <c r="L222" s="182"/>
      <c r="M222" s="182"/>
      <c r="N222" s="182"/>
      <c r="O222" s="182"/>
      <c r="U222" s="182"/>
    </row>
    <row r="223" spans="1:21" s="1" customFormat="1" ht="38.25" x14ac:dyDescent="0.2">
      <c r="A223" s="109" t="str">
        <f ca="1">OFFSET(PO!J$12,ROW(A223)-ROW($A$12),0)</f>
        <v>Serviço</v>
      </c>
      <c r="B223" s="111" t="str">
        <f ca="1">IF($A223=0,"",OFFSET(PO!K$12,ROW(B223)-ROW(B$12),0))</f>
        <v>1.19.16.</v>
      </c>
      <c r="C223" s="108" t="str">
        <f ca="1">IF(OFFSET(PO!N$12,ROW(C223)-ROW(C$12),0)=0,"",OFFSET(PO!N$12,ROW(C223)-ROW(C$12),0))</f>
        <v>PEITORIL LINEAR EM GRANITO OU MÁRMORE, L = 15CM, COMPRIMENTO DE ATÉ 2M, ASSENTADO COM ARGAMASSA 1:6 COM ADITIVO. AF_11/2020</v>
      </c>
      <c r="D223" s="110" t="str">
        <f ca="1">IF(OFFSET(PO!O$12,ROW(D223)-ROW(D$12),0)=0,"",OFFSET(PO!O$12,ROW(D223)-ROW(D$12),0))</f>
        <v>M</v>
      </c>
      <c r="E223" s="140">
        <f ca="1">IF($A223&lt;&gt;"Serviço",0,ROUND(SUMIF($F$9:$P$9,"&lt;&gt;",$F223:$P223),15-13*PO!$X$3))</f>
        <v>33.200000000000003</v>
      </c>
      <c r="F223" s="182">
        <f ca="1">OFFSET(PO!$P$12,ROW($E223)-ROW(F$12),0)</f>
        <v>33.200000000000003</v>
      </c>
      <c r="G223" s="182"/>
      <c r="H223" s="182"/>
      <c r="I223" s="182"/>
      <c r="J223" s="182"/>
      <c r="K223" s="182"/>
      <c r="L223" s="182"/>
      <c r="M223" s="182"/>
      <c r="N223" s="182"/>
      <c r="O223" s="182"/>
      <c r="U223" s="182"/>
    </row>
    <row r="224" spans="1:21" s="1" customFormat="1" x14ac:dyDescent="0.2">
      <c r="A224" s="109" t="str">
        <f ca="1">OFFSET(PO!J$12,ROW(A224)-ROW($A$12),0)</f>
        <v>Nível 2</v>
      </c>
      <c r="B224" s="111" t="str">
        <f ca="1">IF($A224=0,"",OFFSET(PO!K$12,ROW(B224)-ROW(B$12),0))</f>
        <v>1.20.</v>
      </c>
      <c r="C224" s="108" t="str">
        <f ca="1">IF(OFFSET(PO!N$12,ROW(C224)-ROW(C$12),0)=0,"",OFFSET(PO!N$12,ROW(C224)-ROW(C$12),0))</f>
        <v>PINTURAS INTERNAS</v>
      </c>
      <c r="D224" s="110" t="str">
        <f ca="1">IF(OFFSET(PO!O$12,ROW(D224)-ROW(D$12),0)=0,"",OFFSET(PO!O$12,ROW(D224)-ROW(D$12),0))</f>
        <v/>
      </c>
      <c r="E224" s="140">
        <f ca="1">IF($A224&lt;&gt;"Serviço",0,ROUND(SUMIF($F$9:$P$9,"&lt;&gt;",$F224:$P224),15-13*PO!$X$3))</f>
        <v>0</v>
      </c>
      <c r="F224" s="182">
        <f ca="1">OFFSET(PO!$P$12,ROW($E224)-ROW(F$12),0)</f>
        <v>0</v>
      </c>
      <c r="G224" s="182"/>
      <c r="H224" s="182"/>
      <c r="I224" s="182"/>
      <c r="J224" s="182"/>
      <c r="K224" s="182"/>
      <c r="L224" s="182"/>
      <c r="M224" s="182"/>
      <c r="N224" s="182"/>
      <c r="O224" s="182"/>
      <c r="U224" s="182"/>
    </row>
    <row r="225" spans="1:21" s="1" customFormat="1" ht="25.5" x14ac:dyDescent="0.2">
      <c r="A225" s="109" t="str">
        <f ca="1">OFFSET(PO!J$12,ROW(A225)-ROW($A$12),0)</f>
        <v>Serviço</v>
      </c>
      <c r="B225" s="111" t="str">
        <f ca="1">IF($A225=0,"",OFFSET(PO!K$12,ROW(B225)-ROW(B$12),0))</f>
        <v>1.20.1.</v>
      </c>
      <c r="C225" s="108" t="str">
        <f ca="1">IF(OFFSET(PO!N$12,ROW(C225)-ROW(C$12),0)=0,"",OFFSET(PO!N$12,ROW(C225)-ROW(C$12),0))</f>
        <v>FUNDO SELADOR ACRÍLICO, APLICAÇÃO MANUAL EM PAREDE, UMA DEMÃO. AF_04/2023</v>
      </c>
      <c r="D225" s="110" t="str">
        <f ca="1">IF(OFFSET(PO!O$12,ROW(D225)-ROW(D$12),0)=0,"",OFFSET(PO!O$12,ROW(D225)-ROW(D$12),0))</f>
        <v>M2</v>
      </c>
      <c r="E225" s="140">
        <f ca="1">IF($A225&lt;&gt;"Serviço",0,ROUND(SUMIF($F$9:$P$9,"&lt;&gt;",$F225:$P225),15-13*PO!$X$3))</f>
        <v>854.4</v>
      </c>
      <c r="F225" s="182">
        <f ca="1">OFFSET(PO!$P$12,ROW($E225)-ROW(F$12),0)</f>
        <v>854.4</v>
      </c>
      <c r="G225" s="182"/>
      <c r="H225" s="182"/>
      <c r="I225" s="182"/>
      <c r="J225" s="182"/>
      <c r="K225" s="182"/>
      <c r="L225" s="182"/>
      <c r="M225" s="182"/>
      <c r="N225" s="182"/>
      <c r="O225" s="182"/>
      <c r="U225" s="182"/>
    </row>
    <row r="226" spans="1:21" s="1" customFormat="1" ht="25.5" x14ac:dyDescent="0.2">
      <c r="A226" s="109" t="str">
        <f ca="1">OFFSET(PO!J$12,ROW(A226)-ROW($A$12),0)</f>
        <v>Serviço</v>
      </c>
      <c r="B226" s="111" t="str">
        <f ca="1">IF($A226=0,"",OFFSET(PO!K$12,ROW(B226)-ROW(B$12),0))</f>
        <v>1.20.2.</v>
      </c>
      <c r="C226" s="108" t="str">
        <f ca="1">IF(OFFSET(PO!N$12,ROW(C226)-ROW(C$12),0)=0,"",OFFSET(PO!N$12,ROW(C226)-ROW(C$12),0))</f>
        <v>PINTURA LÁTEX ACRÍLICA PREMIUM, APLICAÇÃO MANUAL EM PAREDES, DUAS DEMÃOS. AF_04/2023</v>
      </c>
      <c r="D226" s="110" t="str">
        <f ca="1">IF(OFFSET(PO!O$12,ROW(D226)-ROW(D$12),0)=0,"",OFFSET(PO!O$12,ROW(D226)-ROW(D$12),0))</f>
        <v>M2</v>
      </c>
      <c r="E226" s="140">
        <f ca="1">IF($A226&lt;&gt;"Serviço",0,ROUND(SUMIF($F$9:$P$9,"&lt;&gt;",$F226:$P226),15-13*PO!$X$3))</f>
        <v>854.4</v>
      </c>
      <c r="F226" s="182">
        <f ca="1">OFFSET(PO!$P$12,ROW($E226)-ROW(F$12),0)</f>
        <v>854.4</v>
      </c>
      <c r="G226" s="182"/>
      <c r="H226" s="182"/>
      <c r="I226" s="182"/>
      <c r="J226" s="182"/>
      <c r="K226" s="182"/>
      <c r="L226" s="182"/>
      <c r="M226" s="182"/>
      <c r="N226" s="182"/>
      <c r="O226" s="182"/>
      <c r="U226" s="182"/>
    </row>
    <row r="227" spans="1:21" s="1" customFormat="1" x14ac:dyDescent="0.2">
      <c r="A227" s="109" t="str">
        <f ca="1">OFFSET(PO!J$12,ROW(A227)-ROW($A$12),0)</f>
        <v>Serviço</v>
      </c>
      <c r="B227" s="111" t="str">
        <f ca="1">IF($A227=0,"",OFFSET(PO!K$12,ROW(B227)-ROW(B$12),0))</f>
        <v>1.20.3.</v>
      </c>
      <c r="C227" s="108" t="str">
        <f ca="1">IF(OFFSET(PO!N$12,ROW(C227)-ROW(C$12),0)=0,"",OFFSET(PO!N$12,ROW(C227)-ROW(C$12),0))</f>
        <v>EMASSAMENTO COM MASSA LÁTEX, APLICAÇÃO EM PAREDE, DUAS DEMÃOS, LIXAMENTO MANUAL. AF_04/2023</v>
      </c>
      <c r="D227" s="110" t="str">
        <f ca="1">IF(OFFSET(PO!O$12,ROW(D227)-ROW(D$12),0)=0,"",OFFSET(PO!O$12,ROW(D227)-ROW(D$12),0))</f>
        <v>M2</v>
      </c>
      <c r="E227" s="140">
        <f ca="1">IF($A227&lt;&gt;"Serviço",0,ROUND(SUMIF($F$9:$P$9,"&lt;&gt;",$F227:$P227),15-13*PO!$X$3))</f>
        <v>854.4</v>
      </c>
      <c r="F227" s="182">
        <f ca="1">OFFSET(PO!$P$12,ROW($E227)-ROW(F$12),0)</f>
        <v>854.4</v>
      </c>
      <c r="G227" s="182"/>
      <c r="H227" s="182"/>
      <c r="I227" s="182"/>
      <c r="J227" s="182"/>
      <c r="K227" s="182"/>
      <c r="L227" s="182"/>
      <c r="M227" s="182"/>
      <c r="N227" s="182"/>
      <c r="O227" s="182"/>
      <c r="U227" s="182"/>
    </row>
    <row r="228" spans="1:21" s="1" customFormat="1" x14ac:dyDescent="0.2">
      <c r="A228" s="109" t="str">
        <f ca="1">OFFSET(PO!J$12,ROW(A228)-ROW($A$12),0)</f>
        <v>Nível 2</v>
      </c>
      <c r="B228" s="111" t="str">
        <f ca="1">IF($A228=0,"",OFFSET(PO!K$12,ROW(B228)-ROW(B$12),0))</f>
        <v>1.21.</v>
      </c>
      <c r="C228" s="108" t="str">
        <f ca="1">IF(OFFSET(PO!N$12,ROW(C228)-ROW(C$12),0)=0,"",OFFSET(PO!N$12,ROW(C228)-ROW(C$12),0))</f>
        <v>PINTURAS EXTERNAS</v>
      </c>
      <c r="D228" s="110" t="str">
        <f ca="1">IF(OFFSET(PO!O$12,ROW(D228)-ROW(D$12),0)=0,"",OFFSET(PO!O$12,ROW(D228)-ROW(D$12),0))</f>
        <v/>
      </c>
      <c r="E228" s="140">
        <f ca="1">IF($A228&lt;&gt;"Serviço",0,ROUND(SUMIF($F$9:$P$9,"&lt;&gt;",$F228:$P228),15-13*PO!$X$3))</f>
        <v>0</v>
      </c>
      <c r="F228" s="182">
        <f ca="1">OFFSET(PO!$P$12,ROW($E228)-ROW(F$12),0)</f>
        <v>0</v>
      </c>
      <c r="G228" s="182"/>
      <c r="H228" s="182"/>
      <c r="I228" s="182"/>
      <c r="J228" s="182"/>
      <c r="K228" s="182"/>
      <c r="L228" s="182"/>
      <c r="M228" s="182"/>
      <c r="N228" s="182"/>
      <c r="O228" s="182"/>
      <c r="U228" s="182"/>
    </row>
    <row r="229" spans="1:21" s="1" customFormat="1" ht="25.5" x14ac:dyDescent="0.2">
      <c r="A229" s="109" t="str">
        <f ca="1">OFFSET(PO!J$12,ROW(A229)-ROW($A$12),0)</f>
        <v>Serviço</v>
      </c>
      <c r="B229" s="111" t="str">
        <f ca="1">IF($A229=0,"",OFFSET(PO!K$12,ROW(B229)-ROW(B$12),0))</f>
        <v>1.21.1.</v>
      </c>
      <c r="C229" s="108" t="str">
        <f ca="1">IF(OFFSET(PO!N$12,ROW(C229)-ROW(C$12),0)=0,"",OFFSET(PO!N$12,ROW(C229)-ROW(C$12),0))</f>
        <v>APLICAÇÃO MANUAL DE FUNDO SELADOR ACRÍLICO EM PAREDES EXTERNAS DE CASAS. AF_03/2024</v>
      </c>
      <c r="D229" s="110" t="str">
        <f ca="1">IF(OFFSET(PO!O$12,ROW(D229)-ROW(D$12),0)=0,"",OFFSET(PO!O$12,ROW(D229)-ROW(D$12),0))</f>
        <v>M2</v>
      </c>
      <c r="E229" s="140">
        <f ca="1">IF($A229&lt;&gt;"Serviço",0,ROUND(SUMIF($F$9:$P$9,"&lt;&gt;",$F229:$P229),15-13*PO!$X$3))</f>
        <v>917.08</v>
      </c>
      <c r="F229" s="182">
        <f ca="1">OFFSET(PO!$P$12,ROW($E229)-ROW(F$12),0)</f>
        <v>917.08</v>
      </c>
      <c r="G229" s="182"/>
      <c r="H229" s="182"/>
      <c r="I229" s="182"/>
      <c r="J229" s="182"/>
      <c r="K229" s="182"/>
      <c r="L229" s="182"/>
      <c r="M229" s="182"/>
      <c r="N229" s="182"/>
      <c r="O229" s="182"/>
      <c r="U229" s="182"/>
    </row>
    <row r="230" spans="1:21" s="1" customFormat="1" ht="38.25" x14ac:dyDescent="0.2">
      <c r="A230" s="109" t="str">
        <f ca="1">OFFSET(PO!J$12,ROW(A230)-ROW($A$12),0)</f>
        <v>Serviço</v>
      </c>
      <c r="B230" s="111" t="str">
        <f ca="1">IF($A230=0,"",OFFSET(PO!K$12,ROW(B230)-ROW(B$12),0))</f>
        <v>1.21.2.</v>
      </c>
      <c r="C230" s="108" t="str">
        <f ca="1">IF(OFFSET(PO!N$12,ROW(C230)-ROW(C$12),0)=0,"",OFFSET(PO!N$12,ROW(C230)-ROW(C$12),0))</f>
        <v>APLICAÇÃO MANUAL DE PINTURA COM TINTA TEXTURIZADA ACRÍLICA EM PAREDES EXTERNAS DE CASAS, UMA COR. AF_03/2024</v>
      </c>
      <c r="D230" s="110" t="str">
        <f ca="1">IF(OFFSET(PO!O$12,ROW(D230)-ROW(D$12),0)=0,"",OFFSET(PO!O$12,ROW(D230)-ROW(D$12),0))</f>
        <v>M2</v>
      </c>
      <c r="E230" s="140">
        <f ca="1">IF($A230&lt;&gt;"Serviço",0,ROUND(SUMIF($F$9:$P$9,"&lt;&gt;",$F230:$P230),15-13*PO!$X$3))</f>
        <v>48.24</v>
      </c>
      <c r="F230" s="182">
        <f ca="1">OFFSET(PO!$P$12,ROW($E230)-ROW(F$12),0)</f>
        <v>48.24</v>
      </c>
      <c r="G230" s="182"/>
      <c r="H230" s="182"/>
      <c r="I230" s="182"/>
      <c r="J230" s="182"/>
      <c r="K230" s="182"/>
      <c r="L230" s="182"/>
      <c r="M230" s="182"/>
      <c r="N230" s="182"/>
      <c r="O230" s="182"/>
      <c r="U230" s="182"/>
    </row>
    <row r="231" spans="1:21" s="1" customFormat="1" ht="38.25" x14ac:dyDescent="0.2">
      <c r="A231" s="109" t="str">
        <f ca="1">OFFSET(PO!J$12,ROW(A231)-ROW($A$12),0)</f>
        <v>Serviço</v>
      </c>
      <c r="B231" s="111" t="str">
        <f ca="1">IF($A231=0,"",OFFSET(PO!K$12,ROW(B231)-ROW(B$12),0))</f>
        <v>1.21.3.</v>
      </c>
      <c r="C231" s="108" t="str">
        <f ca="1">IF(OFFSET(PO!N$12,ROW(C231)-ROW(C$12),0)=0,"",OFFSET(PO!N$12,ROW(C231)-ROW(C$12),0))</f>
        <v>APLICAÇÃO MANUAL DE PINTURA COM TINTA TEXTURIZADA ACRÍLICA EM PAREDES EXTERNAS DE CASAS, UMA COR. AF_03/2024</v>
      </c>
      <c r="D231" s="110" t="str">
        <f ca="1">IF(OFFSET(PO!O$12,ROW(D231)-ROW(D$12),0)=0,"",OFFSET(PO!O$12,ROW(D231)-ROW(D$12),0))</f>
        <v>M2</v>
      </c>
      <c r="E231" s="140">
        <f ca="1">IF($A231&lt;&gt;"Serviço",0,ROUND(SUMIF($F$9:$P$9,"&lt;&gt;",$F231:$P231),15-13*PO!$X$3))</f>
        <v>221.62</v>
      </c>
      <c r="F231" s="182">
        <f ca="1">OFFSET(PO!$P$12,ROW($E231)-ROW(F$12),0)</f>
        <v>221.62</v>
      </c>
      <c r="G231" s="182"/>
      <c r="H231" s="182"/>
      <c r="I231" s="182"/>
      <c r="J231" s="182"/>
      <c r="K231" s="182"/>
      <c r="L231" s="182"/>
      <c r="M231" s="182"/>
      <c r="N231" s="182"/>
      <c r="O231" s="182"/>
      <c r="U231" s="182"/>
    </row>
    <row r="232" spans="1:21" s="1" customFormat="1" ht="38.25" x14ac:dyDescent="0.2">
      <c r="A232" s="109" t="str">
        <f ca="1">OFFSET(PO!J$12,ROW(A232)-ROW($A$12),0)</f>
        <v>Serviço</v>
      </c>
      <c r="B232" s="111" t="str">
        <f ca="1">IF($A232=0,"",OFFSET(PO!K$12,ROW(B232)-ROW(B$12),0))</f>
        <v>1.21.4.</v>
      </c>
      <c r="C232" s="108" t="str">
        <f ca="1">IF(OFFSET(PO!N$12,ROW(C232)-ROW(C$12),0)=0,"",OFFSET(PO!N$12,ROW(C232)-ROW(C$12),0))</f>
        <v>APLICAÇÃO MANUAL DE PINTURA COM TINTA TEXTURIZADA ACRÍLICA EM PAREDES EXTERNAS DE CASAS, UMA COR. AF_03/2024</v>
      </c>
      <c r="D232" s="110" t="str">
        <f ca="1">IF(OFFSET(PO!O$12,ROW(D232)-ROW(D$12),0)=0,"",OFFSET(PO!O$12,ROW(D232)-ROW(D$12),0))</f>
        <v>M2</v>
      </c>
      <c r="E232" s="140">
        <f ca="1">IF($A232&lt;&gt;"Serviço",0,ROUND(SUMIF($F$9:$P$9,"&lt;&gt;",$F232:$P232),15-13*PO!$X$3))</f>
        <v>36.54</v>
      </c>
      <c r="F232" s="182">
        <f ca="1">OFFSET(PO!$P$12,ROW($E232)-ROW(F$12),0)</f>
        <v>36.54</v>
      </c>
      <c r="G232" s="182"/>
      <c r="H232" s="182"/>
      <c r="I232" s="182"/>
      <c r="J232" s="182"/>
      <c r="K232" s="182"/>
      <c r="L232" s="182"/>
      <c r="M232" s="182"/>
      <c r="N232" s="182"/>
      <c r="O232" s="182"/>
      <c r="U232" s="182"/>
    </row>
    <row r="233" spans="1:21" s="1" customFormat="1" ht="38.25" x14ac:dyDescent="0.2">
      <c r="A233" s="109" t="str">
        <f ca="1">OFFSET(PO!J$12,ROW(A233)-ROW($A$12),0)</f>
        <v>Serviço</v>
      </c>
      <c r="B233" s="111" t="str">
        <f ca="1">IF($A233=0,"",OFFSET(PO!K$12,ROW(B233)-ROW(B$12),0))</f>
        <v>1.21.5.</v>
      </c>
      <c r="C233" s="108" t="str">
        <f ca="1">IF(OFFSET(PO!N$12,ROW(C233)-ROW(C$12),0)=0,"",OFFSET(PO!N$12,ROW(C233)-ROW(C$12),0))</f>
        <v>APLICAÇÃO MANUAL DE PINTURA COM TINTA TEXTURIZADA ACRÍLICA EM PAREDES EXTERNAS DE CASAS, UMA COR. AF_03/2024</v>
      </c>
      <c r="D233" s="110" t="str">
        <f ca="1">IF(OFFSET(PO!O$12,ROW(D233)-ROW(D$12),0)=0,"",OFFSET(PO!O$12,ROW(D233)-ROW(D$12),0))</f>
        <v>M2</v>
      </c>
      <c r="E233" s="140">
        <f ca="1">IF($A233&lt;&gt;"Serviço",0,ROUND(SUMIF($F$9:$P$9,"&lt;&gt;",$F233:$P233),15-13*PO!$X$3))</f>
        <v>17.52</v>
      </c>
      <c r="F233" s="182">
        <f ca="1">OFFSET(PO!$P$12,ROW($E233)-ROW(F$12),0)</f>
        <v>17.52</v>
      </c>
      <c r="G233" s="182"/>
      <c r="H233" s="182"/>
      <c r="I233" s="182"/>
      <c r="J233" s="182"/>
      <c r="K233" s="182"/>
      <c r="L233" s="182"/>
      <c r="M233" s="182"/>
      <c r="N233" s="182"/>
      <c r="O233" s="182"/>
      <c r="U233" s="182"/>
    </row>
    <row r="234" spans="1:21" s="1" customFormat="1" ht="38.25" x14ac:dyDescent="0.2">
      <c r="A234" s="109" t="str">
        <f ca="1">OFFSET(PO!J$12,ROW(A234)-ROW($A$12),0)</f>
        <v>Serviço</v>
      </c>
      <c r="B234" s="111" t="str">
        <f ca="1">IF($A234=0,"",OFFSET(PO!K$12,ROW(B234)-ROW(B$12),0))</f>
        <v>1.21.6.</v>
      </c>
      <c r="C234" s="108" t="str">
        <f ca="1">IF(OFFSET(PO!N$12,ROW(C234)-ROW(C$12),0)=0,"",OFFSET(PO!N$12,ROW(C234)-ROW(C$12),0))</f>
        <v>APLICAÇÃO MANUAL DE PINTURA COM TINTA TEXTURIZADA ACRÍLICA EM PAREDES EXTERNAS DE CASAS, UMA COR. AF_03/2024</v>
      </c>
      <c r="D234" s="110" t="str">
        <f ca="1">IF(OFFSET(PO!O$12,ROW(D234)-ROW(D$12),0)=0,"",OFFSET(PO!O$12,ROW(D234)-ROW(D$12),0))</f>
        <v>M2</v>
      </c>
      <c r="E234" s="140">
        <f ca="1">IF($A234&lt;&gt;"Serviço",0,ROUND(SUMIF($F$9:$P$9,"&lt;&gt;",$F234:$P234),15-13*PO!$X$3))</f>
        <v>138.78</v>
      </c>
      <c r="F234" s="182">
        <f ca="1">OFFSET(PO!$P$12,ROW($E234)-ROW(F$12),0)</f>
        <v>138.78</v>
      </c>
      <c r="G234" s="182"/>
      <c r="H234" s="182"/>
      <c r="I234" s="182"/>
      <c r="J234" s="182"/>
      <c r="K234" s="182"/>
      <c r="L234" s="182"/>
      <c r="M234" s="182"/>
      <c r="N234" s="182"/>
      <c r="O234" s="182"/>
      <c r="U234" s="182"/>
    </row>
    <row r="235" spans="1:21" s="1" customFormat="1" ht="38.25" x14ac:dyDescent="0.2">
      <c r="A235" s="109" t="str">
        <f ca="1">OFFSET(PO!J$12,ROW(A235)-ROW($A$12),0)</f>
        <v>Serviço</v>
      </c>
      <c r="B235" s="111" t="str">
        <f ca="1">IF($A235=0,"",OFFSET(PO!K$12,ROW(B235)-ROW(B$12),0))</f>
        <v>1.21.7.</v>
      </c>
      <c r="C235" s="108" t="str">
        <f ca="1">IF(OFFSET(PO!N$12,ROW(C235)-ROW(C$12),0)=0,"",OFFSET(PO!N$12,ROW(C235)-ROW(C$12),0))</f>
        <v>APLICAÇÃO MANUAL DE PINTURA COM TINTA TEXTURIZADA ACRÍLICA EM PAREDES EXTERNAS DE CASAS, UMA COR. AF_03/2024</v>
      </c>
      <c r="D235" s="110" t="str">
        <f ca="1">IF(OFFSET(PO!O$12,ROW(D235)-ROW(D$12),0)=0,"",OFFSET(PO!O$12,ROW(D235)-ROW(D$12),0))</f>
        <v>M2</v>
      </c>
      <c r="E235" s="140">
        <f ca="1">IF($A235&lt;&gt;"Serviço",0,ROUND(SUMIF($F$9:$P$9,"&lt;&gt;",$F235:$P235),15-13*PO!$X$3))</f>
        <v>24.48</v>
      </c>
      <c r="F235" s="182">
        <f ca="1">OFFSET(PO!$P$12,ROW($E235)-ROW(F$12),0)</f>
        <v>24.48</v>
      </c>
      <c r="G235" s="182"/>
      <c r="H235" s="182"/>
      <c r="I235" s="182"/>
      <c r="J235" s="182"/>
      <c r="K235" s="182"/>
      <c r="L235" s="182"/>
      <c r="M235" s="182"/>
      <c r="N235" s="182"/>
      <c r="O235" s="182"/>
      <c r="U235" s="182"/>
    </row>
    <row r="236" spans="1:21" s="1" customFormat="1" ht="38.25" x14ac:dyDescent="0.2">
      <c r="A236" s="109" t="str">
        <f ca="1">OFFSET(PO!J$12,ROW(A236)-ROW($A$12),0)</f>
        <v>Serviço</v>
      </c>
      <c r="B236" s="111" t="str">
        <f ca="1">IF($A236=0,"",OFFSET(PO!K$12,ROW(B236)-ROW(B$12),0))</f>
        <v>1.21.8.</v>
      </c>
      <c r="C236" s="108" t="str">
        <f ca="1">IF(OFFSET(PO!N$12,ROW(C236)-ROW(C$12),0)=0,"",OFFSET(PO!N$12,ROW(C236)-ROW(C$12),0))</f>
        <v>APLICAÇÃO MANUAL DE PINTURA COM TINTA TEXTURIZADA ACRÍLICA EM PAREDES EXTERNAS DE CASAS, UMA COR. AF_03/2024</v>
      </c>
      <c r="D236" s="110" t="str">
        <f ca="1">IF(OFFSET(PO!O$12,ROW(D236)-ROW(D$12),0)=0,"",OFFSET(PO!O$12,ROW(D236)-ROW(D$12),0))</f>
        <v>M2</v>
      </c>
      <c r="E236" s="140">
        <f ca="1">IF($A236&lt;&gt;"Serviço",0,ROUND(SUMIF($F$9:$P$9,"&lt;&gt;",$F236:$P236),15-13*PO!$X$3))</f>
        <v>429.9</v>
      </c>
      <c r="F236" s="182">
        <f ca="1">OFFSET(PO!$P$12,ROW($E236)-ROW(F$12),0)</f>
        <v>429.9</v>
      </c>
      <c r="G236" s="182"/>
      <c r="H236" s="182"/>
      <c r="I236" s="182"/>
      <c r="J236" s="182"/>
      <c r="K236" s="182"/>
      <c r="L236" s="182"/>
      <c r="M236" s="182"/>
      <c r="N236" s="182"/>
      <c r="O236" s="182"/>
      <c r="U236" s="182"/>
    </row>
    <row r="237" spans="1:21" s="1" customFormat="1" x14ac:dyDescent="0.2">
      <c r="A237" s="109" t="str">
        <f ca="1">OFFSET(PO!J$12,ROW(A237)-ROW($A$12),0)</f>
        <v>Serviço</v>
      </c>
      <c r="B237" s="111" t="str">
        <f ca="1">IF($A237=0,"",OFFSET(PO!K$12,ROW(B237)-ROW(B$12),0))</f>
        <v>1.21.9.</v>
      </c>
      <c r="C237" s="108" t="str">
        <f ca="1">IF(OFFSET(PO!N$12,ROW(C237)-ROW(C$12),0)=0,"",OFFSET(PO!N$12,ROW(C237)-ROW(C$12),0))</f>
        <v>PINTURA IMUNIZANTE PARA MADEIRA, 1 DEMÃO. AF_01/2021</v>
      </c>
      <c r="D237" s="110" t="str">
        <f ca="1">IF(OFFSET(PO!O$12,ROW(D237)-ROW(D$12),0)=0,"",OFFSET(PO!O$12,ROW(D237)-ROW(D$12),0))</f>
        <v>M2</v>
      </c>
      <c r="E237" s="140">
        <f ca="1">IF($A237&lt;&gt;"Serviço",0,ROUND(SUMIF($F$9:$P$9,"&lt;&gt;",$F237:$P237),15-13*PO!$X$3))</f>
        <v>632.91</v>
      </c>
      <c r="F237" s="182">
        <f ca="1">OFFSET(PO!$P$12,ROW($E237)-ROW(F$12),0)</f>
        <v>632.91</v>
      </c>
      <c r="G237" s="182"/>
      <c r="H237" s="182"/>
      <c r="I237" s="182"/>
      <c r="J237" s="182"/>
      <c r="K237" s="182"/>
      <c r="L237" s="182"/>
      <c r="M237" s="182"/>
      <c r="N237" s="182"/>
      <c r="O237" s="182"/>
      <c r="U237" s="182"/>
    </row>
    <row r="238" spans="1:21" s="1" customFormat="1" ht="25.5" x14ac:dyDescent="0.2">
      <c r="A238" s="109" t="str">
        <f ca="1">OFFSET(PO!J$12,ROW(A238)-ROW($A$12),0)</f>
        <v>Serviço</v>
      </c>
      <c r="B238" s="111" t="str">
        <f ca="1">IF($A238=0,"",OFFSET(PO!K$12,ROW(B238)-ROW(B$12),0))</f>
        <v>1.21.10.</v>
      </c>
      <c r="C238" s="108" t="str">
        <f ca="1">IF(OFFSET(PO!N$12,ROW(C238)-ROW(C$12),0)=0,"",OFFSET(PO!N$12,ROW(C238)-ROW(C$12),0))</f>
        <v>PINTURA DE PISO COM TINTA ACRÍLICA, APLICAÇÃO MANUAL, 3 DEMÃOS, INCLUSO FUNDO PREPARADOR. AF_05/2021</v>
      </c>
      <c r="D238" s="110" t="str">
        <f ca="1">IF(OFFSET(PO!O$12,ROW(D238)-ROW(D$12),0)=0,"",OFFSET(PO!O$12,ROW(D238)-ROW(D$12),0))</f>
        <v>M2</v>
      </c>
      <c r="E238" s="140">
        <f ca="1">IF($A238&lt;&gt;"Serviço",0,ROUND(SUMIF($F$9:$P$9,"&lt;&gt;",$F238:$P238),15-13*PO!$X$3))</f>
        <v>167.09</v>
      </c>
      <c r="F238" s="182">
        <f ca="1">OFFSET(PO!$P$12,ROW($E238)-ROW(F$12),0)</f>
        <v>167.09</v>
      </c>
      <c r="G238" s="182"/>
      <c r="H238" s="182"/>
      <c r="I238" s="182"/>
      <c r="J238" s="182"/>
      <c r="K238" s="182"/>
      <c r="L238" s="182"/>
      <c r="M238" s="182"/>
      <c r="N238" s="182"/>
      <c r="O238" s="182"/>
      <c r="U238" s="182"/>
    </row>
    <row r="239" spans="1:21" s="1" customFormat="1" x14ac:dyDescent="0.2">
      <c r="A239" s="109" t="str">
        <f ca="1">OFFSET(PO!J$12,ROW(A239)-ROW($A$12),0)</f>
        <v>Nível 2</v>
      </c>
      <c r="B239" s="111" t="str">
        <f ca="1">IF($A239=0,"",OFFSET(PO!K$12,ROW(B239)-ROW(B$12),0))</f>
        <v>1.22.</v>
      </c>
      <c r="C239" s="108" t="str">
        <f ca="1">IF(OFFSET(PO!N$12,ROW(C239)-ROW(C$12),0)=0,"",OFFSET(PO!N$12,ROW(C239)-ROW(C$12),0))</f>
        <v>LOUÇAS E METAIS</v>
      </c>
      <c r="D239" s="110" t="str">
        <f ca="1">IF(OFFSET(PO!O$12,ROW(D239)-ROW(D$12),0)=0,"",OFFSET(PO!O$12,ROW(D239)-ROW(D$12),0))</f>
        <v/>
      </c>
      <c r="E239" s="140">
        <f ca="1">IF($A239&lt;&gt;"Serviço",0,ROUND(SUMIF($F$9:$P$9,"&lt;&gt;",$F239:$P239),15-13*PO!$X$3))</f>
        <v>0</v>
      </c>
      <c r="F239" s="182">
        <f ca="1">OFFSET(PO!$P$12,ROW($E239)-ROW(F$12),0)</f>
        <v>0</v>
      </c>
      <c r="G239" s="182"/>
      <c r="H239" s="182"/>
      <c r="I239" s="182"/>
      <c r="J239" s="182"/>
      <c r="K239" s="182"/>
      <c r="L239" s="182"/>
      <c r="M239" s="182"/>
      <c r="N239" s="182"/>
      <c r="O239" s="182"/>
      <c r="U239" s="182"/>
    </row>
    <row r="240" spans="1:21" s="1" customFormat="1" ht="51" x14ac:dyDescent="0.2">
      <c r="A240" s="109" t="str">
        <f ca="1">OFFSET(PO!J$12,ROW(A240)-ROW($A$12),0)</f>
        <v>Serviço</v>
      </c>
      <c r="B240" s="111" t="str">
        <f ca="1">IF($A240=0,"",OFFSET(PO!K$12,ROW(B240)-ROW(B$12),0))</f>
        <v>1.22.1.</v>
      </c>
      <c r="C240" s="108" t="str">
        <f ca="1">IF(OFFSET(PO!N$12,ROW(C240)-ROW(C$12),0)=0,"",OFFSET(PO!N$12,ROW(C240)-ROW(C$12),0))</f>
        <v>TANQUE DE LOUÇA BRANCA COM COLUNA, 30L OU EQUIVALENTE, INCLUSO SIFÃO FLEXÍVEL EM PVC, VÁLVULA PLÁSTICA E TORNEIRA DE PLÁSTICO - FORNECIMENTO E INSTALAÇÃO. AF_01/2020</v>
      </c>
      <c r="D240" s="110" t="str">
        <f ca="1">IF(OFFSET(PO!O$12,ROW(D240)-ROW(D$12),0)=0,"",OFFSET(PO!O$12,ROW(D240)-ROW(D$12),0))</f>
        <v>UN</v>
      </c>
      <c r="E240" s="140">
        <f ca="1">IF($A240&lt;&gt;"Serviço",0,ROUND(SUMIF($F$9:$P$9,"&lt;&gt;",$F240:$P240),15-13*PO!$X$3))</f>
        <v>1</v>
      </c>
      <c r="F240" s="182">
        <f ca="1">OFFSET(PO!$P$12,ROW($E240)-ROW(F$12),0)</f>
        <v>1</v>
      </c>
      <c r="G240" s="182"/>
      <c r="H240" s="182"/>
      <c r="I240" s="182"/>
      <c r="J240" s="182"/>
      <c r="K240" s="182"/>
      <c r="L240" s="182"/>
      <c r="M240" s="182"/>
      <c r="N240" s="182"/>
      <c r="O240" s="182"/>
      <c r="U240" s="182"/>
    </row>
    <row r="241" spans="1:21" s="1" customFormat="1" ht="63.75" x14ac:dyDescent="0.2">
      <c r="A241" s="109" t="str">
        <f ca="1">OFFSET(PO!J$12,ROW(A241)-ROW($A$12),0)</f>
        <v>Serviço</v>
      </c>
      <c r="B241" s="111" t="str">
        <f ca="1">IF($A241=0,"",OFFSET(PO!K$12,ROW(B241)-ROW(B$12),0))</f>
        <v>1.22.2.</v>
      </c>
      <c r="C241" s="108" t="str">
        <f ca="1">IF(OFFSET(PO!N$12,ROW(C241)-ROW(C$12),0)=0,"",OFFSET(PO!N$12,ROW(C241)-ROW(C$12),0))</f>
        <v>BANCADA GRANITO CINZA  450 X 60 CM, COM CUBA DE EMBUTIR DE AÇO, VÁLVULA AMERICANA EM METAL, SIFÃO FLEXÍVEL EM PVC, ENGATE FLEXÍVEL 30 CM, TORNEIRA CROMADA LONGA, DE PAREDE, 1/2" OU 3/4", P/ COZINHA, PADRÃO POPULAR - FORNEC. E INSTALAÇÃO. AF_01/2020</v>
      </c>
      <c r="D241" s="110" t="str">
        <f ca="1">IF(OFFSET(PO!O$12,ROW(D241)-ROW(D$12),0)=0,"",OFFSET(PO!O$12,ROW(D241)-ROW(D$12),0))</f>
        <v>UND</v>
      </c>
      <c r="E241" s="140">
        <f ca="1">IF($A241&lt;&gt;"Serviço",0,ROUND(SUMIF($F$9:$P$9,"&lt;&gt;",$F241:$P241),15-13*PO!$X$3))</f>
        <v>1</v>
      </c>
      <c r="F241" s="182">
        <f ca="1">OFFSET(PO!$P$12,ROW($E241)-ROW(F$12),0)</f>
        <v>1</v>
      </c>
      <c r="G241" s="182"/>
      <c r="H241" s="182"/>
      <c r="I241" s="182"/>
      <c r="J241" s="182"/>
      <c r="K241" s="182"/>
      <c r="L241" s="182"/>
      <c r="M241" s="182"/>
      <c r="N241" s="182"/>
      <c r="O241" s="182"/>
      <c r="U241" s="182"/>
    </row>
    <row r="242" spans="1:21" s="1" customFormat="1" ht="25.5" x14ac:dyDescent="0.2">
      <c r="A242" s="109" t="str">
        <f ca="1">OFFSET(PO!J$12,ROW(A242)-ROW($A$12),0)</f>
        <v>Serviço</v>
      </c>
      <c r="B242" s="111" t="str">
        <f ca="1">IF($A242=0,"",OFFSET(PO!K$12,ROW(B242)-ROW(B$12),0))</f>
        <v>1.22.3.</v>
      </c>
      <c r="C242" s="108" t="str">
        <f ca="1">IF(OFFSET(PO!N$12,ROW(C242)-ROW(C$12),0)=0,"",OFFSET(PO!N$12,ROW(C242)-ROW(C$12),0))</f>
        <v>VASO SANITÁRIO INFANTIL LOUÇA BRANCA - FORNECIMENTO E INSTALACAO. AF_01/2020</v>
      </c>
      <c r="D242" s="110" t="str">
        <f ca="1">IF(OFFSET(PO!O$12,ROW(D242)-ROW(D$12),0)=0,"",OFFSET(PO!O$12,ROW(D242)-ROW(D$12),0))</f>
        <v>UN</v>
      </c>
      <c r="E242" s="140">
        <f ca="1">IF($A242&lt;&gt;"Serviço",0,ROUND(SUMIF($F$9:$P$9,"&lt;&gt;",$F242:$P242),15-13*PO!$X$3))</f>
        <v>5</v>
      </c>
      <c r="F242" s="182">
        <f ca="1">OFFSET(PO!$P$12,ROW($E242)-ROW(F$12),0)</f>
        <v>5</v>
      </c>
      <c r="G242" s="182"/>
      <c r="H242" s="182"/>
      <c r="I242" s="182"/>
      <c r="J242" s="182"/>
      <c r="K242" s="182"/>
      <c r="L242" s="182"/>
      <c r="M242" s="182"/>
      <c r="N242" s="182"/>
      <c r="O242" s="182"/>
      <c r="U242" s="182"/>
    </row>
    <row r="243" spans="1:21" s="1" customFormat="1" ht="51" x14ac:dyDescent="0.2">
      <c r="A243" s="109" t="str">
        <f ca="1">OFFSET(PO!J$12,ROW(A243)-ROW($A$12),0)</f>
        <v>Serviço</v>
      </c>
      <c r="B243" s="111" t="str">
        <f ca="1">IF($A243=0,"",OFFSET(PO!K$12,ROW(B243)-ROW(B$12),0))</f>
        <v>1.22.4.</v>
      </c>
      <c r="C243" s="108" t="str">
        <f ca="1">IF(OFFSET(PO!N$12,ROW(C243)-ROW(C$12),0)=0,"",OFFSET(PO!N$12,ROW(C243)-ROW(C$12),0))</f>
        <v>VASO SANITÁRIO SIFONADO COM CAIXA ACOPLADA LOUÇA BRANCA - PADRÃO MÉDIO, INCLUSO ENGATE FLEXÍVEL EM METAL CROMADO, 1/2  X 40CM - FORNECIMENTO E INSTALAÇÃO. AF_01/2020</v>
      </c>
      <c r="D243" s="110" t="str">
        <f ca="1">IF(OFFSET(PO!O$12,ROW(D243)-ROW(D$12),0)=0,"",OFFSET(PO!O$12,ROW(D243)-ROW(D$12),0))</f>
        <v>UN</v>
      </c>
      <c r="E243" s="140">
        <f ca="1">IF($A243&lt;&gt;"Serviço",0,ROUND(SUMIF($F$9:$P$9,"&lt;&gt;",$F243:$P243),15-13*PO!$X$3))</f>
        <v>5</v>
      </c>
      <c r="F243" s="182">
        <f ca="1">OFFSET(PO!$P$12,ROW($E243)-ROW(F$12),0)</f>
        <v>5</v>
      </c>
      <c r="G243" s="182"/>
      <c r="H243" s="182"/>
      <c r="I243" s="182"/>
      <c r="J243" s="182"/>
      <c r="K243" s="182"/>
      <c r="L243" s="182"/>
      <c r="M243" s="182"/>
      <c r="N243" s="182"/>
      <c r="O243" s="182"/>
      <c r="U243" s="182"/>
    </row>
    <row r="244" spans="1:21" s="1" customFormat="1" ht="25.5" x14ac:dyDescent="0.2">
      <c r="A244" s="109" t="str">
        <f ca="1">OFFSET(PO!J$12,ROW(A244)-ROW($A$12),0)</f>
        <v>Serviço</v>
      </c>
      <c r="B244" s="111" t="str">
        <f ca="1">IF($A244=0,"",OFFSET(PO!K$12,ROW(B244)-ROW(B$12),0))</f>
        <v>1.22.5.</v>
      </c>
      <c r="C244" s="108" t="str">
        <f ca="1">IF(OFFSET(PO!N$12,ROW(C244)-ROW(C$12),0)=0,"",OFFSET(PO!N$12,ROW(C244)-ROW(C$12),0))</f>
        <v>PUXADOR PARA PCD, FIXADO NA PORTA - FORNECIMENTO E INSTALAÇÃO. AF_01/2020</v>
      </c>
      <c r="D244" s="110" t="str">
        <f ca="1">IF(OFFSET(PO!O$12,ROW(D244)-ROW(D$12),0)=0,"",OFFSET(PO!O$12,ROW(D244)-ROW(D$12),0))</f>
        <v>UN</v>
      </c>
      <c r="E244" s="140">
        <f ca="1">IF($A244&lt;&gt;"Serviço",0,ROUND(SUMIF($F$9:$P$9,"&lt;&gt;",$F244:$P244),15-13*PO!$X$3))</f>
        <v>2</v>
      </c>
      <c r="F244" s="182">
        <f ca="1">OFFSET(PO!$P$12,ROW($E244)-ROW(F$12),0)</f>
        <v>2</v>
      </c>
      <c r="G244" s="182"/>
      <c r="H244" s="182"/>
      <c r="I244" s="182"/>
      <c r="J244" s="182"/>
      <c r="K244" s="182"/>
      <c r="L244" s="182"/>
      <c r="M244" s="182"/>
      <c r="N244" s="182"/>
      <c r="O244" s="182"/>
      <c r="U244" s="182"/>
    </row>
    <row r="245" spans="1:21" s="1" customFormat="1" ht="38.25" x14ac:dyDescent="0.2">
      <c r="A245" s="109" t="str">
        <f ca="1">OFFSET(PO!J$12,ROW(A245)-ROW($A$12),0)</f>
        <v>Serviço</v>
      </c>
      <c r="B245" s="111" t="str">
        <f ca="1">IF($A245=0,"",OFFSET(PO!K$12,ROW(B245)-ROW(B$12),0))</f>
        <v>1.22.6.</v>
      </c>
      <c r="C245" s="108" t="str">
        <f ca="1">IF(OFFSET(PO!N$12,ROW(C245)-ROW(C$12),0)=0,"",OFFSET(PO!N$12,ROW(C245)-ROW(C$12),0))</f>
        <v>BARRA DE APOIO RETA, EM ACO INOX POLIDO, COMPRIMENTO 60CM, FIXADA NA PAREDE - FORNECIMENTO E INSTALAÇÃO. AF_01/2020</v>
      </c>
      <c r="D245" s="110" t="str">
        <f ca="1">IF(OFFSET(PO!O$12,ROW(D245)-ROW(D$12),0)=0,"",OFFSET(PO!O$12,ROW(D245)-ROW(D$12),0))</f>
        <v>UN</v>
      </c>
      <c r="E245" s="140">
        <f ca="1">IF($A245&lt;&gt;"Serviço",0,ROUND(SUMIF($F$9:$P$9,"&lt;&gt;",$F245:$P245),15-13*PO!$X$3))</f>
        <v>5</v>
      </c>
      <c r="F245" s="182">
        <f ca="1">OFFSET(PO!$P$12,ROW($E245)-ROW(F$12),0)</f>
        <v>5</v>
      </c>
      <c r="G245" s="182"/>
      <c r="H245" s="182"/>
      <c r="I245" s="182"/>
      <c r="J245" s="182"/>
      <c r="K245" s="182"/>
      <c r="L245" s="182"/>
      <c r="M245" s="182"/>
      <c r="N245" s="182"/>
      <c r="O245" s="182"/>
      <c r="U245" s="182"/>
    </row>
    <row r="246" spans="1:21" s="1" customFormat="1" ht="63.75" x14ac:dyDescent="0.2">
      <c r="A246" s="109" t="str">
        <f ca="1">OFFSET(PO!J$12,ROW(A246)-ROW($A$12),0)</f>
        <v>Serviço</v>
      </c>
      <c r="B246" s="111" t="str">
        <f ca="1">IF($A246=0,"",OFFSET(PO!K$12,ROW(B246)-ROW(B$12),0))</f>
        <v>1.22.7.</v>
      </c>
      <c r="C246" s="108" t="str">
        <f ca="1">IF(OFFSET(PO!N$12,ROW(C246)-ROW(C$12),0)=0,"",OFFSET(PO!N$12,ROW(C246)-ROW(C$12),0))</f>
        <v>LAVATÓRIO LOUÇA BRANCA SUSPENSO, 29,5 X 39CM OU EQUIVALENTE, PADRÃO POPULAR, INCLUSO SIFÃO FLEXÍVEL EM PVC, VÁLVULA E ENGATE FLEXÍVEL 30CM EM PLÁSTICO E TORNEIRA CROMADA DE MESA, PADRÃO POPULAR - FORNECIMENTO E INSTALAÇÃO. AF_01/2020</v>
      </c>
      <c r="D246" s="110" t="str">
        <f ca="1">IF(OFFSET(PO!O$12,ROW(D246)-ROW(D$12),0)=0,"",OFFSET(PO!O$12,ROW(D246)-ROW(D$12),0))</f>
        <v>UN</v>
      </c>
      <c r="E246" s="140">
        <f ca="1">IF($A246&lt;&gt;"Serviço",0,ROUND(SUMIF($F$9:$P$9,"&lt;&gt;",$F246:$P246),15-13*PO!$X$3))</f>
        <v>5</v>
      </c>
      <c r="F246" s="182">
        <f ca="1">OFFSET(PO!$P$12,ROW($E246)-ROW(F$12),0)</f>
        <v>5</v>
      </c>
      <c r="G246" s="182"/>
      <c r="H246" s="182"/>
      <c r="I246" s="182"/>
      <c r="J246" s="182"/>
      <c r="K246" s="182"/>
      <c r="L246" s="182"/>
      <c r="M246" s="182"/>
      <c r="N246" s="182"/>
      <c r="O246" s="182"/>
      <c r="U246" s="182"/>
    </row>
    <row r="247" spans="1:21" s="1" customFormat="1" ht="25.5" x14ac:dyDescent="0.2">
      <c r="A247" s="109" t="str">
        <f ca="1">OFFSET(PO!J$12,ROW(A247)-ROW($A$12),0)</f>
        <v>Serviço</v>
      </c>
      <c r="B247" s="111" t="str">
        <f ca="1">IF($A247=0,"",OFFSET(PO!K$12,ROW(B247)-ROW(B$12),0))</f>
        <v>1.22.8.</v>
      </c>
      <c r="C247" s="108" t="str">
        <f ca="1">IF(OFFSET(PO!N$12,ROW(C247)-ROW(C$12),0)=0,"",OFFSET(PO!N$12,ROW(C247)-ROW(C$12),0))</f>
        <v>ASSENTO SANITÁRIO CONVENCIONAL - FORNECIMENTO E INSTALACAO. AF_01/2020</v>
      </c>
      <c r="D247" s="110" t="str">
        <f ca="1">IF(OFFSET(PO!O$12,ROW(D247)-ROW(D$12),0)=0,"",OFFSET(PO!O$12,ROW(D247)-ROW(D$12),0))</f>
        <v>UN</v>
      </c>
      <c r="E247" s="140">
        <f ca="1">IF($A247&lt;&gt;"Serviço",0,ROUND(SUMIF($F$9:$P$9,"&lt;&gt;",$F247:$P247),15-13*PO!$X$3))</f>
        <v>5</v>
      </c>
      <c r="F247" s="182">
        <f ca="1">OFFSET(PO!$P$12,ROW($E247)-ROW(F$12),0)</f>
        <v>5</v>
      </c>
      <c r="G247" s="182"/>
      <c r="H247" s="182"/>
      <c r="I247" s="182"/>
      <c r="J247" s="182"/>
      <c r="K247" s="182"/>
      <c r="L247" s="182"/>
      <c r="M247" s="182"/>
      <c r="N247" s="182"/>
      <c r="O247" s="182"/>
      <c r="U247" s="182"/>
    </row>
    <row r="248" spans="1:21" s="1" customFormat="1" ht="25.5" x14ac:dyDescent="0.2">
      <c r="A248" s="109" t="str">
        <f ca="1">OFFSET(PO!J$12,ROW(A248)-ROW($A$12),0)</f>
        <v>Serviço</v>
      </c>
      <c r="B248" s="111" t="str">
        <f ca="1">IF($A248=0,"",OFFSET(PO!K$12,ROW(B248)-ROW(B$12),0))</f>
        <v>1.22.9.</v>
      </c>
      <c r="C248" s="108" t="str">
        <f ca="1">IF(OFFSET(PO!N$12,ROW(C248)-ROW(C$12),0)=0,"",OFFSET(PO!N$12,ROW(C248)-ROW(C$12),0))</f>
        <v>ASSENTO SANITÁRIO INFANTIL - FORNECIMENTO E INSTALACAO. AF_01/2020</v>
      </c>
      <c r="D248" s="110" t="str">
        <f ca="1">IF(OFFSET(PO!O$12,ROW(D248)-ROW(D$12),0)=0,"",OFFSET(PO!O$12,ROW(D248)-ROW(D$12),0))</f>
        <v>UN</v>
      </c>
      <c r="E248" s="140">
        <f ca="1">IF($A248&lt;&gt;"Serviço",0,ROUND(SUMIF($F$9:$P$9,"&lt;&gt;",$F248:$P248),15-13*PO!$X$3))</f>
        <v>5</v>
      </c>
      <c r="F248" s="182">
        <f ca="1">OFFSET(PO!$P$12,ROW($E248)-ROW(F$12),0)</f>
        <v>5</v>
      </c>
      <c r="G248" s="182"/>
      <c r="H248" s="182"/>
      <c r="I248" s="182"/>
      <c r="J248" s="182"/>
      <c r="K248" s="182"/>
      <c r="L248" s="182"/>
      <c r="M248" s="182"/>
      <c r="N248" s="182"/>
      <c r="O248" s="182"/>
      <c r="U248" s="182"/>
    </row>
    <row r="249" spans="1:21" s="1" customFormat="1" ht="38.25" x14ac:dyDescent="0.2">
      <c r="A249" s="109" t="str">
        <f ca="1">OFFSET(PO!J$12,ROW(A249)-ROW($A$12),0)</f>
        <v>Serviço</v>
      </c>
      <c r="B249" s="111" t="str">
        <f ca="1">IF($A249=0,"",OFFSET(PO!K$12,ROW(B249)-ROW(B$12),0))</f>
        <v>1.22.10.</v>
      </c>
      <c r="C249" s="108" t="str">
        <f ca="1">IF(OFFSET(PO!N$12,ROW(C249)-ROW(C$12),0)=0,"",OFFSET(PO!N$12,ROW(C249)-ROW(C$12),0))</f>
        <v>SABONETEIRA PLASTICA TIPO DISPENSER PARA SABONETE LIQUIDO COM RESERVATORIO 800 A 1500 ML, INCLUSO FIXAÇÃO. AF_01/2020</v>
      </c>
      <c r="D249" s="110" t="str">
        <f ca="1">IF(OFFSET(PO!O$12,ROW(D249)-ROW(D$12),0)=0,"",OFFSET(PO!O$12,ROW(D249)-ROW(D$12),0))</f>
        <v>UN</v>
      </c>
      <c r="E249" s="140">
        <f ca="1">IF($A249&lt;&gt;"Serviço",0,ROUND(SUMIF($F$9:$P$9,"&lt;&gt;",$F249:$P249),15-13*PO!$X$3))</f>
        <v>7</v>
      </c>
      <c r="F249" s="182">
        <f ca="1">OFFSET(PO!$P$12,ROW($E249)-ROW(F$12),0)</f>
        <v>7</v>
      </c>
      <c r="G249" s="182"/>
      <c r="H249" s="182"/>
      <c r="I249" s="182"/>
      <c r="J249" s="182"/>
      <c r="K249" s="182"/>
      <c r="L249" s="182"/>
      <c r="M249" s="182"/>
      <c r="N249" s="182"/>
      <c r="O249" s="182"/>
      <c r="U249" s="182"/>
    </row>
    <row r="250" spans="1:21" s="1" customFormat="1" ht="25.5" x14ac:dyDescent="0.2">
      <c r="A250" s="109" t="str">
        <f ca="1">OFFSET(PO!J$12,ROW(A250)-ROW($A$12),0)</f>
        <v>Serviço</v>
      </c>
      <c r="B250" s="111" t="str">
        <f ca="1">IF($A250=0,"",OFFSET(PO!K$12,ROW(B250)-ROW(B$12),0))</f>
        <v>1.22.11.</v>
      </c>
      <c r="C250" s="108" t="str">
        <f ca="1">IF(OFFSET(PO!N$12,ROW(C250)-ROW(C$12),0)=0,"",OFFSET(PO!N$12,ROW(C250)-ROW(C$12),0))</f>
        <v xml:space="preserve">PAPELEIRA PLASTICA TIPO DISPENSER PARA PAPEL HIGIENICO ROLAO, INCLUSO FIXAÇÃO.                                                                                                                                                                                                                                                                                                                                                                                                                                             </v>
      </c>
      <c r="D250" s="110" t="str">
        <f ca="1">IF(OFFSET(PO!O$12,ROW(D250)-ROW(D$12),0)=0,"",OFFSET(PO!O$12,ROW(D250)-ROW(D$12),0))</f>
        <v>UND</v>
      </c>
      <c r="E250" s="140">
        <f ca="1">IF($A250&lt;&gt;"Serviço",0,ROUND(SUMIF($F$9:$P$9,"&lt;&gt;",$F250:$P250),15-13*PO!$X$3))</f>
        <v>7</v>
      </c>
      <c r="F250" s="182">
        <f ca="1">OFFSET(PO!$P$12,ROW($E250)-ROW(F$12),0)</f>
        <v>7</v>
      </c>
      <c r="G250" s="182"/>
      <c r="H250" s="182"/>
      <c r="I250" s="182"/>
      <c r="J250" s="182"/>
      <c r="K250" s="182"/>
      <c r="L250" s="182"/>
      <c r="M250" s="182"/>
      <c r="N250" s="182"/>
      <c r="O250" s="182"/>
      <c r="U250" s="182"/>
    </row>
    <row r="251" spans="1:21" s="1" customFormat="1" ht="38.25" x14ac:dyDescent="0.2">
      <c r="A251" s="109" t="str">
        <f ca="1">OFFSET(PO!J$12,ROW(A251)-ROW($A$12),0)</f>
        <v>Serviço</v>
      </c>
      <c r="B251" s="111" t="str">
        <f ca="1">IF($A251=0,"",OFFSET(PO!K$12,ROW(B251)-ROW(B$12),0))</f>
        <v>1.22.12.</v>
      </c>
      <c r="C251" s="108" t="str">
        <f ca="1">IF(OFFSET(PO!N$12,ROW(C251)-ROW(C$12),0)=0,"",OFFSET(PO!N$12,ROW(C251)-ROW(C$12),0))</f>
        <v>BANCADA DE MÁRMORE BRANCO POLIDO, DE 1,50 X 0,60 M, PARA PIA DE COZINHA - FORNECIMENTO E INSTALAÇÃO. AF_01/2020</v>
      </c>
      <c r="D251" s="110" t="str">
        <f ca="1">IF(OFFSET(PO!O$12,ROW(D251)-ROW(D$12),0)=0,"",OFFSET(PO!O$12,ROW(D251)-ROW(D$12),0))</f>
        <v>UN</v>
      </c>
      <c r="E251" s="140">
        <f ca="1">IF($A251&lt;&gt;"Serviço",0,ROUND(SUMIF($F$9:$P$9,"&lt;&gt;",$F251:$P251),15-13*PO!$X$3))</f>
        <v>3.33</v>
      </c>
      <c r="F251" s="182">
        <f ca="1">OFFSET(PO!$P$12,ROW($E251)-ROW(F$12),0)</f>
        <v>3.33</v>
      </c>
      <c r="G251" s="182"/>
      <c r="H251" s="182"/>
      <c r="I251" s="182"/>
      <c r="J251" s="182"/>
      <c r="K251" s="182"/>
      <c r="L251" s="182"/>
      <c r="M251" s="182"/>
      <c r="N251" s="182"/>
      <c r="O251" s="182"/>
      <c r="U251" s="182"/>
    </row>
    <row r="252" spans="1:21" s="1" customFormat="1" ht="25.5" x14ac:dyDescent="0.2">
      <c r="A252" s="109" t="str">
        <f ca="1">OFFSET(PO!J$12,ROW(A252)-ROW($A$12),0)</f>
        <v>Serviço</v>
      </c>
      <c r="B252" s="111" t="str">
        <f ca="1">IF($A252=0,"",OFFSET(PO!K$12,ROW(B252)-ROW(B$12),0))</f>
        <v>1.22.13.</v>
      </c>
      <c r="C252" s="108" t="str">
        <f ca="1">IF(OFFSET(PO!N$12,ROW(C252)-ROW(C$12),0)=0,"",OFFSET(PO!N$12,ROW(C252)-ROW(C$12),0))</f>
        <v>BANCADA DE GRANITO CINZA POLIDO, DE 0,50 X 0,60 M, PARA LAVATÓRIO - FORNECIMENTO E INSTALAÇÃO. AF_01/2020</v>
      </c>
      <c r="D252" s="110" t="str">
        <f ca="1">IF(OFFSET(PO!O$12,ROW(D252)-ROW(D$12),0)=0,"",OFFSET(PO!O$12,ROW(D252)-ROW(D$12),0))</f>
        <v>UN</v>
      </c>
      <c r="E252" s="140">
        <f ca="1">IF($A252&lt;&gt;"Serviço",0,ROUND(SUMIF($F$9:$P$9,"&lt;&gt;",$F252:$P252),15-13*PO!$X$3))</f>
        <v>5</v>
      </c>
      <c r="F252" s="182">
        <f ca="1">OFFSET(PO!$P$12,ROW($E252)-ROW(F$12),0)</f>
        <v>5</v>
      </c>
      <c r="G252" s="182"/>
      <c r="H252" s="182"/>
      <c r="I252" s="182"/>
      <c r="J252" s="182"/>
      <c r="K252" s="182"/>
      <c r="L252" s="182"/>
      <c r="M252" s="182"/>
      <c r="N252" s="182"/>
      <c r="O252" s="182"/>
      <c r="U252" s="182"/>
    </row>
    <row r="253" spans="1:21" s="1" customFormat="1" ht="25.5" x14ac:dyDescent="0.2">
      <c r="A253" s="109" t="str">
        <f ca="1">OFFSET(PO!J$12,ROW(A253)-ROW($A$12),0)</f>
        <v>Serviço</v>
      </c>
      <c r="B253" s="111" t="str">
        <f ca="1">IF($A253=0,"",OFFSET(PO!K$12,ROW(B253)-ROW(B$12),0))</f>
        <v>1.22.14.</v>
      </c>
      <c r="C253" s="108" t="str">
        <f ca="1">IF(OFFSET(PO!N$12,ROW(C253)-ROW(C$12),0)=0,"",OFFSET(PO!N$12,ROW(C253)-ROW(C$12),0))</f>
        <v>DIVISÓRIA FIXA EM VIDRO TEMPERADO 10 MM, SEM ABERTURA. AF_01/2021_PS</v>
      </c>
      <c r="D253" s="110" t="str">
        <f ca="1">IF(OFFSET(PO!O$12,ROW(D253)-ROW(D$12),0)=0,"",OFFSET(PO!O$12,ROW(D253)-ROW(D$12),0))</f>
        <v>M2</v>
      </c>
      <c r="E253" s="140">
        <f ca="1">IF($A253&lt;&gt;"Serviço",0,ROUND(SUMIF($F$9:$P$9,"&lt;&gt;",$F253:$P253),15-13*PO!$X$3))</f>
        <v>18</v>
      </c>
      <c r="F253" s="182">
        <f ca="1">OFFSET(PO!$P$12,ROW($E253)-ROW(F$12),0)</f>
        <v>18</v>
      </c>
      <c r="G253" s="182"/>
      <c r="H253" s="182"/>
      <c r="I253" s="182"/>
      <c r="J253" s="182"/>
      <c r="K253" s="182"/>
      <c r="L253" s="182"/>
      <c r="M253" s="182"/>
      <c r="N253" s="182"/>
      <c r="O253" s="182"/>
      <c r="U253" s="182"/>
    </row>
    <row r="254" spans="1:21" s="1" customFormat="1" ht="25.5" x14ac:dyDescent="0.2">
      <c r="A254" s="109" t="str">
        <f ca="1">OFFSET(PO!J$12,ROW(A254)-ROW($A$12),0)</f>
        <v>Serviço</v>
      </c>
      <c r="B254" s="111" t="str">
        <f ca="1">IF($A254=0,"",OFFSET(PO!K$12,ROW(B254)-ROW(B$12),0))</f>
        <v>1.22.15.</v>
      </c>
      <c r="C254" s="108" t="str">
        <f ca="1">IF(OFFSET(PO!N$12,ROW(C254)-ROW(C$12),0)=0,"",OFFSET(PO!N$12,ROW(C254)-ROW(C$12),0))</f>
        <v>PORTA TOALHA BANHO EM METAL CROMADO, TIPO BARRA, INCLUSO FIXAÇÃO. AF_01/2020</v>
      </c>
      <c r="D254" s="110" t="str">
        <f ca="1">IF(OFFSET(PO!O$12,ROW(D254)-ROW(D$12),0)=0,"",OFFSET(PO!O$12,ROW(D254)-ROW(D$12),0))</f>
        <v>UN</v>
      </c>
      <c r="E254" s="140">
        <f ca="1">IF($A254&lt;&gt;"Serviço",0,ROUND(SUMIF($F$9:$P$9,"&lt;&gt;",$F254:$P254),15-13*PO!$X$3))</f>
        <v>6</v>
      </c>
      <c r="F254" s="182">
        <f ca="1">OFFSET(PO!$P$12,ROW($E254)-ROW(F$12),0)</f>
        <v>6</v>
      </c>
      <c r="G254" s="182"/>
      <c r="H254" s="182"/>
      <c r="I254" s="182"/>
      <c r="J254" s="182"/>
      <c r="K254" s="182"/>
      <c r="L254" s="182"/>
      <c r="M254" s="182"/>
      <c r="N254" s="182"/>
      <c r="O254" s="182"/>
      <c r="U254" s="182"/>
    </row>
    <row r="255" spans="1:21" s="1" customFormat="1" x14ac:dyDescent="0.2">
      <c r="A255" s="109" t="str">
        <f ca="1">OFFSET(PO!J$12,ROW(A255)-ROW($A$12),0)</f>
        <v>Serviço</v>
      </c>
      <c r="B255" s="111" t="str">
        <f ca="1">IF($A255=0,"",OFFSET(PO!K$12,ROW(B255)-ROW(B$12),0))</f>
        <v>1.22.16.</v>
      </c>
      <c r="C255" s="108" t="str">
        <f ca="1">IF(OFFSET(PO!N$12,ROW(C255)-ROW(C$12),0)=0,"",OFFSET(PO!N$12,ROW(C255)-ROW(C$12),0))</f>
        <v xml:space="preserve">ESPELHO CRISTAL E = 4 MM                                                                                                                                                                                                                                                                                                                                                                                                                                                                                  </v>
      </c>
      <c r="D255" s="110" t="str">
        <f ca="1">IF(OFFSET(PO!O$12,ROW(D255)-ROW(D$12),0)=0,"",OFFSET(PO!O$12,ROW(D255)-ROW(D$12),0))</f>
        <v xml:space="preserve">M2    </v>
      </c>
      <c r="E255" s="140">
        <f ca="1">IF($A255&lt;&gt;"Serviço",0,ROUND(SUMIF($F$9:$P$9,"&lt;&gt;",$F255:$P255),15-13*PO!$X$3))</f>
        <v>5.76</v>
      </c>
      <c r="F255" s="182">
        <f ca="1">OFFSET(PO!$P$12,ROW($E255)-ROW(F$12),0)</f>
        <v>5.76</v>
      </c>
      <c r="G255" s="182"/>
      <c r="H255" s="182"/>
      <c r="I255" s="182"/>
      <c r="J255" s="182"/>
      <c r="K255" s="182"/>
      <c r="L255" s="182"/>
      <c r="M255" s="182"/>
      <c r="N255" s="182"/>
      <c r="O255" s="182"/>
      <c r="U255" s="182"/>
    </row>
    <row r="256" spans="1:21" s="1" customFormat="1" x14ac:dyDescent="0.2">
      <c r="A256" s="109" t="str">
        <f ca="1">OFFSET(PO!J$12,ROW(A256)-ROW($A$12),0)</f>
        <v>Nível 2</v>
      </c>
      <c r="B256" s="111" t="str">
        <f ca="1">IF($A256=0,"",OFFSET(PO!K$12,ROW(B256)-ROW(B$12),0))</f>
        <v>1.23.</v>
      </c>
      <c r="C256" s="108" t="str">
        <f ca="1">IF(OFFSET(PO!N$12,ROW(C256)-ROW(C$12),0)=0,"",OFFSET(PO!N$12,ROW(C256)-ROW(C$12),0))</f>
        <v>SERVIÇOS FINAIS</v>
      </c>
      <c r="D256" s="110" t="str">
        <f ca="1">IF(OFFSET(PO!O$12,ROW(D256)-ROW(D$12),0)=0,"",OFFSET(PO!O$12,ROW(D256)-ROW(D$12),0))</f>
        <v/>
      </c>
      <c r="E256" s="140">
        <f ca="1">IF($A256&lt;&gt;"Serviço",0,ROUND(SUMIF($F$9:$P$9,"&lt;&gt;",$F256:$P256),15-13*PO!$X$3))</f>
        <v>0</v>
      </c>
      <c r="F256" s="182">
        <f ca="1">OFFSET(PO!$P$12,ROW($E256)-ROW(F$12),0)</f>
        <v>0</v>
      </c>
      <c r="G256" s="182"/>
      <c r="H256" s="182"/>
      <c r="I256" s="182"/>
      <c r="J256" s="182"/>
      <c r="K256" s="182"/>
      <c r="L256" s="182"/>
      <c r="M256" s="182"/>
      <c r="N256" s="182"/>
      <c r="O256" s="182"/>
      <c r="U256" s="182"/>
    </row>
    <row r="257" spans="1:21" s="1" customFormat="1" ht="25.5" x14ac:dyDescent="0.2">
      <c r="A257" s="109" t="str">
        <f ca="1">OFFSET(PO!J$12,ROW(A257)-ROW($A$12),0)</f>
        <v>Serviço</v>
      </c>
      <c r="B257" s="111" t="str">
        <f ca="1">IF($A257=0,"",OFFSET(PO!K$12,ROW(B257)-ROW(B$12),0))</f>
        <v>1.23.1.</v>
      </c>
      <c r="C257" s="108" t="str">
        <f ca="1">IF(OFFSET(PO!N$12,ROW(C257)-ROW(C$12),0)=0,"",OFFSET(PO!N$12,ROW(C257)-ROW(C$12),0))</f>
        <v>LIMPEZA DE SUPERFÍCIE COM JATO DE ALTA PRESSÃO. AF_04/2019</v>
      </c>
      <c r="D257" s="110" t="str">
        <f ca="1">IF(OFFSET(PO!O$12,ROW(D257)-ROW(D$12),0)=0,"",OFFSET(PO!O$12,ROW(D257)-ROW(D$12),0))</f>
        <v>M2</v>
      </c>
      <c r="E257" s="140">
        <f ca="1">IF($A257&lt;&gt;"Serviço",0,ROUND(SUMIF($F$9:$P$9,"&lt;&gt;",$F257:$P257),15-13*PO!$X$3))</f>
        <v>167.09</v>
      </c>
      <c r="F257" s="182">
        <f ca="1">OFFSET(PO!$P$12,ROW($E257)-ROW(F$12),0)</f>
        <v>167.09</v>
      </c>
      <c r="G257" s="182"/>
      <c r="H257" s="182"/>
      <c r="I257" s="182"/>
      <c r="J257" s="182"/>
      <c r="K257" s="182"/>
      <c r="L257" s="182"/>
      <c r="M257" s="182"/>
      <c r="N257" s="182"/>
      <c r="O257" s="182"/>
      <c r="U257" s="182"/>
    </row>
    <row r="258" spans="1:21" s="1" customFormat="1" ht="25.5" x14ac:dyDescent="0.2">
      <c r="A258" s="109" t="str">
        <f ca="1">OFFSET(PO!J$12,ROW(A258)-ROW($A$12),0)</f>
        <v>Serviço</v>
      </c>
      <c r="B258" s="111" t="str">
        <f ca="1">IF($A258=0,"",OFFSET(PO!K$12,ROW(B258)-ROW(B$12),0))</f>
        <v>1.23.2.</v>
      </c>
      <c r="C258" s="108" t="str">
        <f ca="1">IF(OFFSET(PO!N$12,ROW(C258)-ROW(C$12),0)=0,"",OFFSET(PO!N$12,ROW(C258)-ROW(C$12),0))</f>
        <v>LIMPEZA DE FORRO REMOVÍVEL COM PANO ÚMIDO. AF_04/2019</v>
      </c>
      <c r="D258" s="110" t="str">
        <f ca="1">IF(OFFSET(PO!O$12,ROW(D258)-ROW(D$12),0)=0,"",OFFSET(PO!O$12,ROW(D258)-ROW(D$12),0))</f>
        <v>M2</v>
      </c>
      <c r="E258" s="140">
        <f ca="1">IF($A258&lt;&gt;"Serviço",0,ROUND(SUMIF($F$9:$P$9,"&lt;&gt;",$F258:$P258),15-13*PO!$X$3))</f>
        <v>537.22</v>
      </c>
      <c r="F258" s="182">
        <f ca="1">OFFSET(PO!$P$12,ROW($E258)-ROW(F$12),0)</f>
        <v>537.22</v>
      </c>
      <c r="G258" s="182"/>
      <c r="H258" s="182"/>
      <c r="I258" s="182"/>
      <c r="J258" s="182"/>
      <c r="K258" s="182"/>
      <c r="L258" s="182"/>
      <c r="M258" s="182"/>
      <c r="N258" s="182"/>
      <c r="O258" s="182"/>
      <c r="U258" s="182"/>
    </row>
    <row r="259" spans="1:21" s="1" customFormat="1" ht="25.5" x14ac:dyDescent="0.2">
      <c r="A259" s="109" t="str">
        <f ca="1">OFFSET(PO!J$12,ROW(A259)-ROW($A$12),0)</f>
        <v>Serviço</v>
      </c>
      <c r="B259" s="111" t="str">
        <f ca="1">IF($A259=0,"",OFFSET(PO!K$12,ROW(B259)-ROW(B$12),0))</f>
        <v>1.23.3.</v>
      </c>
      <c r="C259" s="108" t="str">
        <f ca="1">IF(OFFSET(PO!N$12,ROW(C259)-ROW(C$12),0)=0,"",OFFSET(PO!N$12,ROW(C259)-ROW(C$12),0))</f>
        <v>LIMPEZA DE PISO CERÂMICO OU PORCELANATO UTILIZANDO DETERGENTE NEUTRO E ESCOVAÇÃO MANUAL. AF_04/2019</v>
      </c>
      <c r="D259" s="110" t="str">
        <f ca="1">IF(OFFSET(PO!O$12,ROW(D259)-ROW(D$12),0)=0,"",OFFSET(PO!O$12,ROW(D259)-ROW(D$12),0))</f>
        <v>M2</v>
      </c>
      <c r="E259" s="140">
        <f ca="1">IF($A259&lt;&gt;"Serviço",0,ROUND(SUMIF($F$9:$P$9,"&lt;&gt;",$F259:$P259),15-13*PO!$X$3))</f>
        <v>501.36</v>
      </c>
      <c r="F259" s="182">
        <f ca="1">OFFSET(PO!$P$12,ROW($E259)-ROW(F$12),0)</f>
        <v>501.36</v>
      </c>
      <c r="G259" s="182"/>
      <c r="H259" s="182"/>
      <c r="I259" s="182"/>
      <c r="J259" s="182"/>
      <c r="K259" s="182"/>
      <c r="L259" s="182"/>
      <c r="M259" s="182"/>
      <c r="N259" s="182"/>
      <c r="O259" s="182"/>
      <c r="U259" s="182"/>
    </row>
    <row r="260" spans="1:21" s="1" customFormat="1" ht="25.5" x14ac:dyDescent="0.2">
      <c r="A260" s="109" t="str">
        <f ca="1">OFFSET(PO!J$12,ROW(A260)-ROW($A$12),0)</f>
        <v>Serviço</v>
      </c>
      <c r="B260" s="111" t="str">
        <f ca="1">IF($A260=0,"",OFFSET(PO!K$12,ROW(B260)-ROW(B$12),0))</f>
        <v>1.23.4.</v>
      </c>
      <c r="C260" s="108" t="str">
        <f ca="1">IF(OFFSET(PO!N$12,ROW(C260)-ROW(C$12),0)=0,"",OFFSET(PO!N$12,ROW(C260)-ROW(C$12),0))</f>
        <v>LIMPEZA DE JANELA DE VIDRO COM CAIXILHO EM AÇO/ALUMÍNIO/PVC. AF_04/2019</v>
      </c>
      <c r="D260" s="110" t="str">
        <f ca="1">IF(OFFSET(PO!O$12,ROW(D260)-ROW(D$12),0)=0,"",OFFSET(PO!O$12,ROW(D260)-ROW(D$12),0))</f>
        <v>M2</v>
      </c>
      <c r="E260" s="140">
        <f ca="1">IF($A260&lt;&gt;"Serviço",0,ROUND(SUMIF($F$9:$P$9,"&lt;&gt;",$F260:$P260),15-13*PO!$X$3))</f>
        <v>65.48</v>
      </c>
      <c r="F260" s="182">
        <f ca="1">OFFSET(PO!$P$12,ROW($E260)-ROW(F$12),0)</f>
        <v>65.48</v>
      </c>
      <c r="G260" s="182"/>
      <c r="H260" s="182"/>
      <c r="I260" s="182"/>
      <c r="J260" s="182"/>
      <c r="K260" s="182"/>
      <c r="L260" s="182"/>
      <c r="M260" s="182"/>
      <c r="N260" s="182"/>
      <c r="O260" s="182"/>
      <c r="U260" s="182"/>
    </row>
    <row r="261" spans="1:21" s="1" customFormat="1" ht="25.5" x14ac:dyDescent="0.2">
      <c r="A261" s="109" t="str">
        <f ca="1">OFFSET(PO!J$12,ROW(A261)-ROW($A$12),0)</f>
        <v>Serviço</v>
      </c>
      <c r="B261" s="111" t="str">
        <f ca="1">IF($A261=0,"",OFFSET(PO!K$12,ROW(B261)-ROW(B$12),0))</f>
        <v>1.23.5.</v>
      </c>
      <c r="C261" s="108" t="str">
        <f ca="1">IF(OFFSET(PO!N$12,ROW(C261)-ROW(C$12),0)=0,"",OFFSET(PO!N$12,ROW(C261)-ROW(C$12),0))</f>
        <v>LIMPEZA DE LADRILHO HIDRÁULICO EM PAREDE COM PANO ÚMIDO. AF_04/2019</v>
      </c>
      <c r="D261" s="110" t="str">
        <f ca="1">IF(OFFSET(PO!O$12,ROW(D261)-ROW(D$12),0)=0,"",OFFSET(PO!O$12,ROW(D261)-ROW(D$12),0))</f>
        <v>M2</v>
      </c>
      <c r="E261" s="140">
        <f ca="1">IF($A261&lt;&gt;"Serviço",0,ROUND(SUMIF($F$9:$P$9,"&lt;&gt;",$F261:$P261),15-13*PO!$X$3))</f>
        <v>296.7</v>
      </c>
      <c r="F261" s="182">
        <f ca="1">OFFSET(PO!$P$12,ROW($E261)-ROW(F$12),0)</f>
        <v>296.70000000000005</v>
      </c>
      <c r="G261" s="182"/>
      <c r="H261" s="182"/>
      <c r="I261" s="182"/>
      <c r="J261" s="182"/>
      <c r="K261" s="182"/>
      <c r="L261" s="182"/>
      <c r="M261" s="182"/>
      <c r="N261" s="182"/>
      <c r="O261" s="182"/>
      <c r="U261" s="182"/>
    </row>
    <row r="262" spans="1:21" s="1" customFormat="1" ht="51" x14ac:dyDescent="0.2">
      <c r="A262" s="109" t="str">
        <f ca="1">OFFSET(PO!J$12,ROW(A262)-ROW($A$12),0)</f>
        <v>Serviço</v>
      </c>
      <c r="B262" s="111" t="str">
        <f ca="1">IF($A262=0,"",OFFSET(PO!K$12,ROW(B262)-ROW(B$12),0))</f>
        <v>1.23.6.</v>
      </c>
      <c r="C262" s="108" t="str">
        <f ca="1">IF(OFFSET(PO!N$12,ROW(C262)-ROW(C$12),0)=0,"",OFFSET(PO!N$12,ROW(C262)-ROW(C$12),0))</f>
        <v>CARGA, MANOBRA E DESCARGA DE ENTULHO EM CAMINHÃO BASCULANTE 14 M³ - CARGA COM ESCAVADEIRA HIDRÁULICA  (CAÇAMBA DE 0,80 M³ / 111 HP) E DESCARGA LIVRE (UNIDADE: M3). AF_07/2020</v>
      </c>
      <c r="D262" s="110" t="str">
        <f ca="1">IF(OFFSET(PO!O$12,ROW(D262)-ROW(D$12),0)=0,"",OFFSET(PO!O$12,ROW(D262)-ROW(D$12),0))</f>
        <v>M3</v>
      </c>
      <c r="E262" s="140">
        <f ca="1">IF($A262&lt;&gt;"Serviço",0,ROUND(SUMIF($F$9:$P$9,"&lt;&gt;",$F262:$P262),15-13*PO!$X$3))</f>
        <v>200</v>
      </c>
      <c r="F262" s="182">
        <f ca="1">OFFSET(PO!$P$12,ROW($E262)-ROW(F$12),0)</f>
        <v>200</v>
      </c>
      <c r="G262" s="182"/>
      <c r="H262" s="182"/>
      <c r="I262" s="182"/>
      <c r="J262" s="182"/>
      <c r="K262" s="182"/>
      <c r="L262" s="182"/>
      <c r="M262" s="182"/>
      <c r="N262" s="182"/>
      <c r="O262" s="182"/>
      <c r="U262" s="182"/>
    </row>
    <row r="263" spans="1:21" s="1" customFormat="1" ht="38.25" x14ac:dyDescent="0.2">
      <c r="A263" s="109" t="str">
        <f ca="1">OFFSET(PO!J$12,ROW(A263)-ROW($A$12),0)</f>
        <v>Serviço</v>
      </c>
      <c r="B263" s="111" t="str">
        <f ca="1">IF($A263=0,"",OFFSET(PO!K$12,ROW(B263)-ROW(B$12),0))</f>
        <v>1.23.7.</v>
      </c>
      <c r="C263" s="108" t="str">
        <f ca="1">IF(OFFSET(PO!N$12,ROW(C263)-ROW(C$12),0)=0,"",OFFSET(PO!N$12,ROW(C263)-ROW(C$12),0))</f>
        <v>TRANSPORTE COM CAMINHÃO BASCULANTE DE 10 M³, EM VIA URBANA PAVIMENTADA, DMT ATÉ 30 KM (UNIDADE: M3XKM). AF_07/2020</v>
      </c>
      <c r="D263" s="110" t="str">
        <f ca="1">IF(OFFSET(PO!O$12,ROW(D263)-ROW(D$12),0)=0,"",OFFSET(PO!O$12,ROW(D263)-ROW(D$12),0))</f>
        <v>M3XKM</v>
      </c>
      <c r="E263" s="140">
        <f ca="1">IF($A263&lt;&gt;"Serviço",0,ROUND(SUMIF($F$9:$P$9,"&lt;&gt;",$F263:$P263),15-13*PO!$X$3))</f>
        <v>800</v>
      </c>
      <c r="F263" s="182">
        <f ca="1">OFFSET(PO!$P$12,ROW($E263)-ROW(F$12),0)</f>
        <v>800</v>
      </c>
      <c r="G263" s="182"/>
      <c r="H263" s="182"/>
      <c r="I263" s="182"/>
      <c r="J263" s="182"/>
      <c r="K263" s="182"/>
      <c r="L263" s="182"/>
      <c r="M263" s="182"/>
      <c r="N263" s="182"/>
      <c r="O263" s="182"/>
      <c r="U263" s="182"/>
    </row>
    <row r="264" spans="1:21" s="1" customFormat="1" x14ac:dyDescent="0.2">
      <c r="A264" s="109" t="str">
        <f ca="1">OFFSET(PO!J$12,ROW(A264)-ROW($A$12),0)</f>
        <v>Serviço</v>
      </c>
      <c r="B264" s="111" t="str">
        <f ca="1">IF($A264=0,"",OFFSET(PO!K$12,ROW(B264)-ROW(B$12),0))</f>
        <v>1.23.8.</v>
      </c>
      <c r="C264" s="108" t="str">
        <f ca="1">IF(OFFSET(PO!N$12,ROW(C264)-ROW(C$12),0)=0,"",OFFSET(PO!N$12,ROW(C264)-ROW(C$12),0))</f>
        <v xml:space="preserve">PLACA DE INAUGURACAO EM BRONZE *35X 50*CM                                                                                                                                                                                                                                                                                                                                                                                                                                                                 </v>
      </c>
      <c r="D264" s="110" t="str">
        <f ca="1">IF(OFFSET(PO!O$12,ROW(D264)-ROW(D$12),0)=0,"",OFFSET(PO!O$12,ROW(D264)-ROW(D$12),0))</f>
        <v xml:space="preserve">UN    </v>
      </c>
      <c r="E264" s="140">
        <f ca="1">IF($A264&lt;&gt;"Serviço",0,ROUND(SUMIF($F$9:$P$9,"&lt;&gt;",$F264:$P264),15-13*PO!$X$3))</f>
        <v>1</v>
      </c>
      <c r="F264" s="182">
        <f ca="1">OFFSET(PO!$P$12,ROW($E264)-ROW(F$12),0)</f>
        <v>1</v>
      </c>
      <c r="G264" s="182"/>
      <c r="H264" s="182"/>
      <c r="I264" s="182"/>
      <c r="J264" s="182"/>
      <c r="K264" s="182"/>
      <c r="L264" s="182"/>
      <c r="M264" s="182"/>
      <c r="N264" s="182"/>
      <c r="O264" s="182"/>
      <c r="U264" s="182"/>
    </row>
    <row r="265" spans="1:21" s="1" customFormat="1" ht="38.25" x14ac:dyDescent="0.2">
      <c r="A265" s="109" t="str">
        <f ca="1">OFFSET(PO!J$12,ROW(A265)-ROW($A$12),0)</f>
        <v>Serviço</v>
      </c>
      <c r="B265" s="111" t="str">
        <f ca="1">IF($A265=0,"",OFFSET(PO!K$12,ROW(B265)-ROW(B$12),0))</f>
        <v>1.23.9.</v>
      </c>
      <c r="C265" s="108" t="str">
        <f ca="1">IF(OFFSET(PO!N$12,ROW(C265)-ROW(C$12),0)=0,"",OFFSET(PO!N$12,ROW(C265)-ROW(C$12),0))</f>
        <v>PEDRA ARGAMASSADA COM CIMENTO E AREIA 1:3, 40% DE ARGAMASSA EM VOLUME - AREIA E PEDRA DE MÃO COMERCIAIS - FORNECIMENTO E ASSENTAMENTO. AF_08/2022</v>
      </c>
      <c r="D265" s="110" t="str">
        <f ca="1">IF(OFFSET(PO!O$12,ROW(D265)-ROW(D$12),0)=0,"",OFFSET(PO!O$12,ROW(D265)-ROW(D$12),0))</f>
        <v>M3</v>
      </c>
      <c r="E265" s="140">
        <f ca="1">IF($A265&lt;&gt;"Serviço",0,ROUND(SUMIF($F$9:$P$9,"&lt;&gt;",$F265:$P265),15-13*PO!$X$3))</f>
        <v>0.47</v>
      </c>
      <c r="F265" s="182">
        <f ca="1">OFFSET(PO!$P$12,ROW($E265)-ROW(F$12),0)</f>
        <v>0.46799999999999997</v>
      </c>
      <c r="G265" s="182"/>
      <c r="H265" s="182"/>
      <c r="I265" s="182"/>
      <c r="J265" s="182"/>
      <c r="K265" s="182"/>
      <c r="L265" s="182"/>
      <c r="M265" s="182"/>
      <c r="N265" s="182"/>
      <c r="O265" s="182"/>
      <c r="U265" s="182"/>
    </row>
    <row r="266" spans="1:21" s="1" customFormat="1" ht="38.25" x14ac:dyDescent="0.2">
      <c r="A266" s="109" t="str">
        <f ca="1">OFFSET(PO!J$12,ROW(A266)-ROW($A$12),0)</f>
        <v>Serviço</v>
      </c>
      <c r="B266" s="111" t="str">
        <f ca="1">IF($A266=0,"",OFFSET(PO!K$12,ROW(B266)-ROW(B$12),0))</f>
        <v>1.23.10.</v>
      </c>
      <c r="C266" s="108" t="str">
        <f ca="1">IF(OFFSET(PO!N$12,ROW(C266)-ROW(C$12),0)=0,"",OFFSET(PO!N$12,ROW(C266)-ROW(C$12),0))</f>
        <v>PINTURA DE ALVENARIA EM PEDRA ARGAMASSADA COM TINTA EPÓXI, APLICAÇÃO MANUAL, 2 DEMÃOS, INCLUSÃO PRIMER EPÓXI. AF_05/2021</v>
      </c>
      <c r="D266" s="110" t="str">
        <f ca="1">IF(OFFSET(PO!O$12,ROW(D266)-ROW(D$12),0)=0,"",OFFSET(PO!O$12,ROW(D266)-ROW(D$12),0))</f>
        <v>M2</v>
      </c>
      <c r="E266" s="140">
        <f ca="1">IF($A266&lt;&gt;"Serviço",0,ROUND(SUMIF($F$9:$P$9,"&lt;&gt;",$F266:$P266),15-13*PO!$X$3))</f>
        <v>0.47</v>
      </c>
      <c r="F266" s="182">
        <f ca="1">OFFSET(PO!$P$12,ROW($E266)-ROW(F$12),0)</f>
        <v>0.46799999999999997</v>
      </c>
      <c r="G266" s="182"/>
      <c r="H266" s="182"/>
      <c r="I266" s="182"/>
      <c r="J266" s="182"/>
      <c r="K266" s="182"/>
      <c r="L266" s="182"/>
      <c r="M266" s="182"/>
      <c r="N266" s="182"/>
      <c r="O266" s="182"/>
      <c r="U266" s="182"/>
    </row>
    <row r="267" spans="1:21" s="1" customFormat="1" x14ac:dyDescent="0.2">
      <c r="A267" s="109" t="str">
        <f ca="1">OFFSET(PO!J$12,ROW(A267)-ROW($A$12),0)</f>
        <v>Serviço</v>
      </c>
      <c r="B267" s="111" t="str">
        <f ca="1">IF($A267=0,"",OFFSET(PO!K$12,ROW(B267)-ROW(B$12),0))</f>
        <v>1.23.11.</v>
      </c>
      <c r="C267" s="108" t="str">
        <f ca="1">IF(OFFSET(PO!N$12,ROW(C267)-ROW(C$12),0)=0,"",OFFSET(PO!N$12,ROW(C267)-ROW(C$12),0))</f>
        <v>PLANTIO DE GRAMA BATATAIS EM PLACAS. AF_07/2024</v>
      </c>
      <c r="D267" s="110" t="str">
        <f ca="1">IF(OFFSET(PO!O$12,ROW(D267)-ROW(D$12),0)=0,"",OFFSET(PO!O$12,ROW(D267)-ROW(D$12),0))</f>
        <v>M2</v>
      </c>
      <c r="E267" s="140">
        <f ca="1">IF($A267&lt;&gt;"Serviço",0,ROUND(SUMIF($F$9:$P$9,"&lt;&gt;",$F267:$P267),15-13*PO!$X$3))</f>
        <v>250</v>
      </c>
      <c r="F267" s="182">
        <f ca="1">OFFSET(PO!$P$12,ROW($E267)-ROW(F$12),0)</f>
        <v>250</v>
      </c>
      <c r="G267" s="182"/>
      <c r="H267" s="182"/>
      <c r="I267" s="182"/>
      <c r="J267" s="182"/>
      <c r="K267" s="182"/>
      <c r="L267" s="182"/>
      <c r="M267" s="182"/>
      <c r="N267" s="182"/>
      <c r="O267" s="182"/>
      <c r="U267" s="182"/>
    </row>
    <row r="268" spans="1:21" s="1" customFormat="1" x14ac:dyDescent="0.2">
      <c r="A268" s="109" t="str">
        <f ca="1">OFFSET(PO!J$12,ROW(A268)-ROW($A$12),0)</f>
        <v>Serviço</v>
      </c>
      <c r="B268" s="111" t="str">
        <f ca="1">IF($A268=0,"",OFFSET(PO!K$12,ROW(B268)-ROW(B$12),0))</f>
        <v>1.23.12.</v>
      </c>
      <c r="C268" s="108" t="str">
        <f ca="1">IF(OFFSET(PO!N$12,ROW(C268)-ROW(C$12),0)=0,"",OFFSET(PO!N$12,ROW(C268)-ROW(C$12),0))</f>
        <v>PLANTIO DE ARBUSTO OU  CERCA VIVA. AF_07/2024</v>
      </c>
      <c r="D268" s="110" t="str">
        <f ca="1">IF(OFFSET(PO!O$12,ROW(D268)-ROW(D$12),0)=0,"",OFFSET(PO!O$12,ROW(D268)-ROW(D$12),0))</f>
        <v>UN</v>
      </c>
      <c r="E268" s="140">
        <f ca="1">IF($A268&lt;&gt;"Serviço",0,ROUND(SUMIF($F$9:$P$9,"&lt;&gt;",$F268:$P268),15-13*PO!$X$3))</f>
        <v>32</v>
      </c>
      <c r="F268" s="182">
        <f ca="1">OFFSET(PO!$P$12,ROW($E268)-ROW(F$12),0)</f>
        <v>32</v>
      </c>
      <c r="G268" s="182"/>
      <c r="H268" s="182"/>
      <c r="I268" s="182"/>
      <c r="J268" s="182"/>
      <c r="K268" s="182"/>
      <c r="L268" s="182"/>
      <c r="M268" s="182"/>
      <c r="N268" s="182"/>
      <c r="O268" s="182"/>
      <c r="U268" s="182"/>
    </row>
    <row r="269" spans="1:21" s="1" customFormat="1" ht="25.5" x14ac:dyDescent="0.2">
      <c r="A269" s="109" t="str">
        <f ca="1">OFFSET(PO!J$12,ROW(A269)-ROW($A$12),0)</f>
        <v>Serviço</v>
      </c>
      <c r="B269" s="111" t="str">
        <f ca="1">IF($A269=0,"",OFFSET(PO!K$12,ROW(B269)-ROW(B$12),0))</f>
        <v>1.23.13.</v>
      </c>
      <c r="C269" s="108" t="str">
        <f ca="1">IF(OFFSET(PO!N$12,ROW(C269)-ROW(C$12),0)=0,"",OFFSET(PO!N$12,ROW(C269)-ROW(C$12),0))</f>
        <v>PLANTIO DE PALMEIRA COM ALTURA DE MUDA MENOR OU IGUAL A 2,00 M . AF_07/2024</v>
      </c>
      <c r="D269" s="110" t="str">
        <f ca="1">IF(OFFSET(PO!O$12,ROW(D269)-ROW(D$12),0)=0,"",OFFSET(PO!O$12,ROW(D269)-ROW(D$12),0))</f>
        <v>UN</v>
      </c>
      <c r="E269" s="140">
        <f ca="1">IF($A269&lt;&gt;"Serviço",0,ROUND(SUMIF($F$9:$P$9,"&lt;&gt;",$F269:$P269),15-13*PO!$X$3))</f>
        <v>7</v>
      </c>
      <c r="F269" s="182">
        <f ca="1">OFFSET(PO!$P$12,ROW($E269)-ROW(F$12),0)</f>
        <v>7</v>
      </c>
      <c r="G269" s="182"/>
      <c r="H269" s="182"/>
      <c r="I269" s="182"/>
      <c r="J269" s="182"/>
      <c r="K269" s="182"/>
      <c r="L269" s="182"/>
      <c r="M269" s="182"/>
      <c r="N269" s="182"/>
      <c r="O269" s="182"/>
      <c r="U269" s="182"/>
    </row>
    <row r="270" spans="1:21" s="1" customFormat="1" x14ac:dyDescent="0.2">
      <c r="A270" s="109" t="str">
        <f ca="1">OFFSET(PO!J$12,ROW(A270)-ROW($A$12),0)</f>
        <v>Nível 2</v>
      </c>
      <c r="B270" s="111" t="str">
        <f ca="1">IF($A270=0,"",OFFSET(PO!K$12,ROW(B270)-ROW(B$12),0))</f>
        <v>1.24.</v>
      </c>
      <c r="C270" s="108" t="str">
        <f ca="1">IF(OFFSET(PO!N$12,ROW(C270)-ROW(C$12),0)=0,"",OFFSET(PO!N$12,ROW(C270)-ROW(C$12),0))</f>
        <v>PREVENÇÃO CONTRA INCÊNDIO</v>
      </c>
      <c r="D270" s="110" t="str">
        <f ca="1">IF(OFFSET(PO!O$12,ROW(D270)-ROW(D$12),0)=0,"",OFFSET(PO!O$12,ROW(D270)-ROW(D$12),0))</f>
        <v/>
      </c>
      <c r="E270" s="140">
        <f ca="1">IF($A270&lt;&gt;"Serviço",0,ROUND(SUMIF($F$9:$P$9,"&lt;&gt;",$F270:$P270),15-13*PO!$X$3))</f>
        <v>0</v>
      </c>
      <c r="F270" s="182">
        <f ca="1">OFFSET(PO!$P$12,ROW($E270)-ROW(F$12),0)</f>
        <v>0</v>
      </c>
      <c r="G270" s="182"/>
      <c r="H270" s="182"/>
      <c r="I270" s="182"/>
      <c r="J270" s="182"/>
      <c r="K270" s="182"/>
      <c r="L270" s="182"/>
      <c r="M270" s="182"/>
      <c r="N270" s="182"/>
      <c r="O270" s="182"/>
      <c r="U270" s="182"/>
    </row>
    <row r="271" spans="1:21" s="1" customFormat="1" ht="38.25" x14ac:dyDescent="0.2">
      <c r="A271" s="109" t="str">
        <f ca="1">OFFSET(PO!J$12,ROW(A271)-ROW($A$12),0)</f>
        <v>Serviço</v>
      </c>
      <c r="B271" s="111" t="str">
        <f ca="1">IF($A271=0,"",OFFSET(PO!K$12,ROW(B271)-ROW(B$12),0))</f>
        <v>1.24.1.</v>
      </c>
      <c r="C271" s="108" t="str">
        <f ca="1">IF(OFFSET(PO!N$12,ROW(C271)-ROW(C$12),0)=0,"",OFFSET(PO!N$12,ROW(C271)-ROW(C$12),0))</f>
        <v>EXTINTOR DE INCÊNDIO PORTÁTIL COM CARGA DE PQS DE 4 KG, CLASSE BC - FORNECIMENTO E INSTALAÇÃO. AF_10/2020_PE</v>
      </c>
      <c r="D271" s="110" t="str">
        <f ca="1">IF(OFFSET(PO!O$12,ROW(D271)-ROW(D$12),0)=0,"",OFFSET(PO!O$12,ROW(D271)-ROW(D$12),0))</f>
        <v>UN</v>
      </c>
      <c r="E271" s="140">
        <f ca="1">IF($A271&lt;&gt;"Serviço",0,ROUND(SUMIF($F$9:$P$9,"&lt;&gt;",$F271:$P271),15-13*PO!$X$3))</f>
        <v>7</v>
      </c>
      <c r="F271" s="182">
        <f ca="1">OFFSET(PO!$P$12,ROW($E271)-ROW(F$12),0)</f>
        <v>7</v>
      </c>
      <c r="G271" s="182"/>
      <c r="H271" s="182"/>
      <c r="I271" s="182"/>
      <c r="J271" s="182"/>
      <c r="K271" s="182"/>
      <c r="L271" s="182"/>
      <c r="M271" s="182"/>
      <c r="N271" s="182"/>
      <c r="O271" s="182"/>
      <c r="U271" s="182"/>
    </row>
    <row r="272" spans="1:21" s="1" customFormat="1" ht="25.5" x14ac:dyDescent="0.2">
      <c r="A272" s="109" t="str">
        <f ca="1">OFFSET(PO!J$12,ROW(A272)-ROW($A$12),0)</f>
        <v>Serviço</v>
      </c>
      <c r="B272" s="111" t="str">
        <f ca="1">IF($A272=0,"",OFFSET(PO!K$12,ROW(B272)-ROW(B$12),0))</f>
        <v>1.24.2.</v>
      </c>
      <c r="C272" s="108" t="str">
        <f ca="1">IF(OFFSET(PO!N$12,ROW(C272)-ROW(C$12),0)=0,"",OFFSET(PO!N$12,ROW(C272)-ROW(C$12),0))</f>
        <v>LUMINÁRIA DE EMERGÊNCIA, COM 30 LÂMPADAS LED DE 2 W, SEM REATOR - FORNECIMENTO E INSTALAÇÃO. AF_09/2024</v>
      </c>
      <c r="D272" s="110" t="str">
        <f ca="1">IF(OFFSET(PO!O$12,ROW(D272)-ROW(D$12),0)=0,"",OFFSET(PO!O$12,ROW(D272)-ROW(D$12),0))</f>
        <v>UN</v>
      </c>
      <c r="E272" s="140">
        <f ca="1">IF($A272&lt;&gt;"Serviço",0,ROUND(SUMIF($F$9:$P$9,"&lt;&gt;",$F272:$P272),15-13*PO!$X$3))</f>
        <v>8</v>
      </c>
      <c r="F272" s="182">
        <f ca="1">OFFSET(PO!$P$12,ROW($E272)-ROW(F$12),0)</f>
        <v>8</v>
      </c>
      <c r="G272" s="182"/>
      <c r="H272" s="182"/>
      <c r="I272" s="182"/>
      <c r="J272" s="182"/>
      <c r="K272" s="182"/>
      <c r="L272" s="182"/>
      <c r="M272" s="182"/>
      <c r="N272" s="182"/>
      <c r="O272" s="182"/>
      <c r="U272" s="182"/>
    </row>
    <row r="273" spans="1:21" s="1" customFormat="1" ht="51" x14ac:dyDescent="0.2">
      <c r="A273" s="109" t="str">
        <f ca="1">OFFSET(PO!J$12,ROW(A273)-ROW($A$12),0)</f>
        <v>Serviço</v>
      </c>
      <c r="B273" s="111" t="str">
        <f ca="1">IF($A273=0,"",OFFSET(PO!K$12,ROW(B273)-ROW(B$12),0))</f>
        <v>1.24.3.</v>
      </c>
      <c r="C273" s="108" t="str">
        <f ca="1">IF(OFFSET(PO!N$12,ROW(C273)-ROW(C$12),0)=0,"",OFFSET(PO!N$12,ROW(C273)-ROW(C$12),0))</f>
        <v xml:space="preserve">PLACA DE SINALIZACAO DE SEGURANCA CONTRA INCENDIO, FOTOLUMINESCENTE, RETANGULAR, *20 X 40* CM, EM PVC *2* MM ANTI-CHAMAS (SIMBOLOS, CORES E PICTOGRAMAS CONFORME NBR 16820)                                                                                                                                                                                                                                                                                                                               </v>
      </c>
      <c r="D273" s="110" t="str">
        <f ca="1">IF(OFFSET(PO!O$12,ROW(D273)-ROW(D$12),0)=0,"",OFFSET(PO!O$12,ROW(D273)-ROW(D$12),0))</f>
        <v xml:space="preserve">UN    </v>
      </c>
      <c r="E273" s="140">
        <f ca="1">IF($A273&lt;&gt;"Serviço",0,ROUND(SUMIF($F$9:$P$9,"&lt;&gt;",$F273:$P273),15-13*PO!$X$3))</f>
        <v>15</v>
      </c>
      <c r="F273" s="182">
        <f ca="1">OFFSET(PO!$P$12,ROW($E273)-ROW(F$12),0)</f>
        <v>15</v>
      </c>
      <c r="G273" s="182"/>
      <c r="H273" s="182"/>
      <c r="I273" s="182"/>
      <c r="J273" s="182"/>
      <c r="K273" s="182"/>
      <c r="L273" s="182"/>
      <c r="M273" s="182"/>
      <c r="N273" s="182"/>
      <c r="O273" s="182"/>
      <c r="U273" s="182"/>
    </row>
    <row r="274" spans="1:21" s="1" customFormat="1" ht="51" x14ac:dyDescent="0.2">
      <c r="A274" s="109" t="str">
        <f ca="1">OFFSET(PO!J$12,ROW(A274)-ROW($A$12),0)</f>
        <v>Serviço</v>
      </c>
      <c r="B274" s="111" t="str">
        <f ca="1">IF($A274=0,"",OFFSET(PO!K$12,ROW(B274)-ROW(B$12),0))</f>
        <v>1.24.4.</v>
      </c>
      <c r="C274" s="108" t="str">
        <f ca="1">IF(OFFSET(PO!N$12,ROW(C274)-ROW(C$12),0)=0,"",OFFSET(PO!N$12,ROW(C274)-ROW(C$12),0))</f>
        <v xml:space="preserve">PLACA DE SINALIZACAO DE SEGURANCA CONTRA INCENDIO - ALERTA, TRIANGULAR, BASE DE *30* CM, EM PVC *2* MM ANTI-CHAMAS (SIMBOLOS, CORES E PICTOGRAMAS CONFORME NBR 16820)                                                                                                                                                                                                                                                                                                                                     </v>
      </c>
      <c r="D274" s="110" t="str">
        <f ca="1">IF(OFFSET(PO!O$12,ROW(D274)-ROW(D$12),0)=0,"",OFFSET(PO!O$12,ROW(D274)-ROW(D$12),0))</f>
        <v xml:space="preserve">UN    </v>
      </c>
      <c r="E274" s="140">
        <f ca="1">IF($A274&lt;&gt;"Serviço",0,ROUND(SUMIF($F$9:$P$9,"&lt;&gt;",$F274:$P274),15-13*PO!$X$3))</f>
        <v>2</v>
      </c>
      <c r="F274" s="182">
        <f ca="1">OFFSET(PO!$P$12,ROW($E274)-ROW(F$12),0)</f>
        <v>2</v>
      </c>
      <c r="G274" s="182"/>
      <c r="H274" s="182"/>
      <c r="I274" s="182"/>
      <c r="J274" s="182"/>
      <c r="K274" s="182"/>
      <c r="L274" s="182"/>
      <c r="M274" s="182"/>
      <c r="N274" s="182"/>
      <c r="O274" s="182"/>
      <c r="U274" s="182"/>
    </row>
    <row r="275" spans="1:21" s="1" customFormat="1" x14ac:dyDescent="0.2">
      <c r="A275" s="68"/>
      <c r="B275" s="68"/>
      <c r="C275" s="68"/>
      <c r="D275" s="68"/>
      <c r="E275" s="68"/>
      <c r="F275" s="68"/>
      <c r="G275" s="68"/>
      <c r="H275" s="68"/>
      <c r="I275" s="68"/>
      <c r="J275" s="68"/>
      <c r="K275" s="68"/>
      <c r="L275" s="68"/>
      <c r="M275" s="68"/>
      <c r="N275" s="68"/>
      <c r="O275" s="68"/>
      <c r="U275" s="68"/>
    </row>
    <row r="276" spans="1:21" s="1" customFormat="1" x14ac:dyDescent="0.2">
      <c r="B276" s="4"/>
      <c r="C276" s="10"/>
      <c r="D276" s="4"/>
      <c r="E276" s="12"/>
      <c r="F276" s="12"/>
      <c r="G276" s="12"/>
      <c r="H276" s="12"/>
      <c r="I276" s="12"/>
      <c r="J276" s="12"/>
      <c r="K276" s="12"/>
      <c r="L276" s="12"/>
      <c r="M276" s="12"/>
      <c r="N276" s="12"/>
      <c r="O276" s="12"/>
      <c r="U276" s="12"/>
    </row>
    <row r="277" spans="1:21" s="1" customFormat="1" x14ac:dyDescent="0.2">
      <c r="B277" s="331" t="str">
        <f>PO!$K$286</f>
        <v>FREDERICO WESTPHALEN/RS</v>
      </c>
      <c r="C277" s="331"/>
      <c r="D277" s="4"/>
      <c r="E277" s="12"/>
      <c r="F277" s="12"/>
      <c r="G277" s="12"/>
      <c r="H277" s="12"/>
      <c r="I277" s="12"/>
      <c r="J277" s="12"/>
      <c r="K277" s="12"/>
      <c r="L277" s="12"/>
      <c r="M277" s="12"/>
      <c r="N277" s="12"/>
      <c r="O277" s="12"/>
      <c r="U277" s="12"/>
    </row>
    <row r="278" spans="1:21" s="1" customFormat="1" x14ac:dyDescent="0.2">
      <c r="B278" s="97" t="s">
        <v>120</v>
      </c>
      <c r="C278" s="10"/>
      <c r="D278" s="4"/>
      <c r="E278" s="12"/>
      <c r="F278" s="12"/>
      <c r="G278" s="12"/>
      <c r="H278" s="12"/>
      <c r="I278" s="12"/>
      <c r="J278" s="12"/>
      <c r="K278" s="12"/>
      <c r="L278" s="12"/>
      <c r="M278" s="12"/>
      <c r="N278" s="12"/>
      <c r="O278" s="12"/>
      <c r="U278" s="12"/>
    </row>
    <row r="279" spans="1:21" s="1" customFormat="1" x14ac:dyDescent="0.2">
      <c r="B279" s="10"/>
      <c r="C279" s="10"/>
      <c r="D279" s="4"/>
      <c r="E279" s="12"/>
      <c r="F279" s="12"/>
      <c r="G279" s="12"/>
      <c r="H279" s="12"/>
      <c r="I279" s="12"/>
      <c r="J279" s="12"/>
      <c r="K279" s="12"/>
      <c r="L279" s="12"/>
      <c r="M279" s="12"/>
      <c r="N279" s="12"/>
      <c r="O279" s="12"/>
      <c r="U279" s="12"/>
    </row>
    <row r="280" spans="1:21" s="1" customFormat="1" x14ac:dyDescent="0.2">
      <c r="B280" s="332">
        <f ca="1">PO!$K$289</f>
        <v>45604</v>
      </c>
      <c r="C280" s="332"/>
      <c r="D280" s="4"/>
      <c r="E280" s="12"/>
      <c r="F280" s="12"/>
      <c r="G280" s="12"/>
      <c r="H280" s="12"/>
      <c r="I280" s="12"/>
      <c r="J280" s="12"/>
      <c r="K280" s="12"/>
      <c r="L280" s="12"/>
      <c r="M280" s="12"/>
      <c r="N280" s="12"/>
      <c r="O280" s="12"/>
      <c r="U280" s="12"/>
    </row>
    <row r="281" spans="1:21" s="1" customFormat="1" x14ac:dyDescent="0.2">
      <c r="B281" s="119" t="s">
        <v>121</v>
      </c>
      <c r="C281" s="120"/>
      <c r="D281" s="4"/>
      <c r="E281" s="12"/>
      <c r="F281" s="12"/>
      <c r="G281" s="12"/>
      <c r="H281" s="12"/>
      <c r="I281" s="12"/>
      <c r="J281" s="12"/>
      <c r="K281" s="12"/>
      <c r="L281" s="12"/>
      <c r="M281" s="12"/>
      <c r="N281" s="12"/>
      <c r="O281" s="12"/>
      <c r="U281" s="12"/>
    </row>
  </sheetData>
  <sheetProtection algorithmName="SHA-512" hashValue="WLQomsc24zrjFKMQ9cDm8PSFqAeA6yr2SxwX0ehVcWP81QFo0sYISdtm+/wY0n8ij7ish9qd6y4Wnze6AdfcLg==" saltValue="Y0KS07DQmSsNW/4BxXr8bQ==" spinCount="100000" sheet="1" objects="1" scenarios="1"/>
  <mergeCells count="2">
    <mergeCell ref="B277:C277"/>
    <mergeCell ref="B280:C280"/>
  </mergeCells>
  <phoneticPr fontId="25" type="noConversion"/>
  <conditionalFormatting sqref="D11:E11 D13:E13 D73:E73 D167:E169 D271:E274 D193:E193 D222:E222 D211:E213 D165:E165 D256:E257 D233:E237 D75:E75 D195:E207 D248:E253 D243:E246 D239:E241 D69:E70 D178:E184 D15:E22 D217:E220 D268:E269 D189:E189 D85:E93 D115:E124 D225:E228 D38:E38 D44:E67">
    <cfRule type="expression" dxfId="504" priority="1964" stopIfTrue="1">
      <formula>$A11="Meta"</formula>
    </cfRule>
    <cfRule type="expression" dxfId="503" priority="1965" stopIfTrue="1">
      <formula>$A11&lt;&gt;"Serviço"</formula>
    </cfRule>
  </conditionalFormatting>
  <conditionalFormatting sqref="C11 C13 C73 C167:C169 C271:C274 C193 C222 C211:C213 C165 C256:C257 C233:C237 C75 C195:C207 C248:C253 C243:C246 C239:C241 C69:C70 C178:C184 C15:C22 C217:C220 C268:C269 C189 C85:C93 C115:C124 C225:C228 C38 C44:C67">
    <cfRule type="expression" dxfId="502" priority="1966" stopIfTrue="1">
      <formula>$A11="Meta"</formula>
    </cfRule>
    <cfRule type="expression" dxfId="501" priority="1967" stopIfTrue="1">
      <formula>$A11&lt;&gt;"Serviço"</formula>
    </cfRule>
  </conditionalFormatting>
  <conditionalFormatting sqref="A11:B11 A13:B13 A73:B73 A167:B169 A271:B274 A193:B193 A222:B222 A211:B213 A165:B165 A256:B257 A233:B237 A75:B75 A195:B207 A248:B253 A243:B246 A239:B241 A69:B70 A178:B184 A15:B22 A217:B220 A268:B269 A189:B189 A85:B93 A115:B124 A225:B228 A38:B38 A44:B67">
    <cfRule type="expression" dxfId="500" priority="1968" stopIfTrue="1">
      <formula>$A11="Meta"</formula>
    </cfRule>
    <cfRule type="expression" dxfId="499" priority="1969" stopIfTrue="1">
      <formula>LEFT($A11,5)="Nível"</formula>
    </cfRule>
    <cfRule type="expression" dxfId="498" priority="1970" stopIfTrue="1">
      <formula>$A11=0</formula>
    </cfRule>
  </conditionalFormatting>
  <conditionalFormatting sqref="U11 U13 F13:O13 U15:U38 F15:O38 F44:O274 U44:U274">
    <cfRule type="expression" dxfId="497" priority="1980" stopIfTrue="1">
      <formula>$A11="Meta"</formula>
    </cfRule>
    <cfRule type="expression" dxfId="496" priority="1981" stopIfTrue="1">
      <formula>OR(F$9=0,$A11&lt;&gt;"Serviço")</formula>
    </cfRule>
    <cfRule type="expression" dxfId="495" priority="1982" stopIfTrue="1">
      <formula>TipoOrçamento="Licitado"</formula>
    </cfRule>
  </conditionalFormatting>
  <conditionalFormatting sqref="U9">
    <cfRule type="expression" dxfId="494" priority="1402" stopIfTrue="1">
      <formula>AND(T9=0,U9=0)</formula>
    </cfRule>
    <cfRule type="expression" dxfId="493" priority="1403" stopIfTrue="1">
      <formula>TipoOrçamento="Licitado"</formula>
    </cfRule>
  </conditionalFormatting>
  <conditionalFormatting sqref="F11:O11">
    <cfRule type="expression" dxfId="492" priority="1362" stopIfTrue="1">
      <formula>$A11="Meta"</formula>
    </cfRule>
    <cfRule type="expression" dxfId="491" priority="1363" stopIfTrue="1">
      <formula>OR(F$9=0,$A11&lt;&gt;"Serviço")</formula>
    </cfRule>
    <cfRule type="expression" dxfId="490" priority="1364" stopIfTrue="1">
      <formula>TipoOrçamento="Licitado"</formula>
    </cfRule>
  </conditionalFormatting>
  <conditionalFormatting sqref="F9:O9">
    <cfRule type="expression" dxfId="489" priority="1360" stopIfTrue="1">
      <formula>AND(E9=0,F9=0)</formula>
    </cfRule>
    <cfRule type="expression" dxfId="488" priority="1361" stopIfTrue="1">
      <formula>TipoOrçamento="Licitado"</formula>
    </cfRule>
  </conditionalFormatting>
  <conditionalFormatting sqref="D14:E14">
    <cfRule type="expression" dxfId="487" priority="1278" stopIfTrue="1">
      <formula>$A14="Meta"</formula>
    </cfRule>
    <cfRule type="expression" dxfId="486" priority="1279" stopIfTrue="1">
      <formula>$A14&lt;&gt;"Serviço"</formula>
    </cfRule>
  </conditionalFormatting>
  <conditionalFormatting sqref="C14">
    <cfRule type="expression" dxfId="485" priority="1280" stopIfTrue="1">
      <formula>$A14="Meta"</formula>
    </cfRule>
    <cfRule type="expression" dxfId="484" priority="1281" stopIfTrue="1">
      <formula>$A14&lt;&gt;"Serviço"</formula>
    </cfRule>
  </conditionalFormatting>
  <conditionalFormatting sqref="A14:B14">
    <cfRule type="expression" dxfId="483" priority="1282" stopIfTrue="1">
      <formula>$A14="Meta"</formula>
    </cfRule>
    <cfRule type="expression" dxfId="482" priority="1283" stopIfTrue="1">
      <formula>LEFT($A14,5)="Nível"</formula>
    </cfRule>
    <cfRule type="expression" dxfId="481" priority="1284" stopIfTrue="1">
      <formula>$A14=0</formula>
    </cfRule>
  </conditionalFormatting>
  <conditionalFormatting sqref="U14">
    <cfRule type="expression" dxfId="480" priority="1285" stopIfTrue="1">
      <formula>$A14="Meta"</formula>
    </cfRule>
    <cfRule type="expression" dxfId="479" priority="1286" stopIfTrue="1">
      <formula>OR(U$9=0,$A14&lt;&gt;"Serviço")</formula>
    </cfRule>
    <cfRule type="expression" dxfId="478" priority="1287" stopIfTrue="1">
      <formula>TipoOrçamento="Licitado"</formula>
    </cfRule>
  </conditionalFormatting>
  <conditionalFormatting sqref="F14:O14">
    <cfRule type="expression" dxfId="477" priority="1275" stopIfTrue="1">
      <formula>$A14="Meta"</formula>
    </cfRule>
    <cfRule type="expression" dxfId="476" priority="1276" stopIfTrue="1">
      <formula>OR(F$9=0,$A14&lt;&gt;"Serviço")</formula>
    </cfRule>
    <cfRule type="expression" dxfId="475" priority="1277" stopIfTrue="1">
      <formula>TipoOrçamento="Licitado"</formula>
    </cfRule>
  </conditionalFormatting>
  <conditionalFormatting sqref="D171:E171 D175:E175">
    <cfRule type="expression" dxfId="474" priority="1265" stopIfTrue="1">
      <formula>$A171="Meta"</formula>
    </cfRule>
    <cfRule type="expression" dxfId="473" priority="1266" stopIfTrue="1">
      <formula>$A171&lt;&gt;"Serviço"</formula>
    </cfRule>
  </conditionalFormatting>
  <conditionalFormatting sqref="C171 C175">
    <cfRule type="expression" dxfId="472" priority="1267" stopIfTrue="1">
      <formula>$A171="Meta"</formula>
    </cfRule>
    <cfRule type="expression" dxfId="471" priority="1268" stopIfTrue="1">
      <formula>$A171&lt;&gt;"Serviço"</formula>
    </cfRule>
  </conditionalFormatting>
  <conditionalFormatting sqref="A171:B171 A175:B175">
    <cfRule type="expression" dxfId="470" priority="1269" stopIfTrue="1">
      <formula>$A171="Meta"</formula>
    </cfRule>
    <cfRule type="expression" dxfId="469" priority="1270" stopIfTrue="1">
      <formula>LEFT($A171,5)="Nível"</formula>
    </cfRule>
    <cfRule type="expression" dxfId="468" priority="1271" stopIfTrue="1">
      <formula>$A171=0</formula>
    </cfRule>
  </conditionalFormatting>
  <conditionalFormatting sqref="D224:E224 D229:E230">
    <cfRule type="expression" dxfId="467" priority="1239" stopIfTrue="1">
      <formula>$A224="Meta"</formula>
    </cfRule>
    <cfRule type="expression" dxfId="466" priority="1240" stopIfTrue="1">
      <formula>$A224&lt;&gt;"Serviço"</formula>
    </cfRule>
  </conditionalFormatting>
  <conditionalFormatting sqref="C224 C229:C230">
    <cfRule type="expression" dxfId="465" priority="1241" stopIfTrue="1">
      <formula>$A224="Meta"</formula>
    </cfRule>
    <cfRule type="expression" dxfId="464" priority="1242" stopIfTrue="1">
      <formula>$A224&lt;&gt;"Serviço"</formula>
    </cfRule>
  </conditionalFormatting>
  <conditionalFormatting sqref="A224:B224 A229:B230">
    <cfRule type="expression" dxfId="463" priority="1243" stopIfTrue="1">
      <formula>$A224="Meta"</formula>
    </cfRule>
    <cfRule type="expression" dxfId="462" priority="1244" stopIfTrue="1">
      <formula>LEFT($A224,5)="Nível"</formula>
    </cfRule>
    <cfRule type="expression" dxfId="461" priority="1245" stopIfTrue="1">
      <formula>$A224=0</formula>
    </cfRule>
  </conditionalFormatting>
  <conditionalFormatting sqref="D176:E176">
    <cfRule type="expression" dxfId="460" priority="1109" stopIfTrue="1">
      <formula>$A176="Meta"</formula>
    </cfRule>
    <cfRule type="expression" dxfId="459" priority="1110" stopIfTrue="1">
      <formula>$A176&lt;&gt;"Serviço"</formula>
    </cfRule>
  </conditionalFormatting>
  <conditionalFormatting sqref="C176">
    <cfRule type="expression" dxfId="458" priority="1111" stopIfTrue="1">
      <formula>$A176="Meta"</formula>
    </cfRule>
    <cfRule type="expression" dxfId="457" priority="1112" stopIfTrue="1">
      <formula>$A176&lt;&gt;"Serviço"</formula>
    </cfRule>
  </conditionalFormatting>
  <conditionalFormatting sqref="A176:B176">
    <cfRule type="expression" dxfId="456" priority="1113" stopIfTrue="1">
      <formula>$A176="Meta"</formula>
    </cfRule>
    <cfRule type="expression" dxfId="455" priority="1114" stopIfTrue="1">
      <formula>LEFT($A176,5)="Nível"</formula>
    </cfRule>
    <cfRule type="expression" dxfId="454" priority="1115" stopIfTrue="1">
      <formula>$A176=0</formula>
    </cfRule>
  </conditionalFormatting>
  <conditionalFormatting sqref="D174:E174">
    <cfRule type="expression" dxfId="453" priority="1096" stopIfTrue="1">
      <formula>$A174="Meta"</formula>
    </cfRule>
    <cfRule type="expression" dxfId="452" priority="1097" stopIfTrue="1">
      <formula>$A174&lt;&gt;"Serviço"</formula>
    </cfRule>
  </conditionalFormatting>
  <conditionalFormatting sqref="C174">
    <cfRule type="expression" dxfId="451" priority="1098" stopIfTrue="1">
      <formula>$A174="Meta"</formula>
    </cfRule>
    <cfRule type="expression" dxfId="450" priority="1099" stopIfTrue="1">
      <formula>$A174&lt;&gt;"Serviço"</formula>
    </cfRule>
  </conditionalFormatting>
  <conditionalFormatting sqref="A174:B174">
    <cfRule type="expression" dxfId="449" priority="1100" stopIfTrue="1">
      <formula>$A174="Meta"</formula>
    </cfRule>
    <cfRule type="expression" dxfId="448" priority="1101" stopIfTrue="1">
      <formula>LEFT($A174,5)="Nível"</formula>
    </cfRule>
    <cfRule type="expression" dxfId="447" priority="1102" stopIfTrue="1">
      <formula>$A174=0</formula>
    </cfRule>
  </conditionalFormatting>
  <conditionalFormatting sqref="D170:E170">
    <cfRule type="expression" dxfId="446" priority="1057" stopIfTrue="1">
      <formula>$A170="Meta"</formula>
    </cfRule>
    <cfRule type="expression" dxfId="445" priority="1058" stopIfTrue="1">
      <formula>$A170&lt;&gt;"Serviço"</formula>
    </cfRule>
  </conditionalFormatting>
  <conditionalFormatting sqref="C170">
    <cfRule type="expression" dxfId="444" priority="1059" stopIfTrue="1">
      <formula>$A170="Meta"</formula>
    </cfRule>
    <cfRule type="expression" dxfId="443" priority="1060" stopIfTrue="1">
      <formula>$A170&lt;&gt;"Serviço"</formula>
    </cfRule>
  </conditionalFormatting>
  <conditionalFormatting sqref="A170:B170">
    <cfRule type="expression" dxfId="442" priority="1061" stopIfTrue="1">
      <formula>$A170="Meta"</formula>
    </cfRule>
    <cfRule type="expression" dxfId="441" priority="1062" stopIfTrue="1">
      <formula>LEFT($A170,5)="Nível"</formula>
    </cfRule>
    <cfRule type="expression" dxfId="440" priority="1063" stopIfTrue="1">
      <formula>$A170=0</formula>
    </cfRule>
  </conditionalFormatting>
  <conditionalFormatting sqref="D191:E192">
    <cfRule type="expression" dxfId="439" priority="979" stopIfTrue="1">
      <formula>$A191="Meta"</formula>
    </cfRule>
    <cfRule type="expression" dxfId="438" priority="980" stopIfTrue="1">
      <formula>$A191&lt;&gt;"Serviço"</formula>
    </cfRule>
  </conditionalFormatting>
  <conditionalFormatting sqref="C191:C192">
    <cfRule type="expression" dxfId="437" priority="981" stopIfTrue="1">
      <formula>$A191="Meta"</formula>
    </cfRule>
    <cfRule type="expression" dxfId="436" priority="982" stopIfTrue="1">
      <formula>$A191&lt;&gt;"Serviço"</formula>
    </cfRule>
  </conditionalFormatting>
  <conditionalFormatting sqref="A191:B192">
    <cfRule type="expression" dxfId="435" priority="983" stopIfTrue="1">
      <formula>$A191="Meta"</formula>
    </cfRule>
    <cfRule type="expression" dxfId="434" priority="984" stopIfTrue="1">
      <formula>LEFT($A191,5)="Nível"</formula>
    </cfRule>
    <cfRule type="expression" dxfId="433" priority="985" stopIfTrue="1">
      <formula>$A191=0</formula>
    </cfRule>
  </conditionalFormatting>
  <conditionalFormatting sqref="D208:E208">
    <cfRule type="expression" dxfId="432" priority="966" stopIfTrue="1">
      <formula>$A208="Meta"</formula>
    </cfRule>
    <cfRule type="expression" dxfId="431" priority="967" stopIfTrue="1">
      <formula>$A208&lt;&gt;"Serviço"</formula>
    </cfRule>
  </conditionalFormatting>
  <conditionalFormatting sqref="C208">
    <cfRule type="expression" dxfId="430" priority="968" stopIfTrue="1">
      <formula>$A208="Meta"</formula>
    </cfRule>
    <cfRule type="expression" dxfId="429" priority="969" stopIfTrue="1">
      <formula>$A208&lt;&gt;"Serviço"</formula>
    </cfRule>
  </conditionalFormatting>
  <conditionalFormatting sqref="A208:B208">
    <cfRule type="expression" dxfId="428" priority="970" stopIfTrue="1">
      <formula>$A208="Meta"</formula>
    </cfRule>
    <cfRule type="expression" dxfId="427" priority="971" stopIfTrue="1">
      <formula>LEFT($A208,5)="Nível"</formula>
    </cfRule>
    <cfRule type="expression" dxfId="426" priority="972" stopIfTrue="1">
      <formula>$A208=0</formula>
    </cfRule>
  </conditionalFormatting>
  <conditionalFormatting sqref="D190:E190">
    <cfRule type="expression" dxfId="425" priority="888" stopIfTrue="1">
      <formula>$A190="Meta"</formula>
    </cfRule>
    <cfRule type="expression" dxfId="424" priority="889" stopIfTrue="1">
      <formula>$A190&lt;&gt;"Serviço"</formula>
    </cfRule>
  </conditionalFormatting>
  <conditionalFormatting sqref="C190">
    <cfRule type="expression" dxfId="423" priority="890" stopIfTrue="1">
      <formula>$A190="Meta"</formula>
    </cfRule>
    <cfRule type="expression" dxfId="422" priority="891" stopIfTrue="1">
      <formula>$A190&lt;&gt;"Serviço"</formula>
    </cfRule>
  </conditionalFormatting>
  <conditionalFormatting sqref="A190:B190">
    <cfRule type="expression" dxfId="421" priority="892" stopIfTrue="1">
      <formula>$A190="Meta"</formula>
    </cfRule>
    <cfRule type="expression" dxfId="420" priority="893" stopIfTrue="1">
      <formula>LEFT($A190,5)="Nível"</formula>
    </cfRule>
    <cfRule type="expression" dxfId="419" priority="894" stopIfTrue="1">
      <formula>$A190=0</formula>
    </cfRule>
  </conditionalFormatting>
  <conditionalFormatting sqref="D194:E194">
    <cfRule type="expression" dxfId="418" priority="849" stopIfTrue="1">
      <formula>$A194="Meta"</formula>
    </cfRule>
    <cfRule type="expression" dxfId="417" priority="850" stopIfTrue="1">
      <formula>$A194&lt;&gt;"Serviço"</formula>
    </cfRule>
  </conditionalFormatting>
  <conditionalFormatting sqref="C194">
    <cfRule type="expression" dxfId="416" priority="851" stopIfTrue="1">
      <formula>$A194="Meta"</formula>
    </cfRule>
    <cfRule type="expression" dxfId="415" priority="852" stopIfTrue="1">
      <formula>$A194&lt;&gt;"Serviço"</formula>
    </cfRule>
  </conditionalFormatting>
  <conditionalFormatting sqref="A194:B194">
    <cfRule type="expression" dxfId="414" priority="853" stopIfTrue="1">
      <formula>$A194="Meta"</formula>
    </cfRule>
    <cfRule type="expression" dxfId="413" priority="854" stopIfTrue="1">
      <formula>LEFT($A194,5)="Nível"</formula>
    </cfRule>
    <cfRule type="expression" dxfId="412" priority="855" stopIfTrue="1">
      <formula>$A194=0</formula>
    </cfRule>
  </conditionalFormatting>
  <conditionalFormatting sqref="D166:E166">
    <cfRule type="expression" dxfId="411" priority="836" stopIfTrue="1">
      <formula>$A166="Meta"</formula>
    </cfRule>
    <cfRule type="expression" dxfId="410" priority="837" stopIfTrue="1">
      <formula>$A166&lt;&gt;"Serviço"</formula>
    </cfRule>
  </conditionalFormatting>
  <conditionalFormatting sqref="C166">
    <cfRule type="expression" dxfId="409" priority="838" stopIfTrue="1">
      <formula>$A166="Meta"</formula>
    </cfRule>
    <cfRule type="expression" dxfId="408" priority="839" stopIfTrue="1">
      <formula>$A166&lt;&gt;"Serviço"</formula>
    </cfRule>
  </conditionalFormatting>
  <conditionalFormatting sqref="A166:B166">
    <cfRule type="expression" dxfId="407" priority="840" stopIfTrue="1">
      <formula>$A166="Meta"</formula>
    </cfRule>
    <cfRule type="expression" dxfId="406" priority="841" stopIfTrue="1">
      <formula>LEFT($A166,5)="Nível"</formula>
    </cfRule>
    <cfRule type="expression" dxfId="405" priority="842" stopIfTrue="1">
      <formula>$A166=0</formula>
    </cfRule>
  </conditionalFormatting>
  <conditionalFormatting sqref="D270:E270">
    <cfRule type="expression" dxfId="404" priority="823" stopIfTrue="1">
      <formula>$A270="Meta"</formula>
    </cfRule>
    <cfRule type="expression" dxfId="403" priority="824" stopIfTrue="1">
      <formula>$A270&lt;&gt;"Serviço"</formula>
    </cfRule>
  </conditionalFormatting>
  <conditionalFormatting sqref="C270">
    <cfRule type="expression" dxfId="402" priority="825" stopIfTrue="1">
      <formula>$A270="Meta"</formula>
    </cfRule>
    <cfRule type="expression" dxfId="401" priority="826" stopIfTrue="1">
      <formula>$A270&lt;&gt;"Serviço"</formula>
    </cfRule>
  </conditionalFormatting>
  <conditionalFormatting sqref="A270:B270">
    <cfRule type="expression" dxfId="400" priority="827" stopIfTrue="1">
      <formula>$A270="Meta"</formula>
    </cfRule>
    <cfRule type="expression" dxfId="399" priority="828" stopIfTrue="1">
      <formula>LEFT($A270,5)="Nível"</formula>
    </cfRule>
    <cfRule type="expression" dxfId="398" priority="829" stopIfTrue="1">
      <formula>$A270=0</formula>
    </cfRule>
  </conditionalFormatting>
  <conditionalFormatting sqref="D258:E261 D267:E267">
    <cfRule type="expression" dxfId="397" priority="810" stopIfTrue="1">
      <formula>$A258="Meta"</formula>
    </cfRule>
    <cfRule type="expression" dxfId="396" priority="811" stopIfTrue="1">
      <formula>$A258&lt;&gt;"Serviço"</formula>
    </cfRule>
  </conditionalFormatting>
  <conditionalFormatting sqref="C258:C261 C267">
    <cfRule type="expression" dxfId="395" priority="812" stopIfTrue="1">
      <formula>$A258="Meta"</formula>
    </cfRule>
    <cfRule type="expression" dxfId="394" priority="813" stopIfTrue="1">
      <formula>$A258&lt;&gt;"Serviço"</formula>
    </cfRule>
  </conditionalFormatting>
  <conditionalFormatting sqref="A258:B261 A267:B267">
    <cfRule type="expression" dxfId="393" priority="814" stopIfTrue="1">
      <formula>$A258="Meta"</formula>
    </cfRule>
    <cfRule type="expression" dxfId="392" priority="815" stopIfTrue="1">
      <formula>LEFT($A258,5)="Nível"</formula>
    </cfRule>
    <cfRule type="expression" dxfId="391" priority="816" stopIfTrue="1">
      <formula>$A258=0</formula>
    </cfRule>
  </conditionalFormatting>
  <conditionalFormatting sqref="D231:E232">
    <cfRule type="expression" dxfId="390" priority="771" stopIfTrue="1">
      <formula>$A231="Meta"</formula>
    </cfRule>
    <cfRule type="expression" dxfId="389" priority="772" stopIfTrue="1">
      <formula>$A231&lt;&gt;"Serviço"</formula>
    </cfRule>
  </conditionalFormatting>
  <conditionalFormatting sqref="C231:C232">
    <cfRule type="expression" dxfId="388" priority="773" stopIfTrue="1">
      <formula>$A231="Meta"</formula>
    </cfRule>
    <cfRule type="expression" dxfId="387" priority="774" stopIfTrue="1">
      <formula>$A231&lt;&gt;"Serviço"</formula>
    </cfRule>
  </conditionalFormatting>
  <conditionalFormatting sqref="A231:B232">
    <cfRule type="expression" dxfId="386" priority="775" stopIfTrue="1">
      <formula>$A231="Meta"</formula>
    </cfRule>
    <cfRule type="expression" dxfId="385" priority="776" stopIfTrue="1">
      <formula>LEFT($A231,5)="Nível"</formula>
    </cfRule>
    <cfRule type="expression" dxfId="384" priority="777" stopIfTrue="1">
      <formula>$A231=0</formula>
    </cfRule>
  </conditionalFormatting>
  <conditionalFormatting sqref="D71:E71">
    <cfRule type="expression" dxfId="383" priority="719" stopIfTrue="1">
      <formula>$A71="Meta"</formula>
    </cfRule>
    <cfRule type="expression" dxfId="382" priority="720" stopIfTrue="1">
      <formula>$A71&lt;&gt;"Serviço"</formula>
    </cfRule>
  </conditionalFormatting>
  <conditionalFormatting sqref="C71">
    <cfRule type="expression" dxfId="381" priority="721" stopIfTrue="1">
      <formula>$A71="Meta"</formula>
    </cfRule>
    <cfRule type="expression" dxfId="380" priority="722" stopIfTrue="1">
      <formula>$A71&lt;&gt;"Serviço"</formula>
    </cfRule>
  </conditionalFormatting>
  <conditionalFormatting sqref="A71:B71">
    <cfRule type="expression" dxfId="379" priority="723" stopIfTrue="1">
      <formula>$A71="Meta"</formula>
    </cfRule>
    <cfRule type="expression" dxfId="378" priority="724" stopIfTrue="1">
      <formula>LEFT($A71,5)="Nível"</formula>
    </cfRule>
    <cfRule type="expression" dxfId="377" priority="725" stopIfTrue="1">
      <formula>$A71=0</formula>
    </cfRule>
  </conditionalFormatting>
  <conditionalFormatting sqref="D94:E95 D155:E155 D141:E142 D144:E148">
    <cfRule type="expression" dxfId="376" priority="706" stopIfTrue="1">
      <formula>$A94="Meta"</formula>
    </cfRule>
    <cfRule type="expression" dxfId="375" priority="707" stopIfTrue="1">
      <formula>$A94&lt;&gt;"Serviço"</formula>
    </cfRule>
  </conditionalFormatting>
  <conditionalFormatting sqref="C94:C95 C155 C141:C142 C144:C148">
    <cfRule type="expression" dxfId="374" priority="708" stopIfTrue="1">
      <formula>$A94="Meta"</formula>
    </cfRule>
    <cfRule type="expression" dxfId="373" priority="709" stopIfTrue="1">
      <formula>$A94&lt;&gt;"Serviço"</formula>
    </cfRule>
  </conditionalFormatting>
  <conditionalFormatting sqref="A94:B95 A155:B155 A141:B142 A144:B148">
    <cfRule type="expression" dxfId="372" priority="710" stopIfTrue="1">
      <formula>$A94="Meta"</formula>
    </cfRule>
    <cfRule type="expression" dxfId="371" priority="711" stopIfTrue="1">
      <formula>LEFT($A94,5)="Nível"</formula>
    </cfRule>
    <cfRule type="expression" dxfId="370" priority="712" stopIfTrue="1">
      <formula>$A94=0</formula>
    </cfRule>
  </conditionalFormatting>
  <conditionalFormatting sqref="D172:E172">
    <cfRule type="expression" dxfId="369" priority="693" stopIfTrue="1">
      <formula>$A172="Meta"</formula>
    </cfRule>
    <cfRule type="expression" dxfId="368" priority="694" stopIfTrue="1">
      <formula>$A172&lt;&gt;"Serviço"</formula>
    </cfRule>
  </conditionalFormatting>
  <conditionalFormatting sqref="C172">
    <cfRule type="expression" dxfId="367" priority="695" stopIfTrue="1">
      <formula>$A172="Meta"</formula>
    </cfRule>
    <cfRule type="expression" dxfId="366" priority="696" stopIfTrue="1">
      <formula>$A172&lt;&gt;"Serviço"</formula>
    </cfRule>
  </conditionalFormatting>
  <conditionalFormatting sqref="A172:B172">
    <cfRule type="expression" dxfId="365" priority="697" stopIfTrue="1">
      <formula>$A172="Meta"</formula>
    </cfRule>
    <cfRule type="expression" dxfId="364" priority="698" stopIfTrue="1">
      <formula>LEFT($A172,5)="Nível"</formula>
    </cfRule>
    <cfRule type="expression" dxfId="363" priority="699" stopIfTrue="1">
      <formula>$A172=0</formula>
    </cfRule>
  </conditionalFormatting>
  <conditionalFormatting sqref="D177:E177">
    <cfRule type="expression" dxfId="362" priority="680" stopIfTrue="1">
      <formula>$A177="Meta"</formula>
    </cfRule>
    <cfRule type="expression" dxfId="361" priority="681" stopIfTrue="1">
      <formula>$A177&lt;&gt;"Serviço"</formula>
    </cfRule>
  </conditionalFormatting>
  <conditionalFormatting sqref="C177">
    <cfRule type="expression" dxfId="360" priority="682" stopIfTrue="1">
      <formula>$A177="Meta"</formula>
    </cfRule>
    <cfRule type="expression" dxfId="359" priority="683" stopIfTrue="1">
      <formula>$A177&lt;&gt;"Serviço"</formula>
    </cfRule>
  </conditionalFormatting>
  <conditionalFormatting sqref="A177:B177">
    <cfRule type="expression" dxfId="358" priority="684" stopIfTrue="1">
      <formula>$A177="Meta"</formula>
    </cfRule>
    <cfRule type="expression" dxfId="357" priority="685" stopIfTrue="1">
      <formula>LEFT($A177,5)="Nível"</formula>
    </cfRule>
    <cfRule type="expression" dxfId="356" priority="686" stopIfTrue="1">
      <formula>$A177=0</formula>
    </cfRule>
  </conditionalFormatting>
  <conditionalFormatting sqref="D173:E173">
    <cfRule type="expression" dxfId="355" priority="667" stopIfTrue="1">
      <formula>$A173="Meta"</formula>
    </cfRule>
    <cfRule type="expression" dxfId="354" priority="668" stopIfTrue="1">
      <formula>$A173&lt;&gt;"Serviço"</formula>
    </cfRule>
  </conditionalFormatting>
  <conditionalFormatting sqref="C173">
    <cfRule type="expression" dxfId="353" priority="669" stopIfTrue="1">
      <formula>$A173="Meta"</formula>
    </cfRule>
    <cfRule type="expression" dxfId="352" priority="670" stopIfTrue="1">
      <formula>$A173&lt;&gt;"Serviço"</formula>
    </cfRule>
  </conditionalFormatting>
  <conditionalFormatting sqref="A173:B173">
    <cfRule type="expression" dxfId="351" priority="671" stopIfTrue="1">
      <formula>$A173="Meta"</formula>
    </cfRule>
    <cfRule type="expression" dxfId="350" priority="672" stopIfTrue="1">
      <formula>LEFT($A173,5)="Nível"</formula>
    </cfRule>
    <cfRule type="expression" dxfId="349" priority="673" stopIfTrue="1">
      <formula>$A173=0</formula>
    </cfRule>
  </conditionalFormatting>
  <conditionalFormatting sqref="D221:E221">
    <cfRule type="expression" dxfId="348" priority="641" stopIfTrue="1">
      <formula>$A221="Meta"</formula>
    </cfRule>
    <cfRule type="expression" dxfId="347" priority="642" stopIfTrue="1">
      <formula>$A221&lt;&gt;"Serviço"</formula>
    </cfRule>
  </conditionalFormatting>
  <conditionalFormatting sqref="C221">
    <cfRule type="expression" dxfId="346" priority="643" stopIfTrue="1">
      <formula>$A221="Meta"</formula>
    </cfRule>
    <cfRule type="expression" dxfId="345" priority="644" stopIfTrue="1">
      <formula>$A221&lt;&gt;"Serviço"</formula>
    </cfRule>
  </conditionalFormatting>
  <conditionalFormatting sqref="A221:B221">
    <cfRule type="expression" dxfId="344" priority="645" stopIfTrue="1">
      <formula>$A221="Meta"</formula>
    </cfRule>
    <cfRule type="expression" dxfId="343" priority="646" stopIfTrue="1">
      <formula>LEFT($A221,5)="Nível"</formula>
    </cfRule>
    <cfRule type="expression" dxfId="342" priority="647" stopIfTrue="1">
      <formula>$A221=0</formula>
    </cfRule>
  </conditionalFormatting>
  <conditionalFormatting sqref="D149:E153">
    <cfRule type="expression" dxfId="341" priority="615" stopIfTrue="1">
      <formula>$A149="Meta"</formula>
    </cfRule>
    <cfRule type="expression" dxfId="340" priority="616" stopIfTrue="1">
      <formula>$A149&lt;&gt;"Serviço"</formula>
    </cfRule>
  </conditionalFormatting>
  <conditionalFormatting sqref="C149:C153">
    <cfRule type="expression" dxfId="339" priority="617" stopIfTrue="1">
      <formula>$A149="Meta"</formula>
    </cfRule>
    <cfRule type="expression" dxfId="338" priority="618" stopIfTrue="1">
      <formula>$A149&lt;&gt;"Serviço"</formula>
    </cfRule>
  </conditionalFormatting>
  <conditionalFormatting sqref="A149:B153">
    <cfRule type="expression" dxfId="337" priority="619" stopIfTrue="1">
      <formula>$A149="Meta"</formula>
    </cfRule>
    <cfRule type="expression" dxfId="336" priority="620" stopIfTrue="1">
      <formula>LEFT($A149,5)="Nível"</formula>
    </cfRule>
    <cfRule type="expression" dxfId="335" priority="621" stopIfTrue="1">
      <formula>$A149=0</formula>
    </cfRule>
  </conditionalFormatting>
  <conditionalFormatting sqref="D154:E154">
    <cfRule type="expression" dxfId="334" priority="589" stopIfTrue="1">
      <formula>$A154="Meta"</formula>
    </cfRule>
    <cfRule type="expression" dxfId="333" priority="590" stopIfTrue="1">
      <formula>$A154&lt;&gt;"Serviço"</formula>
    </cfRule>
  </conditionalFormatting>
  <conditionalFormatting sqref="C154">
    <cfRule type="expression" dxfId="332" priority="591" stopIfTrue="1">
      <formula>$A154="Meta"</formula>
    </cfRule>
    <cfRule type="expression" dxfId="331" priority="592" stopIfTrue="1">
      <formula>$A154&lt;&gt;"Serviço"</formula>
    </cfRule>
  </conditionalFormatting>
  <conditionalFormatting sqref="A154:B154">
    <cfRule type="expression" dxfId="330" priority="593" stopIfTrue="1">
      <formula>$A154="Meta"</formula>
    </cfRule>
    <cfRule type="expression" dxfId="329" priority="594" stopIfTrue="1">
      <formula>LEFT($A154,5)="Nível"</formula>
    </cfRule>
    <cfRule type="expression" dxfId="328" priority="595" stopIfTrue="1">
      <formula>$A154=0</formula>
    </cfRule>
  </conditionalFormatting>
  <conditionalFormatting sqref="D156:E159 D164:E164">
    <cfRule type="expression" dxfId="327" priority="576" stopIfTrue="1">
      <formula>$A156="Meta"</formula>
    </cfRule>
    <cfRule type="expression" dxfId="326" priority="577" stopIfTrue="1">
      <formula>$A156&lt;&gt;"Serviço"</formula>
    </cfRule>
  </conditionalFormatting>
  <conditionalFormatting sqref="C156:C159 C164">
    <cfRule type="expression" dxfId="325" priority="578" stopIfTrue="1">
      <formula>$A156="Meta"</formula>
    </cfRule>
    <cfRule type="expression" dxfId="324" priority="579" stopIfTrue="1">
      <formula>$A156&lt;&gt;"Serviço"</formula>
    </cfRule>
  </conditionalFormatting>
  <conditionalFormatting sqref="A156:B159 A164:B164">
    <cfRule type="expression" dxfId="323" priority="580" stopIfTrue="1">
      <formula>$A156="Meta"</formula>
    </cfRule>
    <cfRule type="expression" dxfId="322" priority="581" stopIfTrue="1">
      <formula>LEFT($A156,5)="Nível"</formula>
    </cfRule>
    <cfRule type="expression" dxfId="321" priority="582" stopIfTrue="1">
      <formula>$A156=0</formula>
    </cfRule>
  </conditionalFormatting>
  <conditionalFormatting sqref="D238:E238">
    <cfRule type="expression" dxfId="320" priority="537" stopIfTrue="1">
      <formula>$A238="Meta"</formula>
    </cfRule>
    <cfRule type="expression" dxfId="319" priority="538" stopIfTrue="1">
      <formula>$A238&lt;&gt;"Serviço"</formula>
    </cfRule>
  </conditionalFormatting>
  <conditionalFormatting sqref="C238">
    <cfRule type="expression" dxfId="318" priority="539" stopIfTrue="1">
      <formula>$A238="Meta"</formula>
    </cfRule>
    <cfRule type="expression" dxfId="317" priority="540" stopIfTrue="1">
      <formula>$A238&lt;&gt;"Serviço"</formula>
    </cfRule>
  </conditionalFormatting>
  <conditionalFormatting sqref="A238:B238">
    <cfRule type="expression" dxfId="316" priority="541" stopIfTrue="1">
      <formula>$A238="Meta"</formula>
    </cfRule>
    <cfRule type="expression" dxfId="315" priority="542" stopIfTrue="1">
      <formula>LEFT($A238,5)="Nível"</formula>
    </cfRule>
    <cfRule type="expression" dxfId="314" priority="543" stopIfTrue="1">
      <formula>$A238=0</formula>
    </cfRule>
  </conditionalFormatting>
  <conditionalFormatting sqref="D74:E74">
    <cfRule type="expression" dxfId="313" priority="511" stopIfTrue="1">
      <formula>$A74="Meta"</formula>
    </cfRule>
    <cfRule type="expression" dxfId="312" priority="512" stopIfTrue="1">
      <formula>$A74&lt;&gt;"Serviço"</formula>
    </cfRule>
  </conditionalFormatting>
  <conditionalFormatting sqref="C74">
    <cfRule type="expression" dxfId="311" priority="513" stopIfTrue="1">
      <formula>$A74="Meta"</formula>
    </cfRule>
    <cfRule type="expression" dxfId="310" priority="514" stopIfTrue="1">
      <formula>$A74&lt;&gt;"Serviço"</formula>
    </cfRule>
  </conditionalFormatting>
  <conditionalFormatting sqref="A74:B74">
    <cfRule type="expression" dxfId="309" priority="515" stopIfTrue="1">
      <formula>$A74="Meta"</formula>
    </cfRule>
    <cfRule type="expression" dxfId="308" priority="516" stopIfTrue="1">
      <formula>LEFT($A74,5)="Nível"</formula>
    </cfRule>
    <cfRule type="expression" dxfId="307" priority="517" stopIfTrue="1">
      <formula>$A74=0</formula>
    </cfRule>
  </conditionalFormatting>
  <conditionalFormatting sqref="D254:E255">
    <cfRule type="expression" dxfId="306" priority="459" stopIfTrue="1">
      <formula>$A254="Meta"</formula>
    </cfRule>
    <cfRule type="expression" dxfId="305" priority="460" stopIfTrue="1">
      <formula>$A254&lt;&gt;"Serviço"</formula>
    </cfRule>
  </conditionalFormatting>
  <conditionalFormatting sqref="C254:C255">
    <cfRule type="expression" dxfId="304" priority="461" stopIfTrue="1">
      <formula>$A254="Meta"</formula>
    </cfRule>
    <cfRule type="expression" dxfId="303" priority="462" stopIfTrue="1">
      <formula>$A254&lt;&gt;"Serviço"</formula>
    </cfRule>
  </conditionalFormatting>
  <conditionalFormatting sqref="A254:B255">
    <cfRule type="expression" dxfId="302" priority="463" stopIfTrue="1">
      <formula>$A254="Meta"</formula>
    </cfRule>
    <cfRule type="expression" dxfId="301" priority="464" stopIfTrue="1">
      <formula>LEFT($A254,5)="Nível"</formula>
    </cfRule>
    <cfRule type="expression" dxfId="300" priority="465" stopIfTrue="1">
      <formula>$A254=0</formula>
    </cfRule>
  </conditionalFormatting>
  <conditionalFormatting sqref="D247:E247">
    <cfRule type="expression" dxfId="299" priority="446" stopIfTrue="1">
      <formula>$A247="Meta"</formula>
    </cfRule>
    <cfRule type="expression" dxfId="298" priority="447" stopIfTrue="1">
      <formula>$A247&lt;&gt;"Serviço"</formula>
    </cfRule>
  </conditionalFormatting>
  <conditionalFormatting sqref="C247">
    <cfRule type="expression" dxfId="297" priority="448" stopIfTrue="1">
      <formula>$A247="Meta"</formula>
    </cfRule>
    <cfRule type="expression" dxfId="296" priority="449" stopIfTrue="1">
      <formula>$A247&lt;&gt;"Serviço"</formula>
    </cfRule>
  </conditionalFormatting>
  <conditionalFormatting sqref="A247:B247">
    <cfRule type="expression" dxfId="295" priority="450" stopIfTrue="1">
      <formula>$A247="Meta"</formula>
    </cfRule>
    <cfRule type="expression" dxfId="294" priority="451" stopIfTrue="1">
      <formula>LEFT($A247,5)="Nível"</formula>
    </cfRule>
    <cfRule type="expression" dxfId="293" priority="452" stopIfTrue="1">
      <formula>$A247=0</formula>
    </cfRule>
  </conditionalFormatting>
  <conditionalFormatting sqref="D242:E242">
    <cfRule type="expression" dxfId="292" priority="433" stopIfTrue="1">
      <formula>$A242="Meta"</formula>
    </cfRule>
    <cfRule type="expression" dxfId="291" priority="434" stopIfTrue="1">
      <formula>$A242&lt;&gt;"Serviço"</formula>
    </cfRule>
  </conditionalFormatting>
  <conditionalFormatting sqref="C242">
    <cfRule type="expression" dxfId="290" priority="435" stopIfTrue="1">
      <formula>$A242="Meta"</formula>
    </cfRule>
    <cfRule type="expression" dxfId="289" priority="436" stopIfTrue="1">
      <formula>$A242&lt;&gt;"Serviço"</formula>
    </cfRule>
  </conditionalFormatting>
  <conditionalFormatting sqref="A242:B242">
    <cfRule type="expression" dxfId="288" priority="437" stopIfTrue="1">
      <formula>$A242="Meta"</formula>
    </cfRule>
    <cfRule type="expression" dxfId="287" priority="438" stopIfTrue="1">
      <formula>LEFT($A242,5)="Nível"</formula>
    </cfRule>
    <cfRule type="expression" dxfId="286" priority="439" stopIfTrue="1">
      <formula>$A242=0</formula>
    </cfRule>
  </conditionalFormatting>
  <conditionalFormatting sqref="D96:E102 D138:E140 D127:E127">
    <cfRule type="expression" dxfId="285" priority="420" stopIfTrue="1">
      <formula>$A96="Meta"</formula>
    </cfRule>
    <cfRule type="expression" dxfId="284" priority="421" stopIfTrue="1">
      <formula>$A96&lt;&gt;"Serviço"</formula>
    </cfRule>
  </conditionalFormatting>
  <conditionalFormatting sqref="C96:C102 C138:C140 C127">
    <cfRule type="expression" dxfId="283" priority="422" stopIfTrue="1">
      <formula>$A96="Meta"</formula>
    </cfRule>
    <cfRule type="expression" dxfId="282" priority="423" stopIfTrue="1">
      <formula>$A96&lt;&gt;"Serviço"</formula>
    </cfRule>
  </conditionalFormatting>
  <conditionalFormatting sqref="A96:B102 A138:B140 A127:B127">
    <cfRule type="expression" dxfId="281" priority="424" stopIfTrue="1">
      <formula>$A96="Meta"</formula>
    </cfRule>
    <cfRule type="expression" dxfId="280" priority="425" stopIfTrue="1">
      <formula>LEFT($A96,5)="Nível"</formula>
    </cfRule>
    <cfRule type="expression" dxfId="279" priority="426" stopIfTrue="1">
      <formula>$A96=0</formula>
    </cfRule>
  </conditionalFormatting>
  <conditionalFormatting sqref="D262:E262">
    <cfRule type="expression" dxfId="278" priority="394" stopIfTrue="1">
      <formula>$A262="Meta"</formula>
    </cfRule>
    <cfRule type="expression" dxfId="277" priority="395" stopIfTrue="1">
      <formula>$A262&lt;&gt;"Serviço"</formula>
    </cfRule>
  </conditionalFormatting>
  <conditionalFormatting sqref="C262">
    <cfRule type="expression" dxfId="276" priority="396" stopIfTrue="1">
      <formula>$A262="Meta"</formula>
    </cfRule>
    <cfRule type="expression" dxfId="275" priority="397" stopIfTrue="1">
      <formula>$A262&lt;&gt;"Serviço"</formula>
    </cfRule>
  </conditionalFormatting>
  <conditionalFormatting sqref="A262:B262">
    <cfRule type="expression" dxfId="274" priority="398" stopIfTrue="1">
      <formula>$A262="Meta"</formula>
    </cfRule>
    <cfRule type="expression" dxfId="273" priority="399" stopIfTrue="1">
      <formula>LEFT($A262,5)="Nível"</formula>
    </cfRule>
    <cfRule type="expression" dxfId="272" priority="400" stopIfTrue="1">
      <formula>$A262=0</formula>
    </cfRule>
  </conditionalFormatting>
  <conditionalFormatting sqref="D23:E37">
    <cfRule type="expression" dxfId="271" priority="381" stopIfTrue="1">
      <formula>$A23="Meta"</formula>
    </cfRule>
    <cfRule type="expression" dxfId="270" priority="382" stopIfTrue="1">
      <formula>$A23&lt;&gt;"Serviço"</formula>
    </cfRule>
  </conditionalFormatting>
  <conditionalFormatting sqref="C23:C37">
    <cfRule type="expression" dxfId="269" priority="383" stopIfTrue="1">
      <formula>$A23="Meta"</formula>
    </cfRule>
    <cfRule type="expression" dxfId="268" priority="384" stopIfTrue="1">
      <formula>$A23&lt;&gt;"Serviço"</formula>
    </cfRule>
  </conditionalFormatting>
  <conditionalFormatting sqref="A23:B37">
    <cfRule type="expression" dxfId="267" priority="385" stopIfTrue="1">
      <formula>$A23="Meta"</formula>
    </cfRule>
    <cfRule type="expression" dxfId="266" priority="386" stopIfTrue="1">
      <formula>LEFT($A23,5)="Nível"</formula>
    </cfRule>
    <cfRule type="expression" dxfId="265" priority="387" stopIfTrue="1">
      <formula>$A23=0</formula>
    </cfRule>
  </conditionalFormatting>
  <conditionalFormatting sqref="D68:E68">
    <cfRule type="expression" dxfId="264" priority="342" stopIfTrue="1">
      <formula>$A68="Meta"</formula>
    </cfRule>
    <cfRule type="expression" dxfId="263" priority="343" stopIfTrue="1">
      <formula>$A68&lt;&gt;"Serviço"</formula>
    </cfRule>
  </conditionalFormatting>
  <conditionalFormatting sqref="C68">
    <cfRule type="expression" dxfId="262" priority="344" stopIfTrue="1">
      <formula>$A68="Meta"</formula>
    </cfRule>
    <cfRule type="expression" dxfId="261" priority="345" stopIfTrue="1">
      <formula>$A68&lt;&gt;"Serviço"</formula>
    </cfRule>
  </conditionalFormatting>
  <conditionalFormatting sqref="A68:B68">
    <cfRule type="expression" dxfId="260" priority="346" stopIfTrue="1">
      <formula>$A68="Meta"</formula>
    </cfRule>
    <cfRule type="expression" dxfId="259" priority="347" stopIfTrue="1">
      <formula>LEFT($A68,5)="Nível"</formula>
    </cfRule>
    <cfRule type="expression" dxfId="258" priority="348" stopIfTrue="1">
      <formula>$A68=0</formula>
    </cfRule>
  </conditionalFormatting>
  <conditionalFormatting sqref="D128:E137">
    <cfRule type="expression" dxfId="257" priority="329" stopIfTrue="1">
      <formula>$A128="Meta"</formula>
    </cfRule>
    <cfRule type="expression" dxfId="256" priority="330" stopIfTrue="1">
      <formula>$A128&lt;&gt;"Serviço"</formula>
    </cfRule>
  </conditionalFormatting>
  <conditionalFormatting sqref="C128:C137">
    <cfRule type="expression" dxfId="255" priority="331" stopIfTrue="1">
      <formula>$A128="Meta"</formula>
    </cfRule>
    <cfRule type="expression" dxfId="254" priority="332" stopIfTrue="1">
      <formula>$A128&lt;&gt;"Serviço"</formula>
    </cfRule>
  </conditionalFormatting>
  <conditionalFormatting sqref="A128:B137">
    <cfRule type="expression" dxfId="253" priority="333" stopIfTrue="1">
      <formula>$A128="Meta"</formula>
    </cfRule>
    <cfRule type="expression" dxfId="252" priority="334" stopIfTrue="1">
      <formula>LEFT($A128,5)="Nível"</formula>
    </cfRule>
    <cfRule type="expression" dxfId="251" priority="335" stopIfTrue="1">
      <formula>$A128=0</formula>
    </cfRule>
  </conditionalFormatting>
  <conditionalFormatting sqref="D264:E266">
    <cfRule type="expression" dxfId="250" priority="290" stopIfTrue="1">
      <formula>$A264="Meta"</formula>
    </cfRule>
    <cfRule type="expression" dxfId="249" priority="291" stopIfTrue="1">
      <formula>$A264&lt;&gt;"Serviço"</formula>
    </cfRule>
  </conditionalFormatting>
  <conditionalFormatting sqref="C264:C266">
    <cfRule type="expression" dxfId="248" priority="292" stopIfTrue="1">
      <formula>$A264="Meta"</formula>
    </cfRule>
    <cfRule type="expression" dxfId="247" priority="293" stopIfTrue="1">
      <formula>$A264&lt;&gt;"Serviço"</formula>
    </cfRule>
  </conditionalFormatting>
  <conditionalFormatting sqref="A264:B266">
    <cfRule type="expression" dxfId="246" priority="294" stopIfTrue="1">
      <formula>$A264="Meta"</formula>
    </cfRule>
    <cfRule type="expression" dxfId="245" priority="295" stopIfTrue="1">
      <formula>LEFT($A264,5)="Nível"</formula>
    </cfRule>
    <cfRule type="expression" dxfId="244" priority="296" stopIfTrue="1">
      <formula>$A264=0</formula>
    </cfRule>
  </conditionalFormatting>
  <conditionalFormatting sqref="D76:E76 D78:E84">
    <cfRule type="expression" dxfId="243" priority="277" stopIfTrue="1">
      <formula>$A76="Meta"</formula>
    </cfRule>
    <cfRule type="expression" dxfId="242" priority="278" stopIfTrue="1">
      <formula>$A76&lt;&gt;"Serviço"</formula>
    </cfRule>
  </conditionalFormatting>
  <conditionalFormatting sqref="C76 C78:C84">
    <cfRule type="expression" dxfId="241" priority="279" stopIfTrue="1">
      <formula>$A76="Meta"</formula>
    </cfRule>
    <cfRule type="expression" dxfId="240" priority="280" stopIfTrue="1">
      <formula>$A76&lt;&gt;"Serviço"</formula>
    </cfRule>
  </conditionalFormatting>
  <conditionalFormatting sqref="A76:B76 A78:B84">
    <cfRule type="expression" dxfId="239" priority="281" stopIfTrue="1">
      <formula>$A76="Meta"</formula>
    </cfRule>
    <cfRule type="expression" dxfId="238" priority="282" stopIfTrue="1">
      <formula>LEFT($A76,5)="Nível"</formula>
    </cfRule>
    <cfRule type="expression" dxfId="237" priority="283" stopIfTrue="1">
      <formula>$A76=0</formula>
    </cfRule>
  </conditionalFormatting>
  <conditionalFormatting sqref="D263:E263">
    <cfRule type="expression" dxfId="236" priority="264" stopIfTrue="1">
      <formula>$A263="Meta"</formula>
    </cfRule>
    <cfRule type="expression" dxfId="235" priority="265" stopIfTrue="1">
      <formula>$A263&lt;&gt;"Serviço"</formula>
    </cfRule>
  </conditionalFormatting>
  <conditionalFormatting sqref="C263">
    <cfRule type="expression" dxfId="234" priority="266" stopIfTrue="1">
      <formula>$A263="Meta"</formula>
    </cfRule>
    <cfRule type="expression" dxfId="233" priority="267" stopIfTrue="1">
      <formula>$A263&lt;&gt;"Serviço"</formula>
    </cfRule>
  </conditionalFormatting>
  <conditionalFormatting sqref="A263:B263">
    <cfRule type="expression" dxfId="232" priority="268" stopIfTrue="1">
      <formula>$A263="Meta"</formula>
    </cfRule>
    <cfRule type="expression" dxfId="231" priority="269" stopIfTrue="1">
      <formula>LEFT($A263,5)="Nível"</formula>
    </cfRule>
    <cfRule type="expression" dxfId="230" priority="270" stopIfTrue="1">
      <formula>$A263=0</formula>
    </cfRule>
  </conditionalFormatting>
  <conditionalFormatting sqref="D209:E210">
    <cfRule type="expression" dxfId="229" priority="251" stopIfTrue="1">
      <formula>$A209="Meta"</formula>
    </cfRule>
    <cfRule type="expression" dxfId="228" priority="252" stopIfTrue="1">
      <formula>$A209&lt;&gt;"Serviço"</formula>
    </cfRule>
  </conditionalFormatting>
  <conditionalFormatting sqref="C209:C210">
    <cfRule type="expression" dxfId="227" priority="253" stopIfTrue="1">
      <formula>$A209="Meta"</formula>
    </cfRule>
    <cfRule type="expression" dxfId="226" priority="254" stopIfTrue="1">
      <formula>$A209&lt;&gt;"Serviço"</formula>
    </cfRule>
  </conditionalFormatting>
  <conditionalFormatting sqref="A209:B210">
    <cfRule type="expression" dxfId="225" priority="255" stopIfTrue="1">
      <formula>$A209="Meta"</formula>
    </cfRule>
    <cfRule type="expression" dxfId="224" priority="256" stopIfTrue="1">
      <formula>LEFT($A209,5)="Nível"</formula>
    </cfRule>
    <cfRule type="expression" dxfId="223" priority="257" stopIfTrue="1">
      <formula>$A209=0</formula>
    </cfRule>
  </conditionalFormatting>
  <conditionalFormatting sqref="D214:E216">
    <cfRule type="expression" dxfId="222" priority="225" stopIfTrue="1">
      <formula>$A214="Meta"</formula>
    </cfRule>
    <cfRule type="expression" dxfId="221" priority="226" stopIfTrue="1">
      <formula>$A214&lt;&gt;"Serviço"</formula>
    </cfRule>
  </conditionalFormatting>
  <conditionalFormatting sqref="C214:C216">
    <cfRule type="expression" dxfId="220" priority="227" stopIfTrue="1">
      <formula>$A214="Meta"</formula>
    </cfRule>
    <cfRule type="expression" dxfId="219" priority="228" stopIfTrue="1">
      <formula>$A214&lt;&gt;"Serviço"</formula>
    </cfRule>
  </conditionalFormatting>
  <conditionalFormatting sqref="A214:B216">
    <cfRule type="expression" dxfId="218" priority="229" stopIfTrue="1">
      <formula>$A214="Meta"</formula>
    </cfRule>
    <cfRule type="expression" dxfId="217" priority="230" stopIfTrue="1">
      <formula>LEFT($A214,5)="Nível"</formula>
    </cfRule>
    <cfRule type="expression" dxfId="216" priority="231" stopIfTrue="1">
      <formula>$A214=0</formula>
    </cfRule>
  </conditionalFormatting>
  <conditionalFormatting sqref="D223:E223">
    <cfRule type="expression" dxfId="215" priority="212" stopIfTrue="1">
      <formula>$A223="Meta"</formula>
    </cfRule>
    <cfRule type="expression" dxfId="214" priority="213" stopIfTrue="1">
      <formula>$A223&lt;&gt;"Serviço"</formula>
    </cfRule>
  </conditionalFormatting>
  <conditionalFormatting sqref="C223">
    <cfRule type="expression" dxfId="213" priority="214" stopIfTrue="1">
      <formula>$A223="Meta"</formula>
    </cfRule>
    <cfRule type="expression" dxfId="212" priority="215" stopIfTrue="1">
      <formula>$A223&lt;&gt;"Serviço"</formula>
    </cfRule>
  </conditionalFormatting>
  <conditionalFormatting sqref="A223:B223">
    <cfRule type="expression" dxfId="211" priority="216" stopIfTrue="1">
      <formula>$A223="Meta"</formula>
    </cfRule>
    <cfRule type="expression" dxfId="210" priority="217" stopIfTrue="1">
      <formula>LEFT($A223,5)="Nível"</formula>
    </cfRule>
    <cfRule type="expression" dxfId="209" priority="218" stopIfTrue="1">
      <formula>$A223=0</formula>
    </cfRule>
  </conditionalFormatting>
  <conditionalFormatting sqref="D77:E77">
    <cfRule type="expression" dxfId="208" priority="186" stopIfTrue="1">
      <formula>$A77="Meta"</formula>
    </cfRule>
    <cfRule type="expression" dxfId="207" priority="187" stopIfTrue="1">
      <formula>$A77&lt;&gt;"Serviço"</formula>
    </cfRule>
  </conditionalFormatting>
  <conditionalFormatting sqref="C77">
    <cfRule type="expression" dxfId="206" priority="188" stopIfTrue="1">
      <formula>$A77="Meta"</formula>
    </cfRule>
    <cfRule type="expression" dxfId="205" priority="189" stopIfTrue="1">
      <formula>$A77&lt;&gt;"Serviço"</formula>
    </cfRule>
  </conditionalFormatting>
  <conditionalFormatting sqref="A77:B77">
    <cfRule type="expression" dxfId="204" priority="190" stopIfTrue="1">
      <formula>$A77="Meta"</formula>
    </cfRule>
    <cfRule type="expression" dxfId="203" priority="191" stopIfTrue="1">
      <formula>LEFT($A77,5)="Nível"</formula>
    </cfRule>
    <cfRule type="expression" dxfId="202" priority="192" stopIfTrue="1">
      <formula>$A77=0</formula>
    </cfRule>
  </conditionalFormatting>
  <conditionalFormatting sqref="D185:E186">
    <cfRule type="expression" dxfId="201" priority="160" stopIfTrue="1">
      <formula>$A185="Meta"</formula>
    </cfRule>
    <cfRule type="expression" dxfId="200" priority="161" stopIfTrue="1">
      <formula>$A185&lt;&gt;"Serviço"</formula>
    </cfRule>
  </conditionalFormatting>
  <conditionalFormatting sqref="C185:C186">
    <cfRule type="expression" dxfId="199" priority="162" stopIfTrue="1">
      <formula>$A185="Meta"</formula>
    </cfRule>
    <cfRule type="expression" dxfId="198" priority="163" stopIfTrue="1">
      <formula>$A185&lt;&gt;"Serviço"</formula>
    </cfRule>
  </conditionalFormatting>
  <conditionalFormatting sqref="A185:B186">
    <cfRule type="expression" dxfId="197" priority="164" stopIfTrue="1">
      <formula>$A185="Meta"</formula>
    </cfRule>
    <cfRule type="expression" dxfId="196" priority="165" stopIfTrue="1">
      <formula>LEFT($A185,5)="Nível"</formula>
    </cfRule>
    <cfRule type="expression" dxfId="195" priority="166" stopIfTrue="1">
      <formula>$A185=0</formula>
    </cfRule>
  </conditionalFormatting>
  <conditionalFormatting sqref="D160:E163">
    <cfRule type="expression" dxfId="194" priority="147" stopIfTrue="1">
      <formula>$A160="Meta"</formula>
    </cfRule>
    <cfRule type="expression" dxfId="193" priority="148" stopIfTrue="1">
      <formula>$A160&lt;&gt;"Serviço"</formula>
    </cfRule>
  </conditionalFormatting>
  <conditionalFormatting sqref="C160:C163">
    <cfRule type="expression" dxfId="192" priority="149" stopIfTrue="1">
      <formula>$A160="Meta"</formula>
    </cfRule>
    <cfRule type="expression" dxfId="191" priority="150" stopIfTrue="1">
      <formula>$A160&lt;&gt;"Serviço"</formula>
    </cfRule>
  </conditionalFormatting>
  <conditionalFormatting sqref="A160:B163">
    <cfRule type="expression" dxfId="190" priority="151" stopIfTrue="1">
      <formula>$A160="Meta"</formula>
    </cfRule>
    <cfRule type="expression" dxfId="189" priority="152" stopIfTrue="1">
      <formula>LEFT($A160,5)="Nível"</formula>
    </cfRule>
    <cfRule type="expression" dxfId="188" priority="153" stopIfTrue="1">
      <formula>$A160=0</formula>
    </cfRule>
  </conditionalFormatting>
  <conditionalFormatting sqref="D188:E188">
    <cfRule type="expression" dxfId="187" priority="134" stopIfTrue="1">
      <formula>$A188="Meta"</formula>
    </cfRule>
    <cfRule type="expression" dxfId="186" priority="135" stopIfTrue="1">
      <formula>$A188&lt;&gt;"Serviço"</formula>
    </cfRule>
  </conditionalFormatting>
  <conditionalFormatting sqref="C188">
    <cfRule type="expression" dxfId="185" priority="136" stopIfTrue="1">
      <formula>$A188="Meta"</formula>
    </cfRule>
    <cfRule type="expression" dxfId="184" priority="137" stopIfTrue="1">
      <formula>$A188&lt;&gt;"Serviço"</formula>
    </cfRule>
  </conditionalFormatting>
  <conditionalFormatting sqref="A188:B188">
    <cfRule type="expression" dxfId="183" priority="138" stopIfTrue="1">
      <formula>$A188="Meta"</formula>
    </cfRule>
    <cfRule type="expression" dxfId="182" priority="139" stopIfTrue="1">
      <formula>LEFT($A188,5)="Nível"</formula>
    </cfRule>
    <cfRule type="expression" dxfId="181" priority="140" stopIfTrue="1">
      <formula>$A188=0</formula>
    </cfRule>
  </conditionalFormatting>
  <conditionalFormatting sqref="D187:E187">
    <cfRule type="expression" dxfId="180" priority="121" stopIfTrue="1">
      <formula>$A187="Meta"</formula>
    </cfRule>
    <cfRule type="expression" dxfId="179" priority="122" stopIfTrue="1">
      <formula>$A187&lt;&gt;"Serviço"</formula>
    </cfRule>
  </conditionalFormatting>
  <conditionalFormatting sqref="C187">
    <cfRule type="expression" dxfId="178" priority="123" stopIfTrue="1">
      <formula>$A187="Meta"</formula>
    </cfRule>
    <cfRule type="expression" dxfId="177" priority="124" stopIfTrue="1">
      <formula>$A187&lt;&gt;"Serviço"</formula>
    </cfRule>
  </conditionalFormatting>
  <conditionalFormatting sqref="A187:B187">
    <cfRule type="expression" dxfId="176" priority="125" stopIfTrue="1">
      <formula>$A187="Meta"</formula>
    </cfRule>
    <cfRule type="expression" dxfId="175" priority="126" stopIfTrue="1">
      <formula>LEFT($A187,5)="Nível"</formula>
    </cfRule>
    <cfRule type="expression" dxfId="174" priority="127" stopIfTrue="1">
      <formula>$A187=0</formula>
    </cfRule>
  </conditionalFormatting>
  <conditionalFormatting sqref="D72:E72">
    <cfRule type="expression" dxfId="173" priority="108" stopIfTrue="1">
      <formula>$A72="Meta"</formula>
    </cfRule>
    <cfRule type="expression" dxfId="172" priority="109" stopIfTrue="1">
      <formula>$A72&lt;&gt;"Serviço"</formula>
    </cfRule>
  </conditionalFormatting>
  <conditionalFormatting sqref="C72">
    <cfRule type="expression" dxfId="171" priority="110" stopIfTrue="1">
      <formula>$A72="Meta"</formula>
    </cfRule>
    <cfRule type="expression" dxfId="170" priority="111" stopIfTrue="1">
      <formula>$A72&lt;&gt;"Serviço"</formula>
    </cfRule>
  </conditionalFormatting>
  <conditionalFormatting sqref="A72:B72">
    <cfRule type="expression" dxfId="169" priority="112" stopIfTrue="1">
      <formula>$A72="Meta"</formula>
    </cfRule>
    <cfRule type="expression" dxfId="168" priority="113" stopIfTrue="1">
      <formula>LEFT($A72,5)="Nível"</formula>
    </cfRule>
    <cfRule type="expression" dxfId="167" priority="114" stopIfTrue="1">
      <formula>$A72=0</formula>
    </cfRule>
  </conditionalFormatting>
  <conditionalFormatting sqref="D125:E126">
    <cfRule type="expression" dxfId="166" priority="95" stopIfTrue="1">
      <formula>$A125="Meta"</formula>
    </cfRule>
    <cfRule type="expression" dxfId="165" priority="96" stopIfTrue="1">
      <formula>$A125&lt;&gt;"Serviço"</formula>
    </cfRule>
  </conditionalFormatting>
  <conditionalFormatting sqref="C125:C126">
    <cfRule type="expression" dxfId="164" priority="97" stopIfTrue="1">
      <formula>$A125="Meta"</formula>
    </cfRule>
    <cfRule type="expression" dxfId="163" priority="98" stopIfTrue="1">
      <formula>$A125&lt;&gt;"Serviço"</formula>
    </cfRule>
  </conditionalFormatting>
  <conditionalFormatting sqref="A125:B126">
    <cfRule type="expression" dxfId="162" priority="99" stopIfTrue="1">
      <formula>$A125="Meta"</formula>
    </cfRule>
    <cfRule type="expression" dxfId="161" priority="100" stopIfTrue="1">
      <formula>LEFT($A125,5)="Nível"</formula>
    </cfRule>
    <cfRule type="expression" dxfId="160" priority="101" stopIfTrue="1">
      <formula>$A125=0</formula>
    </cfRule>
  </conditionalFormatting>
  <conditionalFormatting sqref="D103:E105">
    <cfRule type="expression" dxfId="159" priority="82" stopIfTrue="1">
      <formula>$A103="Meta"</formula>
    </cfRule>
    <cfRule type="expression" dxfId="158" priority="83" stopIfTrue="1">
      <formula>$A103&lt;&gt;"Serviço"</formula>
    </cfRule>
  </conditionalFormatting>
  <conditionalFormatting sqref="C103:C105">
    <cfRule type="expression" dxfId="157" priority="84" stopIfTrue="1">
      <formula>$A103="Meta"</formula>
    </cfRule>
    <cfRule type="expression" dxfId="156" priority="85" stopIfTrue="1">
      <formula>$A103&lt;&gt;"Serviço"</formula>
    </cfRule>
  </conditionalFormatting>
  <conditionalFormatting sqref="A103:B105">
    <cfRule type="expression" dxfId="155" priority="86" stopIfTrue="1">
      <formula>$A103="Meta"</formula>
    </cfRule>
    <cfRule type="expression" dxfId="154" priority="87" stopIfTrue="1">
      <formula>LEFT($A103,5)="Nível"</formula>
    </cfRule>
    <cfRule type="expression" dxfId="153" priority="88" stopIfTrue="1">
      <formula>$A103=0</formula>
    </cfRule>
  </conditionalFormatting>
  <conditionalFormatting sqref="D106:E109">
    <cfRule type="expression" dxfId="152" priority="69" stopIfTrue="1">
      <formula>$A106="Meta"</formula>
    </cfRule>
    <cfRule type="expression" dxfId="151" priority="70" stopIfTrue="1">
      <formula>$A106&lt;&gt;"Serviço"</formula>
    </cfRule>
  </conditionalFormatting>
  <conditionalFormatting sqref="C106:C109">
    <cfRule type="expression" dxfId="150" priority="71" stopIfTrue="1">
      <formula>$A106="Meta"</formula>
    </cfRule>
    <cfRule type="expression" dxfId="149" priority="72" stopIfTrue="1">
      <formula>$A106&lt;&gt;"Serviço"</formula>
    </cfRule>
  </conditionalFormatting>
  <conditionalFormatting sqref="A106:B109">
    <cfRule type="expression" dxfId="148" priority="73" stopIfTrue="1">
      <formula>$A106="Meta"</formula>
    </cfRule>
    <cfRule type="expression" dxfId="147" priority="74" stopIfTrue="1">
      <formula>LEFT($A106,5)="Nível"</formula>
    </cfRule>
    <cfRule type="expression" dxfId="146" priority="75" stopIfTrue="1">
      <formula>$A106=0</formula>
    </cfRule>
  </conditionalFormatting>
  <conditionalFormatting sqref="D110:E114">
    <cfRule type="expression" dxfId="145" priority="56" stopIfTrue="1">
      <formula>$A110="Meta"</formula>
    </cfRule>
    <cfRule type="expression" dxfId="144" priority="57" stopIfTrue="1">
      <formula>$A110&lt;&gt;"Serviço"</formula>
    </cfRule>
  </conditionalFormatting>
  <conditionalFormatting sqref="C110:C114">
    <cfRule type="expression" dxfId="143" priority="58" stopIfTrue="1">
      <formula>$A110="Meta"</formula>
    </cfRule>
    <cfRule type="expression" dxfId="142" priority="59" stopIfTrue="1">
      <formula>$A110&lt;&gt;"Serviço"</formula>
    </cfRule>
  </conditionalFormatting>
  <conditionalFormatting sqref="A110:B114">
    <cfRule type="expression" dxfId="141" priority="60" stopIfTrue="1">
      <formula>$A110="Meta"</formula>
    </cfRule>
    <cfRule type="expression" dxfId="140" priority="61" stopIfTrue="1">
      <formula>LEFT($A110,5)="Nível"</formula>
    </cfRule>
    <cfRule type="expression" dxfId="139" priority="62" stopIfTrue="1">
      <formula>$A110=0</formula>
    </cfRule>
  </conditionalFormatting>
  <conditionalFormatting sqref="D143:E143">
    <cfRule type="expression" dxfId="138" priority="43" stopIfTrue="1">
      <formula>$A143="Meta"</formula>
    </cfRule>
    <cfRule type="expression" dxfId="137" priority="44" stopIfTrue="1">
      <formula>$A143&lt;&gt;"Serviço"</formula>
    </cfRule>
  </conditionalFormatting>
  <conditionalFormatting sqref="C143">
    <cfRule type="expression" dxfId="136" priority="45" stopIfTrue="1">
      <formula>$A143="Meta"</formula>
    </cfRule>
    <cfRule type="expression" dxfId="135" priority="46" stopIfTrue="1">
      <formula>$A143&lt;&gt;"Serviço"</formula>
    </cfRule>
  </conditionalFormatting>
  <conditionalFormatting sqref="A143:B143">
    <cfRule type="expression" dxfId="134" priority="47" stopIfTrue="1">
      <formula>$A143="Meta"</formula>
    </cfRule>
    <cfRule type="expression" dxfId="133" priority="48" stopIfTrue="1">
      <formula>LEFT($A143,5)="Nível"</formula>
    </cfRule>
    <cfRule type="expression" dxfId="132" priority="49" stopIfTrue="1">
      <formula>$A143=0</formula>
    </cfRule>
  </conditionalFormatting>
  <conditionalFormatting sqref="D39:E43">
    <cfRule type="expression" dxfId="131" priority="4" stopIfTrue="1">
      <formula>$A39="Meta"</formula>
    </cfRule>
    <cfRule type="expression" dxfId="130" priority="5" stopIfTrue="1">
      <formula>$A39&lt;&gt;"Serviço"</formula>
    </cfRule>
  </conditionalFormatting>
  <conditionalFormatting sqref="C39:C43">
    <cfRule type="expression" dxfId="129" priority="6" stopIfTrue="1">
      <formula>$A39="Meta"</formula>
    </cfRule>
    <cfRule type="expression" dxfId="128" priority="7" stopIfTrue="1">
      <formula>$A39&lt;&gt;"Serviço"</formula>
    </cfRule>
  </conditionalFormatting>
  <conditionalFormatting sqref="A39:B43">
    <cfRule type="expression" dxfId="127" priority="8" stopIfTrue="1">
      <formula>$A39="Meta"</formula>
    </cfRule>
    <cfRule type="expression" dxfId="126" priority="9" stopIfTrue="1">
      <formula>LEFT($A39,5)="Nível"</formula>
    </cfRule>
    <cfRule type="expression" dxfId="125" priority="10" stopIfTrue="1">
      <formula>$A39=0</formula>
    </cfRule>
  </conditionalFormatting>
  <conditionalFormatting sqref="U39:U43">
    <cfRule type="expression" dxfId="124" priority="11" stopIfTrue="1">
      <formula>$A39="Meta"</formula>
    </cfRule>
    <cfRule type="expression" dxfId="123" priority="12" stopIfTrue="1">
      <formula>OR(U$9=0,$A39&lt;&gt;"Serviço")</formula>
    </cfRule>
    <cfRule type="expression" dxfId="122" priority="13" stopIfTrue="1">
      <formula>TipoOrçamento="Licitado"</formula>
    </cfRule>
  </conditionalFormatting>
  <conditionalFormatting sqref="F39:O43">
    <cfRule type="expression" dxfId="121" priority="1" stopIfTrue="1">
      <formula>$A39="Meta"</formula>
    </cfRule>
    <cfRule type="expression" dxfId="120" priority="2" stopIfTrue="1">
      <formula>OR(F$9=0,$A39&lt;&gt;"Serviço")</formula>
    </cfRule>
    <cfRule type="expression" dxfId="119"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274 U14:U274" xr:uid="{00000000-0002-0000-0400-00000000000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280 B277"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tabColor rgb="FFFFFF00"/>
    <outlinePr summaryBelow="0"/>
  </sheetPr>
  <dimension ref="A1:AC103"/>
  <sheetViews>
    <sheetView showGridLines="0" tabSelected="1" topLeftCell="L1" zoomScale="70" zoomScaleNormal="70" zoomScaleSheetLayoutView="100" workbookViewId="0">
      <selection activeCell="R29" sqref="R29"/>
    </sheetView>
  </sheetViews>
  <sheetFormatPr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x14ac:dyDescent="0.2">
      <c r="A1"/>
      <c r="B1"/>
      <c r="C1"/>
      <c r="D1"/>
      <c r="E1" s="147"/>
      <c r="F1" s="147"/>
      <c r="G1" s="147"/>
      <c r="H1" s="147"/>
      <c r="I1" s="147"/>
      <c r="J1" s="147"/>
      <c r="K1" s="147"/>
      <c r="L1"/>
      <c r="M1"/>
      <c r="N1"/>
      <c r="O1" s="148" t="s">
        <v>22</v>
      </c>
      <c r="P1" s="83" t="s">
        <v>115</v>
      </c>
      <c r="Q1" s="149"/>
      <c r="R1"/>
      <c r="S1"/>
      <c r="T1"/>
      <c r="U1"/>
      <c r="V1"/>
      <c r="W1"/>
      <c r="X1"/>
      <c r="AC1"/>
    </row>
    <row r="2" spans="1:29" s="32" customFormat="1" ht="12.75" customHeight="1" x14ac:dyDescent="0.2">
      <c r="A2"/>
      <c r="B2"/>
      <c r="C2"/>
      <c r="D2"/>
      <c r="E2"/>
      <c r="F2"/>
      <c r="G2"/>
      <c r="H2"/>
      <c r="I2"/>
      <c r="J2"/>
      <c r="K2"/>
      <c r="L2"/>
      <c r="M2"/>
      <c r="N2"/>
      <c r="O2" s="148"/>
      <c r="P2" s="86" t="str">
        <f>CHOOSE(1+LOG(1+2*(TipoOrçamento="BASE")+4*(TipoOrçamento="LICITADO")+8*(TipoOrçamento="REPROGRAMADOAC")+16*(TipoOrçamento="REPROGRAMADONPL"),2),"nada","Cronograma Base para Licitação","Cronograma Licitado","Cronograma Licitado Reprogramado","Cronograma Base para Licitação - Reprogramado")</f>
        <v>Cronograma Base para Licitação</v>
      </c>
      <c r="Q2"/>
      <c r="R2"/>
      <c r="S2"/>
      <c r="T2"/>
      <c r="U2"/>
      <c r="V2" s="83"/>
      <c r="W2"/>
      <c r="X2"/>
      <c r="AC2"/>
    </row>
    <row r="3" spans="1:29" s="32" customFormat="1" ht="12.75" customHeight="1" x14ac:dyDescent="0.2">
      <c r="A3"/>
      <c r="B3"/>
      <c r="C3"/>
      <c r="D3"/>
      <c r="E3"/>
      <c r="F3"/>
      <c r="G3"/>
      <c r="H3"/>
      <c r="I3"/>
      <c r="J3"/>
      <c r="K3"/>
      <c r="L3"/>
      <c r="M3"/>
      <c r="N3"/>
      <c r="O3"/>
      <c r="P3"/>
      <c r="Q3"/>
      <c r="R3"/>
      <c r="S3" s="1"/>
      <c r="T3"/>
      <c r="U3"/>
      <c r="V3"/>
      <c r="W3"/>
      <c r="X3"/>
      <c r="AC3"/>
    </row>
    <row r="4" spans="1:29" s="32" customFormat="1" ht="24.95" customHeight="1" x14ac:dyDescent="0.2">
      <c r="A4"/>
      <c r="B4"/>
      <c r="C4"/>
      <c r="D4"/>
      <c r="E4"/>
      <c r="F4"/>
      <c r="G4"/>
      <c r="H4"/>
      <c r="I4"/>
      <c r="J4"/>
      <c r="K4"/>
      <c r="L4"/>
      <c r="M4"/>
      <c r="N4"/>
      <c r="O4"/>
      <c r="P4"/>
      <c r="Q4"/>
      <c r="R4"/>
      <c r="S4"/>
      <c r="T4"/>
      <c r="U4"/>
      <c r="V4"/>
      <c r="W4"/>
      <c r="X4"/>
      <c r="AC4"/>
    </row>
    <row r="5" spans="1:29" s="32" customFormat="1" ht="24.95" customHeight="1" x14ac:dyDescent="0.2">
      <c r="A5"/>
      <c r="B5"/>
      <c r="C5"/>
      <c r="D5"/>
      <c r="E5"/>
      <c r="F5"/>
      <c r="G5"/>
      <c r="H5"/>
      <c r="I5"/>
      <c r="J5"/>
      <c r="K5"/>
      <c r="L5"/>
      <c r="M5"/>
      <c r="N5"/>
      <c r="O5"/>
      <c r="P5"/>
      <c r="Q5"/>
      <c r="R5"/>
      <c r="S5"/>
      <c r="T5"/>
      <c r="U5"/>
      <c r="V5"/>
      <c r="W5"/>
      <c r="X5"/>
      <c r="AC5"/>
    </row>
    <row r="6" spans="1:29" s="32" customFormat="1" ht="24.95" customHeight="1" x14ac:dyDescent="0.2">
      <c r="A6"/>
      <c r="B6"/>
      <c r="C6"/>
      <c r="D6"/>
      <c r="E6"/>
      <c r="F6"/>
      <c r="G6"/>
      <c r="H6"/>
      <c r="I6"/>
      <c r="J6"/>
      <c r="K6"/>
      <c r="L6"/>
      <c r="M6"/>
      <c r="N6"/>
      <c r="O6"/>
      <c r="P6"/>
      <c r="Q6"/>
      <c r="R6"/>
      <c r="S6"/>
      <c r="T6"/>
      <c r="U6"/>
      <c r="V6"/>
      <c r="W6"/>
      <c r="X6"/>
      <c r="AC6"/>
    </row>
    <row r="7" spans="1:29" s="32" customFormat="1" ht="21.75" customHeight="1" x14ac:dyDescent="0.2">
      <c r="A7"/>
      <c r="B7"/>
      <c r="C7"/>
      <c r="D7"/>
      <c r="E7"/>
      <c r="F7"/>
      <c r="G7"/>
      <c r="H7"/>
      <c r="I7"/>
      <c r="J7"/>
      <c r="K7"/>
      <c r="L7"/>
      <c r="M7"/>
      <c r="N7"/>
      <c r="O7"/>
      <c r="P7"/>
      <c r="Q7"/>
      <c r="R7"/>
      <c r="S7"/>
      <c r="T7"/>
      <c r="U7"/>
      <c r="V7"/>
      <c r="W7"/>
      <c r="X7"/>
      <c r="AC7"/>
    </row>
    <row r="8" spans="1:29" s="32" customFormat="1" ht="30" customHeight="1" x14ac:dyDescent="0.2">
      <c r="A8" s="150" t="s">
        <v>176</v>
      </c>
      <c r="B8"/>
      <c r="C8"/>
      <c r="D8"/>
      <c r="E8"/>
      <c r="F8"/>
      <c r="G8"/>
      <c r="H8"/>
      <c r="I8"/>
      <c r="J8"/>
      <c r="K8"/>
      <c r="L8" s="339" t="str">
        <f ca="1">IF(MAX($A$14:$A$94)&lt;&gt;MAX(PO!$V$12:$V$275),"ERRO: CRONOGRAMA DESATUALIZADO",IF(OR(COUNTIF($O$16:$X$16,"&gt;1")&gt;0,OFFSET($X$17,0,-1)&lt;&gt;$N$14),"ERRO: CRONOGRAMA NÃO FECHA EM 100%",""))</f>
        <v/>
      </c>
      <c r="M8" s="339"/>
      <c r="N8" s="135" t="str">
        <f>IF(TipoOrçamento="REPROGRAMADOAC","Qtde de Medições realizadas","")</f>
        <v/>
      </c>
      <c r="O8" s="151"/>
      <c r="P8"/>
      <c r="Q8"/>
      <c r="R8"/>
      <c r="S8"/>
      <c r="T8"/>
      <c r="U8"/>
      <c r="V8"/>
      <c r="W8"/>
      <c r="X8"/>
      <c r="AC8"/>
    </row>
    <row r="9" spans="1:29" s="32" customFormat="1" ht="14.1" customHeight="1" x14ac:dyDescent="0.2">
      <c r="A9" s="141">
        <v>2</v>
      </c>
      <c r="B9"/>
      <c r="C9"/>
      <c r="D9"/>
      <c r="E9"/>
      <c r="F9"/>
      <c r="G9"/>
      <c r="H9"/>
      <c r="I9"/>
      <c r="J9"/>
      <c r="K9"/>
      <c r="L9" s="1"/>
      <c r="M9" s="1"/>
      <c r="N9" s="134">
        <v>1</v>
      </c>
      <c r="O9" s="26">
        <f>IF(AND(TipoOrçamento="REPROGRAMADOAC",$N$9&gt;0),$N$9-1,0)</f>
        <v>0</v>
      </c>
      <c r="P9" s="125">
        <f t="shared" ref="P9:W9" ca="1" si="0">OFFSET(P9,0,-1)+1</f>
        <v>1</v>
      </c>
      <c r="Q9" s="125">
        <f t="shared" ca="1" si="0"/>
        <v>2</v>
      </c>
      <c r="R9" s="125">
        <f t="shared" ca="1" si="0"/>
        <v>3</v>
      </c>
      <c r="S9" s="125">
        <f t="shared" ca="1" si="0"/>
        <v>4</v>
      </c>
      <c r="T9" s="125">
        <f t="shared" ca="1" si="0"/>
        <v>5</v>
      </c>
      <c r="U9" s="125">
        <f t="shared" ca="1" si="0"/>
        <v>6</v>
      </c>
      <c r="V9" s="125">
        <f t="shared" ca="1" si="0"/>
        <v>7</v>
      </c>
      <c r="W9" s="125">
        <f t="shared" ca="1" si="0"/>
        <v>8</v>
      </c>
      <c r="X9"/>
      <c r="AC9" s="125">
        <f ca="1">OFFSET(AC9,0,-1)+1</f>
        <v>1</v>
      </c>
    </row>
    <row r="10" spans="1:29" s="34" customFormat="1" ht="30" customHeight="1" x14ac:dyDescent="0.2">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15/12/24</v>
      </c>
      <c r="P10" s="186" t="str">
        <f ca="1">IF(AND(TipoOrçamento="REPROGRAMADOAC",$N$9&gt;0,N10="Valores Totais (R$)"),"Parcela "&amp;$N$9&amp;" Executado","Parcela "&amp;P$9&amp;CHAR(10)&amp;TEXT(DATE(YEAR(DADOS!$A$48),MONTH(DADOS!$A$48)+P$9-IF(AND(TipoOrçamento="REPROGRAMADOAC",$N$9&gt;0),$N$9,0),1),"mmm/aa"))</f>
        <v>Parcela 1
jan/25</v>
      </c>
      <c r="Q10" s="177" t="str">
        <f ca="1">IF(AND(TipoOrçamento="REPROGRAMADOAC",$N$9&gt;0,O10="Valores Totais (R$)"),"Parcela "&amp;$N$9&amp;" Executado","Parcela "&amp;Q$9&amp;CHAR(10)&amp;TEXT(DATE(YEAR(DADOS!$A$48),MONTH(DADOS!$A$48)+Q$9-IF(AND(TipoOrçamento="REPROGRAMADOAC",$N$9&gt;0),$N$9,0),1),"mmm/aa"))</f>
        <v>Parcela 2
fev/25</v>
      </c>
      <c r="R10" s="177" t="str">
        <f ca="1">IF(AND(TipoOrçamento="REPROGRAMADOAC",$N$9&gt;0,P10="Valores Totais (R$)"),"Parcela "&amp;$N$9&amp;" Executado","Parcela "&amp;R$9&amp;CHAR(10)&amp;TEXT(DATE(YEAR(DADOS!$A$48),MONTH(DADOS!$A$48)+R$9-IF(AND(TipoOrçamento="REPROGRAMADOAC",$N$9&gt;0),$N$9,0),1),"mmm/aa"))</f>
        <v>Parcela 3
mar/25</v>
      </c>
      <c r="S10" s="177" t="str">
        <f ca="1">IF(AND(TipoOrçamento="REPROGRAMADOAC",$N$9&gt;0,Q10="Valores Totais (R$)"),"Parcela "&amp;$N$9&amp;" Executado","Parcela "&amp;S$9&amp;CHAR(10)&amp;TEXT(DATE(YEAR(DADOS!$A$48),MONTH(DADOS!$A$48)+S$9-IF(AND(TipoOrçamento="REPROGRAMADOAC",$N$9&gt;0),$N$9,0),1),"mmm/aa"))</f>
        <v>Parcela 4
abr/25</v>
      </c>
      <c r="T10" s="177" t="str">
        <f ca="1">IF(AND(TipoOrçamento="REPROGRAMADOAC",$N$9&gt;0,R10="Valores Totais (R$)"),"Parcela "&amp;$N$9&amp;" Executado","Parcela "&amp;T$9&amp;CHAR(10)&amp;TEXT(DATE(YEAR(DADOS!$A$48),MONTH(DADOS!$A$48)+T$9-IF(AND(TipoOrçamento="REPROGRAMADOAC",$N$9&gt;0),$N$9,0),1),"mmm/aa"))</f>
        <v>Parcela 5
mai/25</v>
      </c>
      <c r="U10" s="177" t="str">
        <f ca="1">IF(AND(TipoOrçamento="REPROGRAMADOAC",$N$9&gt;0,S10="Valores Totais (R$)"),"Parcela "&amp;$N$9&amp;" Executado","Parcela "&amp;U$9&amp;CHAR(10)&amp;TEXT(DATE(YEAR(DADOS!$A$48),MONTH(DADOS!$A$48)+U$9-IF(AND(TipoOrçamento="REPROGRAMADOAC",$N$9&gt;0),$N$9,0),1),"mmm/aa"))</f>
        <v>Parcela 6
jun/25</v>
      </c>
      <c r="V10" s="177" t="str">
        <f ca="1">IF(AND(TipoOrçamento="REPROGRAMADOAC",$N$9&gt;0,T10="Valores Totais (R$)"),"Parcela "&amp;$N$9&amp;" Executado","Parcela "&amp;V$9&amp;CHAR(10)&amp;TEXT(DATE(YEAR(DADOS!$A$48),MONTH(DADOS!$A$48)+V$9-IF(AND(TipoOrçamento="REPROGRAMADOAC",$N$9&gt;0),$N$9,0),1),"mmm/aa"))</f>
        <v>Parcela 7
jul/25</v>
      </c>
      <c r="W10" s="189" t="str">
        <f ca="1">IF(AND(TipoOrçamento="REPROGRAMADOAC",$N$9&gt;0,U10="Valores Totais (R$)"),"Parcela "&amp;$N$9&amp;" Executado","Parcela "&amp;W$9&amp;CHAR(10)&amp;TEXT(DATE(YEAR(DADOS!$A$48),MONTH(DADOS!$A$48)+W$9-IF(AND(TipoOrçamento="REPROGRAMADOAC",$N$9&gt;0),$N$9,0),1),"mmm/aa"))</f>
        <v>Parcela 8
ago/25</v>
      </c>
      <c r="X10" s="162"/>
      <c r="AC10" s="177" t="str">
        <f ca="1">IF(AND(TipoOrçamento="REPROGRAMADOAC",$N$9&gt;0,AA10="Valores Totais (R$)"),"Parcela "&amp;$N$9&amp;" Executado","Parcela "&amp;AC$9&amp;CHAR(10)&amp;TEXT(DATE(YEAR(DADOS!$A$48),MONTH(DADOS!$A$48)+AC$9-IF(AND(TipoOrçamento="REPROGRAMADOAC",$N$9&gt;0),$N$9,0),1),"mmm/aa"))</f>
        <v>Parcela 1
jan/25</v>
      </c>
    </row>
    <row r="11" spans="1:29" customFormat="1" ht="14.25" hidden="1" customHeight="1" x14ac:dyDescent="0.2">
      <c r="A11" s="1"/>
      <c r="B11" s="1"/>
      <c r="C11" s="1"/>
      <c r="D11" s="1"/>
      <c r="E11" s="1"/>
      <c r="F11" s="1"/>
      <c r="G11" s="1"/>
      <c r="H11" s="1"/>
      <c r="I11" s="1"/>
      <c r="J11" s="1"/>
      <c r="K11" s="1"/>
      <c r="L11" s="333" t="e">
        <f ca="1">INDEX(PO!K$12:K$275,MATCH($A13,PO!$V$12:$V$275,0))</f>
        <v>#VALUE!</v>
      </c>
      <c r="M11" s="335" t="e">
        <f ca="1">INDEX(PO!N$12:N$275,MATCH($A13,PO!$V$12:$V$275,0))</f>
        <v>#VALUE!</v>
      </c>
      <c r="N11" s="337"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63"/>
      <c r="AC11" s="188" t="e">
        <f ca="1">IF($B13,0,AC12-IF(ISNUMBER(AB12),AB12,0))</f>
        <v>#VALUE!</v>
      </c>
    </row>
    <row r="12" spans="1:29" customFormat="1" ht="14.25" hidden="1" x14ac:dyDescent="0.2">
      <c r="A12" s="11"/>
      <c r="B12" s="11"/>
      <c r="C12" s="11"/>
      <c r="D12" s="11"/>
      <c r="E12" s="11"/>
      <c r="F12" s="11"/>
      <c r="G12" s="11"/>
      <c r="H12" s="11"/>
      <c r="I12" s="11"/>
      <c r="J12" s="11"/>
      <c r="K12" s="11"/>
      <c r="L12" s="334"/>
      <c r="M12" s="336"/>
      <c r="N12" s="338"/>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4.25" hidden="1" x14ac:dyDescent="0.2">
      <c r="A13" s="11" t="e">
        <f ca="1">OFFSET(A13,-CFF.NumLinha,0)+1</f>
        <v>#VALUE!</v>
      </c>
      <c r="B13" s="11" t="e">
        <f ca="1">$C13&gt;=OFFSET($C13,CFF.NumLinha,0)</f>
        <v>#VALUE!</v>
      </c>
      <c r="C13" s="11" t="e">
        <f ca="1">INDEX(PO!A$12:A$275,MATCH($A13,PO!$V$12:$V$275,0))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MATCH(0,OFFSET($D13,1,$C13,ROW($A$93)-ROW($A13)),0)</f>
        <v>#VALUE!</v>
      </c>
      <c r="J13" s="11" t="e">
        <f ca="1">MATCH(OFFSET($D13,0,$C13)+1,OFFSET($D13,1,$C13,ROW($A$93)-ROW($A13)),0)</f>
        <v>#VALUE!</v>
      </c>
      <c r="K13" s="156" t="e">
        <f ca="1">ROUND(INDEX(PO!T$12:T$275,MATCH($A13,PO!$V$12:$V$275,0)),2)+10^-12</f>
        <v>#VALUE!</v>
      </c>
      <c r="L13" s="334"/>
      <c r="M13" s="336"/>
      <c r="N13" s="338"/>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x14ac:dyDescent="0.2">
      <c r="A14"/>
      <c r="B14"/>
      <c r="C14"/>
      <c r="D14"/>
      <c r="E14"/>
      <c r="F14"/>
      <c r="G14"/>
      <c r="H14"/>
      <c r="I14"/>
      <c r="J14"/>
      <c r="K14"/>
      <c r="L14" s="345" t="s">
        <v>19</v>
      </c>
      <c r="M14" s="346"/>
      <c r="N14" s="351">
        <f ca="1">IF(PO!$T$12=0,10^-12,PO!$T$12)</f>
        <v>1247735.9999999993</v>
      </c>
      <c r="O14" s="142" t="s">
        <v>143</v>
      </c>
      <c r="P14" s="172">
        <f ca="1">ROUND(P15/$N14,4)</f>
        <v>0.1042</v>
      </c>
      <c r="Q14" s="173">
        <f t="shared" ref="Q14:W14" ca="1" si="4">ROUND(Q15/$N14,4)</f>
        <v>5.16E-2</v>
      </c>
      <c r="R14" s="173">
        <f t="shared" ca="1" si="4"/>
        <v>3.32E-2</v>
      </c>
      <c r="S14" s="173">
        <f t="shared" ca="1" si="4"/>
        <v>8.8499999999999995E-2</v>
      </c>
      <c r="T14" s="173">
        <f t="shared" ca="1" si="4"/>
        <v>7.1800000000000003E-2</v>
      </c>
      <c r="U14" s="173">
        <f t="shared" ca="1" si="4"/>
        <v>5.7599999999999998E-2</v>
      </c>
      <c r="V14" s="173">
        <f t="shared" ca="1" si="4"/>
        <v>2.8E-3</v>
      </c>
      <c r="W14" s="173">
        <f t="shared" ca="1" si="4"/>
        <v>0.59030000000000005</v>
      </c>
      <c r="X14" s="146"/>
      <c r="AC14" s="173">
        <f ca="1">ROUND(AC15/$N14,4)</f>
        <v>0</v>
      </c>
    </row>
    <row r="15" spans="1:29" s="35" customFormat="1" ht="12.75" customHeight="1" x14ac:dyDescent="0.2">
      <c r="A15"/>
      <c r="B15"/>
      <c r="C15"/>
      <c r="D15"/>
      <c r="E15"/>
      <c r="F15"/>
      <c r="G15"/>
      <c r="H15"/>
      <c r="I15"/>
      <c r="J15"/>
      <c r="K15"/>
      <c r="L15" s="347"/>
      <c r="M15" s="348"/>
      <c r="N15" s="352"/>
      <c r="O15" s="131" t="s">
        <v>144</v>
      </c>
      <c r="P15" s="167">
        <f ca="1">P17-IF(ISNUMBER(O17),O17,0)</f>
        <v>130053.88</v>
      </c>
      <c r="Q15" s="126">
        <f t="shared" ref="Q15:W15" ca="1" si="5">Q17-IF(ISNUMBER(P17),P17,0)</f>
        <v>64412.5</v>
      </c>
      <c r="R15" s="126">
        <f t="shared" ca="1" si="5"/>
        <v>41394.449999999983</v>
      </c>
      <c r="S15" s="126">
        <f t="shared" ca="1" si="5"/>
        <v>110363.29000000001</v>
      </c>
      <c r="T15" s="126">
        <f t="shared" ca="1" si="5"/>
        <v>89629.270000000019</v>
      </c>
      <c r="U15" s="126">
        <f t="shared" ca="1" si="5"/>
        <v>71827.88</v>
      </c>
      <c r="V15" s="126">
        <f t="shared" ca="1" si="5"/>
        <v>3489.7099999999627</v>
      </c>
      <c r="W15" s="126">
        <f t="shared" ca="1" si="5"/>
        <v>736565.02</v>
      </c>
      <c r="X15" s="146"/>
      <c r="AC15" s="126">
        <f ca="1">AC17-IF(ISNUMBER(AB17),AB17,0)</f>
        <v>0</v>
      </c>
    </row>
    <row r="16" spans="1:29" s="35" customFormat="1" ht="12.75" customHeight="1" x14ac:dyDescent="0.2">
      <c r="A16"/>
      <c r="B16"/>
      <c r="C16"/>
      <c r="D16"/>
      <c r="E16"/>
      <c r="F16"/>
      <c r="G16"/>
      <c r="H16"/>
      <c r="I16"/>
      <c r="J16"/>
      <c r="K16"/>
      <c r="L16" s="347"/>
      <c r="M16" s="348"/>
      <c r="N16" s="352"/>
      <c r="O16" s="132" t="s">
        <v>145</v>
      </c>
      <c r="P16" s="168">
        <f ca="1">ROUND(P17/$N14,4)</f>
        <v>0.1042</v>
      </c>
      <c r="Q16" s="127">
        <f t="shared" ref="Q16:W16" ca="1" si="6">ROUND(Q17/$N14,4)</f>
        <v>0.15590000000000001</v>
      </c>
      <c r="R16" s="127">
        <f t="shared" ca="1" si="6"/>
        <v>0.189</v>
      </c>
      <c r="S16" s="127">
        <f t="shared" ca="1" si="6"/>
        <v>0.27750000000000002</v>
      </c>
      <c r="T16" s="127">
        <f t="shared" ca="1" si="6"/>
        <v>0.3493</v>
      </c>
      <c r="U16" s="127">
        <f t="shared" ca="1" si="6"/>
        <v>0.40689999999999998</v>
      </c>
      <c r="V16" s="127">
        <f t="shared" ca="1" si="6"/>
        <v>0.40970000000000001</v>
      </c>
      <c r="W16" s="127">
        <f t="shared" ca="1" si="6"/>
        <v>1</v>
      </c>
      <c r="X16" s="146"/>
      <c r="AC16" s="127">
        <f ca="1">ROUND(AC17/$N14,4)</f>
        <v>0</v>
      </c>
    </row>
    <row r="17" spans="1:29" s="35" customFormat="1" ht="12.75" customHeight="1" x14ac:dyDescent="0.2">
      <c r="A17" s="19">
        <v>0</v>
      </c>
      <c r="B17"/>
      <c r="C17"/>
      <c r="D17" s="19">
        <f>ROW(D$93)-ROW(D18)</f>
        <v>75</v>
      </c>
      <c r="E17"/>
      <c r="F17"/>
      <c r="G17"/>
      <c r="H17"/>
      <c r="I17"/>
      <c r="J17"/>
      <c r="K17"/>
      <c r="L17" s="349"/>
      <c r="M17" s="350"/>
      <c r="N17" s="353"/>
      <c r="O17" s="133" t="s">
        <v>20</v>
      </c>
      <c r="P17" s="169">
        <f ca="1">SUMIF(OFFSET($C17,1,0):$C$93,1,OFFSET(P17,1,0):P$93)</f>
        <v>130053.88</v>
      </c>
      <c r="Q17" s="128">
        <f ca="1">SUMIF(OFFSET($C17,1,0):$C$93,1,OFFSET(Q17,1,0):Q$93)</f>
        <v>194466.38</v>
      </c>
      <c r="R17" s="128">
        <f ca="1">SUMIF(OFFSET($C17,1,0):$C$93,1,OFFSET(R17,1,0):R$93)</f>
        <v>235860.83</v>
      </c>
      <c r="S17" s="128">
        <f ca="1">SUMIF(OFFSET($C17,1,0):$C$93,1,OFFSET(S17,1,0):S$93)</f>
        <v>346224.12</v>
      </c>
      <c r="T17" s="128">
        <f ca="1">SUMIF(OFFSET($C17,1,0):$C$93,1,OFFSET(T17,1,0):T$93)</f>
        <v>435853.39</v>
      </c>
      <c r="U17" s="128">
        <f ca="1">SUMIF(OFFSET($C17,1,0):$C$93,1,OFFSET(U17,1,0):U$93)</f>
        <v>507681.27</v>
      </c>
      <c r="V17" s="128">
        <f ca="1">SUMIF(OFFSET($C17,1,0):$C$93,1,OFFSET(V17,1,0):V$93)</f>
        <v>511170.98</v>
      </c>
      <c r="W17" s="128">
        <f ca="1">SUMIF(OFFSET($C17,1,0):$C$93,1,OFFSET(W17,1,0):W$93)</f>
        <v>1247736</v>
      </c>
      <c r="X17" s="146"/>
      <c r="AC17" s="128">
        <f ca="1">SUMIF(OFFSET($C17,1,0):$C$93,1,OFFSET(AC17,1,0):AC$93)</f>
        <v>0</v>
      </c>
    </row>
    <row r="18" spans="1:29" customFormat="1" ht="14.25" customHeight="1" x14ac:dyDescent="0.2">
      <c r="L18" s="333" t="str">
        <f ca="1">INDEX(PO!K$12:K$275,MATCH($A20,PO!$V$12:$V$275,0))</f>
        <v>1.</v>
      </c>
      <c r="M18" s="335" t="str">
        <f ca="1">INDEX(PO!N$12:N$275,MATCH($A20,PO!$V$12:$V$275,0))</f>
        <v>OBRA EMEF 21 DE ABRIL</v>
      </c>
      <c r="N18" s="337">
        <f ca="1">IF(ROUND(K20,2)=0,K20,ROUND(K20,2))</f>
        <v>1247736</v>
      </c>
      <c r="O18" s="170" t="s">
        <v>143</v>
      </c>
      <c r="P18" s="192">
        <f t="shared" ref="P18:W18" ca="1" si="7">IF($B20,0,P19-IF(ISNUMBER(O19),O19,0))</f>
        <v>0.10423188879698911</v>
      </c>
      <c r="Q18" s="193">
        <f t="shared" ca="1" si="7"/>
        <v>5.1623500484076768E-2</v>
      </c>
      <c r="R18" s="193">
        <f t="shared" ca="1" si="7"/>
        <v>3.3175647733174302E-2</v>
      </c>
      <c r="S18" s="193">
        <f t="shared" ca="1" si="7"/>
        <v>8.8450834150813951E-2</v>
      </c>
      <c r="T18" s="193">
        <f t="shared" ca="1" si="7"/>
        <v>7.1833520873005208E-2</v>
      </c>
      <c r="U18" s="193">
        <f t="shared" ca="1" si="7"/>
        <v>5.7566568568992171E-2</v>
      </c>
      <c r="V18" s="193">
        <f t="shared" ca="1" si="7"/>
        <v>2.7968336250616677E-3</v>
      </c>
      <c r="W18" s="194">
        <f t="shared" ca="1" si="7"/>
        <v>0.59032120576788683</v>
      </c>
      <c r="X18" s="164" t="s">
        <v>106</v>
      </c>
      <c r="AC18" s="188">
        <f ca="1">IF($B20,0,AC19-IF(ISNUMBER(AB19),AB19,0))</f>
        <v>0</v>
      </c>
    </row>
    <row r="19" spans="1:29" customFormat="1" ht="14.25" x14ac:dyDescent="0.2">
      <c r="L19" s="334"/>
      <c r="M19" s="336"/>
      <c r="N19" s="338"/>
      <c r="O19" s="145" t="s">
        <v>145</v>
      </c>
      <c r="P19" s="165">
        <f t="shared" ref="P19:W19" ca="1" si="8">MIN(IF($B20,P18+IF(ISNUMBER(O19),O19,0),P20/$N18),1)</f>
        <v>0.10423188879698911</v>
      </c>
      <c r="Q19" s="143">
        <f t="shared" ca="1" si="8"/>
        <v>0.15585538928106588</v>
      </c>
      <c r="R19" s="143">
        <f t="shared" ca="1" si="8"/>
        <v>0.18903103701424018</v>
      </c>
      <c r="S19" s="143">
        <f t="shared" ca="1" si="8"/>
        <v>0.27748187116505413</v>
      </c>
      <c r="T19" s="143">
        <f t="shared" ca="1" si="8"/>
        <v>0.34931539203805934</v>
      </c>
      <c r="U19" s="143">
        <f t="shared" ca="1" si="8"/>
        <v>0.40688196060705151</v>
      </c>
      <c r="V19" s="143">
        <f t="shared" ca="1" si="8"/>
        <v>0.40967879423211317</v>
      </c>
      <c r="W19" s="143">
        <f t="shared" ca="1" si="8"/>
        <v>1</v>
      </c>
      <c r="X19" s="163"/>
      <c r="AC19" s="143">
        <f ca="1">MIN(IF($B20,AC18+IF(ISNUMBER(AB19),AB19,0),AC20/$N18),1)</f>
        <v>0</v>
      </c>
    </row>
    <row r="20" spans="1:29" customFormat="1" ht="14.25" x14ac:dyDescent="0.2">
      <c r="A20" s="19">
        <f ca="1">OFFSET(A20,-CFF.NumLinha,0)+1</f>
        <v>1</v>
      </c>
      <c r="B20" t="b">
        <f ca="1">$C20&gt;=OFFSET($C20,CFF.NumLinha,0)</f>
        <v>0</v>
      </c>
      <c r="C20" s="11">
        <f ca="1">INDEX(PO!A$12:A$275,MATCH($A20,PO!$V$12:$V$275,0))</f>
        <v>1</v>
      </c>
      <c r="D20" s="11">
        <f ca="1">IF(ISERROR(J20),I20,SMALL(I20:J20,1))-1</f>
        <v>72</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MATCH(0,OFFSET($D20,1,$C20,ROW($A$93)-ROW($A20)),0)</f>
        <v>73</v>
      </c>
      <c r="J20" s="11" t="e">
        <f ca="1">MATCH(OFFSET($D20,0,$C20)+1,OFFSET($D20,1,$C20,ROW($A$93)-ROW($A20)),0)</f>
        <v>#N/A</v>
      </c>
      <c r="K20" s="156">
        <f ca="1">ROUND(INDEX(PO!T$12:T$275,MATCH($A20,PO!$V$12:$V$275,0)),2)+10^-12</f>
        <v>1247736</v>
      </c>
      <c r="L20" s="334"/>
      <c r="M20" s="336"/>
      <c r="N20" s="338"/>
      <c r="O20" s="171" t="s">
        <v>20</v>
      </c>
      <c r="P20" s="166">
        <f t="shared" ref="P20:W20" ca="1" si="9">IF($B20,ROUND(P19*$N18,2),ROUND(SUMIF(OFFSET($B20,1,0,$D20),TRUE,OFFSET(P20,1,0,$D20))/SUMIF(OFFSET($B20,1,0,$D20),TRUE,OFFSET($K20,1,0,$D20))*$N18,2))</f>
        <v>130053.88</v>
      </c>
      <c r="Q20" s="144">
        <f t="shared" ca="1" si="9"/>
        <v>194466.38</v>
      </c>
      <c r="R20" s="144">
        <f t="shared" ca="1" si="9"/>
        <v>235860.83</v>
      </c>
      <c r="S20" s="144">
        <f t="shared" ca="1" si="9"/>
        <v>346224.12</v>
      </c>
      <c r="T20" s="144">
        <f t="shared" ca="1" si="9"/>
        <v>435853.39</v>
      </c>
      <c r="U20" s="144">
        <f t="shared" ca="1" si="9"/>
        <v>507681.27</v>
      </c>
      <c r="V20" s="144">
        <f t="shared" ca="1" si="9"/>
        <v>511170.98</v>
      </c>
      <c r="W20" s="174">
        <f t="shared" ca="1" si="9"/>
        <v>1247736</v>
      </c>
      <c r="X20" s="163"/>
      <c r="AC20" s="144">
        <f ca="1">IF($B20,ROUND(AC19*$N18,2),ROUND(SUMIF(OFFSET($B20,1,0,$D20),TRUE,OFFSET(AC20,1,0,$D20))/SUMIF(OFFSET($B20,1,0,$D20),TRUE,OFFSET($K20,1,0,$D20))*$N18,2))</f>
        <v>0</v>
      </c>
    </row>
    <row r="21" spans="1:29" customFormat="1" ht="14.25" customHeight="1" x14ac:dyDescent="0.2">
      <c r="A21" s="1"/>
      <c r="B21" s="1"/>
      <c r="C21" s="1"/>
      <c r="D21" s="1"/>
      <c r="E21" s="1"/>
      <c r="F21" s="1"/>
      <c r="G21" s="1"/>
      <c r="H21" s="1"/>
      <c r="I21" s="1"/>
      <c r="J21" s="1"/>
      <c r="K21" s="1"/>
      <c r="L21" s="333" t="str">
        <f ca="1">INDEX(PO!K$12:K$275,MATCH($A23,PO!$V$12:$V$275,0))</f>
        <v>1.1.</v>
      </c>
      <c r="M21" s="335" t="str">
        <f ca="1">INDEX(PO!N$12:N$275,MATCH($A23,PO!$V$12:$V$275,0))</f>
        <v>SERVIÇOS INICIAIS</v>
      </c>
      <c r="N21" s="337">
        <f t="shared" ref="N21" ca="1" si="10">IF(ROUND(K23,2)=0,K23,ROUND(K23,2))</f>
        <v>6051.19</v>
      </c>
      <c r="O21" s="187" t="s">
        <v>143</v>
      </c>
      <c r="P21" s="192">
        <v>1</v>
      </c>
      <c r="Q21" s="193">
        <f t="shared" ref="Q21" ca="1" si="11">IF($B23,0,Q22-IF(ISNUMBER(P22),P22,0))</f>
        <v>0</v>
      </c>
      <c r="R21" s="193">
        <f t="shared" ref="R21" ca="1" si="12">IF($B23,0,R22-IF(ISNUMBER(Q22),Q22,0))</f>
        <v>0</v>
      </c>
      <c r="S21" s="193">
        <f t="shared" ref="S21" ca="1" si="13">IF($B23,0,S22-IF(ISNUMBER(R22),R22,0))</f>
        <v>0</v>
      </c>
      <c r="T21" s="193">
        <f t="shared" ref="T21" ca="1" si="14">IF($B23,0,T22-IF(ISNUMBER(S22),S22,0))</f>
        <v>0</v>
      </c>
      <c r="U21" s="193">
        <f t="shared" ref="U21" ca="1" si="15">IF($B23,0,U22-IF(ISNUMBER(T22),T22,0))</f>
        <v>0</v>
      </c>
      <c r="V21" s="193">
        <f t="shared" ref="V21" ca="1" si="16">IF($B23,0,V22-IF(ISNUMBER(U22),U22,0))</f>
        <v>0</v>
      </c>
      <c r="W21" s="194">
        <f t="shared" ref="W21" ca="1" si="17">IF($B23,0,W22-IF(ISNUMBER(V22),V22,0))</f>
        <v>0</v>
      </c>
      <c r="X21" s="163"/>
      <c r="AC21" s="188">
        <f t="shared" ref="AC21" ca="1" si="18">IF($B23,0,AC22-IF(ISNUMBER(AB22),AB22,0))</f>
        <v>0</v>
      </c>
    </row>
    <row r="22" spans="1:29" customFormat="1" ht="14.25" x14ac:dyDescent="0.2">
      <c r="A22" s="11"/>
      <c r="B22" s="11"/>
      <c r="C22" s="11"/>
      <c r="D22" s="11"/>
      <c r="E22" s="11"/>
      <c r="F22" s="11"/>
      <c r="G22" s="11"/>
      <c r="H22" s="11"/>
      <c r="I22" s="11"/>
      <c r="J22" s="11"/>
      <c r="K22" s="11"/>
      <c r="L22" s="334"/>
      <c r="M22" s="336"/>
      <c r="N22" s="338"/>
      <c r="O22" s="145" t="s">
        <v>145</v>
      </c>
      <c r="P22" s="165">
        <f t="shared" ref="P22" ca="1" si="19">MIN(IF($B23,P21+IF(ISNUMBER(O22),O22,0),P23/$N21),1)</f>
        <v>1</v>
      </c>
      <c r="Q22" s="143">
        <f t="shared" ref="Q22" ca="1" si="20">MIN(IF($B23,Q21+IF(ISNUMBER(P22),P22,0),Q23/$N21),1)</f>
        <v>1</v>
      </c>
      <c r="R22" s="143">
        <f t="shared" ref="R22" ca="1" si="21">MIN(IF($B23,R21+IF(ISNUMBER(Q22),Q22,0),R23/$N21),1)</f>
        <v>1</v>
      </c>
      <c r="S22" s="143">
        <f t="shared" ref="S22" ca="1" si="22">MIN(IF($B23,S21+IF(ISNUMBER(R22),R22,0),S23/$N21),1)</f>
        <v>1</v>
      </c>
      <c r="T22" s="143">
        <f t="shared" ref="T22" ca="1" si="23">MIN(IF($B23,T21+IF(ISNUMBER(S22),S22,0),T23/$N21),1)</f>
        <v>1</v>
      </c>
      <c r="U22" s="143">
        <f t="shared" ref="U22" ca="1" si="24">MIN(IF($B23,U21+IF(ISNUMBER(T22),T22,0),U23/$N21),1)</f>
        <v>1</v>
      </c>
      <c r="V22" s="143">
        <f t="shared" ref="V22" ca="1" si="25">MIN(IF($B23,V21+IF(ISNUMBER(U22),U22,0),V23/$N21),1)</f>
        <v>1</v>
      </c>
      <c r="W22" s="143">
        <f t="shared" ref="W22" ca="1" si="26">MIN(IF($B23,W21+IF(ISNUMBER(V22),V22,0),W23/$N21),1)</f>
        <v>1</v>
      </c>
      <c r="X22" s="163"/>
      <c r="AC22" s="143">
        <f t="shared" ref="AC22" ca="1" si="27">MIN(IF($B23,AC21+IF(ISNUMBER(AB22),AB22,0),AC23/$N21),1)</f>
        <v>0</v>
      </c>
    </row>
    <row r="23" spans="1:29" customFormat="1" ht="14.25" x14ac:dyDescent="0.2">
      <c r="A23" s="11">
        <f ca="1">OFFSET(A23,-CFF.NumLinha,0)+1</f>
        <v>2</v>
      </c>
      <c r="B23" s="11" t="b">
        <f ca="1">$C23&gt;=OFFSET($C23,CFF.NumLinha,0)</f>
        <v>1</v>
      </c>
      <c r="C23" s="11">
        <f ca="1">INDEX(PO!A$12:A$275,MATCH($A23,PO!$V$12:$V$275,0))</f>
        <v>2</v>
      </c>
      <c r="D23" s="11">
        <f t="shared" ref="D23" ca="1" si="28">IF(ISERROR(J23),I23,SMALL(I23:J23,1))-1</f>
        <v>2</v>
      </c>
      <c r="E23" s="11">
        <f ca="1">IF($C23=1,OFFSET(E23,-CFF.NumLinha,0)+1,OFFSET(E23,-CFF.NumLinha,0))</f>
        <v>1</v>
      </c>
      <c r="F23" s="11">
        <f ca="1">IF($C23=1,0,IF($C23=2,OFFSET(F23,-CFF.NumLinha,0)+1,OFFSET(F23,-CFF.NumLinha,0)))</f>
        <v>1</v>
      </c>
      <c r="G23" s="11">
        <f ca="1">IF(AND($C23&lt;=2,$C23&lt;&gt;0),0,IF($C23=3,OFFSET(G23,-CFF.NumLinha,0)+1,OFFSET(G23,-CFF.NumLinha,0)))</f>
        <v>0</v>
      </c>
      <c r="H23" s="11">
        <f ca="1">IF(AND($C23&lt;=3,$C23&lt;&gt;0),0,IF($C23=4,OFFSET(H23,-CFF.NumLinha,0)+1,OFFSET(H23,-CFF.NumLinha,0)))</f>
        <v>0</v>
      </c>
      <c r="I23" s="11">
        <f ca="1">MATCH(0,OFFSET($D23,1,$C23,ROW($A$93)-ROW($A23)),0)</f>
        <v>70</v>
      </c>
      <c r="J23" s="11">
        <f ca="1">MATCH(OFFSET($D23,0,$C23)+1,OFFSET($D23,1,$C23,ROW($A$93)-ROW($A23)),0)</f>
        <v>3</v>
      </c>
      <c r="K23" s="156">
        <f ca="1">ROUND(INDEX(PO!T$12:T$275,MATCH($A23,PO!$V$12:$V$275,0)),2)+10^-12</f>
        <v>6051.1900000000005</v>
      </c>
      <c r="L23" s="334"/>
      <c r="M23" s="336"/>
      <c r="N23" s="338"/>
      <c r="O23" s="171" t="s">
        <v>20</v>
      </c>
      <c r="P23" s="166">
        <f t="shared" ref="P23:W23" ca="1" si="29">IF($B23,ROUND(P22*$N21,2),ROUND(SUMIF(OFFSET($B23,1,0,$D23),TRUE,OFFSET(P23,1,0,$D23))/SUMIF(OFFSET($B23,1,0,$D23),TRUE,OFFSET($K23,1,0,$D23))*$N21,2))</f>
        <v>6051.19</v>
      </c>
      <c r="Q23" s="144">
        <f t="shared" ca="1" si="29"/>
        <v>6051.19</v>
      </c>
      <c r="R23" s="144">
        <f t="shared" ca="1" si="29"/>
        <v>6051.19</v>
      </c>
      <c r="S23" s="144">
        <f t="shared" ca="1" si="29"/>
        <v>6051.19</v>
      </c>
      <c r="T23" s="144">
        <f t="shared" ca="1" si="29"/>
        <v>6051.19</v>
      </c>
      <c r="U23" s="144">
        <f t="shared" ca="1" si="29"/>
        <v>6051.19</v>
      </c>
      <c r="V23" s="144">
        <f t="shared" ca="1" si="29"/>
        <v>6051.19</v>
      </c>
      <c r="W23" s="174">
        <f t="shared" ca="1" si="29"/>
        <v>6051.19</v>
      </c>
      <c r="X23" s="163"/>
      <c r="AC23" s="144">
        <f t="shared" ref="AC23" ca="1" si="30">IF($B23,ROUND(AC22*$N21,2),ROUND(SUMIF(OFFSET($B23,1,0,$D23),TRUE,OFFSET(AC23,1,0,$D23))/SUMIF(OFFSET($B23,1,0,$D23),TRUE,OFFSET($K23,1,0,$D23))*$N21,2))</f>
        <v>0</v>
      </c>
    </row>
    <row r="24" spans="1:29" customFormat="1" ht="14.25" customHeight="1" x14ac:dyDescent="0.2">
      <c r="A24" s="1"/>
      <c r="B24" s="1"/>
      <c r="C24" s="1"/>
      <c r="D24" s="1"/>
      <c r="E24" s="1"/>
      <c r="F24" s="1"/>
      <c r="G24" s="1"/>
      <c r="H24" s="1"/>
      <c r="I24" s="1"/>
      <c r="J24" s="1"/>
      <c r="K24" s="1"/>
      <c r="L24" s="333" t="str">
        <f ca="1">INDEX(PO!K$12:K$275,MATCH($A26,PO!$V$12:$V$275,0))</f>
        <v>1.2.</v>
      </c>
      <c r="M24" s="335" t="str">
        <f ca="1">INDEX(PO!N$12:N$275,MATCH($A26,PO!$V$12:$V$275,0))</f>
        <v>SAPATAS</v>
      </c>
      <c r="N24" s="337">
        <f t="shared" ref="N24" ca="1" si="31">IF(ROUND(K26,2)=0,K26,ROUND(K26,2))</f>
        <v>44535.5</v>
      </c>
      <c r="O24" s="187" t="s">
        <v>143</v>
      </c>
      <c r="P24" s="192">
        <v>1</v>
      </c>
      <c r="Q24" s="193">
        <v>0.8</v>
      </c>
      <c r="R24" s="193">
        <f t="shared" ref="R24" ca="1" si="32">IF($B26,0,R25-IF(ISNUMBER(Q25),Q25,0))</f>
        <v>0</v>
      </c>
      <c r="S24" s="193">
        <f t="shared" ref="S24" ca="1" si="33">IF($B26,0,S25-IF(ISNUMBER(R25),R25,0))</f>
        <v>0</v>
      </c>
      <c r="T24" s="193">
        <f t="shared" ref="T24" ca="1" si="34">IF($B26,0,T25-IF(ISNUMBER(S25),S25,0))</f>
        <v>0</v>
      </c>
      <c r="U24" s="193">
        <f t="shared" ref="U24" ca="1" si="35">IF($B26,0,U25-IF(ISNUMBER(T25),T25,0))</f>
        <v>0</v>
      </c>
      <c r="V24" s="193">
        <f t="shared" ref="V24" ca="1" si="36">IF($B26,0,V25-IF(ISNUMBER(U25),U25,0))</f>
        <v>0</v>
      </c>
      <c r="W24" s="194">
        <f t="shared" ref="W24" ca="1" si="37">IF($B26,0,W25-IF(ISNUMBER(V25),V25,0))</f>
        <v>0</v>
      </c>
      <c r="X24" s="163"/>
      <c r="AC24" s="188">
        <f t="shared" ref="AC24" ca="1" si="38">IF($B26,0,AC25-IF(ISNUMBER(AB25),AB25,0))</f>
        <v>0</v>
      </c>
    </row>
    <row r="25" spans="1:29" customFormat="1" ht="14.25" x14ac:dyDescent="0.2">
      <c r="A25" s="11"/>
      <c r="B25" s="11"/>
      <c r="C25" s="11"/>
      <c r="D25" s="11"/>
      <c r="E25" s="11"/>
      <c r="F25" s="11"/>
      <c r="G25" s="11"/>
      <c r="H25" s="11"/>
      <c r="I25" s="11"/>
      <c r="J25" s="11"/>
      <c r="K25" s="11"/>
      <c r="L25" s="334"/>
      <c r="M25" s="336"/>
      <c r="N25" s="338"/>
      <c r="O25" s="145" t="s">
        <v>145</v>
      </c>
      <c r="P25" s="165">
        <f t="shared" ref="P25" ca="1" si="39">MIN(IF($B26,P24+IF(ISNUMBER(O25),O25,0),P26/$N24),1)</f>
        <v>1</v>
      </c>
      <c r="Q25" s="143">
        <f t="shared" ref="Q25" ca="1" si="40">MIN(IF($B26,Q24+IF(ISNUMBER(P25),P25,0),Q26/$N24),1)</f>
        <v>1</v>
      </c>
      <c r="R25" s="143">
        <f t="shared" ref="R25" ca="1" si="41">MIN(IF($B26,R24+IF(ISNUMBER(Q25),Q25,0),R26/$N24),1)</f>
        <v>1</v>
      </c>
      <c r="S25" s="143">
        <f t="shared" ref="S25" ca="1" si="42">MIN(IF($B26,S24+IF(ISNUMBER(R25),R25,0),S26/$N24),1)</f>
        <v>1</v>
      </c>
      <c r="T25" s="143">
        <f t="shared" ref="T25" ca="1" si="43">MIN(IF($B26,T24+IF(ISNUMBER(S25),S25,0),T26/$N24),1)</f>
        <v>1</v>
      </c>
      <c r="U25" s="143">
        <f t="shared" ref="U25" ca="1" si="44">MIN(IF($B26,U24+IF(ISNUMBER(T25),T25,0),U26/$N24),1)</f>
        <v>1</v>
      </c>
      <c r="V25" s="143">
        <f t="shared" ref="V25" ca="1" si="45">MIN(IF($B26,V24+IF(ISNUMBER(U25),U25,0),V26/$N24),1)</f>
        <v>1</v>
      </c>
      <c r="W25" s="143">
        <f t="shared" ref="W25" ca="1" si="46">MIN(IF($B26,W24+IF(ISNUMBER(V25),V25,0),W26/$N24),1)</f>
        <v>1</v>
      </c>
      <c r="X25" s="163"/>
      <c r="AC25" s="143">
        <f t="shared" ref="AC25" ca="1" si="47">MIN(IF($B26,AC24+IF(ISNUMBER(AB25),AB25,0),AC26/$N24),1)</f>
        <v>0</v>
      </c>
    </row>
    <row r="26" spans="1:29" customFormat="1" ht="14.25" x14ac:dyDescent="0.2">
      <c r="A26" s="11">
        <f ca="1">OFFSET(A26,-CFF.NumLinha,0)+1</f>
        <v>3</v>
      </c>
      <c r="B26" s="11" t="b">
        <f ca="1">$C26&gt;=OFFSET($C26,CFF.NumLinha,0)</f>
        <v>1</v>
      </c>
      <c r="C26" s="11">
        <f ca="1">INDEX(PO!A$12:A$275,MATCH($A26,PO!$V$12:$V$275,0))</f>
        <v>2</v>
      </c>
      <c r="D26" s="11">
        <f t="shared" ref="D26" ca="1" si="48">IF(ISERROR(J26),I26,SMALL(I26:J26,1))-1</f>
        <v>2</v>
      </c>
      <c r="E26" s="11">
        <f ca="1">IF($C26=1,OFFSET(E26,-CFF.NumLinha,0)+1,OFFSET(E26,-CFF.NumLinha,0))</f>
        <v>1</v>
      </c>
      <c r="F26" s="11">
        <f ca="1">IF($C26=1,0,IF($C26=2,OFFSET(F26,-CFF.NumLinha,0)+1,OFFSET(F26,-CFF.NumLinha,0)))</f>
        <v>2</v>
      </c>
      <c r="G26" s="11">
        <f ca="1">IF(AND($C26&lt;=2,$C26&lt;&gt;0),0,IF($C26=3,OFFSET(G26,-CFF.NumLinha,0)+1,OFFSET(G26,-CFF.NumLinha,0)))</f>
        <v>0</v>
      </c>
      <c r="H26" s="11">
        <f ca="1">IF(AND($C26&lt;=3,$C26&lt;&gt;0),0,IF($C26=4,OFFSET(H26,-CFF.NumLinha,0)+1,OFFSET(H26,-CFF.NumLinha,0)))</f>
        <v>0</v>
      </c>
      <c r="I26" s="11">
        <f ca="1">MATCH(0,OFFSET($D26,1,$C26,ROW($A$93)-ROW($A26)),0)</f>
        <v>67</v>
      </c>
      <c r="J26" s="11">
        <f ca="1">MATCH(OFFSET($D26,0,$C26)+1,OFFSET($D26,1,$C26,ROW($A$93)-ROW($A26)),0)</f>
        <v>3</v>
      </c>
      <c r="K26" s="156">
        <f ca="1">ROUND(INDEX(PO!T$12:T$275,MATCH($A26,PO!$V$12:$V$275,0)),2)+10^-12</f>
        <v>44535.5</v>
      </c>
      <c r="L26" s="334"/>
      <c r="M26" s="336"/>
      <c r="N26" s="338"/>
      <c r="O26" s="171" t="s">
        <v>20</v>
      </c>
      <c r="P26" s="166">
        <f t="shared" ref="P26:W26" ca="1" si="49">IF($B26,ROUND(P25*$N24,2),ROUND(SUMIF(OFFSET($B26,1,0,$D26),TRUE,OFFSET(P26,1,0,$D26))/SUMIF(OFFSET($B26,1,0,$D26),TRUE,OFFSET($K26,1,0,$D26))*$N24,2))</f>
        <v>44535.5</v>
      </c>
      <c r="Q26" s="144">
        <f t="shared" ca="1" si="49"/>
        <v>44535.5</v>
      </c>
      <c r="R26" s="144">
        <f t="shared" ca="1" si="49"/>
        <v>44535.5</v>
      </c>
      <c r="S26" s="144">
        <f t="shared" ca="1" si="49"/>
        <v>44535.5</v>
      </c>
      <c r="T26" s="144">
        <f t="shared" ca="1" si="49"/>
        <v>44535.5</v>
      </c>
      <c r="U26" s="144">
        <f t="shared" ca="1" si="49"/>
        <v>44535.5</v>
      </c>
      <c r="V26" s="144">
        <f t="shared" ca="1" si="49"/>
        <v>44535.5</v>
      </c>
      <c r="W26" s="174">
        <f t="shared" ca="1" si="49"/>
        <v>44535.5</v>
      </c>
      <c r="X26" s="163"/>
      <c r="AC26" s="144">
        <f t="shared" ref="AC26" ca="1" si="50">IF($B26,ROUND(AC25*$N24,2),ROUND(SUMIF(OFFSET($B26,1,0,$D26),TRUE,OFFSET(AC26,1,0,$D26))/SUMIF(OFFSET($B26,1,0,$D26),TRUE,OFFSET($K26,1,0,$D26))*$N24,2))</f>
        <v>0</v>
      </c>
    </row>
    <row r="27" spans="1:29" customFormat="1" ht="14.25" customHeight="1" x14ac:dyDescent="0.2">
      <c r="A27" s="1"/>
      <c r="B27" s="1"/>
      <c r="C27" s="1"/>
      <c r="D27" s="1"/>
      <c r="E27" s="1"/>
      <c r="F27" s="1"/>
      <c r="G27" s="1"/>
      <c r="H27" s="1"/>
      <c r="I27" s="1"/>
      <c r="J27" s="1"/>
      <c r="K27" s="1"/>
      <c r="L27" s="333" t="str">
        <f ca="1">INDEX(PO!K$12:K$275,MATCH($A29,PO!$V$12:$V$275,0))</f>
        <v>1.3.</v>
      </c>
      <c r="M27" s="335" t="str">
        <f ca="1">INDEX(PO!N$12:N$275,MATCH($A29,PO!$V$12:$V$275,0))</f>
        <v>VIGAS BALDRAME</v>
      </c>
      <c r="N27" s="337">
        <f t="shared" ref="N27" ca="1" si="51">IF(ROUND(K29,2)=0,K29,ROUND(K29,2))</f>
        <v>51237.53</v>
      </c>
      <c r="O27" s="187" t="s">
        <v>143</v>
      </c>
      <c r="P27" s="192">
        <v>1</v>
      </c>
      <c r="Q27" s="193">
        <v>0.4</v>
      </c>
      <c r="R27" s="193">
        <v>0.6</v>
      </c>
      <c r="S27" s="193">
        <f t="shared" ref="S27" ca="1" si="52">IF($B29,0,S28-IF(ISNUMBER(R28),R28,0))</f>
        <v>0</v>
      </c>
      <c r="T27" s="193">
        <f t="shared" ref="T27" ca="1" si="53">IF($B29,0,T28-IF(ISNUMBER(S28),S28,0))</f>
        <v>0</v>
      </c>
      <c r="U27" s="193">
        <f t="shared" ref="U27" ca="1" si="54">IF($B29,0,U28-IF(ISNUMBER(T28),T28,0))</f>
        <v>0</v>
      </c>
      <c r="V27" s="193">
        <f t="shared" ref="V27" ca="1" si="55">IF($B29,0,V28-IF(ISNUMBER(U28),U28,0))</f>
        <v>0</v>
      </c>
      <c r="W27" s="194">
        <f t="shared" ref="W27" ca="1" si="56">IF($B29,0,W28-IF(ISNUMBER(V28),V28,0))</f>
        <v>0</v>
      </c>
      <c r="X27" s="163"/>
      <c r="AC27" s="188">
        <f t="shared" ref="AC27" ca="1" si="57">IF($B29,0,AC28-IF(ISNUMBER(AB28),AB28,0))</f>
        <v>0</v>
      </c>
    </row>
    <row r="28" spans="1:29" customFormat="1" ht="14.25" x14ac:dyDescent="0.2">
      <c r="A28" s="11"/>
      <c r="B28" s="11"/>
      <c r="C28" s="11"/>
      <c r="D28" s="11"/>
      <c r="E28" s="11"/>
      <c r="F28" s="11"/>
      <c r="G28" s="11"/>
      <c r="H28" s="11"/>
      <c r="I28" s="11"/>
      <c r="J28" s="11"/>
      <c r="K28" s="11"/>
      <c r="L28" s="334"/>
      <c r="M28" s="336"/>
      <c r="N28" s="338"/>
      <c r="O28" s="145" t="s">
        <v>145</v>
      </c>
      <c r="P28" s="165">
        <f t="shared" ref="P28" ca="1" si="58">MIN(IF($B29,P27+IF(ISNUMBER(O28),O28,0),P29/$N27),1)</f>
        <v>1</v>
      </c>
      <c r="Q28" s="143">
        <f t="shared" ref="Q28" ca="1" si="59">MIN(IF($B29,Q27+IF(ISNUMBER(P28),P28,0),Q29/$N27),1)</f>
        <v>1</v>
      </c>
      <c r="R28" s="143">
        <f t="shared" ref="R28" ca="1" si="60">MIN(IF($B29,R27+IF(ISNUMBER(Q28),Q28,0),R29/$N27),1)</f>
        <v>1</v>
      </c>
      <c r="S28" s="143">
        <f t="shared" ref="S28" ca="1" si="61">MIN(IF($B29,S27+IF(ISNUMBER(R28),R28,0),S29/$N27),1)</f>
        <v>1</v>
      </c>
      <c r="T28" s="143">
        <f t="shared" ref="T28" ca="1" si="62">MIN(IF($B29,T27+IF(ISNUMBER(S28),S28,0),T29/$N27),1)</f>
        <v>1</v>
      </c>
      <c r="U28" s="143">
        <f t="shared" ref="U28" ca="1" si="63">MIN(IF($B29,U27+IF(ISNUMBER(T28),T28,0),U29/$N27),1)</f>
        <v>1</v>
      </c>
      <c r="V28" s="143">
        <f t="shared" ref="V28" ca="1" si="64">MIN(IF($B29,V27+IF(ISNUMBER(U28),U28,0),V29/$N27),1)</f>
        <v>1</v>
      </c>
      <c r="W28" s="143">
        <f t="shared" ref="W28" ca="1" si="65">MIN(IF($B29,W27+IF(ISNUMBER(V28),V28,0),W29/$N27),1)</f>
        <v>1</v>
      </c>
      <c r="X28" s="163"/>
      <c r="AC28" s="143">
        <f t="shared" ref="AC28" ca="1" si="66">MIN(IF($B29,AC27+IF(ISNUMBER(AB28),AB28,0),AC29/$N27),1)</f>
        <v>0</v>
      </c>
    </row>
    <row r="29" spans="1:29" customFormat="1" ht="14.25" x14ac:dyDescent="0.2">
      <c r="A29" s="11">
        <f ca="1">OFFSET(A29,-CFF.NumLinha,0)+1</f>
        <v>4</v>
      </c>
      <c r="B29" s="11" t="b">
        <f ca="1">$C29&gt;=OFFSET($C29,CFF.NumLinha,0)</f>
        <v>1</v>
      </c>
      <c r="C29" s="11">
        <f ca="1">INDEX(PO!A$12:A$275,MATCH($A29,PO!$V$12:$V$275,0))</f>
        <v>2</v>
      </c>
      <c r="D29" s="11">
        <f t="shared" ref="D29" ca="1" si="67">IF(ISERROR(J29),I29,SMALL(I29:J29,1))-1</f>
        <v>2</v>
      </c>
      <c r="E29" s="11">
        <f ca="1">IF($C29=1,OFFSET(E29,-CFF.NumLinha,0)+1,OFFSET(E29,-CFF.NumLinha,0))</f>
        <v>1</v>
      </c>
      <c r="F29" s="11">
        <f ca="1">IF($C29=1,0,IF($C29=2,OFFSET(F29,-CFF.NumLinha,0)+1,OFFSET(F29,-CFF.NumLinha,0)))</f>
        <v>3</v>
      </c>
      <c r="G29" s="11">
        <f ca="1">IF(AND($C29&lt;=2,$C29&lt;&gt;0),0,IF($C29=3,OFFSET(G29,-CFF.NumLinha,0)+1,OFFSET(G29,-CFF.NumLinha,0)))</f>
        <v>0</v>
      </c>
      <c r="H29" s="11">
        <f ca="1">IF(AND($C29&lt;=3,$C29&lt;&gt;0),0,IF($C29=4,OFFSET(H29,-CFF.NumLinha,0)+1,OFFSET(H29,-CFF.NumLinha,0)))</f>
        <v>0</v>
      </c>
      <c r="I29" s="11">
        <f ca="1">MATCH(0,OFFSET($D29,1,$C29,ROW($A$93)-ROW($A29)),0)</f>
        <v>64</v>
      </c>
      <c r="J29" s="11">
        <f ca="1">MATCH(OFFSET($D29,0,$C29)+1,OFFSET($D29,1,$C29,ROW($A$93)-ROW($A29)),0)</f>
        <v>3</v>
      </c>
      <c r="K29" s="156">
        <f ca="1">ROUND(INDEX(PO!T$12:T$275,MATCH($A29,PO!$V$12:$V$275,0)),2)+10^-12</f>
        <v>51237.53</v>
      </c>
      <c r="L29" s="334"/>
      <c r="M29" s="336"/>
      <c r="N29" s="338"/>
      <c r="O29" s="171" t="s">
        <v>20</v>
      </c>
      <c r="P29" s="166">
        <f t="shared" ref="P29:W29" ca="1" si="68">IF($B29,ROUND(P28*$N27,2),ROUND(SUMIF(OFFSET($B29,1,0,$D29),TRUE,OFFSET(P29,1,0,$D29))/SUMIF(OFFSET($B29,1,0,$D29),TRUE,OFFSET($K29,1,0,$D29))*$N27,2))</f>
        <v>51237.53</v>
      </c>
      <c r="Q29" s="144">
        <f t="shared" ca="1" si="68"/>
        <v>51237.53</v>
      </c>
      <c r="R29" s="144">
        <f t="shared" ca="1" si="68"/>
        <v>51237.53</v>
      </c>
      <c r="S29" s="144">
        <f t="shared" ca="1" si="68"/>
        <v>51237.53</v>
      </c>
      <c r="T29" s="144">
        <f t="shared" ca="1" si="68"/>
        <v>51237.53</v>
      </c>
      <c r="U29" s="144">
        <f t="shared" ca="1" si="68"/>
        <v>51237.53</v>
      </c>
      <c r="V29" s="144">
        <f t="shared" ca="1" si="68"/>
        <v>51237.53</v>
      </c>
      <c r="W29" s="174">
        <f t="shared" ca="1" si="68"/>
        <v>51237.53</v>
      </c>
      <c r="X29" s="163"/>
      <c r="AC29" s="144">
        <f t="shared" ref="AC29" ca="1" si="69">IF($B29,ROUND(AC28*$N27,2),ROUND(SUMIF(OFFSET($B29,1,0,$D29),TRUE,OFFSET(AC29,1,0,$D29))/SUMIF(OFFSET($B29,1,0,$D29),TRUE,OFFSET($K29,1,0,$D29))*$N27,2))</f>
        <v>0</v>
      </c>
    </row>
    <row r="30" spans="1:29" customFormat="1" ht="14.25" customHeight="1" x14ac:dyDescent="0.2">
      <c r="A30" s="1"/>
      <c r="B30" s="1"/>
      <c r="C30" s="1"/>
      <c r="D30" s="1"/>
      <c r="E30" s="1"/>
      <c r="F30" s="1"/>
      <c r="G30" s="1"/>
      <c r="H30" s="1"/>
      <c r="I30" s="1"/>
      <c r="J30" s="1"/>
      <c r="K30" s="1"/>
      <c r="L30" s="333" t="str">
        <f ca="1">INDEX(PO!K$12:K$275,MATCH($A32,PO!$V$12:$V$275,0))</f>
        <v>1.4.</v>
      </c>
      <c r="M30" s="335" t="str">
        <f ca="1">INDEX(PO!N$12:N$275,MATCH($A32,PO!$V$12:$V$275,0))</f>
        <v>PILARES</v>
      </c>
      <c r="N30" s="337">
        <f t="shared" ref="N30" ca="1" si="70">IF(ROUND(K32,2)=0,K32,ROUND(K32,2))</f>
        <v>24586.28</v>
      </c>
      <c r="O30" s="187" t="s">
        <v>143</v>
      </c>
      <c r="P30" s="192">
        <v>0.5</v>
      </c>
      <c r="Q30" s="193">
        <v>0.5</v>
      </c>
      <c r="R30" s="193">
        <v>0</v>
      </c>
      <c r="S30" s="193">
        <f t="shared" ref="S30" ca="1" si="71">IF($B32,0,S31-IF(ISNUMBER(R31),R31,0))</f>
        <v>0</v>
      </c>
      <c r="T30" s="193">
        <f t="shared" ref="T30" ca="1" si="72">IF($B32,0,T31-IF(ISNUMBER(S31),S31,0))</f>
        <v>0</v>
      </c>
      <c r="U30" s="193">
        <f t="shared" ref="U30" ca="1" si="73">IF($B32,0,U31-IF(ISNUMBER(T31),T31,0))</f>
        <v>0</v>
      </c>
      <c r="V30" s="193">
        <f t="shared" ref="V30" ca="1" si="74">IF($B32,0,V31-IF(ISNUMBER(U31),U31,0))</f>
        <v>0</v>
      </c>
      <c r="W30" s="194">
        <f t="shared" ref="W30" ca="1" si="75">IF($B32,0,W31-IF(ISNUMBER(V31),V31,0))</f>
        <v>0</v>
      </c>
      <c r="X30" s="163"/>
      <c r="AC30" s="188">
        <f t="shared" ref="AC30" ca="1" si="76">IF($B32,0,AC31-IF(ISNUMBER(AB31),AB31,0))</f>
        <v>0</v>
      </c>
    </row>
    <row r="31" spans="1:29" customFormat="1" ht="14.25" x14ac:dyDescent="0.2">
      <c r="A31" s="11"/>
      <c r="B31" s="11"/>
      <c r="C31" s="11"/>
      <c r="D31" s="11"/>
      <c r="E31" s="11"/>
      <c r="F31" s="11"/>
      <c r="G31" s="11"/>
      <c r="H31" s="11"/>
      <c r="I31" s="11"/>
      <c r="J31" s="11"/>
      <c r="K31" s="11"/>
      <c r="L31" s="334"/>
      <c r="M31" s="336"/>
      <c r="N31" s="338"/>
      <c r="O31" s="145" t="s">
        <v>145</v>
      </c>
      <c r="P31" s="165">
        <f t="shared" ref="P31" ca="1" si="77">MIN(IF($B32,P30+IF(ISNUMBER(O31),O31,0),P32/$N30),1)</f>
        <v>0.5</v>
      </c>
      <c r="Q31" s="143">
        <f t="shared" ref="Q31" ca="1" si="78">MIN(IF($B32,Q30+IF(ISNUMBER(P31),P31,0),Q32/$N30),1)</f>
        <v>1</v>
      </c>
      <c r="R31" s="143">
        <f t="shared" ref="R31" ca="1" si="79">MIN(IF($B32,R30+IF(ISNUMBER(Q31),Q31,0),R32/$N30),1)</f>
        <v>1</v>
      </c>
      <c r="S31" s="143">
        <f t="shared" ref="S31" ca="1" si="80">MIN(IF($B32,S30+IF(ISNUMBER(R31),R31,0),S32/$N30),1)</f>
        <v>1</v>
      </c>
      <c r="T31" s="143">
        <f t="shared" ref="T31" ca="1" si="81">MIN(IF($B32,T30+IF(ISNUMBER(S31),S31,0),T32/$N30),1)</f>
        <v>1</v>
      </c>
      <c r="U31" s="143">
        <f t="shared" ref="U31" ca="1" si="82">MIN(IF($B32,U30+IF(ISNUMBER(T31),T31,0),U32/$N30),1)</f>
        <v>1</v>
      </c>
      <c r="V31" s="143">
        <f t="shared" ref="V31" ca="1" si="83">MIN(IF($B32,V30+IF(ISNUMBER(U31),U31,0),V32/$N30),1)</f>
        <v>1</v>
      </c>
      <c r="W31" s="143">
        <f t="shared" ref="W31" ca="1" si="84">MIN(IF($B32,W30+IF(ISNUMBER(V31),V31,0),W32/$N30),1)</f>
        <v>1</v>
      </c>
      <c r="X31" s="163"/>
      <c r="AC31" s="143">
        <f t="shared" ref="AC31" ca="1" si="85">MIN(IF($B32,AC30+IF(ISNUMBER(AB31),AB31,0),AC32/$N30),1)</f>
        <v>0</v>
      </c>
    </row>
    <row r="32" spans="1:29" customFormat="1" ht="14.25" x14ac:dyDescent="0.2">
      <c r="A32" s="11">
        <f ca="1">OFFSET(A32,-CFF.NumLinha,0)+1</f>
        <v>5</v>
      </c>
      <c r="B32" s="11" t="b">
        <f ca="1">$C32&gt;=OFFSET($C32,CFF.NumLinha,0)</f>
        <v>1</v>
      </c>
      <c r="C32" s="11">
        <f ca="1">INDEX(PO!A$12:A$275,MATCH($A32,PO!$V$12:$V$275,0))</f>
        <v>2</v>
      </c>
      <c r="D32" s="11">
        <f t="shared" ref="D32" ca="1" si="86">IF(ISERROR(J32),I32,SMALL(I32:J32,1))-1</f>
        <v>2</v>
      </c>
      <c r="E32" s="11">
        <f ca="1">IF($C32=1,OFFSET(E32,-CFF.NumLinha,0)+1,OFFSET(E32,-CFF.NumLinha,0))</f>
        <v>1</v>
      </c>
      <c r="F32" s="11">
        <f ca="1">IF($C32=1,0,IF($C32=2,OFFSET(F32,-CFF.NumLinha,0)+1,OFFSET(F32,-CFF.NumLinha,0)))</f>
        <v>4</v>
      </c>
      <c r="G32" s="11">
        <f ca="1">IF(AND($C32&lt;=2,$C32&lt;&gt;0),0,IF($C32=3,OFFSET(G32,-CFF.NumLinha,0)+1,OFFSET(G32,-CFF.NumLinha,0)))</f>
        <v>0</v>
      </c>
      <c r="H32" s="11">
        <f ca="1">IF(AND($C32&lt;=3,$C32&lt;&gt;0),0,IF($C32=4,OFFSET(H32,-CFF.NumLinha,0)+1,OFFSET(H32,-CFF.NumLinha,0)))</f>
        <v>0</v>
      </c>
      <c r="I32" s="11">
        <f ca="1">MATCH(0,OFFSET($D32,1,$C32,ROW($A$93)-ROW($A32)),0)</f>
        <v>61</v>
      </c>
      <c r="J32" s="11">
        <f ca="1">MATCH(OFFSET($D32,0,$C32)+1,OFFSET($D32,1,$C32,ROW($A$93)-ROW($A32)),0)</f>
        <v>3</v>
      </c>
      <c r="K32" s="156">
        <f ca="1">ROUND(INDEX(PO!T$12:T$275,MATCH($A32,PO!$V$12:$V$275,0)),2)+10^-12</f>
        <v>24586.28</v>
      </c>
      <c r="L32" s="334"/>
      <c r="M32" s="336"/>
      <c r="N32" s="338"/>
      <c r="O32" s="171" t="s">
        <v>20</v>
      </c>
      <c r="P32" s="166">
        <f t="shared" ref="P32:W32" ca="1" si="87">IF($B32,ROUND(P31*$N30,2),ROUND(SUMIF(OFFSET($B32,1,0,$D32),TRUE,OFFSET(P32,1,0,$D32))/SUMIF(OFFSET($B32,1,0,$D32),TRUE,OFFSET($K32,1,0,$D32))*$N30,2))</f>
        <v>12293.14</v>
      </c>
      <c r="Q32" s="144">
        <f t="shared" ca="1" si="87"/>
        <v>24586.28</v>
      </c>
      <c r="R32" s="144">
        <f t="shared" ca="1" si="87"/>
        <v>24586.28</v>
      </c>
      <c r="S32" s="144">
        <f t="shared" ca="1" si="87"/>
        <v>24586.28</v>
      </c>
      <c r="T32" s="144">
        <f t="shared" ca="1" si="87"/>
        <v>24586.28</v>
      </c>
      <c r="U32" s="144">
        <f t="shared" ca="1" si="87"/>
        <v>24586.28</v>
      </c>
      <c r="V32" s="144">
        <f t="shared" ca="1" si="87"/>
        <v>24586.28</v>
      </c>
      <c r="W32" s="174">
        <f t="shared" ca="1" si="87"/>
        <v>24586.28</v>
      </c>
      <c r="X32" s="163"/>
      <c r="AC32" s="144">
        <f t="shared" ref="AC32" ca="1" si="88">IF($B32,ROUND(AC31*$N30,2),ROUND(SUMIF(OFFSET($B32,1,0,$D32),TRUE,OFFSET(AC32,1,0,$D32))/SUMIF(OFFSET($B32,1,0,$D32),TRUE,OFFSET($K32,1,0,$D32))*$N30,2))</f>
        <v>0</v>
      </c>
    </row>
    <row r="33" spans="1:29" customFormat="1" ht="14.25" customHeight="1" x14ac:dyDescent="0.2">
      <c r="A33" s="1"/>
      <c r="B33" s="1"/>
      <c r="C33" s="1"/>
      <c r="D33" s="1"/>
      <c r="E33" s="1"/>
      <c r="F33" s="1"/>
      <c r="G33" s="1"/>
      <c r="H33" s="1"/>
      <c r="I33" s="1"/>
      <c r="J33" s="1"/>
      <c r="K33" s="1"/>
      <c r="L33" s="333" t="str">
        <f ca="1">INDEX(PO!K$12:K$275,MATCH($A35,PO!$V$12:$V$275,0))</f>
        <v>1.5.</v>
      </c>
      <c r="M33" s="335" t="str">
        <f ca="1">INDEX(PO!N$12:N$275,MATCH($A35,PO!$V$12:$V$275,0))</f>
        <v>VIGAS FORRO</v>
      </c>
      <c r="N33" s="337">
        <f t="shared" ref="N33" ca="1" si="89">IF(ROUND(K35,2)=0,K35,ROUND(K35,2))</f>
        <v>44011.46</v>
      </c>
      <c r="O33" s="187" t="s">
        <v>143</v>
      </c>
      <c r="P33" s="192">
        <v>0</v>
      </c>
      <c r="Q33" s="193">
        <v>1</v>
      </c>
      <c r="R33" s="193">
        <v>1</v>
      </c>
      <c r="S33" s="193">
        <f t="shared" ref="S33" ca="1" si="90">IF($B35,0,S34-IF(ISNUMBER(R34),R34,0))</f>
        <v>0</v>
      </c>
      <c r="T33" s="193">
        <f t="shared" ref="T33" ca="1" si="91">IF($B35,0,T34-IF(ISNUMBER(S34),S34,0))</f>
        <v>0</v>
      </c>
      <c r="U33" s="193">
        <f t="shared" ref="U33" ca="1" si="92">IF($B35,0,U34-IF(ISNUMBER(T34),T34,0))</f>
        <v>0</v>
      </c>
      <c r="V33" s="193">
        <f t="shared" ref="V33" ca="1" si="93">IF($B35,0,V34-IF(ISNUMBER(U34),U34,0))</f>
        <v>0</v>
      </c>
      <c r="W33" s="194">
        <f t="shared" ref="W33" ca="1" si="94">IF($B35,0,W34-IF(ISNUMBER(V34),V34,0))</f>
        <v>0</v>
      </c>
      <c r="X33" s="163"/>
      <c r="AC33" s="188">
        <f t="shared" ref="AC33" ca="1" si="95">IF($B35,0,AC34-IF(ISNUMBER(AB34),AB34,0))</f>
        <v>0</v>
      </c>
    </row>
    <row r="34" spans="1:29" customFormat="1" ht="14.25" x14ac:dyDescent="0.2">
      <c r="A34" s="11"/>
      <c r="B34" s="11"/>
      <c r="C34" s="11"/>
      <c r="D34" s="11"/>
      <c r="E34" s="11"/>
      <c r="F34" s="11"/>
      <c r="G34" s="11"/>
      <c r="H34" s="11"/>
      <c r="I34" s="11"/>
      <c r="J34" s="11"/>
      <c r="K34" s="11"/>
      <c r="L34" s="334"/>
      <c r="M34" s="336"/>
      <c r="N34" s="338"/>
      <c r="O34" s="145" t="s">
        <v>145</v>
      </c>
      <c r="P34" s="165">
        <f t="shared" ref="P34" ca="1" si="96">MIN(IF($B35,P33+IF(ISNUMBER(O34),O34,0),P35/$N33),1)</f>
        <v>0</v>
      </c>
      <c r="Q34" s="143">
        <f t="shared" ref="Q34" ca="1" si="97">MIN(IF($B35,Q33+IF(ISNUMBER(P34),P34,0),Q35/$N33),1)</f>
        <v>1</v>
      </c>
      <c r="R34" s="143">
        <f t="shared" ref="R34" ca="1" si="98">MIN(IF($B35,R33+IF(ISNUMBER(Q34),Q34,0),R35/$N33),1)</f>
        <v>1</v>
      </c>
      <c r="S34" s="143">
        <f t="shared" ref="S34" ca="1" si="99">MIN(IF($B35,S33+IF(ISNUMBER(R34),R34,0),S35/$N33),1)</f>
        <v>1</v>
      </c>
      <c r="T34" s="143">
        <f t="shared" ref="T34" ca="1" si="100">MIN(IF($B35,T33+IF(ISNUMBER(S34),S34,0),T35/$N33),1)</f>
        <v>1</v>
      </c>
      <c r="U34" s="143">
        <f t="shared" ref="U34" ca="1" si="101">MIN(IF($B35,U33+IF(ISNUMBER(T34),T34,0),U35/$N33),1)</f>
        <v>1</v>
      </c>
      <c r="V34" s="143">
        <f t="shared" ref="V34" ca="1" si="102">MIN(IF($B35,V33+IF(ISNUMBER(U34),U34,0),V35/$N33),1)</f>
        <v>1</v>
      </c>
      <c r="W34" s="143">
        <f t="shared" ref="W34" ca="1" si="103">MIN(IF($B35,W33+IF(ISNUMBER(V34),V34,0),W35/$N33),1)</f>
        <v>1</v>
      </c>
      <c r="X34" s="163"/>
      <c r="AC34" s="143">
        <f t="shared" ref="AC34" ca="1" si="104">MIN(IF($B35,AC33+IF(ISNUMBER(AB34),AB34,0),AC35/$N33),1)</f>
        <v>0</v>
      </c>
    </row>
    <row r="35" spans="1:29" customFormat="1" ht="14.25" x14ac:dyDescent="0.2">
      <c r="A35" s="11">
        <f ca="1">OFFSET(A35,-CFF.NumLinha,0)+1</f>
        <v>6</v>
      </c>
      <c r="B35" s="11" t="b">
        <f ca="1">$C35&gt;=OFFSET($C35,CFF.NumLinha,0)</f>
        <v>1</v>
      </c>
      <c r="C35" s="11">
        <f ca="1">INDEX(PO!A$12:A$275,MATCH($A35,PO!$V$12:$V$275,0))</f>
        <v>2</v>
      </c>
      <c r="D35" s="11">
        <f t="shared" ref="D35" ca="1" si="105">IF(ISERROR(J35),I35,SMALL(I35:J35,1))-1</f>
        <v>2</v>
      </c>
      <c r="E35" s="11">
        <f ca="1">IF($C35=1,OFFSET(E35,-CFF.NumLinha,0)+1,OFFSET(E35,-CFF.NumLinha,0))</f>
        <v>1</v>
      </c>
      <c r="F35" s="11">
        <f ca="1">IF($C35=1,0,IF($C35=2,OFFSET(F35,-CFF.NumLinha,0)+1,OFFSET(F35,-CFF.NumLinha,0)))</f>
        <v>5</v>
      </c>
      <c r="G35" s="11">
        <f ca="1">IF(AND($C35&lt;=2,$C35&lt;&gt;0),0,IF($C35=3,OFFSET(G35,-CFF.NumLinha,0)+1,OFFSET(G35,-CFF.NumLinha,0)))</f>
        <v>0</v>
      </c>
      <c r="H35" s="11">
        <f ca="1">IF(AND($C35&lt;=3,$C35&lt;&gt;0),0,IF($C35=4,OFFSET(H35,-CFF.NumLinha,0)+1,OFFSET(H35,-CFF.NumLinha,0)))</f>
        <v>0</v>
      </c>
      <c r="I35" s="11">
        <f ca="1">MATCH(0,OFFSET($D35,1,$C35,ROW($A$93)-ROW($A35)),0)</f>
        <v>58</v>
      </c>
      <c r="J35" s="11">
        <f ca="1">MATCH(OFFSET($D35,0,$C35)+1,OFFSET($D35,1,$C35,ROW($A$93)-ROW($A35)),0)</f>
        <v>3</v>
      </c>
      <c r="K35" s="156">
        <f ca="1">ROUND(INDEX(PO!T$12:T$275,MATCH($A35,PO!$V$12:$V$275,0)),2)+10^-12</f>
        <v>44011.46</v>
      </c>
      <c r="L35" s="334"/>
      <c r="M35" s="336"/>
      <c r="N35" s="338"/>
      <c r="O35" s="171" t="s">
        <v>20</v>
      </c>
      <c r="P35" s="166">
        <f t="shared" ref="P35:W35" ca="1" si="106">IF($B35,ROUND(P34*$N33,2),ROUND(SUMIF(OFFSET($B35,1,0,$D35),TRUE,OFFSET(P35,1,0,$D35))/SUMIF(OFFSET($B35,1,0,$D35),TRUE,OFFSET($K35,1,0,$D35))*$N33,2))</f>
        <v>0</v>
      </c>
      <c r="Q35" s="144">
        <f t="shared" ca="1" si="106"/>
        <v>44011.46</v>
      </c>
      <c r="R35" s="144">
        <f t="shared" ca="1" si="106"/>
        <v>44011.46</v>
      </c>
      <c r="S35" s="144">
        <f t="shared" ca="1" si="106"/>
        <v>44011.46</v>
      </c>
      <c r="T35" s="144">
        <f t="shared" ca="1" si="106"/>
        <v>44011.46</v>
      </c>
      <c r="U35" s="144">
        <f t="shared" ca="1" si="106"/>
        <v>44011.46</v>
      </c>
      <c r="V35" s="144">
        <f t="shared" ca="1" si="106"/>
        <v>44011.46</v>
      </c>
      <c r="W35" s="174">
        <f t="shared" ca="1" si="106"/>
        <v>44011.46</v>
      </c>
      <c r="X35" s="163"/>
      <c r="AC35" s="144">
        <f t="shared" ref="AC35" ca="1" si="107">IF($B35,ROUND(AC34*$N33,2),ROUND(SUMIF(OFFSET($B35,1,0,$D35),TRUE,OFFSET(AC35,1,0,$D35))/SUMIF(OFFSET($B35,1,0,$D35),TRUE,OFFSET($K35,1,0,$D35))*$N33,2))</f>
        <v>0</v>
      </c>
    </row>
    <row r="36" spans="1:29" customFormat="1" ht="14.25" customHeight="1" x14ac:dyDescent="0.2">
      <c r="A36" s="1"/>
      <c r="B36" s="1"/>
      <c r="C36" s="1"/>
      <c r="D36" s="1"/>
      <c r="E36" s="1"/>
      <c r="F36" s="1"/>
      <c r="G36" s="1"/>
      <c r="H36" s="1"/>
      <c r="I36" s="1"/>
      <c r="J36" s="1"/>
      <c r="K36" s="1"/>
      <c r="L36" s="333" t="str">
        <f ca="1">INDEX(PO!K$12:K$275,MATCH($A38,PO!$V$12:$V$275,0))</f>
        <v>1.6.</v>
      </c>
      <c r="M36" s="335" t="str">
        <f ca="1">INDEX(PO!N$12:N$275,MATCH($A38,PO!$V$12:$V$275,0))</f>
        <v>VIGAS OITÃO FRONTAL</v>
      </c>
      <c r="N36" s="337">
        <f t="shared" ref="N36" ca="1" si="108">IF(ROUND(K38,2)=0,K38,ROUND(K38,2))</f>
        <v>4970.09</v>
      </c>
      <c r="O36" s="187" t="s">
        <v>143</v>
      </c>
      <c r="P36" s="192">
        <v>0</v>
      </c>
      <c r="Q36" s="193">
        <v>1</v>
      </c>
      <c r="R36" s="193">
        <v>0.2</v>
      </c>
      <c r="S36" s="193">
        <v>0.7</v>
      </c>
      <c r="T36" s="193">
        <f t="shared" ref="T36" ca="1" si="109">IF($B38,0,T37-IF(ISNUMBER(S37),S37,0))</f>
        <v>0</v>
      </c>
      <c r="U36" s="193">
        <f t="shared" ref="U36" ca="1" si="110">IF($B38,0,U37-IF(ISNUMBER(T37),T37,0))</f>
        <v>0</v>
      </c>
      <c r="V36" s="193">
        <f t="shared" ref="V36" ca="1" si="111">IF($B38,0,V37-IF(ISNUMBER(U37),U37,0))</f>
        <v>0</v>
      </c>
      <c r="W36" s="194">
        <f t="shared" ref="W36" ca="1" si="112">IF($B38,0,W37-IF(ISNUMBER(V37),V37,0))</f>
        <v>0</v>
      </c>
      <c r="X36" s="163"/>
      <c r="AC36" s="188">
        <f t="shared" ref="AC36" ca="1" si="113">IF($B38,0,AC37-IF(ISNUMBER(AB37),AB37,0))</f>
        <v>0</v>
      </c>
    </row>
    <row r="37" spans="1:29" customFormat="1" ht="14.25" x14ac:dyDescent="0.2">
      <c r="A37" s="11"/>
      <c r="B37" s="11"/>
      <c r="C37" s="11"/>
      <c r="D37" s="11"/>
      <c r="E37" s="11"/>
      <c r="F37" s="11"/>
      <c r="G37" s="11"/>
      <c r="H37" s="11"/>
      <c r="I37" s="11"/>
      <c r="J37" s="11"/>
      <c r="K37" s="11"/>
      <c r="L37" s="334"/>
      <c r="M37" s="336"/>
      <c r="N37" s="338"/>
      <c r="O37" s="145" t="s">
        <v>145</v>
      </c>
      <c r="P37" s="165">
        <f t="shared" ref="P37" ca="1" si="114">MIN(IF($B38,P36+IF(ISNUMBER(O37),O37,0),P38/$N36),1)</f>
        <v>0</v>
      </c>
      <c r="Q37" s="143">
        <f t="shared" ref="Q37" ca="1" si="115">MIN(IF($B38,Q36+IF(ISNUMBER(P37),P37,0),Q38/$N36),1)</f>
        <v>1</v>
      </c>
      <c r="R37" s="143">
        <f t="shared" ref="R37" ca="1" si="116">MIN(IF($B38,R36+IF(ISNUMBER(Q37),Q37,0),R38/$N36),1)</f>
        <v>1</v>
      </c>
      <c r="S37" s="143">
        <f t="shared" ref="S37" ca="1" si="117">MIN(IF($B38,S36+IF(ISNUMBER(R37),R37,0),S38/$N36),1)</f>
        <v>1</v>
      </c>
      <c r="T37" s="143">
        <f t="shared" ref="T37" ca="1" si="118">MIN(IF($B38,T36+IF(ISNUMBER(S37),S37,0),T38/$N36),1)</f>
        <v>1</v>
      </c>
      <c r="U37" s="143">
        <f t="shared" ref="U37" ca="1" si="119">MIN(IF($B38,U36+IF(ISNUMBER(T37),T37,0),U38/$N36),1)</f>
        <v>1</v>
      </c>
      <c r="V37" s="143">
        <f t="shared" ref="V37" ca="1" si="120">MIN(IF($B38,V36+IF(ISNUMBER(U37),U37,0),V38/$N36),1)</f>
        <v>1</v>
      </c>
      <c r="W37" s="143">
        <f t="shared" ref="W37" ca="1" si="121">MIN(IF($B38,W36+IF(ISNUMBER(V37),V37,0),W38/$N36),1)</f>
        <v>1</v>
      </c>
      <c r="X37" s="163"/>
      <c r="AC37" s="143">
        <f t="shared" ref="AC37" ca="1" si="122">MIN(IF($B38,AC36+IF(ISNUMBER(AB37),AB37,0),AC38/$N36),1)</f>
        <v>0</v>
      </c>
    </row>
    <row r="38" spans="1:29" customFormat="1" ht="14.25" x14ac:dyDescent="0.2">
      <c r="A38" s="11">
        <f ca="1">OFFSET(A38,-CFF.NumLinha,0)+1</f>
        <v>7</v>
      </c>
      <c r="B38" s="11" t="b">
        <f ca="1">$C38&gt;=OFFSET($C38,CFF.NumLinha,0)</f>
        <v>1</v>
      </c>
      <c r="C38" s="11">
        <f ca="1">INDEX(PO!A$12:A$275,MATCH($A38,PO!$V$12:$V$275,0))</f>
        <v>2</v>
      </c>
      <c r="D38" s="11">
        <f t="shared" ref="D38" ca="1" si="123">IF(ISERROR(J38),I38,SMALL(I38:J38,1))-1</f>
        <v>2</v>
      </c>
      <c r="E38" s="11">
        <f ca="1">IF($C38=1,OFFSET(E38,-CFF.NumLinha,0)+1,OFFSET(E38,-CFF.NumLinha,0))</f>
        <v>1</v>
      </c>
      <c r="F38" s="11">
        <f ca="1">IF($C38=1,0,IF($C38=2,OFFSET(F38,-CFF.NumLinha,0)+1,OFFSET(F38,-CFF.NumLinha,0)))</f>
        <v>6</v>
      </c>
      <c r="G38" s="11">
        <f ca="1">IF(AND($C38&lt;=2,$C38&lt;&gt;0),0,IF($C38=3,OFFSET(G38,-CFF.NumLinha,0)+1,OFFSET(G38,-CFF.NumLinha,0)))</f>
        <v>0</v>
      </c>
      <c r="H38" s="11">
        <f ca="1">IF(AND($C38&lt;=3,$C38&lt;&gt;0),0,IF($C38=4,OFFSET(H38,-CFF.NumLinha,0)+1,OFFSET(H38,-CFF.NumLinha,0)))</f>
        <v>0</v>
      </c>
      <c r="I38" s="11">
        <f ca="1">MATCH(0,OFFSET($D38,1,$C38,ROW($A$93)-ROW($A38)),0)</f>
        <v>55</v>
      </c>
      <c r="J38" s="11">
        <f ca="1">MATCH(OFFSET($D38,0,$C38)+1,OFFSET($D38,1,$C38,ROW($A$93)-ROW($A38)),0)</f>
        <v>3</v>
      </c>
      <c r="K38" s="156">
        <f ca="1">ROUND(INDEX(PO!T$12:T$275,MATCH($A38,PO!$V$12:$V$275,0)),2)+10^-12</f>
        <v>4970.0900000000011</v>
      </c>
      <c r="L38" s="334"/>
      <c r="M38" s="336"/>
      <c r="N38" s="338"/>
      <c r="O38" s="171" t="s">
        <v>20</v>
      </c>
      <c r="P38" s="166">
        <f t="shared" ref="P38:W38" ca="1" si="124">IF($B38,ROUND(P37*$N36,2),ROUND(SUMIF(OFFSET($B38,1,0,$D38),TRUE,OFFSET(P38,1,0,$D38))/SUMIF(OFFSET($B38,1,0,$D38),TRUE,OFFSET($K38,1,0,$D38))*$N36,2))</f>
        <v>0</v>
      </c>
      <c r="Q38" s="144">
        <f t="shared" ca="1" si="124"/>
        <v>4970.09</v>
      </c>
      <c r="R38" s="144">
        <f t="shared" ca="1" si="124"/>
        <v>4970.09</v>
      </c>
      <c r="S38" s="144">
        <f t="shared" ca="1" si="124"/>
        <v>4970.09</v>
      </c>
      <c r="T38" s="144">
        <f t="shared" ca="1" si="124"/>
        <v>4970.09</v>
      </c>
      <c r="U38" s="144">
        <f t="shared" ca="1" si="124"/>
        <v>4970.09</v>
      </c>
      <c r="V38" s="144">
        <f t="shared" ca="1" si="124"/>
        <v>4970.09</v>
      </c>
      <c r="W38" s="174">
        <f t="shared" ca="1" si="124"/>
        <v>4970.09</v>
      </c>
      <c r="X38" s="163"/>
      <c r="AC38" s="144">
        <f t="shared" ref="AC38" ca="1" si="125">IF($B38,ROUND(AC37*$N36,2),ROUND(SUMIF(OFFSET($B38,1,0,$D38),TRUE,OFFSET(AC38,1,0,$D38))/SUMIF(OFFSET($B38,1,0,$D38),TRUE,OFFSET($K38,1,0,$D38))*$N36,2))</f>
        <v>0</v>
      </c>
    </row>
    <row r="39" spans="1:29" customFormat="1" ht="14.25" customHeight="1" x14ac:dyDescent="0.2">
      <c r="A39" s="1"/>
      <c r="B39" s="1"/>
      <c r="C39" s="1"/>
      <c r="D39" s="1"/>
      <c r="E39" s="1"/>
      <c r="F39" s="1"/>
      <c r="G39" s="1"/>
      <c r="H39" s="1"/>
      <c r="I39" s="1"/>
      <c r="J39" s="1"/>
      <c r="K39" s="1"/>
      <c r="L39" s="333" t="str">
        <f ca="1">INDEX(PO!K$12:K$275,MATCH($A41,PO!$V$12:$V$275,0))</f>
        <v>1.7.</v>
      </c>
      <c r="M39" s="335" t="str">
        <f ca="1">INDEX(PO!N$12:N$275,MATCH($A41,PO!$V$12:$V$275,0))</f>
        <v>VIGAS OITÃO LATERAL E FUNDOS</v>
      </c>
      <c r="N39" s="337">
        <f t="shared" ref="N39" ca="1" si="126">IF(ROUND(K41,2)=0,K41,ROUND(K41,2))</f>
        <v>6275.62</v>
      </c>
      <c r="O39" s="187" t="s">
        <v>143</v>
      </c>
      <c r="P39" s="192">
        <v>0</v>
      </c>
      <c r="Q39" s="193">
        <v>0.5</v>
      </c>
      <c r="R39" s="193">
        <v>0.5</v>
      </c>
      <c r="S39" s="193">
        <v>0</v>
      </c>
      <c r="T39" s="193">
        <f t="shared" ref="T39" ca="1" si="127">IF($B41,0,T40-IF(ISNUMBER(S40),S40,0))</f>
        <v>0</v>
      </c>
      <c r="U39" s="193">
        <f t="shared" ref="U39" ca="1" si="128">IF($B41,0,U40-IF(ISNUMBER(T40),T40,0))</f>
        <v>0</v>
      </c>
      <c r="V39" s="193">
        <f t="shared" ref="V39" ca="1" si="129">IF($B41,0,V40-IF(ISNUMBER(U40),U40,0))</f>
        <v>0</v>
      </c>
      <c r="W39" s="194">
        <f t="shared" ref="W39" ca="1" si="130">IF($B41,0,W40-IF(ISNUMBER(V40),V40,0))</f>
        <v>0</v>
      </c>
      <c r="X39" s="163"/>
      <c r="AC39" s="188">
        <f t="shared" ref="AC39" ca="1" si="131">IF($B41,0,AC40-IF(ISNUMBER(AB40),AB40,0))</f>
        <v>0</v>
      </c>
    </row>
    <row r="40" spans="1:29" customFormat="1" ht="14.25" x14ac:dyDescent="0.2">
      <c r="A40" s="11"/>
      <c r="B40" s="11"/>
      <c r="C40" s="11"/>
      <c r="D40" s="11"/>
      <c r="E40" s="11"/>
      <c r="F40" s="11"/>
      <c r="G40" s="11"/>
      <c r="H40" s="11"/>
      <c r="I40" s="11"/>
      <c r="J40" s="11"/>
      <c r="K40" s="11"/>
      <c r="L40" s="334"/>
      <c r="M40" s="336"/>
      <c r="N40" s="338"/>
      <c r="O40" s="145" t="s">
        <v>145</v>
      </c>
      <c r="P40" s="165">
        <f t="shared" ref="P40" ca="1" si="132">MIN(IF($B41,P39+IF(ISNUMBER(O40),O40,0),P41/$N39),1)</f>
        <v>0</v>
      </c>
      <c r="Q40" s="143">
        <f t="shared" ref="Q40" ca="1" si="133">MIN(IF($B41,Q39+IF(ISNUMBER(P40),P40,0),Q41/$N39),1)</f>
        <v>0.5</v>
      </c>
      <c r="R40" s="143">
        <f t="shared" ref="R40" ca="1" si="134">MIN(IF($B41,R39+IF(ISNUMBER(Q40),Q40,0),R41/$N39),1)</f>
        <v>1</v>
      </c>
      <c r="S40" s="143">
        <f t="shared" ref="S40" ca="1" si="135">MIN(IF($B41,S39+IF(ISNUMBER(R40),R40,0),S41/$N39),1)</f>
        <v>1</v>
      </c>
      <c r="T40" s="143">
        <f t="shared" ref="T40" ca="1" si="136">MIN(IF($B41,T39+IF(ISNUMBER(S40),S40,0),T41/$N39),1)</f>
        <v>1</v>
      </c>
      <c r="U40" s="143">
        <f t="shared" ref="U40" ca="1" si="137">MIN(IF($B41,U39+IF(ISNUMBER(T40),T40,0),U41/$N39),1)</f>
        <v>1</v>
      </c>
      <c r="V40" s="143">
        <f t="shared" ref="V40" ca="1" si="138">MIN(IF($B41,V39+IF(ISNUMBER(U40),U40,0),V41/$N39),1)</f>
        <v>1</v>
      </c>
      <c r="W40" s="143">
        <f t="shared" ref="W40" ca="1" si="139">MIN(IF($B41,W39+IF(ISNUMBER(V40),V40,0),W41/$N39),1)</f>
        <v>1</v>
      </c>
      <c r="X40" s="163"/>
      <c r="AC40" s="143">
        <f t="shared" ref="AC40" ca="1" si="140">MIN(IF($B41,AC39+IF(ISNUMBER(AB40),AB40,0),AC41/$N39),1)</f>
        <v>0</v>
      </c>
    </row>
    <row r="41" spans="1:29" customFormat="1" ht="14.25" x14ac:dyDescent="0.2">
      <c r="A41" s="11">
        <f ca="1">OFFSET(A41,-CFF.NumLinha,0)+1</f>
        <v>8</v>
      </c>
      <c r="B41" s="11" t="b">
        <f ca="1">$C41&gt;=OFFSET($C41,CFF.NumLinha,0)</f>
        <v>1</v>
      </c>
      <c r="C41" s="11">
        <f ca="1">INDEX(PO!A$12:A$275,MATCH($A41,PO!$V$12:$V$275,0))</f>
        <v>2</v>
      </c>
      <c r="D41" s="11">
        <f t="shared" ref="D41" ca="1" si="141">IF(ISERROR(J41),I41,SMALL(I41:J41,1))-1</f>
        <v>2</v>
      </c>
      <c r="E41" s="11">
        <f ca="1">IF($C41=1,OFFSET(E41,-CFF.NumLinha,0)+1,OFFSET(E41,-CFF.NumLinha,0))</f>
        <v>1</v>
      </c>
      <c r="F41" s="11">
        <f ca="1">IF($C41=1,0,IF($C41=2,OFFSET(F41,-CFF.NumLinha,0)+1,OFFSET(F41,-CFF.NumLinha,0)))</f>
        <v>7</v>
      </c>
      <c r="G41" s="11">
        <f ca="1">IF(AND($C41&lt;=2,$C41&lt;&gt;0),0,IF($C41=3,OFFSET(G41,-CFF.NumLinha,0)+1,OFFSET(G41,-CFF.NumLinha,0)))</f>
        <v>0</v>
      </c>
      <c r="H41" s="11">
        <f ca="1">IF(AND($C41&lt;=3,$C41&lt;&gt;0),0,IF($C41=4,OFFSET(H41,-CFF.NumLinha,0)+1,OFFSET(H41,-CFF.NumLinha,0)))</f>
        <v>0</v>
      </c>
      <c r="I41" s="11">
        <f ca="1">MATCH(0,OFFSET($D41,1,$C41,ROW($A$93)-ROW($A41)),0)</f>
        <v>52</v>
      </c>
      <c r="J41" s="11">
        <f ca="1">MATCH(OFFSET($D41,0,$C41)+1,OFFSET($D41,1,$C41,ROW($A$93)-ROW($A41)),0)</f>
        <v>3</v>
      </c>
      <c r="K41" s="156">
        <f ca="1">ROUND(INDEX(PO!T$12:T$275,MATCH($A41,PO!$V$12:$V$275,0)),2)+10^-12</f>
        <v>6275.6200000000008</v>
      </c>
      <c r="L41" s="334"/>
      <c r="M41" s="336"/>
      <c r="N41" s="338"/>
      <c r="O41" s="171" t="s">
        <v>20</v>
      </c>
      <c r="P41" s="166">
        <f t="shared" ref="P41:W41" ca="1" si="142">IF($B41,ROUND(P40*$N39,2),ROUND(SUMIF(OFFSET($B41,1,0,$D41),TRUE,OFFSET(P41,1,0,$D41))/SUMIF(OFFSET($B41,1,0,$D41),TRUE,OFFSET($K41,1,0,$D41))*$N39,2))</f>
        <v>0</v>
      </c>
      <c r="Q41" s="144">
        <f t="shared" ca="1" si="142"/>
        <v>3137.81</v>
      </c>
      <c r="R41" s="144">
        <f t="shared" ca="1" si="142"/>
        <v>6275.62</v>
      </c>
      <c r="S41" s="144">
        <f t="shared" ca="1" si="142"/>
        <v>6275.62</v>
      </c>
      <c r="T41" s="144">
        <f t="shared" ca="1" si="142"/>
        <v>6275.62</v>
      </c>
      <c r="U41" s="144">
        <f t="shared" ca="1" si="142"/>
        <v>6275.62</v>
      </c>
      <c r="V41" s="144">
        <f t="shared" ca="1" si="142"/>
        <v>6275.62</v>
      </c>
      <c r="W41" s="174">
        <f t="shared" ca="1" si="142"/>
        <v>6275.62</v>
      </c>
      <c r="X41" s="163"/>
      <c r="AC41" s="144">
        <f t="shared" ref="AC41" ca="1" si="143">IF($B41,ROUND(AC40*$N39,2),ROUND(SUMIF(OFFSET($B41,1,0,$D41),TRUE,OFFSET(AC41,1,0,$D41))/SUMIF(OFFSET($B41,1,0,$D41),TRUE,OFFSET($K41,1,0,$D41))*$N39,2))</f>
        <v>0</v>
      </c>
    </row>
    <row r="42" spans="1:29" customFormat="1" ht="14.25" customHeight="1" x14ac:dyDescent="0.2">
      <c r="A42" s="1"/>
      <c r="B42" s="1"/>
      <c r="C42" s="1"/>
      <c r="D42" s="1"/>
      <c r="E42" s="1"/>
      <c r="F42" s="1"/>
      <c r="G42" s="1"/>
      <c r="H42" s="1"/>
      <c r="I42" s="1"/>
      <c r="J42" s="1"/>
      <c r="K42" s="1"/>
      <c r="L42" s="333" t="str">
        <f ca="1">INDEX(PO!K$12:K$275,MATCH($A44,PO!$V$12:$V$275,0))</f>
        <v>1.8.</v>
      </c>
      <c r="M42" s="335" t="str">
        <f ca="1">INDEX(PO!N$12:N$275,MATCH($A44,PO!$V$12:$V$275,0))</f>
        <v>LAJE RESERVATÓRIO E FACHADA</v>
      </c>
      <c r="N42" s="337">
        <f ca="1">IF(ROUND(K44,2)=0,K44,ROUND(K44,2))</f>
        <v>6531.24</v>
      </c>
      <c r="O42" s="187" t="s">
        <v>143</v>
      </c>
      <c r="P42" s="192">
        <v>0</v>
      </c>
      <c r="Q42" s="193">
        <v>0</v>
      </c>
      <c r="R42" s="193">
        <v>1</v>
      </c>
      <c r="S42" s="193">
        <v>0</v>
      </c>
      <c r="T42" s="193">
        <f t="shared" ref="T42" ca="1" si="144">IF($B44,0,T43-IF(ISNUMBER(S43),S43,0))</f>
        <v>0</v>
      </c>
      <c r="U42" s="193">
        <f t="shared" ref="U42" ca="1" si="145">IF($B44,0,U43-IF(ISNUMBER(T43),T43,0))</f>
        <v>0</v>
      </c>
      <c r="V42" s="193">
        <f t="shared" ref="V42" ca="1" si="146">IF($B44,0,V43-IF(ISNUMBER(U43),U43,0))</f>
        <v>0</v>
      </c>
      <c r="W42" s="194">
        <f t="shared" ref="W42" ca="1" si="147">IF($B44,0,W43-IF(ISNUMBER(V43),V43,0))</f>
        <v>0</v>
      </c>
      <c r="X42" s="163"/>
      <c r="AC42" s="188">
        <f ca="1">IF($B44,0,AC43-IF(ISNUMBER(AB43),AB43,0))</f>
        <v>0</v>
      </c>
    </row>
    <row r="43" spans="1:29" customFormat="1" ht="14.25" x14ac:dyDescent="0.2">
      <c r="A43" s="11"/>
      <c r="B43" s="11"/>
      <c r="C43" s="11"/>
      <c r="D43" s="11"/>
      <c r="E43" s="11"/>
      <c r="F43" s="11"/>
      <c r="G43" s="11"/>
      <c r="H43" s="11"/>
      <c r="I43" s="11"/>
      <c r="J43" s="11"/>
      <c r="K43" s="11"/>
      <c r="L43" s="334"/>
      <c r="M43" s="336"/>
      <c r="N43" s="338"/>
      <c r="O43" s="145" t="s">
        <v>145</v>
      </c>
      <c r="P43" s="165">
        <f ca="1">MIN(IF($B44,P42+IF(ISNUMBER(O43),O43,0),P44/$N42),1)</f>
        <v>0</v>
      </c>
      <c r="Q43" s="143">
        <f t="shared" ref="Q43" ca="1" si="148">MIN(IF($B44,Q42+IF(ISNUMBER(P43),P43,0),Q44/$N42),1)</f>
        <v>0</v>
      </c>
      <c r="R43" s="143">
        <f t="shared" ref="R43" ca="1" si="149">MIN(IF($B44,R42+IF(ISNUMBER(Q43),Q43,0),R44/$N42),1)</f>
        <v>1</v>
      </c>
      <c r="S43" s="143">
        <f t="shared" ref="S43" ca="1" si="150">MIN(IF($B44,S42+IF(ISNUMBER(R43),R43,0),S44/$N42),1)</f>
        <v>1</v>
      </c>
      <c r="T43" s="143">
        <f t="shared" ref="T43" ca="1" si="151">MIN(IF($B44,T42+IF(ISNUMBER(S43),S43,0),T44/$N42),1)</f>
        <v>1</v>
      </c>
      <c r="U43" s="143">
        <f t="shared" ref="U43" ca="1" si="152">MIN(IF($B44,U42+IF(ISNUMBER(T43),T43,0),U44/$N42),1)</f>
        <v>1</v>
      </c>
      <c r="V43" s="143">
        <f t="shared" ref="V43" ca="1" si="153">MIN(IF($B44,V42+IF(ISNUMBER(U43),U43,0),V44/$N42),1)</f>
        <v>1</v>
      </c>
      <c r="W43" s="143">
        <f t="shared" ref="W43" ca="1" si="154">MIN(IF($B44,W42+IF(ISNUMBER(V43),V43,0),W44/$N42),1)</f>
        <v>1</v>
      </c>
      <c r="X43" s="163"/>
      <c r="AC43" s="143">
        <f ca="1">MIN(IF($B44,AC42+IF(ISNUMBER(AB43),AB43,0),AC44/$N42),1)</f>
        <v>0</v>
      </c>
    </row>
    <row r="44" spans="1:29" customFormat="1" ht="14.25" x14ac:dyDescent="0.2">
      <c r="A44" s="11">
        <f ca="1">OFFSET(A44,-CFF.NumLinha,0)+1</f>
        <v>9</v>
      </c>
      <c r="B44" s="11" t="b">
        <f ca="1">$C44&gt;=OFFSET($C44,CFF.NumLinha,0)</f>
        <v>1</v>
      </c>
      <c r="C44" s="11">
        <f ca="1">INDEX(PO!A$12:A$275,MATCH($A44,PO!$V$12:$V$275,0))</f>
        <v>2</v>
      </c>
      <c r="D44" s="11">
        <f ca="1">IF(ISERROR(J44),I44,SMALL(I44:J44,1))-1</f>
        <v>2</v>
      </c>
      <c r="E44" s="11">
        <f ca="1">IF($C44=1,OFFSET(E44,-CFF.NumLinha,0)+1,OFFSET(E44,-CFF.NumLinha,0))</f>
        <v>1</v>
      </c>
      <c r="F44" s="11">
        <f ca="1">IF($C44=1,0,IF($C44=2,OFFSET(F44,-CFF.NumLinha,0)+1,OFFSET(F44,-CFF.NumLinha,0)))</f>
        <v>8</v>
      </c>
      <c r="G44" s="11">
        <f ca="1">IF(AND($C44&lt;=2,$C44&lt;&gt;0),0,IF($C44=3,OFFSET(G44,-CFF.NumLinha,0)+1,OFFSET(G44,-CFF.NumLinha,0)))</f>
        <v>0</v>
      </c>
      <c r="H44" s="11">
        <f ca="1">IF(AND($C44&lt;=3,$C44&lt;&gt;0),0,IF($C44=4,OFFSET(H44,-CFF.NumLinha,0)+1,OFFSET(H44,-CFF.NumLinha,0)))</f>
        <v>0</v>
      </c>
      <c r="I44" s="11">
        <f ca="1">MATCH(0,OFFSET($D44,1,$C44,ROW($A$93)-ROW($A44)),0)</f>
        <v>49</v>
      </c>
      <c r="J44" s="11">
        <f ca="1">MATCH(OFFSET($D44,0,$C44)+1,OFFSET($D44,1,$C44,ROW($A$93)-ROW($A44)),0)</f>
        <v>3</v>
      </c>
      <c r="K44" s="156">
        <f ca="1">ROUND(INDEX(PO!T$12:T$275,MATCH($A44,PO!$V$12:$V$275,0)),2)+10^-12</f>
        <v>6531.2400000000007</v>
      </c>
      <c r="L44" s="334"/>
      <c r="M44" s="336"/>
      <c r="N44" s="338"/>
      <c r="O44" s="171" t="s">
        <v>20</v>
      </c>
      <c r="P44" s="166">
        <f ca="1">IF($B44,ROUND(P43*$N42,2),ROUND(SUMIF(OFFSET($B44,1,0,$D44),TRUE,OFFSET(P44,1,0,$D44))/SUMIF(OFFSET($B44,1,0,$D44),TRUE,OFFSET($K44,1,0,$D44))*$N42,2))</f>
        <v>0</v>
      </c>
      <c r="Q44" s="144">
        <f t="shared" ref="Q44:W44" ca="1" si="155">IF($B44,ROUND(Q43*$N42,2),ROUND(SUMIF(OFFSET($B44,1,0,$D44),TRUE,OFFSET(Q44,1,0,$D44))/SUMIF(OFFSET($B44,1,0,$D44),TRUE,OFFSET($K44,1,0,$D44))*$N42,2))</f>
        <v>0</v>
      </c>
      <c r="R44" s="144">
        <f t="shared" ca="1" si="155"/>
        <v>6531.24</v>
      </c>
      <c r="S44" s="144">
        <f t="shared" ca="1" si="155"/>
        <v>6531.24</v>
      </c>
      <c r="T44" s="144">
        <f t="shared" ca="1" si="155"/>
        <v>6531.24</v>
      </c>
      <c r="U44" s="144">
        <f t="shared" ca="1" si="155"/>
        <v>6531.24</v>
      </c>
      <c r="V44" s="144">
        <f t="shared" ca="1" si="155"/>
        <v>6531.24</v>
      </c>
      <c r="W44" s="174">
        <f t="shared" ca="1" si="155"/>
        <v>6531.24</v>
      </c>
      <c r="X44" s="163"/>
      <c r="AC44" s="144">
        <f ca="1">IF($B44,ROUND(AC43*$N42,2),ROUND(SUMIF(OFFSET($B44,1,0,$D44),TRUE,OFFSET(AC44,1,0,$D44))/SUMIF(OFFSET($B44,1,0,$D44),TRUE,OFFSET($K44,1,0,$D44))*$N42,2))</f>
        <v>0</v>
      </c>
    </row>
    <row r="45" spans="1:29" customFormat="1" ht="14.25" customHeight="1" x14ac:dyDescent="0.2">
      <c r="A45" s="1"/>
      <c r="B45" s="1"/>
      <c r="C45" s="1"/>
      <c r="D45" s="1"/>
      <c r="E45" s="1"/>
      <c r="F45" s="1"/>
      <c r="G45" s="1"/>
      <c r="H45" s="1"/>
      <c r="I45" s="1"/>
      <c r="J45" s="1"/>
      <c r="K45" s="1"/>
      <c r="L45" s="333" t="str">
        <f ca="1">INDEX(PO!K$12:K$275,MATCH($A47,PO!$V$12:$V$275,0))</f>
        <v>1.9.</v>
      </c>
      <c r="M45" s="335" t="str">
        <f ca="1">INDEX(PO!N$12:N$275,MATCH($A47,PO!$V$12:$V$275,0))</f>
        <v>DEMOLIÇÕES E REMOÇÕES</v>
      </c>
      <c r="N45" s="337">
        <f t="shared" ref="N45" ca="1" si="156">IF(ROUND(K47,2)=0,K47,ROUND(K47,2))</f>
        <v>15936.52</v>
      </c>
      <c r="O45" s="187" t="s">
        <v>143</v>
      </c>
      <c r="P45" s="192">
        <v>1</v>
      </c>
      <c r="Q45" s="193">
        <v>0</v>
      </c>
      <c r="R45" s="193">
        <v>1</v>
      </c>
      <c r="S45" s="193">
        <f t="shared" ref="S45" ca="1" si="157">IF($B47,0,S46-IF(ISNUMBER(R46),R46,0))</f>
        <v>0</v>
      </c>
      <c r="T45" s="193">
        <v>0.9</v>
      </c>
      <c r="U45" s="193">
        <f t="shared" ref="U45" ca="1" si="158">IF($B47,0,U46-IF(ISNUMBER(T46),T46,0))</f>
        <v>0</v>
      </c>
      <c r="V45" s="193">
        <f t="shared" ref="V45" ca="1" si="159">IF($B47,0,V46-IF(ISNUMBER(U46),U46,0))</f>
        <v>0</v>
      </c>
      <c r="W45" s="194">
        <f t="shared" ref="W45" ca="1" si="160">IF($B47,0,W46-IF(ISNUMBER(V46),V46,0))</f>
        <v>0</v>
      </c>
      <c r="X45" s="163"/>
      <c r="AC45" s="188">
        <f t="shared" ref="AC45" ca="1" si="161">IF($B47,0,AC46-IF(ISNUMBER(AB46),AB46,0))</f>
        <v>0</v>
      </c>
    </row>
    <row r="46" spans="1:29" customFormat="1" ht="14.25" x14ac:dyDescent="0.2">
      <c r="A46" s="11"/>
      <c r="B46" s="11"/>
      <c r="C46" s="11"/>
      <c r="D46" s="11"/>
      <c r="E46" s="11"/>
      <c r="F46" s="11"/>
      <c r="G46" s="11"/>
      <c r="H46" s="11"/>
      <c r="I46" s="11"/>
      <c r="J46" s="11"/>
      <c r="K46" s="11"/>
      <c r="L46" s="334"/>
      <c r="M46" s="336"/>
      <c r="N46" s="338"/>
      <c r="O46" s="145" t="s">
        <v>145</v>
      </c>
      <c r="P46" s="165">
        <f t="shared" ref="P46" ca="1" si="162">MIN(IF($B47,P45+IF(ISNUMBER(O46),O46,0),P47/$N45),1)</f>
        <v>1</v>
      </c>
      <c r="Q46" s="143">
        <f t="shared" ref="Q46" ca="1" si="163">MIN(IF($B47,Q45+IF(ISNUMBER(P46),P46,0),Q47/$N45),1)</f>
        <v>1</v>
      </c>
      <c r="R46" s="143">
        <f t="shared" ref="R46" ca="1" si="164">MIN(IF($B47,R45+IF(ISNUMBER(Q46),Q46,0),R47/$N45),1)</f>
        <v>1</v>
      </c>
      <c r="S46" s="143">
        <f t="shared" ref="S46" ca="1" si="165">MIN(IF($B47,S45+IF(ISNUMBER(R46),R46,0),S47/$N45),1)</f>
        <v>1</v>
      </c>
      <c r="T46" s="143">
        <f t="shared" ref="T46" ca="1" si="166">MIN(IF($B47,T45+IF(ISNUMBER(S46),S46,0),T47/$N45),1)</f>
        <v>1</v>
      </c>
      <c r="U46" s="143">
        <f t="shared" ref="U46" ca="1" si="167">MIN(IF($B47,U45+IF(ISNUMBER(T46),T46,0),U47/$N45),1)</f>
        <v>1</v>
      </c>
      <c r="V46" s="143">
        <f t="shared" ref="V46" ca="1" si="168">MIN(IF($B47,V45+IF(ISNUMBER(U46),U46,0),V47/$N45),1)</f>
        <v>1</v>
      </c>
      <c r="W46" s="143">
        <f t="shared" ref="W46" ca="1" si="169">MIN(IF($B47,W45+IF(ISNUMBER(V46),V46,0),W47/$N45),1)</f>
        <v>1</v>
      </c>
      <c r="X46" s="163"/>
      <c r="AC46" s="143">
        <f t="shared" ref="AC46" ca="1" si="170">MIN(IF($B47,AC45+IF(ISNUMBER(AB46),AB46,0),AC47/$N45),1)</f>
        <v>0</v>
      </c>
    </row>
    <row r="47" spans="1:29" customFormat="1" ht="14.25" x14ac:dyDescent="0.2">
      <c r="A47" s="11">
        <f ca="1">OFFSET(A47,-CFF.NumLinha,0)+1</f>
        <v>10</v>
      </c>
      <c r="B47" s="11" t="b">
        <f ca="1">$C47&gt;=OFFSET($C47,CFF.NumLinha,0)</f>
        <v>1</v>
      </c>
      <c r="C47" s="11">
        <f ca="1">INDEX(PO!A$12:A$275,MATCH($A47,PO!$V$12:$V$275,0))</f>
        <v>2</v>
      </c>
      <c r="D47" s="11">
        <f t="shared" ref="D47" ca="1" si="171">IF(ISERROR(J47),I47,SMALL(I47:J47,1))-1</f>
        <v>2</v>
      </c>
      <c r="E47" s="11">
        <f ca="1">IF($C47=1,OFFSET(E47,-CFF.NumLinha,0)+1,OFFSET(E47,-CFF.NumLinha,0))</f>
        <v>1</v>
      </c>
      <c r="F47" s="11">
        <f ca="1">IF($C47=1,0,IF($C47=2,OFFSET(F47,-CFF.NumLinha,0)+1,OFFSET(F47,-CFF.NumLinha,0)))</f>
        <v>9</v>
      </c>
      <c r="G47" s="11">
        <f ca="1">IF(AND($C47&lt;=2,$C47&lt;&gt;0),0,IF($C47=3,OFFSET(G47,-CFF.NumLinha,0)+1,OFFSET(G47,-CFF.NumLinha,0)))</f>
        <v>0</v>
      </c>
      <c r="H47" s="11">
        <f ca="1">IF(AND($C47&lt;=3,$C47&lt;&gt;0),0,IF($C47=4,OFFSET(H47,-CFF.NumLinha,0)+1,OFFSET(H47,-CFF.NumLinha,0)))</f>
        <v>0</v>
      </c>
      <c r="I47" s="11">
        <f t="shared" ref="I47" ca="1" si="172">MATCH(0,OFFSET($D47,1,$C47,ROW($A$93)-ROW($A47)),0)</f>
        <v>46</v>
      </c>
      <c r="J47" s="11">
        <f t="shared" ref="J47" ca="1" si="173">MATCH(OFFSET($D47,0,$C47)+1,OFFSET($D47,1,$C47,ROW($A$93)-ROW($A47)),0)</f>
        <v>3</v>
      </c>
      <c r="K47" s="156">
        <f ca="1">ROUND(INDEX(PO!T$12:T$275,MATCH($A47,PO!$V$12:$V$275,0)),2)+10^-12</f>
        <v>15936.520000000002</v>
      </c>
      <c r="L47" s="334"/>
      <c r="M47" s="336"/>
      <c r="N47" s="338"/>
      <c r="O47" s="171" t="s">
        <v>20</v>
      </c>
      <c r="P47" s="166">
        <f t="shared" ref="P47:W47" ca="1" si="174">IF($B47,ROUND(P46*$N45,2),ROUND(SUMIF(OFFSET($B47,1,0,$D47),TRUE,OFFSET(P47,1,0,$D47))/SUMIF(OFFSET($B47,1,0,$D47),TRUE,OFFSET($K47,1,0,$D47))*$N45,2))</f>
        <v>15936.52</v>
      </c>
      <c r="Q47" s="144">
        <f t="shared" ca="1" si="174"/>
        <v>15936.52</v>
      </c>
      <c r="R47" s="144">
        <f t="shared" ca="1" si="174"/>
        <v>15936.52</v>
      </c>
      <c r="S47" s="144">
        <f t="shared" ca="1" si="174"/>
        <v>15936.52</v>
      </c>
      <c r="T47" s="144">
        <f t="shared" ca="1" si="174"/>
        <v>15936.52</v>
      </c>
      <c r="U47" s="144">
        <f t="shared" ca="1" si="174"/>
        <v>15936.52</v>
      </c>
      <c r="V47" s="144">
        <f t="shared" ca="1" si="174"/>
        <v>15936.52</v>
      </c>
      <c r="W47" s="174">
        <f t="shared" ca="1" si="174"/>
        <v>15936.52</v>
      </c>
      <c r="X47" s="163"/>
      <c r="AC47" s="144">
        <f t="shared" ref="AC47" ca="1" si="175">IF($B47,ROUND(AC46*$N45,2),ROUND(SUMIF(OFFSET($B47,1,0,$D47),TRUE,OFFSET(AC47,1,0,$D47))/SUMIF(OFFSET($B47,1,0,$D47),TRUE,OFFSET($K47,1,0,$D47))*$N45,2))</f>
        <v>0</v>
      </c>
    </row>
    <row r="48" spans="1:29" customFormat="1" ht="14.25" customHeight="1" x14ac:dyDescent="0.2">
      <c r="A48" s="1"/>
      <c r="B48" s="1"/>
      <c r="C48" s="1"/>
      <c r="D48" s="1"/>
      <c r="E48" s="1"/>
      <c r="F48" s="1"/>
      <c r="G48" s="1"/>
      <c r="H48" s="1"/>
      <c r="I48" s="1"/>
      <c r="J48" s="1"/>
      <c r="K48" s="1"/>
      <c r="L48" s="333" t="str">
        <f ca="1">INDEX(PO!K$12:K$275,MATCH($A50,PO!$V$12:$V$275,0))</f>
        <v>1.10.</v>
      </c>
      <c r="M48" s="335" t="str">
        <f ca="1">INDEX(PO!N$12:N$275,MATCH($A50,PO!$V$12:$V$275,0))</f>
        <v>ALVENARIAS</v>
      </c>
      <c r="N48" s="337">
        <f t="shared" ref="N48" ca="1" si="176">IF(ROUND(K50,2)=0,K50,ROUND(K50,2))</f>
        <v>63450.79</v>
      </c>
      <c r="O48" s="187" t="s">
        <v>143</v>
      </c>
      <c r="P48" s="192">
        <f t="shared" ref="P48" ca="1" si="177">IF($B50,0,P49-IF(ISNUMBER(O49),O49,0))</f>
        <v>0</v>
      </c>
      <c r="Q48" s="193">
        <f t="shared" ref="Q48" ca="1" si="178">IF($B50,0,Q49-IF(ISNUMBER(P49),P49,0))</f>
        <v>0</v>
      </c>
      <c r="R48" s="193">
        <v>0.5</v>
      </c>
      <c r="S48" s="193">
        <v>0.5</v>
      </c>
      <c r="T48" s="193">
        <f t="shared" ref="T48" ca="1" si="179">IF($B50,0,T49-IF(ISNUMBER(S49),S49,0))</f>
        <v>0</v>
      </c>
      <c r="U48" s="193">
        <f t="shared" ref="U48" ca="1" si="180">IF($B50,0,U49-IF(ISNUMBER(T49),T49,0))</f>
        <v>0</v>
      </c>
      <c r="V48" s="193">
        <f t="shared" ref="V48" ca="1" si="181">IF($B50,0,V49-IF(ISNUMBER(U49),U49,0))</f>
        <v>0</v>
      </c>
      <c r="W48" s="194">
        <f t="shared" ref="W48" ca="1" si="182">IF($B50,0,W49-IF(ISNUMBER(V49),V49,0))</f>
        <v>0</v>
      </c>
      <c r="X48" s="163"/>
      <c r="AC48" s="188">
        <f t="shared" ref="AC48" ca="1" si="183">IF($B50,0,AC49-IF(ISNUMBER(AB49),AB49,0))</f>
        <v>0</v>
      </c>
    </row>
    <row r="49" spans="1:29" customFormat="1" ht="14.25" x14ac:dyDescent="0.2">
      <c r="A49" s="11"/>
      <c r="B49" s="11"/>
      <c r="C49" s="11"/>
      <c r="D49" s="11"/>
      <c r="E49" s="11"/>
      <c r="F49" s="11"/>
      <c r="G49" s="11"/>
      <c r="H49" s="11"/>
      <c r="I49" s="11"/>
      <c r="J49" s="11"/>
      <c r="K49" s="11"/>
      <c r="L49" s="334"/>
      <c r="M49" s="336"/>
      <c r="N49" s="338"/>
      <c r="O49" s="145" t="s">
        <v>145</v>
      </c>
      <c r="P49" s="165">
        <f t="shared" ref="P49" ca="1" si="184">MIN(IF($B50,P48+IF(ISNUMBER(O49),O49,0),P50/$N48),1)</f>
        <v>0</v>
      </c>
      <c r="Q49" s="143">
        <f t="shared" ref="Q49" ca="1" si="185">MIN(IF($B50,Q48+IF(ISNUMBER(P49),P49,0),Q50/$N48),1)</f>
        <v>0</v>
      </c>
      <c r="R49" s="143">
        <f t="shared" ref="R49" ca="1" si="186">MIN(IF($B50,R48+IF(ISNUMBER(Q49),Q49,0),R50/$N48),1)</f>
        <v>0.5</v>
      </c>
      <c r="S49" s="143">
        <f t="shared" ref="S49" ca="1" si="187">MIN(IF($B50,S48+IF(ISNUMBER(R49),R49,0),S50/$N48),1)</f>
        <v>1</v>
      </c>
      <c r="T49" s="143">
        <f t="shared" ref="T49" ca="1" si="188">MIN(IF($B50,T48+IF(ISNUMBER(S49),S49,0),T50/$N48),1)</f>
        <v>1</v>
      </c>
      <c r="U49" s="143">
        <f t="shared" ref="U49" ca="1" si="189">MIN(IF($B50,U48+IF(ISNUMBER(T49),T49,0),U50/$N48),1)</f>
        <v>1</v>
      </c>
      <c r="V49" s="143">
        <f t="shared" ref="V49" ca="1" si="190">MIN(IF($B50,V48+IF(ISNUMBER(U49),U49,0),V50/$N48),1)</f>
        <v>1</v>
      </c>
      <c r="W49" s="143">
        <f t="shared" ref="W49" ca="1" si="191">MIN(IF($B50,W48+IF(ISNUMBER(V49),V49,0),W50/$N48),1)</f>
        <v>1</v>
      </c>
      <c r="X49" s="163"/>
      <c r="AC49" s="143">
        <f t="shared" ref="AC49" ca="1" si="192">MIN(IF($B50,AC48+IF(ISNUMBER(AB49),AB49,0),AC50/$N48),1)</f>
        <v>0</v>
      </c>
    </row>
    <row r="50" spans="1:29" customFormat="1" ht="14.25" x14ac:dyDescent="0.2">
      <c r="A50" s="11">
        <f ca="1">OFFSET(A50,-CFF.NumLinha,0)+1</f>
        <v>11</v>
      </c>
      <c r="B50" s="11" t="b">
        <f ca="1">$C50&gt;=OFFSET($C50,CFF.NumLinha,0)</f>
        <v>1</v>
      </c>
      <c r="C50" s="11">
        <f ca="1">INDEX(PO!A$12:A$275,MATCH($A50,PO!$V$12:$V$275,0))</f>
        <v>2</v>
      </c>
      <c r="D50" s="11">
        <f t="shared" ref="D50" ca="1" si="193">IF(ISERROR(J50),I50,SMALL(I50:J50,1))-1</f>
        <v>2</v>
      </c>
      <c r="E50" s="11">
        <f ca="1">IF($C50=1,OFFSET(E50,-CFF.NumLinha,0)+1,OFFSET(E50,-CFF.NumLinha,0))</f>
        <v>1</v>
      </c>
      <c r="F50" s="11">
        <f ca="1">IF($C50=1,0,IF($C50=2,OFFSET(F50,-CFF.NumLinha,0)+1,OFFSET(F50,-CFF.NumLinha,0)))</f>
        <v>10</v>
      </c>
      <c r="G50" s="11">
        <f ca="1">IF(AND($C50&lt;=2,$C50&lt;&gt;0),0,IF($C50=3,OFFSET(G50,-CFF.NumLinha,0)+1,OFFSET(G50,-CFF.NumLinha,0)))</f>
        <v>0</v>
      </c>
      <c r="H50" s="11">
        <f ca="1">IF(AND($C50&lt;=3,$C50&lt;&gt;0),0,IF($C50=4,OFFSET(H50,-CFF.NumLinha,0)+1,OFFSET(H50,-CFF.NumLinha,0)))</f>
        <v>0</v>
      </c>
      <c r="I50" s="11">
        <f t="shared" ref="I50" ca="1" si="194">MATCH(0,OFFSET($D50,1,$C50,ROW($A$93)-ROW($A50)),0)</f>
        <v>43</v>
      </c>
      <c r="J50" s="11">
        <f t="shared" ref="J50" ca="1" si="195">MATCH(OFFSET($D50,0,$C50)+1,OFFSET($D50,1,$C50,ROW($A$93)-ROW($A50)),0)</f>
        <v>3</v>
      </c>
      <c r="K50" s="156">
        <f ca="1">ROUND(INDEX(PO!T$12:T$275,MATCH($A50,PO!$V$12:$V$275,0)),2)+10^-12</f>
        <v>63450.79</v>
      </c>
      <c r="L50" s="334"/>
      <c r="M50" s="336"/>
      <c r="N50" s="338"/>
      <c r="O50" s="171" t="s">
        <v>20</v>
      </c>
      <c r="P50" s="166">
        <f t="shared" ref="P50:W50" ca="1" si="196">IF($B50,ROUND(P49*$N48,2),ROUND(SUMIF(OFFSET($B50,1,0,$D50),TRUE,OFFSET(P50,1,0,$D50))/SUMIF(OFFSET($B50,1,0,$D50),TRUE,OFFSET($K50,1,0,$D50))*$N48,2))</f>
        <v>0</v>
      </c>
      <c r="Q50" s="144">
        <f t="shared" ca="1" si="196"/>
        <v>0</v>
      </c>
      <c r="R50" s="144">
        <f t="shared" ca="1" si="196"/>
        <v>31725.4</v>
      </c>
      <c r="S50" s="144">
        <f t="shared" ca="1" si="196"/>
        <v>63450.79</v>
      </c>
      <c r="T50" s="144">
        <f t="shared" ca="1" si="196"/>
        <v>63450.79</v>
      </c>
      <c r="U50" s="144">
        <f t="shared" ca="1" si="196"/>
        <v>63450.79</v>
      </c>
      <c r="V50" s="144">
        <f t="shared" ca="1" si="196"/>
        <v>63450.79</v>
      </c>
      <c r="W50" s="174">
        <f t="shared" ca="1" si="196"/>
        <v>63450.79</v>
      </c>
      <c r="X50" s="163"/>
      <c r="AC50" s="144">
        <f t="shared" ref="AC50" ca="1" si="197">IF($B50,ROUND(AC49*$N48,2),ROUND(SUMIF(OFFSET($B50,1,0,$D50),TRUE,OFFSET(AC50,1,0,$D50))/SUMIF(OFFSET($B50,1,0,$D50),TRUE,OFFSET($K50,1,0,$D50))*$N48,2))</f>
        <v>0</v>
      </c>
    </row>
    <row r="51" spans="1:29" customFormat="1" ht="14.25" customHeight="1" x14ac:dyDescent="0.2">
      <c r="A51" s="1"/>
      <c r="B51" s="1"/>
      <c r="C51" s="1"/>
      <c r="D51" s="1"/>
      <c r="E51" s="1"/>
      <c r="F51" s="1"/>
      <c r="G51" s="1"/>
      <c r="H51" s="1"/>
      <c r="I51" s="1"/>
      <c r="J51" s="1"/>
      <c r="K51" s="1"/>
      <c r="L51" s="333" t="str">
        <f ca="1">INDEX(PO!K$12:K$275,MATCH($A53,PO!$V$12:$V$275,0))</f>
        <v>1.11.</v>
      </c>
      <c r="M51" s="335" t="str">
        <f ca="1">INDEX(PO!N$12:N$275,MATCH($A53,PO!$V$12:$V$275,0))</f>
        <v>IMPERMEABILIZAÇÃO</v>
      </c>
      <c r="N51" s="337">
        <f t="shared" ref="N51" ca="1" si="198">IF(ROUND(K53,2)=0,K53,ROUND(K53,2))</f>
        <v>10991.38</v>
      </c>
      <c r="O51" s="187" t="s">
        <v>143</v>
      </c>
      <c r="P51" s="192">
        <f t="shared" ref="P51" ca="1" si="199">IF($B53,0,P52-IF(ISNUMBER(O52),O52,0))</f>
        <v>0</v>
      </c>
      <c r="Q51" s="193">
        <f t="shared" ref="Q51" ca="1" si="200">IF($B53,0,Q52-IF(ISNUMBER(P52),P52,0))</f>
        <v>0</v>
      </c>
      <c r="R51" s="193">
        <f t="shared" ref="R51" ca="1" si="201">IF($B53,0,R52-IF(ISNUMBER(Q52),Q52,0))</f>
        <v>0</v>
      </c>
      <c r="S51" s="193">
        <f t="shared" ref="S51" ca="1" si="202">IF($B53,0,S52-IF(ISNUMBER(R52),R52,0))</f>
        <v>0</v>
      </c>
      <c r="T51" s="193">
        <v>1</v>
      </c>
      <c r="U51" s="193">
        <f t="shared" ref="U51" ca="1" si="203">IF($B53,0,U52-IF(ISNUMBER(T52),T52,0))</f>
        <v>0</v>
      </c>
      <c r="V51" s="193">
        <f t="shared" ref="V51" ca="1" si="204">IF($B53,0,V52-IF(ISNUMBER(U52),U52,0))</f>
        <v>0</v>
      </c>
      <c r="W51" s="194">
        <f t="shared" ref="W51" ca="1" si="205">IF($B53,0,W52-IF(ISNUMBER(V52),V52,0))</f>
        <v>0</v>
      </c>
      <c r="X51" s="163"/>
      <c r="AC51" s="188">
        <f t="shared" ref="AC51" ca="1" si="206">IF($B53,0,AC52-IF(ISNUMBER(AB52),AB52,0))</f>
        <v>0</v>
      </c>
    </row>
    <row r="52" spans="1:29" customFormat="1" ht="14.25" x14ac:dyDescent="0.2">
      <c r="A52" s="11"/>
      <c r="B52" s="11"/>
      <c r="C52" s="11"/>
      <c r="D52" s="11"/>
      <c r="E52" s="11"/>
      <c r="F52" s="11"/>
      <c r="G52" s="11"/>
      <c r="H52" s="11"/>
      <c r="I52" s="11"/>
      <c r="J52" s="11"/>
      <c r="K52" s="11"/>
      <c r="L52" s="334"/>
      <c r="M52" s="336"/>
      <c r="N52" s="338"/>
      <c r="O52" s="145" t="s">
        <v>145</v>
      </c>
      <c r="P52" s="165">
        <f t="shared" ref="P52" ca="1" si="207">MIN(IF($B53,P51+IF(ISNUMBER(O52),O52,0),P53/$N51),1)</f>
        <v>0</v>
      </c>
      <c r="Q52" s="143">
        <f t="shared" ref="Q52" ca="1" si="208">MIN(IF($B53,Q51+IF(ISNUMBER(P52),P52,0),Q53/$N51),1)</f>
        <v>0</v>
      </c>
      <c r="R52" s="143">
        <f t="shared" ref="R52" ca="1" si="209">MIN(IF($B53,R51+IF(ISNUMBER(Q52),Q52,0),R53/$N51),1)</f>
        <v>0</v>
      </c>
      <c r="S52" s="143">
        <f t="shared" ref="S52" ca="1" si="210">MIN(IF($B53,S51+IF(ISNUMBER(R52),R52,0),S53/$N51),1)</f>
        <v>0</v>
      </c>
      <c r="T52" s="143">
        <f t="shared" ref="T52" ca="1" si="211">MIN(IF($B53,T51+IF(ISNUMBER(S52),S52,0),T53/$N51),1)</f>
        <v>1</v>
      </c>
      <c r="U52" s="143">
        <f t="shared" ref="U52" ca="1" si="212">MIN(IF($B53,U51+IF(ISNUMBER(T52),T52,0),U53/$N51),1)</f>
        <v>1</v>
      </c>
      <c r="V52" s="143">
        <f t="shared" ref="V52" ca="1" si="213">MIN(IF($B53,V51+IF(ISNUMBER(U52),U52,0),V53/$N51),1)</f>
        <v>1</v>
      </c>
      <c r="W52" s="143">
        <f t="shared" ref="W52" ca="1" si="214">MIN(IF($B53,W51+IF(ISNUMBER(V52),V52,0),W53/$N51),1)</f>
        <v>1</v>
      </c>
      <c r="X52" s="163"/>
      <c r="AC52" s="143">
        <f t="shared" ref="AC52" ca="1" si="215">MIN(IF($B53,AC51+IF(ISNUMBER(AB52),AB52,0),AC53/$N51),1)</f>
        <v>0</v>
      </c>
    </row>
    <row r="53" spans="1:29" customFormat="1" ht="14.25" x14ac:dyDescent="0.2">
      <c r="A53" s="11">
        <f ca="1">OFFSET(A53,-CFF.NumLinha,0)+1</f>
        <v>12</v>
      </c>
      <c r="B53" s="11" t="b">
        <f ca="1">$C53&gt;=OFFSET($C53,CFF.NumLinha,0)</f>
        <v>1</v>
      </c>
      <c r="C53" s="11">
        <f ca="1">INDEX(PO!A$12:A$275,MATCH($A53,PO!$V$12:$V$275,0))</f>
        <v>2</v>
      </c>
      <c r="D53" s="11">
        <f t="shared" ref="D53" ca="1" si="216">IF(ISERROR(J53),I53,SMALL(I53:J53,1))-1</f>
        <v>2</v>
      </c>
      <c r="E53" s="11">
        <f ca="1">IF($C53=1,OFFSET(E53,-CFF.NumLinha,0)+1,OFFSET(E53,-CFF.NumLinha,0))</f>
        <v>1</v>
      </c>
      <c r="F53" s="11">
        <f ca="1">IF($C53=1,0,IF($C53=2,OFFSET(F53,-CFF.NumLinha,0)+1,OFFSET(F53,-CFF.NumLinha,0)))</f>
        <v>11</v>
      </c>
      <c r="G53" s="11">
        <f ca="1">IF(AND($C53&lt;=2,$C53&lt;&gt;0),0,IF($C53=3,OFFSET(G53,-CFF.NumLinha,0)+1,OFFSET(G53,-CFF.NumLinha,0)))</f>
        <v>0</v>
      </c>
      <c r="H53" s="11">
        <f ca="1">IF(AND($C53&lt;=3,$C53&lt;&gt;0),0,IF($C53=4,OFFSET(H53,-CFF.NumLinha,0)+1,OFFSET(H53,-CFF.NumLinha,0)))</f>
        <v>0</v>
      </c>
      <c r="I53" s="11">
        <f t="shared" ref="I53" ca="1" si="217">MATCH(0,OFFSET($D53,1,$C53,ROW($A$93)-ROW($A53)),0)</f>
        <v>40</v>
      </c>
      <c r="J53" s="11">
        <f t="shared" ref="J53" ca="1" si="218">MATCH(OFFSET($D53,0,$C53)+1,OFFSET($D53,1,$C53,ROW($A$93)-ROW($A53)),0)</f>
        <v>3</v>
      </c>
      <c r="K53" s="156">
        <f ca="1">ROUND(INDEX(PO!T$12:T$275,MATCH($A53,PO!$V$12:$V$275,0)),2)+10^-12</f>
        <v>10991.380000000001</v>
      </c>
      <c r="L53" s="334"/>
      <c r="M53" s="336"/>
      <c r="N53" s="338"/>
      <c r="O53" s="171" t="s">
        <v>20</v>
      </c>
      <c r="P53" s="166">
        <f t="shared" ref="P53:W53" ca="1" si="219">IF($B53,ROUND(P52*$N51,2),ROUND(SUMIF(OFFSET($B53,1,0,$D53),TRUE,OFFSET(P53,1,0,$D53))/SUMIF(OFFSET($B53,1,0,$D53),TRUE,OFFSET($K53,1,0,$D53))*$N51,2))</f>
        <v>0</v>
      </c>
      <c r="Q53" s="144">
        <f t="shared" ca="1" si="219"/>
        <v>0</v>
      </c>
      <c r="R53" s="144">
        <f t="shared" ca="1" si="219"/>
        <v>0</v>
      </c>
      <c r="S53" s="144">
        <f t="shared" ca="1" si="219"/>
        <v>0</v>
      </c>
      <c r="T53" s="144">
        <f t="shared" ca="1" si="219"/>
        <v>10991.38</v>
      </c>
      <c r="U53" s="144">
        <f t="shared" ca="1" si="219"/>
        <v>10991.38</v>
      </c>
      <c r="V53" s="144">
        <f t="shared" ca="1" si="219"/>
        <v>10991.38</v>
      </c>
      <c r="W53" s="174">
        <f t="shared" ca="1" si="219"/>
        <v>10991.38</v>
      </c>
      <c r="X53" s="163"/>
      <c r="AC53" s="144">
        <f t="shared" ref="AC53" ca="1" si="220">IF($B53,ROUND(AC52*$N51,2),ROUND(SUMIF(OFFSET($B53,1,0,$D53),TRUE,OFFSET(AC53,1,0,$D53))/SUMIF(OFFSET($B53,1,0,$D53),TRUE,OFFSET($K53,1,0,$D53))*$N51,2))</f>
        <v>0</v>
      </c>
    </row>
    <row r="54" spans="1:29" customFormat="1" ht="14.25" customHeight="1" x14ac:dyDescent="0.2">
      <c r="A54" s="1"/>
      <c r="B54" s="1"/>
      <c r="C54" s="1"/>
      <c r="D54" s="1"/>
      <c r="E54" s="1"/>
      <c r="F54" s="1"/>
      <c r="G54" s="1"/>
      <c r="H54" s="1"/>
      <c r="I54" s="1"/>
      <c r="J54" s="1"/>
      <c r="K54" s="1"/>
      <c r="L54" s="333" t="str">
        <f ca="1">INDEX(PO!K$12:K$275,MATCH($A56,PO!$V$12:$V$275,0))</f>
        <v>1.12.</v>
      </c>
      <c r="M54" s="335" t="str">
        <f ca="1">INDEX(PO!N$12:N$275,MATCH($A56,PO!$V$12:$V$275,0))</f>
        <v>INSTALAÇÕES ELÉTRICAS</v>
      </c>
      <c r="N54" s="337">
        <f t="shared" ref="N54" ca="1" si="221">IF(ROUND(K56,2)=0,K56,ROUND(K56,2))</f>
        <v>157275.79</v>
      </c>
      <c r="O54" s="187" t="s">
        <v>143</v>
      </c>
      <c r="P54" s="192">
        <f t="shared" ref="P54" ca="1" si="222">IF($B56,0,P55-IF(ISNUMBER(O55),O55,0))</f>
        <v>0</v>
      </c>
      <c r="Q54" s="193">
        <f t="shared" ref="Q54" ca="1" si="223">IF($B56,0,Q55-IF(ISNUMBER(P55),P55,0))</f>
        <v>0</v>
      </c>
      <c r="R54" s="193">
        <f t="shared" ref="R54" ca="1" si="224">IF($B56,0,R55-IF(ISNUMBER(Q55),Q55,0))</f>
        <v>0</v>
      </c>
      <c r="S54" s="193">
        <v>0.5</v>
      </c>
      <c r="T54" s="193">
        <v>0.5</v>
      </c>
      <c r="U54" s="193">
        <f t="shared" ref="U54" ca="1" si="225">IF($B56,0,U55-IF(ISNUMBER(T55),T55,0))</f>
        <v>0</v>
      </c>
      <c r="V54" s="193">
        <f t="shared" ref="V54" ca="1" si="226">IF($B56,0,V55-IF(ISNUMBER(U55),U55,0))</f>
        <v>0</v>
      </c>
      <c r="W54" s="194">
        <f t="shared" ref="W54" ca="1" si="227">IF($B56,0,W55-IF(ISNUMBER(V55),V55,0))</f>
        <v>0</v>
      </c>
      <c r="X54" s="163"/>
      <c r="AC54" s="188">
        <f t="shared" ref="AC54" ca="1" si="228">IF($B56,0,AC55-IF(ISNUMBER(AB55),AB55,0))</f>
        <v>0</v>
      </c>
    </row>
    <row r="55" spans="1:29" customFormat="1" ht="14.25" x14ac:dyDescent="0.2">
      <c r="A55" s="11"/>
      <c r="B55" s="11"/>
      <c r="C55" s="11"/>
      <c r="D55" s="11"/>
      <c r="E55" s="11"/>
      <c r="F55" s="11"/>
      <c r="G55" s="11"/>
      <c r="H55" s="11"/>
      <c r="I55" s="11"/>
      <c r="J55" s="11"/>
      <c r="K55" s="11"/>
      <c r="L55" s="334"/>
      <c r="M55" s="336"/>
      <c r="N55" s="338"/>
      <c r="O55" s="145" t="s">
        <v>145</v>
      </c>
      <c r="P55" s="165">
        <f t="shared" ref="P55" ca="1" si="229">MIN(IF($B56,P54+IF(ISNUMBER(O55),O55,0),P56/$N54),1)</f>
        <v>0</v>
      </c>
      <c r="Q55" s="143">
        <f t="shared" ref="Q55" ca="1" si="230">MIN(IF($B56,Q54+IF(ISNUMBER(P55),P55,0),Q56/$N54),1)</f>
        <v>0</v>
      </c>
      <c r="R55" s="143">
        <f t="shared" ref="R55" ca="1" si="231">MIN(IF($B56,R54+IF(ISNUMBER(Q55),Q55,0),R56/$N54),1)</f>
        <v>0</v>
      </c>
      <c r="S55" s="143">
        <f t="shared" ref="S55" ca="1" si="232">MIN(IF($B56,S54+IF(ISNUMBER(R55),R55,0),S56/$N54),1)</f>
        <v>0.5</v>
      </c>
      <c r="T55" s="143">
        <f t="shared" ref="T55" ca="1" si="233">MIN(IF($B56,T54+IF(ISNUMBER(S55),S55,0),T56/$N54),1)</f>
        <v>1</v>
      </c>
      <c r="U55" s="143">
        <f t="shared" ref="U55" ca="1" si="234">MIN(IF($B56,U54+IF(ISNUMBER(T55),T55,0),U56/$N54),1)</f>
        <v>1</v>
      </c>
      <c r="V55" s="143">
        <f t="shared" ref="V55" ca="1" si="235">MIN(IF($B56,V54+IF(ISNUMBER(U55),U55,0),V56/$N54),1)</f>
        <v>1</v>
      </c>
      <c r="W55" s="143">
        <f t="shared" ref="W55" ca="1" si="236">MIN(IF($B56,W54+IF(ISNUMBER(V55),V55,0),W56/$N54),1)</f>
        <v>1</v>
      </c>
      <c r="X55" s="163"/>
      <c r="AC55" s="143">
        <f t="shared" ref="AC55" ca="1" si="237">MIN(IF($B56,AC54+IF(ISNUMBER(AB55),AB55,0),AC56/$N54),1)</f>
        <v>0</v>
      </c>
    </row>
    <row r="56" spans="1:29" customFormat="1" ht="14.25" x14ac:dyDescent="0.2">
      <c r="A56" s="11">
        <f ca="1">OFFSET(A56,-CFF.NumLinha,0)+1</f>
        <v>13</v>
      </c>
      <c r="B56" s="11" t="b">
        <f ca="1">$C56&gt;=OFFSET($C56,CFF.NumLinha,0)</f>
        <v>1</v>
      </c>
      <c r="C56" s="11">
        <f ca="1">INDEX(PO!A$12:A$275,MATCH($A56,PO!$V$12:$V$275,0))</f>
        <v>2</v>
      </c>
      <c r="D56" s="11">
        <f t="shared" ref="D56" ca="1" si="238">IF(ISERROR(J56),I56,SMALL(I56:J56,1))-1</f>
        <v>2</v>
      </c>
      <c r="E56" s="11">
        <f ca="1">IF($C56=1,OFFSET(E56,-CFF.NumLinha,0)+1,OFFSET(E56,-CFF.NumLinha,0))</f>
        <v>1</v>
      </c>
      <c r="F56" s="11">
        <f ca="1">IF($C56=1,0,IF($C56=2,OFFSET(F56,-CFF.NumLinha,0)+1,OFFSET(F56,-CFF.NumLinha,0)))</f>
        <v>12</v>
      </c>
      <c r="G56" s="11">
        <f ca="1">IF(AND($C56&lt;=2,$C56&lt;&gt;0),0,IF($C56=3,OFFSET(G56,-CFF.NumLinha,0)+1,OFFSET(G56,-CFF.NumLinha,0)))</f>
        <v>0</v>
      </c>
      <c r="H56" s="11">
        <f ca="1">IF(AND($C56&lt;=3,$C56&lt;&gt;0),0,IF($C56=4,OFFSET(H56,-CFF.NumLinha,0)+1,OFFSET(H56,-CFF.NumLinha,0)))</f>
        <v>0</v>
      </c>
      <c r="I56" s="11">
        <f t="shared" ref="I56" ca="1" si="239">MATCH(0,OFFSET($D56,1,$C56,ROW($A$93)-ROW($A56)),0)</f>
        <v>37</v>
      </c>
      <c r="J56" s="11">
        <f t="shared" ref="J56" ca="1" si="240">MATCH(OFFSET($D56,0,$C56)+1,OFFSET($D56,1,$C56,ROW($A$93)-ROW($A56)),0)</f>
        <v>3</v>
      </c>
      <c r="K56" s="156">
        <f ca="1">ROUND(INDEX(PO!T$12:T$275,MATCH($A56,PO!$V$12:$V$275,0)),2)+10^-12</f>
        <v>157275.79</v>
      </c>
      <c r="L56" s="334"/>
      <c r="M56" s="336"/>
      <c r="N56" s="338"/>
      <c r="O56" s="171" t="s">
        <v>20</v>
      </c>
      <c r="P56" s="166">
        <f t="shared" ref="P56:W56" ca="1" si="241">IF($B56,ROUND(P55*$N54,2),ROUND(SUMIF(OFFSET($B56,1,0,$D56),TRUE,OFFSET(P56,1,0,$D56))/SUMIF(OFFSET($B56,1,0,$D56),TRUE,OFFSET($K56,1,0,$D56))*$N54,2))</f>
        <v>0</v>
      </c>
      <c r="Q56" s="144">
        <f t="shared" ca="1" si="241"/>
        <v>0</v>
      </c>
      <c r="R56" s="144">
        <f t="shared" ca="1" si="241"/>
        <v>0</v>
      </c>
      <c r="S56" s="144">
        <f t="shared" ca="1" si="241"/>
        <v>78637.899999999994</v>
      </c>
      <c r="T56" s="144">
        <f t="shared" ca="1" si="241"/>
        <v>157275.79</v>
      </c>
      <c r="U56" s="144">
        <f t="shared" ca="1" si="241"/>
        <v>157275.79</v>
      </c>
      <c r="V56" s="144">
        <f t="shared" ca="1" si="241"/>
        <v>157275.79</v>
      </c>
      <c r="W56" s="174">
        <f t="shared" ca="1" si="241"/>
        <v>157275.79</v>
      </c>
      <c r="X56" s="163"/>
      <c r="AC56" s="144">
        <f t="shared" ref="AC56" ca="1" si="242">IF($B56,ROUND(AC55*$N54,2),ROUND(SUMIF(OFFSET($B56,1,0,$D56),TRUE,OFFSET(AC56,1,0,$D56))/SUMIF(OFFSET($B56,1,0,$D56),TRUE,OFFSET($K56,1,0,$D56))*$N54,2))</f>
        <v>0</v>
      </c>
    </row>
    <row r="57" spans="1:29" customFormat="1" ht="14.25" customHeight="1" x14ac:dyDescent="0.2">
      <c r="A57" s="1"/>
      <c r="B57" s="1"/>
      <c r="C57" s="1"/>
      <c r="D57" s="1"/>
      <c r="E57" s="1"/>
      <c r="F57" s="1"/>
      <c r="G57" s="1"/>
      <c r="H57" s="1"/>
      <c r="I57" s="1"/>
      <c r="J57" s="1"/>
      <c r="K57" s="1"/>
      <c r="L57" s="333" t="str">
        <f ca="1">INDEX(PO!K$12:K$275,MATCH($A59,PO!$V$12:$V$275,0))</f>
        <v>1.13.</v>
      </c>
      <c r="M57" s="335" t="str">
        <f ca="1">INDEX(PO!N$12:N$275,MATCH($A59,PO!$V$12:$V$275,0))</f>
        <v>INSTALAÇÕES HIDROSSANITÁRIAS</v>
      </c>
      <c r="N57" s="337">
        <f t="shared" ref="N57" ca="1" si="243">IF(ROUND(K59,2)=0,K59,ROUND(K59,2))</f>
        <v>68338.17</v>
      </c>
      <c r="O57" s="187" t="s">
        <v>143</v>
      </c>
      <c r="P57" s="192">
        <f t="shared" ref="P57" ca="1" si="244">IF($B59,0,P58-IF(ISNUMBER(O58),O58,0))</f>
        <v>0</v>
      </c>
      <c r="Q57" s="193">
        <f t="shared" ref="Q57" ca="1" si="245">IF($B59,0,Q58-IF(ISNUMBER(P58),P58,0))</f>
        <v>0</v>
      </c>
      <c r="R57" s="193">
        <f t="shared" ref="R57" ca="1" si="246">IF($B59,0,R58-IF(ISNUMBER(Q58),Q58,0))</f>
        <v>0</v>
      </c>
      <c r="S57" s="193">
        <f t="shared" ref="S57" ca="1" si="247">IF($B59,0,S58-IF(ISNUMBER(R58),R58,0))</f>
        <v>0</v>
      </c>
      <c r="T57" s="193">
        <f t="shared" ref="T57" ca="1" si="248">IF($B59,0,T58-IF(ISNUMBER(S58),S58,0))</f>
        <v>0</v>
      </c>
      <c r="U57" s="193">
        <v>1</v>
      </c>
      <c r="V57" s="193">
        <f t="shared" ref="V57" ca="1" si="249">IF($B59,0,V58-IF(ISNUMBER(U58),U58,0))</f>
        <v>0</v>
      </c>
      <c r="W57" s="194">
        <f t="shared" ref="W57" ca="1" si="250">IF($B59,0,W58-IF(ISNUMBER(V58),V58,0))</f>
        <v>0</v>
      </c>
      <c r="X57" s="163"/>
      <c r="AC57" s="188">
        <f t="shared" ref="AC57" ca="1" si="251">IF($B59,0,AC58-IF(ISNUMBER(AB58),AB58,0))</f>
        <v>0</v>
      </c>
    </row>
    <row r="58" spans="1:29" customFormat="1" ht="14.25" x14ac:dyDescent="0.2">
      <c r="A58" s="11"/>
      <c r="B58" s="11"/>
      <c r="C58" s="11"/>
      <c r="D58" s="11"/>
      <c r="E58" s="11"/>
      <c r="F58" s="11"/>
      <c r="G58" s="11"/>
      <c r="H58" s="11"/>
      <c r="I58" s="11"/>
      <c r="J58" s="11"/>
      <c r="K58" s="11"/>
      <c r="L58" s="334"/>
      <c r="M58" s="336"/>
      <c r="N58" s="338"/>
      <c r="O58" s="145" t="s">
        <v>145</v>
      </c>
      <c r="P58" s="165">
        <f t="shared" ref="P58" ca="1" si="252">MIN(IF($B59,P57+IF(ISNUMBER(O58),O58,0),P59/$N57),1)</f>
        <v>0</v>
      </c>
      <c r="Q58" s="143">
        <f t="shared" ref="Q58" ca="1" si="253">MIN(IF($B59,Q57+IF(ISNUMBER(P58),P58,0),Q59/$N57),1)</f>
        <v>0</v>
      </c>
      <c r="R58" s="143">
        <f t="shared" ref="R58" ca="1" si="254">MIN(IF($B59,R57+IF(ISNUMBER(Q58),Q58,0),R59/$N57),1)</f>
        <v>0</v>
      </c>
      <c r="S58" s="143">
        <f t="shared" ref="S58" ca="1" si="255">MIN(IF($B59,S57+IF(ISNUMBER(R58),R58,0),S59/$N57),1)</f>
        <v>0</v>
      </c>
      <c r="T58" s="143">
        <f t="shared" ref="T58" ca="1" si="256">MIN(IF($B59,T57+IF(ISNUMBER(S58),S58,0),T59/$N57),1)</f>
        <v>0</v>
      </c>
      <c r="U58" s="143">
        <f t="shared" ref="U58" ca="1" si="257">MIN(IF($B59,U57+IF(ISNUMBER(T58),T58,0),U59/$N57),1)</f>
        <v>1</v>
      </c>
      <c r="V58" s="143">
        <f t="shared" ref="V58" ca="1" si="258">MIN(IF($B59,V57+IF(ISNUMBER(U58),U58,0),V59/$N57),1)</f>
        <v>1</v>
      </c>
      <c r="W58" s="143">
        <f t="shared" ref="W58" ca="1" si="259">MIN(IF($B59,W57+IF(ISNUMBER(V58),V58,0),W59/$N57),1)</f>
        <v>1</v>
      </c>
      <c r="X58" s="163"/>
      <c r="AC58" s="143">
        <f t="shared" ref="AC58" ca="1" si="260">MIN(IF($B59,AC57+IF(ISNUMBER(AB58),AB58,0),AC59/$N57),1)</f>
        <v>0</v>
      </c>
    </row>
    <row r="59" spans="1:29" customFormat="1" ht="14.25" x14ac:dyDescent="0.2">
      <c r="A59" s="11">
        <f ca="1">OFFSET(A59,-CFF.NumLinha,0)+1</f>
        <v>14</v>
      </c>
      <c r="B59" s="11" t="b">
        <f ca="1">$C59&gt;=OFFSET($C59,CFF.NumLinha,0)</f>
        <v>1</v>
      </c>
      <c r="C59" s="11">
        <f ca="1">INDEX(PO!A$12:A$275,MATCH($A59,PO!$V$12:$V$275,0))</f>
        <v>2</v>
      </c>
      <c r="D59" s="11">
        <f t="shared" ref="D59" ca="1" si="261">IF(ISERROR(J59),I59,SMALL(I59:J59,1))-1</f>
        <v>2</v>
      </c>
      <c r="E59" s="11">
        <f ca="1">IF($C59=1,OFFSET(E59,-CFF.NumLinha,0)+1,OFFSET(E59,-CFF.NumLinha,0))</f>
        <v>1</v>
      </c>
      <c r="F59" s="11">
        <f ca="1">IF($C59=1,0,IF($C59=2,OFFSET(F59,-CFF.NumLinha,0)+1,OFFSET(F59,-CFF.NumLinha,0)))</f>
        <v>13</v>
      </c>
      <c r="G59" s="11">
        <f ca="1">IF(AND($C59&lt;=2,$C59&lt;&gt;0),0,IF($C59=3,OFFSET(G59,-CFF.NumLinha,0)+1,OFFSET(G59,-CFF.NumLinha,0)))</f>
        <v>0</v>
      </c>
      <c r="H59" s="11">
        <f ca="1">IF(AND($C59&lt;=3,$C59&lt;&gt;0),0,IF($C59=4,OFFSET(H59,-CFF.NumLinha,0)+1,OFFSET(H59,-CFF.NumLinha,0)))</f>
        <v>0</v>
      </c>
      <c r="I59" s="11">
        <f t="shared" ref="I59" ca="1" si="262">MATCH(0,OFFSET($D59,1,$C59,ROW($A$93)-ROW($A59)),0)</f>
        <v>34</v>
      </c>
      <c r="J59" s="11">
        <f t="shared" ref="J59" ca="1" si="263">MATCH(OFFSET($D59,0,$C59)+1,OFFSET($D59,1,$C59,ROW($A$93)-ROW($A59)),0)</f>
        <v>3</v>
      </c>
      <c r="K59" s="156">
        <f ca="1">ROUND(INDEX(PO!T$12:T$275,MATCH($A59,PO!$V$12:$V$275,0)),2)+10^-12</f>
        <v>68338.17</v>
      </c>
      <c r="L59" s="334"/>
      <c r="M59" s="336"/>
      <c r="N59" s="338"/>
      <c r="O59" s="171" t="s">
        <v>20</v>
      </c>
      <c r="P59" s="166">
        <f t="shared" ref="P59:W59" ca="1" si="264">IF($B59,ROUND(P58*$N57,2),ROUND(SUMIF(OFFSET($B59,1,0,$D59),TRUE,OFFSET(P59,1,0,$D59))/SUMIF(OFFSET($B59,1,0,$D59),TRUE,OFFSET($K59,1,0,$D59))*$N57,2))</f>
        <v>0</v>
      </c>
      <c r="Q59" s="144">
        <f t="shared" ca="1" si="264"/>
        <v>0</v>
      </c>
      <c r="R59" s="144">
        <f t="shared" ca="1" si="264"/>
        <v>0</v>
      </c>
      <c r="S59" s="144">
        <f t="shared" ca="1" si="264"/>
        <v>0</v>
      </c>
      <c r="T59" s="144">
        <f t="shared" ca="1" si="264"/>
        <v>0</v>
      </c>
      <c r="U59" s="144">
        <f t="shared" ca="1" si="264"/>
        <v>68338.17</v>
      </c>
      <c r="V59" s="144">
        <f t="shared" ca="1" si="264"/>
        <v>68338.17</v>
      </c>
      <c r="W59" s="174">
        <f t="shared" ca="1" si="264"/>
        <v>68338.17</v>
      </c>
      <c r="X59" s="163"/>
      <c r="AC59" s="144">
        <f t="shared" ref="AC59" ca="1" si="265">IF($B59,ROUND(AC58*$N57,2),ROUND(SUMIF(OFFSET($B59,1,0,$D59),TRUE,OFFSET(AC59,1,0,$D59))/SUMIF(OFFSET($B59,1,0,$D59),TRUE,OFFSET($K59,1,0,$D59))*$N57,2))</f>
        <v>0</v>
      </c>
    </row>
    <row r="60" spans="1:29" customFormat="1" ht="14.25" customHeight="1" x14ac:dyDescent="0.2">
      <c r="A60" s="1"/>
      <c r="B60" s="1"/>
      <c r="C60" s="1"/>
      <c r="D60" s="1"/>
      <c r="E60" s="1"/>
      <c r="F60" s="1"/>
      <c r="G60" s="1"/>
      <c r="H60" s="1"/>
      <c r="I60" s="1"/>
      <c r="J60" s="1"/>
      <c r="K60" s="1"/>
      <c r="L60" s="333" t="str">
        <f ca="1">INDEX(PO!K$12:K$275,MATCH($A62,PO!$V$12:$V$275,0))</f>
        <v>1.14.</v>
      </c>
      <c r="M60" s="335" t="str">
        <f ca="1">INDEX(PO!N$12:N$275,MATCH($A62,PO!$V$12:$V$275,0))</f>
        <v>CENTRAL DE GLP</v>
      </c>
      <c r="N60" s="337">
        <f t="shared" ref="N60" ca="1" si="266">IF(ROUND(K62,2)=0,K62,ROUND(K62,2))</f>
        <v>6979.42</v>
      </c>
      <c r="O60" s="187" t="s">
        <v>143</v>
      </c>
      <c r="P60" s="192">
        <f t="shared" ref="P60" ca="1" si="267">IF($B62,0,P61-IF(ISNUMBER(O61),O61,0))</f>
        <v>0</v>
      </c>
      <c r="Q60" s="193">
        <f t="shared" ref="Q60" ca="1" si="268">IF($B62,0,Q61-IF(ISNUMBER(P61),P61,0))</f>
        <v>0</v>
      </c>
      <c r="R60" s="193">
        <f t="shared" ref="R60" ca="1" si="269">IF($B62,0,R61-IF(ISNUMBER(Q61),Q61,0))</f>
        <v>0</v>
      </c>
      <c r="S60" s="193">
        <f t="shared" ref="S60" ca="1" si="270">IF($B62,0,S61-IF(ISNUMBER(R61),R61,0))</f>
        <v>0</v>
      </c>
      <c r="T60" s="193">
        <f t="shared" ref="T60" ca="1" si="271">IF($B62,0,T61-IF(ISNUMBER(S61),S61,0))</f>
        <v>0</v>
      </c>
      <c r="U60" s="193">
        <v>0.5</v>
      </c>
      <c r="V60" s="193">
        <v>0.5</v>
      </c>
      <c r="W60" s="194">
        <f t="shared" ref="W60" ca="1" si="272">IF($B62,0,W61-IF(ISNUMBER(V61),V61,0))</f>
        <v>0</v>
      </c>
      <c r="X60" s="163"/>
      <c r="AC60" s="188">
        <f t="shared" ref="AC60" ca="1" si="273">IF($B62,0,AC61-IF(ISNUMBER(AB61),AB61,0))</f>
        <v>0</v>
      </c>
    </row>
    <row r="61" spans="1:29" customFormat="1" ht="14.25" x14ac:dyDescent="0.2">
      <c r="A61" s="11"/>
      <c r="B61" s="11"/>
      <c r="C61" s="11"/>
      <c r="D61" s="11"/>
      <c r="E61" s="11"/>
      <c r="F61" s="11"/>
      <c r="G61" s="11"/>
      <c r="H61" s="11"/>
      <c r="I61" s="11"/>
      <c r="J61" s="11"/>
      <c r="K61" s="11"/>
      <c r="L61" s="334"/>
      <c r="M61" s="336"/>
      <c r="N61" s="338"/>
      <c r="O61" s="145" t="s">
        <v>145</v>
      </c>
      <c r="P61" s="165">
        <f t="shared" ref="P61" ca="1" si="274">MIN(IF($B62,P60+IF(ISNUMBER(O61),O61,0),P62/$N60),1)</f>
        <v>0</v>
      </c>
      <c r="Q61" s="143">
        <f t="shared" ref="Q61" ca="1" si="275">MIN(IF($B62,Q60+IF(ISNUMBER(P61),P61,0),Q62/$N60),1)</f>
        <v>0</v>
      </c>
      <c r="R61" s="143">
        <f t="shared" ref="R61" ca="1" si="276">MIN(IF($B62,R60+IF(ISNUMBER(Q61),Q61,0),R62/$N60),1)</f>
        <v>0</v>
      </c>
      <c r="S61" s="143">
        <f t="shared" ref="S61" ca="1" si="277">MIN(IF($B62,S60+IF(ISNUMBER(R61),R61,0),S62/$N60),1)</f>
        <v>0</v>
      </c>
      <c r="T61" s="143">
        <f t="shared" ref="T61" ca="1" si="278">MIN(IF($B62,T60+IF(ISNUMBER(S61),S61,0),T62/$N60),1)</f>
        <v>0</v>
      </c>
      <c r="U61" s="143">
        <f t="shared" ref="U61" ca="1" si="279">MIN(IF($B62,U60+IF(ISNUMBER(T61),T61,0),U62/$N60),1)</f>
        <v>0.5</v>
      </c>
      <c r="V61" s="143">
        <f t="shared" ref="V61" ca="1" si="280">MIN(IF($B62,V60+IF(ISNUMBER(U61),U61,0),V62/$N60),1)</f>
        <v>1</v>
      </c>
      <c r="W61" s="143">
        <f t="shared" ref="W61" ca="1" si="281">MIN(IF($B62,W60+IF(ISNUMBER(V61),V61,0),W62/$N60),1)</f>
        <v>1</v>
      </c>
      <c r="X61" s="163"/>
      <c r="AC61" s="143">
        <f t="shared" ref="AC61" ca="1" si="282">MIN(IF($B62,AC60+IF(ISNUMBER(AB61),AB61,0),AC62/$N60),1)</f>
        <v>0</v>
      </c>
    </row>
    <row r="62" spans="1:29" customFormat="1" ht="14.25" x14ac:dyDescent="0.2">
      <c r="A62" s="11">
        <f ca="1">OFFSET(A62,-CFF.NumLinha,0)+1</f>
        <v>15</v>
      </c>
      <c r="B62" s="11" t="b">
        <f ca="1">$C62&gt;=OFFSET($C62,CFF.NumLinha,0)</f>
        <v>1</v>
      </c>
      <c r="C62" s="11">
        <f ca="1">INDEX(PO!A$12:A$275,MATCH($A62,PO!$V$12:$V$275,0))</f>
        <v>2</v>
      </c>
      <c r="D62" s="11">
        <f t="shared" ref="D62" ca="1" si="283">IF(ISERROR(J62),I62,SMALL(I62:J62,1))-1</f>
        <v>2</v>
      </c>
      <c r="E62" s="11">
        <f ca="1">IF($C62=1,OFFSET(E62,-CFF.NumLinha,0)+1,OFFSET(E62,-CFF.NumLinha,0))</f>
        <v>1</v>
      </c>
      <c r="F62" s="11">
        <f ca="1">IF($C62=1,0,IF($C62=2,OFFSET(F62,-CFF.NumLinha,0)+1,OFFSET(F62,-CFF.NumLinha,0)))</f>
        <v>14</v>
      </c>
      <c r="G62" s="11">
        <f ca="1">IF(AND($C62&lt;=2,$C62&lt;&gt;0),0,IF($C62=3,OFFSET(G62,-CFF.NumLinha,0)+1,OFFSET(G62,-CFF.NumLinha,0)))</f>
        <v>0</v>
      </c>
      <c r="H62" s="11">
        <f ca="1">IF(AND($C62&lt;=3,$C62&lt;&gt;0),0,IF($C62=4,OFFSET(H62,-CFF.NumLinha,0)+1,OFFSET(H62,-CFF.NumLinha,0)))</f>
        <v>0</v>
      </c>
      <c r="I62" s="11">
        <f t="shared" ref="I62" ca="1" si="284">MATCH(0,OFFSET($D62,1,$C62,ROW($A$93)-ROW($A62)),0)</f>
        <v>31</v>
      </c>
      <c r="J62" s="11">
        <f t="shared" ref="J62" ca="1" si="285">MATCH(OFFSET($D62,0,$C62)+1,OFFSET($D62,1,$C62,ROW($A$93)-ROW($A62)),0)</f>
        <v>3</v>
      </c>
      <c r="K62" s="156">
        <f ca="1">ROUND(INDEX(PO!T$12:T$275,MATCH($A62,PO!$V$12:$V$275,0)),2)+10^-12</f>
        <v>6979.420000000001</v>
      </c>
      <c r="L62" s="334"/>
      <c r="M62" s="336"/>
      <c r="N62" s="338"/>
      <c r="O62" s="171" t="s">
        <v>20</v>
      </c>
      <c r="P62" s="166">
        <f t="shared" ref="P62:W62" ca="1" si="286">IF($B62,ROUND(P61*$N60,2),ROUND(SUMIF(OFFSET($B62,1,0,$D62),TRUE,OFFSET(P62,1,0,$D62))/SUMIF(OFFSET($B62,1,0,$D62),TRUE,OFFSET($K62,1,0,$D62))*$N60,2))</f>
        <v>0</v>
      </c>
      <c r="Q62" s="144">
        <f t="shared" ca="1" si="286"/>
        <v>0</v>
      </c>
      <c r="R62" s="144">
        <f t="shared" ca="1" si="286"/>
        <v>0</v>
      </c>
      <c r="S62" s="144">
        <f t="shared" ca="1" si="286"/>
        <v>0</v>
      </c>
      <c r="T62" s="144">
        <f t="shared" ca="1" si="286"/>
        <v>0</v>
      </c>
      <c r="U62" s="144">
        <f t="shared" ca="1" si="286"/>
        <v>3489.71</v>
      </c>
      <c r="V62" s="144">
        <f t="shared" ca="1" si="286"/>
        <v>6979.42</v>
      </c>
      <c r="W62" s="174">
        <f t="shared" ca="1" si="286"/>
        <v>6979.42</v>
      </c>
      <c r="X62" s="163"/>
      <c r="AC62" s="144">
        <f t="shared" ref="AC62" ca="1" si="287">IF($B62,ROUND(AC61*$N60,2),ROUND(SUMIF(OFFSET($B62,1,0,$D62),TRUE,OFFSET(AC62,1,0,$D62))/SUMIF(OFFSET($B62,1,0,$D62),TRUE,OFFSET($K62,1,0,$D62))*$N60,2))</f>
        <v>0</v>
      </c>
    </row>
    <row r="63" spans="1:29" customFormat="1" ht="14.25" customHeight="1" x14ac:dyDescent="0.2">
      <c r="A63" s="1"/>
      <c r="B63" s="1"/>
      <c r="C63" s="1"/>
      <c r="D63" s="1"/>
      <c r="E63" s="1"/>
      <c r="F63" s="1"/>
      <c r="G63" s="1"/>
      <c r="H63" s="1"/>
      <c r="I63" s="1"/>
      <c r="J63" s="1"/>
      <c r="K63" s="1"/>
      <c r="L63" s="333" t="str">
        <f ca="1">INDEX(PO!K$12:K$275,MATCH($A65,PO!$V$12:$V$275,0))</f>
        <v>1.15.</v>
      </c>
      <c r="M63" s="335" t="str">
        <f ca="1">INDEX(PO!N$12:N$275,MATCH($A65,PO!$V$12:$V$275,0))</f>
        <v xml:space="preserve">COBERTURA </v>
      </c>
      <c r="N63" s="337">
        <f t="shared" ref="N63" ca="1" si="288">IF(ROUND(K65,2)=0,K65,ROUND(K65,2))</f>
        <v>147603.43</v>
      </c>
      <c r="O63" s="187" t="s">
        <v>143</v>
      </c>
      <c r="P63" s="192">
        <f t="shared" ref="P63" ca="1" si="289">IF($B65,0,P64-IF(ISNUMBER(O64),O64,0))</f>
        <v>0</v>
      </c>
      <c r="Q63" s="193">
        <f t="shared" ref="Q63" ca="1" si="290">IF($B65,0,Q64-IF(ISNUMBER(P64),P64,0))</f>
        <v>0</v>
      </c>
      <c r="R63" s="193">
        <f t="shared" ref="R63" ca="1" si="291">IF($B65,0,R64-IF(ISNUMBER(Q64),Q64,0))</f>
        <v>0</v>
      </c>
      <c r="S63" s="193">
        <f t="shared" ref="S63" ca="1" si="292">IF($B65,0,S64-IF(ISNUMBER(R64),R64,0))</f>
        <v>0</v>
      </c>
      <c r="T63" s="193">
        <f t="shared" ref="T63" ca="1" si="293">IF($B65,0,T64-IF(ISNUMBER(S64),S64,0))</f>
        <v>0</v>
      </c>
      <c r="U63" s="193">
        <f t="shared" ref="U63" ca="1" si="294">IF($B65,0,U64-IF(ISNUMBER(T64),T64,0))</f>
        <v>0</v>
      </c>
      <c r="V63" s="193">
        <f t="shared" ref="V63" ca="1" si="295">IF($B65,0,V64-IF(ISNUMBER(U64),U64,0))</f>
        <v>0</v>
      </c>
      <c r="W63" s="194">
        <v>1</v>
      </c>
      <c r="X63" s="163"/>
      <c r="AC63" s="188">
        <f t="shared" ref="AC63" ca="1" si="296">IF($B65,0,AC64-IF(ISNUMBER(AB64),AB64,0))</f>
        <v>0</v>
      </c>
    </row>
    <row r="64" spans="1:29" customFormat="1" ht="14.25" x14ac:dyDescent="0.2">
      <c r="A64" s="11"/>
      <c r="B64" s="11"/>
      <c r="C64" s="11"/>
      <c r="D64" s="11"/>
      <c r="E64" s="11"/>
      <c r="F64" s="11"/>
      <c r="G64" s="11"/>
      <c r="H64" s="11"/>
      <c r="I64" s="11"/>
      <c r="J64" s="11"/>
      <c r="K64" s="11"/>
      <c r="L64" s="334"/>
      <c r="M64" s="336"/>
      <c r="N64" s="338"/>
      <c r="O64" s="145" t="s">
        <v>145</v>
      </c>
      <c r="P64" s="165">
        <f t="shared" ref="P64" ca="1" si="297">MIN(IF($B65,P63+IF(ISNUMBER(O64),O64,0),P65/$N63),1)</f>
        <v>0</v>
      </c>
      <c r="Q64" s="143">
        <f t="shared" ref="Q64" ca="1" si="298">MIN(IF($B65,Q63+IF(ISNUMBER(P64),P64,0),Q65/$N63),1)</f>
        <v>0</v>
      </c>
      <c r="R64" s="143">
        <f t="shared" ref="R64" ca="1" si="299">MIN(IF($B65,R63+IF(ISNUMBER(Q64),Q64,0),R65/$N63),1)</f>
        <v>0</v>
      </c>
      <c r="S64" s="143">
        <f t="shared" ref="S64" ca="1" si="300">MIN(IF($B65,S63+IF(ISNUMBER(R64),R64,0),S65/$N63),1)</f>
        <v>0</v>
      </c>
      <c r="T64" s="143">
        <f t="shared" ref="T64" ca="1" si="301">MIN(IF($B65,T63+IF(ISNUMBER(S64),S64,0),T65/$N63),1)</f>
        <v>0</v>
      </c>
      <c r="U64" s="143">
        <f t="shared" ref="U64" ca="1" si="302">MIN(IF($B65,U63+IF(ISNUMBER(T64),T64,0),U65/$N63),1)</f>
        <v>0</v>
      </c>
      <c r="V64" s="143">
        <f t="shared" ref="V64" ca="1" si="303">MIN(IF($B65,V63+IF(ISNUMBER(U64),U64,0),V65/$N63),1)</f>
        <v>0</v>
      </c>
      <c r="W64" s="143">
        <f t="shared" ref="W64" ca="1" si="304">MIN(IF($B65,W63+IF(ISNUMBER(V64),V64,0),W65/$N63),1)</f>
        <v>1</v>
      </c>
      <c r="X64" s="163"/>
      <c r="AC64" s="143">
        <f t="shared" ref="AC64" ca="1" si="305">MIN(IF($B65,AC63+IF(ISNUMBER(AB64),AB64,0),AC65/$N63),1)</f>
        <v>0</v>
      </c>
    </row>
    <row r="65" spans="1:29" customFormat="1" ht="14.25" x14ac:dyDescent="0.2">
      <c r="A65" s="11">
        <f ca="1">OFFSET(A65,-CFF.NumLinha,0)+1</f>
        <v>16</v>
      </c>
      <c r="B65" s="11" t="b">
        <f ca="1">$C65&gt;=OFFSET($C65,CFF.NumLinha,0)</f>
        <v>1</v>
      </c>
      <c r="C65" s="11">
        <f ca="1">INDEX(PO!A$12:A$275,MATCH($A65,PO!$V$12:$V$275,0))</f>
        <v>2</v>
      </c>
      <c r="D65" s="11">
        <f t="shared" ref="D65" ca="1" si="306">IF(ISERROR(J65),I65,SMALL(I65:J65,1))-1</f>
        <v>2</v>
      </c>
      <c r="E65" s="11">
        <f ca="1">IF($C65=1,OFFSET(E65,-CFF.NumLinha,0)+1,OFFSET(E65,-CFF.NumLinha,0))</f>
        <v>1</v>
      </c>
      <c r="F65" s="11">
        <f ca="1">IF($C65=1,0,IF($C65=2,OFFSET(F65,-CFF.NumLinha,0)+1,OFFSET(F65,-CFF.NumLinha,0)))</f>
        <v>15</v>
      </c>
      <c r="G65" s="11">
        <f ca="1">IF(AND($C65&lt;=2,$C65&lt;&gt;0),0,IF($C65=3,OFFSET(G65,-CFF.NumLinha,0)+1,OFFSET(G65,-CFF.NumLinha,0)))</f>
        <v>0</v>
      </c>
      <c r="H65" s="11">
        <f ca="1">IF(AND($C65&lt;=3,$C65&lt;&gt;0),0,IF($C65=4,OFFSET(H65,-CFF.NumLinha,0)+1,OFFSET(H65,-CFF.NumLinha,0)))</f>
        <v>0</v>
      </c>
      <c r="I65" s="11">
        <f t="shared" ref="I65" ca="1" si="307">MATCH(0,OFFSET($D65,1,$C65,ROW($A$93)-ROW($A65)),0)</f>
        <v>28</v>
      </c>
      <c r="J65" s="11">
        <f t="shared" ref="J65" ca="1" si="308">MATCH(OFFSET($D65,0,$C65)+1,OFFSET($D65,1,$C65,ROW($A$93)-ROW($A65)),0)</f>
        <v>3</v>
      </c>
      <c r="K65" s="156">
        <f ca="1">ROUND(INDEX(PO!T$12:T$275,MATCH($A65,PO!$V$12:$V$275,0)),2)+10^-12</f>
        <v>147603.43</v>
      </c>
      <c r="L65" s="334"/>
      <c r="M65" s="336"/>
      <c r="N65" s="338"/>
      <c r="O65" s="171" t="s">
        <v>20</v>
      </c>
      <c r="P65" s="166">
        <f t="shared" ref="P65:W65" ca="1" si="309">IF($B65,ROUND(P64*$N63,2),ROUND(SUMIF(OFFSET($B65,1,0,$D65),TRUE,OFFSET(P65,1,0,$D65))/SUMIF(OFFSET($B65,1,0,$D65),TRUE,OFFSET($K65,1,0,$D65))*$N63,2))</f>
        <v>0</v>
      </c>
      <c r="Q65" s="144">
        <f t="shared" ca="1" si="309"/>
        <v>0</v>
      </c>
      <c r="R65" s="144">
        <f t="shared" ca="1" si="309"/>
        <v>0</v>
      </c>
      <c r="S65" s="144">
        <f t="shared" ca="1" si="309"/>
        <v>0</v>
      </c>
      <c r="T65" s="144">
        <f t="shared" ca="1" si="309"/>
        <v>0</v>
      </c>
      <c r="U65" s="144">
        <f t="shared" ca="1" si="309"/>
        <v>0</v>
      </c>
      <c r="V65" s="144">
        <f t="shared" ca="1" si="309"/>
        <v>0</v>
      </c>
      <c r="W65" s="174">
        <f t="shared" ca="1" si="309"/>
        <v>147603.43</v>
      </c>
      <c r="X65" s="163"/>
      <c r="AC65" s="144">
        <f t="shared" ref="AC65" ca="1" si="310">IF($B65,ROUND(AC64*$N63,2),ROUND(SUMIF(OFFSET($B65,1,0,$D65),TRUE,OFFSET(AC65,1,0,$D65))/SUMIF(OFFSET($B65,1,0,$D65),TRUE,OFFSET($K65,1,0,$D65))*$N63,2))</f>
        <v>0</v>
      </c>
    </row>
    <row r="66" spans="1:29" customFormat="1" ht="14.25" customHeight="1" x14ac:dyDescent="0.2">
      <c r="A66" s="1"/>
      <c r="B66" s="1"/>
      <c r="C66" s="1"/>
      <c r="D66" s="1"/>
      <c r="E66" s="1"/>
      <c r="F66" s="1"/>
      <c r="G66" s="1"/>
      <c r="H66" s="1"/>
      <c r="I66" s="1"/>
      <c r="J66" s="1"/>
      <c r="K66" s="1"/>
      <c r="L66" s="333" t="str">
        <f ca="1">INDEX(PO!K$12:K$275,MATCH($A68,PO!$V$12:$V$275,0))</f>
        <v>1.16.</v>
      </c>
      <c r="M66" s="335" t="str">
        <f ca="1">INDEX(PO!N$12:N$275,MATCH($A68,PO!$V$12:$V$275,0))</f>
        <v>COBERTURA DO ACESSO A ESCOLA E FACHADA</v>
      </c>
      <c r="N66" s="337">
        <f t="shared" ref="N66" ca="1" si="311">IF(ROUND(K68,2)=0,K68,ROUND(K68,2))</f>
        <v>20310.98</v>
      </c>
      <c r="O66" s="187" t="s">
        <v>143</v>
      </c>
      <c r="P66" s="192">
        <f t="shared" ref="P66" ca="1" si="312">IF($B68,0,P67-IF(ISNUMBER(O67),O67,0))</f>
        <v>0</v>
      </c>
      <c r="Q66" s="193">
        <f t="shared" ref="Q66" ca="1" si="313">IF($B68,0,Q67-IF(ISNUMBER(P67),P67,0))</f>
        <v>0</v>
      </c>
      <c r="R66" s="193">
        <f t="shared" ref="R66" ca="1" si="314">IF($B68,0,R67-IF(ISNUMBER(Q67),Q67,0))</f>
        <v>0</v>
      </c>
      <c r="S66" s="193">
        <f t="shared" ref="S66" ca="1" si="315">IF($B68,0,S67-IF(ISNUMBER(R67),R67,0))</f>
        <v>0</v>
      </c>
      <c r="T66" s="193">
        <f t="shared" ref="T66" ca="1" si="316">IF($B68,0,T67-IF(ISNUMBER(S67),S67,0))</f>
        <v>0</v>
      </c>
      <c r="U66" s="193">
        <f t="shared" ref="U66" ca="1" si="317">IF($B68,0,U67-IF(ISNUMBER(T67),T67,0))</f>
        <v>0</v>
      </c>
      <c r="V66" s="193">
        <f t="shared" ref="V66" ca="1" si="318">IF($B68,0,V67-IF(ISNUMBER(U67),U67,0))</f>
        <v>0</v>
      </c>
      <c r="W66" s="194">
        <v>1</v>
      </c>
      <c r="X66" s="163"/>
      <c r="AC66" s="188">
        <f t="shared" ref="AC66" ca="1" si="319">IF($B68,0,AC67-IF(ISNUMBER(AB67),AB67,0))</f>
        <v>0</v>
      </c>
    </row>
    <row r="67" spans="1:29" customFormat="1" ht="14.25" x14ac:dyDescent="0.2">
      <c r="A67" s="11"/>
      <c r="B67" s="11"/>
      <c r="C67" s="11"/>
      <c r="D67" s="11"/>
      <c r="E67" s="11"/>
      <c r="F67" s="11"/>
      <c r="G67" s="11"/>
      <c r="H67" s="11"/>
      <c r="I67" s="11"/>
      <c r="J67" s="11"/>
      <c r="K67" s="11"/>
      <c r="L67" s="334"/>
      <c r="M67" s="336"/>
      <c r="N67" s="338"/>
      <c r="O67" s="145" t="s">
        <v>145</v>
      </c>
      <c r="P67" s="165">
        <f t="shared" ref="P67" ca="1" si="320">MIN(IF($B68,P66+IF(ISNUMBER(O67),O67,0),P68/$N66),1)</f>
        <v>0</v>
      </c>
      <c r="Q67" s="143">
        <f t="shared" ref="Q67" ca="1" si="321">MIN(IF($B68,Q66+IF(ISNUMBER(P67),P67,0),Q68/$N66),1)</f>
        <v>0</v>
      </c>
      <c r="R67" s="143">
        <f t="shared" ref="R67" ca="1" si="322">MIN(IF($B68,R66+IF(ISNUMBER(Q67),Q67,0),R68/$N66),1)</f>
        <v>0</v>
      </c>
      <c r="S67" s="143">
        <f t="shared" ref="S67" ca="1" si="323">MIN(IF($B68,S66+IF(ISNUMBER(R67),R67,0),S68/$N66),1)</f>
        <v>0</v>
      </c>
      <c r="T67" s="143">
        <f t="shared" ref="T67" ca="1" si="324">MIN(IF($B68,T66+IF(ISNUMBER(S67),S67,0),T68/$N66),1)</f>
        <v>0</v>
      </c>
      <c r="U67" s="143">
        <f t="shared" ref="U67" ca="1" si="325">MIN(IF($B68,U66+IF(ISNUMBER(T67),T67,0),U68/$N66),1)</f>
        <v>0</v>
      </c>
      <c r="V67" s="143">
        <f t="shared" ref="V67" ca="1" si="326">MIN(IF($B68,V66+IF(ISNUMBER(U67),U67,0),V68/$N66),1)</f>
        <v>0</v>
      </c>
      <c r="W67" s="143">
        <f t="shared" ref="W67" ca="1" si="327">MIN(IF($B68,W66+IF(ISNUMBER(V67),V67,0),W68/$N66),1)</f>
        <v>1</v>
      </c>
      <c r="X67" s="163"/>
      <c r="AC67" s="143">
        <f t="shared" ref="AC67" ca="1" si="328">MIN(IF($B68,AC66+IF(ISNUMBER(AB67),AB67,0),AC68/$N66),1)</f>
        <v>0</v>
      </c>
    </row>
    <row r="68" spans="1:29" customFormat="1" ht="14.25" x14ac:dyDescent="0.2">
      <c r="A68" s="11">
        <f ca="1">OFFSET(A68,-CFF.NumLinha,0)+1</f>
        <v>17</v>
      </c>
      <c r="B68" s="11" t="b">
        <f ca="1">$C68&gt;=OFFSET($C68,CFF.NumLinha,0)</f>
        <v>1</v>
      </c>
      <c r="C68" s="11">
        <f ca="1">INDEX(PO!A$12:A$275,MATCH($A68,PO!$V$12:$V$275,0))</f>
        <v>2</v>
      </c>
      <c r="D68" s="11">
        <f t="shared" ref="D68" ca="1" si="329">IF(ISERROR(J68),I68,SMALL(I68:J68,1))-1</f>
        <v>2</v>
      </c>
      <c r="E68" s="11">
        <f ca="1">IF($C68=1,OFFSET(E68,-CFF.NumLinha,0)+1,OFFSET(E68,-CFF.NumLinha,0))</f>
        <v>1</v>
      </c>
      <c r="F68" s="11">
        <f ca="1">IF($C68=1,0,IF($C68=2,OFFSET(F68,-CFF.NumLinha,0)+1,OFFSET(F68,-CFF.NumLinha,0)))</f>
        <v>16</v>
      </c>
      <c r="G68" s="11">
        <f ca="1">IF(AND($C68&lt;=2,$C68&lt;&gt;0),0,IF($C68=3,OFFSET(G68,-CFF.NumLinha,0)+1,OFFSET(G68,-CFF.NumLinha,0)))</f>
        <v>0</v>
      </c>
      <c r="H68" s="11">
        <f ca="1">IF(AND($C68&lt;=3,$C68&lt;&gt;0),0,IF($C68=4,OFFSET(H68,-CFF.NumLinha,0)+1,OFFSET(H68,-CFF.NumLinha,0)))</f>
        <v>0</v>
      </c>
      <c r="I68" s="11">
        <f t="shared" ref="I68" ca="1" si="330">MATCH(0,OFFSET($D68,1,$C68,ROW($A$93)-ROW($A68)),0)</f>
        <v>25</v>
      </c>
      <c r="J68" s="11">
        <f t="shared" ref="J68" ca="1" si="331">MATCH(OFFSET($D68,0,$C68)+1,OFFSET($D68,1,$C68,ROW($A$93)-ROW($A68)),0)</f>
        <v>3</v>
      </c>
      <c r="K68" s="156">
        <f ca="1">ROUND(INDEX(PO!T$12:T$275,MATCH($A68,PO!$V$12:$V$275,0)),2)+10^-12</f>
        <v>20310.98</v>
      </c>
      <c r="L68" s="334"/>
      <c r="M68" s="336"/>
      <c r="N68" s="338"/>
      <c r="O68" s="171" t="s">
        <v>20</v>
      </c>
      <c r="P68" s="166">
        <f t="shared" ref="P68:W68" ca="1" si="332">IF($B68,ROUND(P67*$N66,2),ROUND(SUMIF(OFFSET($B68,1,0,$D68),TRUE,OFFSET(P68,1,0,$D68))/SUMIF(OFFSET($B68,1,0,$D68),TRUE,OFFSET($K68,1,0,$D68))*$N66,2))</f>
        <v>0</v>
      </c>
      <c r="Q68" s="144">
        <f t="shared" ca="1" si="332"/>
        <v>0</v>
      </c>
      <c r="R68" s="144">
        <f t="shared" ca="1" si="332"/>
        <v>0</v>
      </c>
      <c r="S68" s="144">
        <f t="shared" ca="1" si="332"/>
        <v>0</v>
      </c>
      <c r="T68" s="144">
        <f t="shared" ca="1" si="332"/>
        <v>0</v>
      </c>
      <c r="U68" s="144">
        <f t="shared" ca="1" si="332"/>
        <v>0</v>
      </c>
      <c r="V68" s="144">
        <f t="shared" ca="1" si="332"/>
        <v>0</v>
      </c>
      <c r="W68" s="174">
        <f t="shared" ca="1" si="332"/>
        <v>20310.98</v>
      </c>
      <c r="X68" s="163"/>
      <c r="AC68" s="144">
        <f t="shared" ref="AC68" ca="1" si="333">IF($B68,ROUND(AC67*$N66,2),ROUND(SUMIF(OFFSET($B68,1,0,$D68),TRUE,OFFSET(AC68,1,0,$D68))/SUMIF(OFFSET($B68,1,0,$D68),TRUE,OFFSET($K68,1,0,$D68))*$N66,2))</f>
        <v>0</v>
      </c>
    </row>
    <row r="69" spans="1:29" customFormat="1" ht="14.25" customHeight="1" x14ac:dyDescent="0.2">
      <c r="A69" s="1"/>
      <c r="B69" s="1"/>
      <c r="C69" s="1"/>
      <c r="D69" s="1"/>
      <c r="E69" s="1"/>
      <c r="F69" s="1"/>
      <c r="G69" s="1"/>
      <c r="H69" s="1"/>
      <c r="I69" s="1"/>
      <c r="J69" s="1"/>
      <c r="K69" s="1"/>
      <c r="L69" s="333" t="str">
        <f ca="1">INDEX(PO!K$12:K$275,MATCH($A71,PO!$V$12:$V$275,0))</f>
        <v>1.17.</v>
      </c>
      <c r="M69" s="335" t="str">
        <f ca="1">INDEX(PO!N$12:N$275,MATCH($A71,PO!$V$12:$V$275,0))</f>
        <v xml:space="preserve">FORRO </v>
      </c>
      <c r="N69" s="337">
        <f t="shared" ref="N69" ca="1" si="334">IF(ROUND(K71,2)=0,K71,ROUND(K71,2))</f>
        <v>76922.77</v>
      </c>
      <c r="O69" s="187" t="s">
        <v>143</v>
      </c>
      <c r="P69" s="192">
        <f t="shared" ref="P69" ca="1" si="335">IF($B71,0,P70-IF(ISNUMBER(O70),O70,0))</f>
        <v>0</v>
      </c>
      <c r="Q69" s="193">
        <f t="shared" ref="Q69" ca="1" si="336">IF($B71,0,Q70-IF(ISNUMBER(P70),P70,0))</f>
        <v>0</v>
      </c>
      <c r="R69" s="193">
        <f t="shared" ref="R69" ca="1" si="337">IF($B71,0,R70-IF(ISNUMBER(Q70),Q70,0))</f>
        <v>0</v>
      </c>
      <c r="S69" s="193">
        <f t="shared" ref="S69" ca="1" si="338">IF($B71,0,S70-IF(ISNUMBER(R70),R70,0))</f>
        <v>0</v>
      </c>
      <c r="T69" s="193">
        <f t="shared" ref="T69" ca="1" si="339">IF($B71,0,T70-IF(ISNUMBER(S70),S70,0))</f>
        <v>0</v>
      </c>
      <c r="U69" s="193">
        <f t="shared" ref="U69" ca="1" si="340">IF($B71,0,U70-IF(ISNUMBER(T70),T70,0))</f>
        <v>0</v>
      </c>
      <c r="V69" s="193">
        <f t="shared" ref="V69" ca="1" si="341">IF($B71,0,V70-IF(ISNUMBER(U70),U70,0))</f>
        <v>0</v>
      </c>
      <c r="W69" s="194">
        <v>1</v>
      </c>
      <c r="X69" s="163"/>
      <c r="AC69" s="188">
        <f t="shared" ref="AC69" ca="1" si="342">IF($B71,0,AC70-IF(ISNUMBER(AB70),AB70,0))</f>
        <v>0</v>
      </c>
    </row>
    <row r="70" spans="1:29" customFormat="1" ht="14.25" x14ac:dyDescent="0.2">
      <c r="A70" s="11"/>
      <c r="B70" s="11"/>
      <c r="C70" s="11"/>
      <c r="D70" s="11"/>
      <c r="E70" s="11"/>
      <c r="F70" s="11"/>
      <c r="G70" s="11"/>
      <c r="H70" s="11"/>
      <c r="I70" s="11"/>
      <c r="J70" s="11"/>
      <c r="K70" s="11"/>
      <c r="L70" s="334"/>
      <c r="M70" s="336"/>
      <c r="N70" s="338"/>
      <c r="O70" s="145" t="s">
        <v>145</v>
      </c>
      <c r="P70" s="165">
        <f t="shared" ref="P70" ca="1" si="343">MIN(IF($B71,P69+IF(ISNUMBER(O70),O70,0),P71/$N69),1)</f>
        <v>0</v>
      </c>
      <c r="Q70" s="143">
        <f t="shared" ref="Q70" ca="1" si="344">MIN(IF($B71,Q69+IF(ISNUMBER(P70),P70,0),Q71/$N69),1)</f>
        <v>0</v>
      </c>
      <c r="R70" s="143">
        <f t="shared" ref="R70" ca="1" si="345">MIN(IF($B71,R69+IF(ISNUMBER(Q70),Q70,0),R71/$N69),1)</f>
        <v>0</v>
      </c>
      <c r="S70" s="143">
        <f t="shared" ref="S70" ca="1" si="346">MIN(IF($B71,S69+IF(ISNUMBER(R70),R70,0),S71/$N69),1)</f>
        <v>0</v>
      </c>
      <c r="T70" s="143">
        <f t="shared" ref="T70" ca="1" si="347">MIN(IF($B71,T69+IF(ISNUMBER(S70),S70,0),T71/$N69),1)</f>
        <v>0</v>
      </c>
      <c r="U70" s="143">
        <f t="shared" ref="U70" ca="1" si="348">MIN(IF($B71,U69+IF(ISNUMBER(T70),T70,0),U71/$N69),1)</f>
        <v>0</v>
      </c>
      <c r="V70" s="143">
        <f t="shared" ref="V70" ca="1" si="349">MIN(IF($B71,V69+IF(ISNUMBER(U70),U70,0),V71/$N69),1)</f>
        <v>0</v>
      </c>
      <c r="W70" s="143">
        <f t="shared" ref="W70" ca="1" si="350">MIN(IF($B71,W69+IF(ISNUMBER(V70),V70,0),W71/$N69),1)</f>
        <v>1</v>
      </c>
      <c r="X70" s="163"/>
      <c r="AC70" s="143">
        <f t="shared" ref="AC70" ca="1" si="351">MIN(IF($B71,AC69+IF(ISNUMBER(AB70),AB70,0),AC71/$N69),1)</f>
        <v>0</v>
      </c>
    </row>
    <row r="71" spans="1:29" customFormat="1" ht="14.25" x14ac:dyDescent="0.2">
      <c r="A71" s="11">
        <f ca="1">OFFSET(A71,-CFF.NumLinha,0)+1</f>
        <v>18</v>
      </c>
      <c r="B71" s="11" t="b">
        <f ca="1">$C71&gt;=OFFSET($C71,CFF.NumLinha,0)</f>
        <v>1</v>
      </c>
      <c r="C71" s="11">
        <f ca="1">INDEX(PO!A$12:A$275,MATCH($A71,PO!$V$12:$V$275,0))</f>
        <v>2</v>
      </c>
      <c r="D71" s="11">
        <f t="shared" ref="D71" ca="1" si="352">IF(ISERROR(J71),I71,SMALL(I71:J71,1))-1</f>
        <v>2</v>
      </c>
      <c r="E71" s="11">
        <f ca="1">IF($C71=1,OFFSET(E71,-CFF.NumLinha,0)+1,OFFSET(E71,-CFF.NumLinha,0))</f>
        <v>1</v>
      </c>
      <c r="F71" s="11">
        <f ca="1">IF($C71=1,0,IF($C71=2,OFFSET(F71,-CFF.NumLinha,0)+1,OFFSET(F71,-CFF.NumLinha,0)))</f>
        <v>17</v>
      </c>
      <c r="G71" s="11">
        <f ca="1">IF(AND($C71&lt;=2,$C71&lt;&gt;0),0,IF($C71=3,OFFSET(G71,-CFF.NumLinha,0)+1,OFFSET(G71,-CFF.NumLinha,0)))</f>
        <v>0</v>
      </c>
      <c r="H71" s="11">
        <f ca="1">IF(AND($C71&lt;=3,$C71&lt;&gt;0),0,IF($C71=4,OFFSET(H71,-CFF.NumLinha,0)+1,OFFSET(H71,-CFF.NumLinha,0)))</f>
        <v>0</v>
      </c>
      <c r="I71" s="11">
        <f t="shared" ref="I71" ca="1" si="353">MATCH(0,OFFSET($D71,1,$C71,ROW($A$93)-ROW($A71)),0)</f>
        <v>22</v>
      </c>
      <c r="J71" s="11">
        <f t="shared" ref="J71" ca="1" si="354">MATCH(OFFSET($D71,0,$C71)+1,OFFSET($D71,1,$C71,ROW($A$93)-ROW($A71)),0)</f>
        <v>3</v>
      </c>
      <c r="K71" s="156">
        <f ca="1">ROUND(INDEX(PO!T$12:T$275,MATCH($A71,PO!$V$12:$V$275,0)),2)+10^-12</f>
        <v>76922.77</v>
      </c>
      <c r="L71" s="334"/>
      <c r="M71" s="336"/>
      <c r="N71" s="338"/>
      <c r="O71" s="171" t="s">
        <v>20</v>
      </c>
      <c r="P71" s="166">
        <f t="shared" ref="P71:W71" ca="1" si="355">IF($B71,ROUND(P70*$N69,2),ROUND(SUMIF(OFFSET($B71,1,0,$D71),TRUE,OFFSET(P71,1,0,$D71))/SUMIF(OFFSET($B71,1,0,$D71),TRUE,OFFSET($K71,1,0,$D71))*$N69,2))</f>
        <v>0</v>
      </c>
      <c r="Q71" s="144">
        <f t="shared" ca="1" si="355"/>
        <v>0</v>
      </c>
      <c r="R71" s="144">
        <f t="shared" ca="1" si="355"/>
        <v>0</v>
      </c>
      <c r="S71" s="144">
        <f t="shared" ca="1" si="355"/>
        <v>0</v>
      </c>
      <c r="T71" s="144">
        <f t="shared" ca="1" si="355"/>
        <v>0</v>
      </c>
      <c r="U71" s="144">
        <f t="shared" ca="1" si="355"/>
        <v>0</v>
      </c>
      <c r="V71" s="144">
        <f t="shared" ca="1" si="355"/>
        <v>0</v>
      </c>
      <c r="W71" s="174">
        <f t="shared" ca="1" si="355"/>
        <v>76922.77</v>
      </c>
      <c r="X71" s="163"/>
      <c r="AC71" s="144">
        <f t="shared" ref="AC71" ca="1" si="356">IF($B71,ROUND(AC70*$N69,2),ROUND(SUMIF(OFFSET($B71,1,0,$D71),TRUE,OFFSET(AC71,1,0,$D71))/SUMIF(OFFSET($B71,1,0,$D71),TRUE,OFFSET($K71,1,0,$D71))*$N69,2))</f>
        <v>0</v>
      </c>
    </row>
    <row r="72" spans="1:29" customFormat="1" ht="14.25" customHeight="1" x14ac:dyDescent="0.2">
      <c r="A72" s="1"/>
      <c r="B72" s="1"/>
      <c r="C72" s="1"/>
      <c r="D72" s="1"/>
      <c r="E72" s="1"/>
      <c r="F72" s="1"/>
      <c r="G72" s="1"/>
      <c r="H72" s="1"/>
      <c r="I72" s="1"/>
      <c r="J72" s="1"/>
      <c r="K72" s="1"/>
      <c r="L72" s="333" t="str">
        <f ca="1">INDEX(PO!K$12:K$275,MATCH($A74,PO!$V$12:$V$275,0))</f>
        <v>1.18.</v>
      </c>
      <c r="M72" s="335" t="str">
        <f ca="1">INDEX(PO!N$12:N$275,MATCH($A74,PO!$V$12:$V$275,0))</f>
        <v>ESQUADRIAS</v>
      </c>
      <c r="N72" s="337">
        <f t="shared" ref="N72" ca="1" si="357">IF(ROUND(K74,2)=0,K74,ROUND(K74,2))</f>
        <v>131723.79999999999</v>
      </c>
      <c r="O72" s="187" t="s">
        <v>143</v>
      </c>
      <c r="P72" s="192">
        <f t="shared" ref="P72" ca="1" si="358">IF($B74,0,P73-IF(ISNUMBER(O73),O73,0))</f>
        <v>0</v>
      </c>
      <c r="Q72" s="193">
        <f t="shared" ref="Q72" ca="1" si="359">IF($B74,0,Q73-IF(ISNUMBER(P73),P73,0))</f>
        <v>0</v>
      </c>
      <c r="R72" s="193">
        <f t="shared" ref="R72" ca="1" si="360">IF($B74,0,R73-IF(ISNUMBER(Q73),Q73,0))</f>
        <v>0</v>
      </c>
      <c r="S72" s="193">
        <f t="shared" ref="S72" ca="1" si="361">IF($B74,0,S73-IF(ISNUMBER(R73),R73,0))</f>
        <v>0</v>
      </c>
      <c r="T72" s="193">
        <f t="shared" ref="T72" ca="1" si="362">IF($B74,0,T73-IF(ISNUMBER(S73),S73,0))</f>
        <v>0</v>
      </c>
      <c r="U72" s="193">
        <f t="shared" ref="U72" ca="1" si="363">IF($B74,0,U73-IF(ISNUMBER(T73),T73,0))</f>
        <v>0</v>
      </c>
      <c r="V72" s="193">
        <f t="shared" ref="V72" ca="1" si="364">IF($B74,0,V73-IF(ISNUMBER(U73),U73,0))</f>
        <v>0</v>
      </c>
      <c r="W72" s="194">
        <v>1</v>
      </c>
      <c r="X72" s="163"/>
      <c r="AC72" s="188">
        <f t="shared" ref="AC72" ca="1" si="365">IF($B74,0,AC73-IF(ISNUMBER(AB73),AB73,0))</f>
        <v>0</v>
      </c>
    </row>
    <row r="73" spans="1:29" customFormat="1" ht="14.25" x14ac:dyDescent="0.2">
      <c r="A73" s="11"/>
      <c r="B73" s="11"/>
      <c r="C73" s="11"/>
      <c r="D73" s="11"/>
      <c r="E73" s="11"/>
      <c r="F73" s="11"/>
      <c r="G73" s="11"/>
      <c r="H73" s="11"/>
      <c r="I73" s="11"/>
      <c r="J73" s="11"/>
      <c r="K73" s="11"/>
      <c r="L73" s="334"/>
      <c r="M73" s="336"/>
      <c r="N73" s="338"/>
      <c r="O73" s="145" t="s">
        <v>145</v>
      </c>
      <c r="P73" s="165">
        <f t="shared" ref="P73" ca="1" si="366">MIN(IF($B74,P72+IF(ISNUMBER(O73),O73,0),P74/$N72),1)</f>
        <v>0</v>
      </c>
      <c r="Q73" s="143">
        <f t="shared" ref="Q73" ca="1" si="367">MIN(IF($B74,Q72+IF(ISNUMBER(P73),P73,0),Q74/$N72),1)</f>
        <v>0</v>
      </c>
      <c r="R73" s="143">
        <f t="shared" ref="R73" ca="1" si="368">MIN(IF($B74,R72+IF(ISNUMBER(Q73),Q73,0),R74/$N72),1)</f>
        <v>0</v>
      </c>
      <c r="S73" s="143">
        <f t="shared" ref="S73" ca="1" si="369">MIN(IF($B74,S72+IF(ISNUMBER(R73),R73,0),S74/$N72),1)</f>
        <v>0</v>
      </c>
      <c r="T73" s="143">
        <f t="shared" ref="T73" ca="1" si="370">MIN(IF($B74,T72+IF(ISNUMBER(S73),S73,0),T74/$N72),1)</f>
        <v>0</v>
      </c>
      <c r="U73" s="143">
        <f t="shared" ref="U73" ca="1" si="371">MIN(IF($B74,U72+IF(ISNUMBER(T73),T73,0),U74/$N72),1)</f>
        <v>0</v>
      </c>
      <c r="V73" s="143">
        <f t="shared" ref="V73" ca="1" si="372">MIN(IF($B74,V72+IF(ISNUMBER(U73),U73,0),V74/$N72),1)</f>
        <v>0</v>
      </c>
      <c r="W73" s="143">
        <f t="shared" ref="W73" ca="1" si="373">MIN(IF($B74,W72+IF(ISNUMBER(V73),V73,0),W74/$N72),1)</f>
        <v>1</v>
      </c>
      <c r="X73" s="163"/>
      <c r="AC73" s="143">
        <f t="shared" ref="AC73" ca="1" si="374">MIN(IF($B74,AC72+IF(ISNUMBER(AB73),AB73,0),AC74/$N72),1)</f>
        <v>0</v>
      </c>
    </row>
    <row r="74" spans="1:29" customFormat="1" ht="14.25" x14ac:dyDescent="0.2">
      <c r="A74" s="11">
        <f ca="1">OFFSET(A74,-CFF.NumLinha,0)+1</f>
        <v>19</v>
      </c>
      <c r="B74" s="11" t="b">
        <f ca="1">$C74&gt;=OFFSET($C74,CFF.NumLinha,0)</f>
        <v>1</v>
      </c>
      <c r="C74" s="11">
        <f ca="1">INDEX(PO!A$12:A$275,MATCH($A74,PO!$V$12:$V$275,0))</f>
        <v>2</v>
      </c>
      <c r="D74" s="11">
        <f t="shared" ref="D74" ca="1" si="375">IF(ISERROR(J74),I74,SMALL(I74:J74,1))-1</f>
        <v>2</v>
      </c>
      <c r="E74" s="11">
        <f ca="1">IF($C74=1,OFFSET(E74,-CFF.NumLinha,0)+1,OFFSET(E74,-CFF.NumLinha,0))</f>
        <v>1</v>
      </c>
      <c r="F74" s="11">
        <f ca="1">IF($C74=1,0,IF($C74=2,OFFSET(F74,-CFF.NumLinha,0)+1,OFFSET(F74,-CFF.NumLinha,0)))</f>
        <v>18</v>
      </c>
      <c r="G74" s="11">
        <f ca="1">IF(AND($C74&lt;=2,$C74&lt;&gt;0),0,IF($C74=3,OFFSET(G74,-CFF.NumLinha,0)+1,OFFSET(G74,-CFF.NumLinha,0)))</f>
        <v>0</v>
      </c>
      <c r="H74" s="11">
        <f ca="1">IF(AND($C74&lt;=3,$C74&lt;&gt;0),0,IF($C74=4,OFFSET(H74,-CFF.NumLinha,0)+1,OFFSET(H74,-CFF.NumLinha,0)))</f>
        <v>0</v>
      </c>
      <c r="I74" s="11">
        <f t="shared" ref="I74" ca="1" si="376">MATCH(0,OFFSET($D74,1,$C74,ROW($A$93)-ROW($A74)),0)</f>
        <v>19</v>
      </c>
      <c r="J74" s="11">
        <f t="shared" ref="J74" ca="1" si="377">MATCH(OFFSET($D74,0,$C74)+1,OFFSET($D74,1,$C74,ROW($A$93)-ROW($A74)),0)</f>
        <v>3</v>
      </c>
      <c r="K74" s="156">
        <f ca="1">ROUND(INDEX(PO!T$12:T$275,MATCH($A74,PO!$V$12:$V$275,0)),2)+10^-12</f>
        <v>131723.79999999999</v>
      </c>
      <c r="L74" s="334"/>
      <c r="M74" s="336"/>
      <c r="N74" s="338"/>
      <c r="O74" s="171" t="s">
        <v>20</v>
      </c>
      <c r="P74" s="166">
        <f t="shared" ref="P74:W74" ca="1" si="378">IF($B74,ROUND(P73*$N72,2),ROUND(SUMIF(OFFSET($B74,1,0,$D74),TRUE,OFFSET(P74,1,0,$D74))/SUMIF(OFFSET($B74,1,0,$D74),TRUE,OFFSET($K74,1,0,$D74))*$N72,2))</f>
        <v>0</v>
      </c>
      <c r="Q74" s="144">
        <f t="shared" ca="1" si="378"/>
        <v>0</v>
      </c>
      <c r="R74" s="144">
        <f t="shared" ca="1" si="378"/>
        <v>0</v>
      </c>
      <c r="S74" s="144">
        <f t="shared" ca="1" si="378"/>
        <v>0</v>
      </c>
      <c r="T74" s="144">
        <f t="shared" ca="1" si="378"/>
        <v>0</v>
      </c>
      <c r="U74" s="144">
        <f t="shared" ca="1" si="378"/>
        <v>0</v>
      </c>
      <c r="V74" s="144">
        <f t="shared" ca="1" si="378"/>
        <v>0</v>
      </c>
      <c r="W74" s="174">
        <f t="shared" ca="1" si="378"/>
        <v>131723.79999999999</v>
      </c>
      <c r="X74" s="163"/>
      <c r="AC74" s="144">
        <f t="shared" ref="AC74" ca="1" si="379">IF($B74,ROUND(AC73*$N72,2),ROUND(SUMIF(OFFSET($B74,1,0,$D74),TRUE,OFFSET(AC74,1,0,$D74))/SUMIF(OFFSET($B74,1,0,$D74),TRUE,OFFSET($K74,1,0,$D74))*$N72,2))</f>
        <v>0</v>
      </c>
    </row>
    <row r="75" spans="1:29" customFormat="1" ht="14.25" customHeight="1" x14ac:dyDescent="0.2">
      <c r="A75" s="1"/>
      <c r="B75" s="1"/>
      <c r="C75" s="1"/>
      <c r="D75" s="1"/>
      <c r="E75" s="1"/>
      <c r="F75" s="1"/>
      <c r="G75" s="1"/>
      <c r="H75" s="1"/>
      <c r="I75" s="1"/>
      <c r="J75" s="1"/>
      <c r="K75" s="1"/>
      <c r="L75" s="333" t="str">
        <f ca="1">INDEX(PO!K$12:K$275,MATCH($A77,PO!$V$12:$V$275,0))</f>
        <v>1.19.</v>
      </c>
      <c r="M75" s="335" t="str">
        <f ca="1">INDEX(PO!N$12:N$275,MATCH($A77,PO!$V$12:$V$275,0))</f>
        <v xml:space="preserve">REVESTIMENTOS CERÂMICA DE PISO E PAREDE E CALÇADAS </v>
      </c>
      <c r="N75" s="337">
        <f t="shared" ref="N75" ca="1" si="380">IF(ROUND(K77,2)=0,K77,ROUND(K77,2))</f>
        <v>214166.76</v>
      </c>
      <c r="O75" s="187" t="s">
        <v>143</v>
      </c>
      <c r="P75" s="192">
        <f t="shared" ref="P75" ca="1" si="381">IF($B77,0,P76-IF(ISNUMBER(O76),O76,0))</f>
        <v>0</v>
      </c>
      <c r="Q75" s="193">
        <f t="shared" ref="Q75" ca="1" si="382">IF($B77,0,Q76-IF(ISNUMBER(P76),P76,0))</f>
        <v>0</v>
      </c>
      <c r="R75" s="193">
        <f t="shared" ref="R75" ca="1" si="383">IF($B77,0,R76-IF(ISNUMBER(Q76),Q76,0))</f>
        <v>0</v>
      </c>
      <c r="S75" s="193">
        <f t="shared" ref="S75" ca="1" si="384">IF($B77,0,S76-IF(ISNUMBER(R76),R76,0))</f>
        <v>0</v>
      </c>
      <c r="T75" s="193">
        <f t="shared" ref="T75" ca="1" si="385">IF($B77,0,T76-IF(ISNUMBER(S76),S76,0))</f>
        <v>0</v>
      </c>
      <c r="U75" s="193">
        <f t="shared" ref="U75" ca="1" si="386">IF($B77,0,U76-IF(ISNUMBER(T76),T76,0))</f>
        <v>0</v>
      </c>
      <c r="V75" s="193">
        <f t="shared" ref="V75" ca="1" si="387">IF($B77,0,V76-IF(ISNUMBER(U76),U76,0))</f>
        <v>0</v>
      </c>
      <c r="W75" s="194">
        <v>1</v>
      </c>
      <c r="X75" s="163"/>
      <c r="AC75" s="188">
        <f t="shared" ref="AC75" ca="1" si="388">IF($B77,0,AC76-IF(ISNUMBER(AB76),AB76,0))</f>
        <v>0</v>
      </c>
    </row>
    <row r="76" spans="1:29" customFormat="1" ht="14.25" x14ac:dyDescent="0.2">
      <c r="A76" s="11"/>
      <c r="B76" s="11"/>
      <c r="C76" s="11"/>
      <c r="D76" s="11"/>
      <c r="E76" s="11"/>
      <c r="F76" s="11"/>
      <c r="G76" s="11"/>
      <c r="H76" s="11"/>
      <c r="I76" s="11"/>
      <c r="J76" s="11"/>
      <c r="K76" s="11"/>
      <c r="L76" s="334"/>
      <c r="M76" s="336"/>
      <c r="N76" s="338"/>
      <c r="O76" s="145" t="s">
        <v>145</v>
      </c>
      <c r="P76" s="165">
        <f t="shared" ref="P76" ca="1" si="389">MIN(IF($B77,P75+IF(ISNUMBER(O76),O76,0),P77/$N75),1)</f>
        <v>0</v>
      </c>
      <c r="Q76" s="143">
        <f t="shared" ref="Q76" ca="1" si="390">MIN(IF($B77,Q75+IF(ISNUMBER(P76),P76,0),Q77/$N75),1)</f>
        <v>0</v>
      </c>
      <c r="R76" s="143">
        <f t="shared" ref="R76" ca="1" si="391">MIN(IF($B77,R75+IF(ISNUMBER(Q76),Q76,0),R77/$N75),1)</f>
        <v>0</v>
      </c>
      <c r="S76" s="143">
        <f t="shared" ref="S76" ca="1" si="392">MIN(IF($B77,S75+IF(ISNUMBER(R76),R76,0),S77/$N75),1)</f>
        <v>0</v>
      </c>
      <c r="T76" s="143">
        <f t="shared" ref="T76" ca="1" si="393">MIN(IF($B77,T75+IF(ISNUMBER(S76),S76,0),T77/$N75),1)</f>
        <v>0</v>
      </c>
      <c r="U76" s="143">
        <f t="shared" ref="U76" ca="1" si="394">MIN(IF($B77,U75+IF(ISNUMBER(T76),T76,0),U77/$N75),1)</f>
        <v>0</v>
      </c>
      <c r="V76" s="143">
        <f t="shared" ref="V76" ca="1" si="395">MIN(IF($B77,V75+IF(ISNUMBER(U76),U76,0),V77/$N75),1)</f>
        <v>0</v>
      </c>
      <c r="W76" s="143">
        <f t="shared" ref="W76" ca="1" si="396">MIN(IF($B77,W75+IF(ISNUMBER(V76),V76,0),W77/$N75),1)</f>
        <v>1</v>
      </c>
      <c r="X76" s="163"/>
      <c r="AC76" s="143">
        <f t="shared" ref="AC76" ca="1" si="397">MIN(IF($B77,AC75+IF(ISNUMBER(AB76),AB76,0),AC77/$N75),1)</f>
        <v>0</v>
      </c>
    </row>
    <row r="77" spans="1:29" customFormat="1" ht="14.25" x14ac:dyDescent="0.2">
      <c r="A77" s="11">
        <f ca="1">OFFSET(A77,-CFF.NumLinha,0)+1</f>
        <v>20</v>
      </c>
      <c r="B77" s="11" t="b">
        <f ca="1">$C77&gt;=OFFSET($C77,CFF.NumLinha,0)</f>
        <v>1</v>
      </c>
      <c r="C77" s="11">
        <f ca="1">INDEX(PO!A$12:A$275,MATCH($A77,PO!$V$12:$V$275,0))</f>
        <v>2</v>
      </c>
      <c r="D77" s="11">
        <f t="shared" ref="D77" ca="1" si="398">IF(ISERROR(J77),I77,SMALL(I77:J77,1))-1</f>
        <v>2</v>
      </c>
      <c r="E77" s="11">
        <f ca="1">IF($C77=1,OFFSET(E77,-CFF.NumLinha,0)+1,OFFSET(E77,-CFF.NumLinha,0))</f>
        <v>1</v>
      </c>
      <c r="F77" s="11">
        <f ca="1">IF($C77=1,0,IF($C77=2,OFFSET(F77,-CFF.NumLinha,0)+1,OFFSET(F77,-CFF.NumLinha,0)))</f>
        <v>19</v>
      </c>
      <c r="G77" s="11">
        <f ca="1">IF(AND($C77&lt;=2,$C77&lt;&gt;0),0,IF($C77=3,OFFSET(G77,-CFF.NumLinha,0)+1,OFFSET(G77,-CFF.NumLinha,0)))</f>
        <v>0</v>
      </c>
      <c r="H77" s="11">
        <f ca="1">IF(AND($C77&lt;=3,$C77&lt;&gt;0),0,IF($C77=4,OFFSET(H77,-CFF.NumLinha,0)+1,OFFSET(H77,-CFF.NumLinha,0)))</f>
        <v>0</v>
      </c>
      <c r="I77" s="11">
        <f t="shared" ref="I77" ca="1" si="399">MATCH(0,OFFSET($D77,1,$C77,ROW($A$93)-ROW($A77)),0)</f>
        <v>16</v>
      </c>
      <c r="J77" s="11">
        <f t="shared" ref="J77" ca="1" si="400">MATCH(OFFSET($D77,0,$C77)+1,OFFSET($D77,1,$C77,ROW($A$93)-ROW($A77)),0)</f>
        <v>3</v>
      </c>
      <c r="K77" s="156">
        <f ca="1">ROUND(INDEX(PO!T$12:T$275,MATCH($A77,PO!$V$12:$V$275,0)),2)+10^-12</f>
        <v>214166.76</v>
      </c>
      <c r="L77" s="334"/>
      <c r="M77" s="336"/>
      <c r="N77" s="338"/>
      <c r="O77" s="171" t="s">
        <v>20</v>
      </c>
      <c r="P77" s="166">
        <f t="shared" ref="P77:W77" ca="1" si="401">IF($B77,ROUND(P76*$N75,2),ROUND(SUMIF(OFFSET($B77,1,0,$D77),TRUE,OFFSET(P77,1,0,$D77))/SUMIF(OFFSET($B77,1,0,$D77),TRUE,OFFSET($K77,1,0,$D77))*$N75,2))</f>
        <v>0</v>
      </c>
      <c r="Q77" s="144">
        <f t="shared" ca="1" si="401"/>
        <v>0</v>
      </c>
      <c r="R77" s="144">
        <f t="shared" ca="1" si="401"/>
        <v>0</v>
      </c>
      <c r="S77" s="144">
        <f t="shared" ca="1" si="401"/>
        <v>0</v>
      </c>
      <c r="T77" s="144">
        <f t="shared" ca="1" si="401"/>
        <v>0</v>
      </c>
      <c r="U77" s="144">
        <f t="shared" ca="1" si="401"/>
        <v>0</v>
      </c>
      <c r="V77" s="144">
        <f t="shared" ca="1" si="401"/>
        <v>0</v>
      </c>
      <c r="W77" s="174">
        <f t="shared" ca="1" si="401"/>
        <v>214166.76</v>
      </c>
      <c r="X77" s="163"/>
      <c r="AC77" s="144">
        <f t="shared" ref="AC77" ca="1" si="402">IF($B77,ROUND(AC76*$N75,2),ROUND(SUMIF(OFFSET($B77,1,0,$D77),TRUE,OFFSET(AC77,1,0,$D77))/SUMIF(OFFSET($B77,1,0,$D77),TRUE,OFFSET($K77,1,0,$D77))*$N75,2))</f>
        <v>0</v>
      </c>
    </row>
    <row r="78" spans="1:29" customFormat="1" ht="14.25" customHeight="1" x14ac:dyDescent="0.2">
      <c r="A78" s="1"/>
      <c r="B78" s="1"/>
      <c r="C78" s="1"/>
      <c r="D78" s="1"/>
      <c r="E78" s="1"/>
      <c r="F78" s="1"/>
      <c r="G78" s="1"/>
      <c r="H78" s="1"/>
      <c r="I78" s="1"/>
      <c r="J78" s="1"/>
      <c r="K78" s="1"/>
      <c r="L78" s="333" t="str">
        <f ca="1">INDEX(PO!K$12:K$275,MATCH($A80,PO!$V$12:$V$275,0))</f>
        <v>1.20.</v>
      </c>
      <c r="M78" s="335" t="str">
        <f ca="1">INDEX(PO!N$12:N$275,MATCH($A80,PO!$V$12:$V$275,0))</f>
        <v>PINTURAS INTERNAS</v>
      </c>
      <c r="N78" s="337">
        <f t="shared" ref="N78" ca="1" si="403">IF(ROUND(K80,2)=0,K80,ROUND(K80,2))</f>
        <v>37157.85</v>
      </c>
      <c r="O78" s="187" t="s">
        <v>143</v>
      </c>
      <c r="P78" s="192">
        <f t="shared" ref="P78" ca="1" si="404">IF($B80,0,P79-IF(ISNUMBER(O79),O79,0))</f>
        <v>0</v>
      </c>
      <c r="Q78" s="193">
        <f t="shared" ref="Q78" ca="1" si="405">IF($B80,0,Q79-IF(ISNUMBER(P79),P79,0))</f>
        <v>0</v>
      </c>
      <c r="R78" s="193">
        <f t="shared" ref="R78" ca="1" si="406">IF($B80,0,R79-IF(ISNUMBER(Q79),Q79,0))</f>
        <v>0</v>
      </c>
      <c r="S78" s="193">
        <f t="shared" ref="S78" ca="1" si="407">IF($B80,0,S79-IF(ISNUMBER(R79),R79,0))</f>
        <v>0</v>
      </c>
      <c r="T78" s="193">
        <f t="shared" ref="T78" ca="1" si="408">IF($B80,0,T79-IF(ISNUMBER(S79),S79,0))</f>
        <v>0</v>
      </c>
      <c r="U78" s="193">
        <f t="shared" ref="U78" ca="1" si="409">IF($B80,0,U79-IF(ISNUMBER(T79),T79,0))</f>
        <v>0</v>
      </c>
      <c r="V78" s="193">
        <f t="shared" ref="V78" ca="1" si="410">IF($B80,0,V79-IF(ISNUMBER(U79),U79,0))</f>
        <v>0</v>
      </c>
      <c r="W78" s="194">
        <v>1</v>
      </c>
      <c r="X78" s="163"/>
      <c r="AC78" s="188">
        <f t="shared" ref="AC78" ca="1" si="411">IF($B80,0,AC79-IF(ISNUMBER(AB79),AB79,0))</f>
        <v>0</v>
      </c>
    </row>
    <row r="79" spans="1:29" customFormat="1" ht="14.25" x14ac:dyDescent="0.2">
      <c r="A79" s="11"/>
      <c r="B79" s="11"/>
      <c r="C79" s="11"/>
      <c r="D79" s="11"/>
      <c r="E79" s="11"/>
      <c r="F79" s="11"/>
      <c r="G79" s="11"/>
      <c r="H79" s="11"/>
      <c r="I79" s="11"/>
      <c r="J79" s="11"/>
      <c r="K79" s="11"/>
      <c r="L79" s="334"/>
      <c r="M79" s="336"/>
      <c r="N79" s="338"/>
      <c r="O79" s="145" t="s">
        <v>145</v>
      </c>
      <c r="P79" s="165">
        <f t="shared" ref="P79" ca="1" si="412">MIN(IF($B80,P78+IF(ISNUMBER(O79),O79,0),P80/$N78),1)</f>
        <v>0</v>
      </c>
      <c r="Q79" s="143">
        <f t="shared" ref="Q79" ca="1" si="413">MIN(IF($B80,Q78+IF(ISNUMBER(P79),P79,0),Q80/$N78),1)</f>
        <v>0</v>
      </c>
      <c r="R79" s="143">
        <f t="shared" ref="R79" ca="1" si="414">MIN(IF($B80,R78+IF(ISNUMBER(Q79),Q79,0),R80/$N78),1)</f>
        <v>0</v>
      </c>
      <c r="S79" s="143">
        <f t="shared" ref="S79" ca="1" si="415">MIN(IF($B80,S78+IF(ISNUMBER(R79),R79,0),S80/$N78),1)</f>
        <v>0</v>
      </c>
      <c r="T79" s="143">
        <f t="shared" ref="T79" ca="1" si="416">MIN(IF($B80,T78+IF(ISNUMBER(S79),S79,0),T80/$N78),1)</f>
        <v>0</v>
      </c>
      <c r="U79" s="143">
        <f t="shared" ref="U79" ca="1" si="417">MIN(IF($B80,U78+IF(ISNUMBER(T79),T79,0),U80/$N78),1)</f>
        <v>0</v>
      </c>
      <c r="V79" s="143">
        <f t="shared" ref="V79" ca="1" si="418">MIN(IF($B80,V78+IF(ISNUMBER(U79),U79,0),V80/$N78),1)</f>
        <v>0</v>
      </c>
      <c r="W79" s="143">
        <f t="shared" ref="W79" ca="1" si="419">MIN(IF($B80,W78+IF(ISNUMBER(V79),V79,0),W80/$N78),1)</f>
        <v>1</v>
      </c>
      <c r="X79" s="163"/>
      <c r="AC79" s="143">
        <f t="shared" ref="AC79" ca="1" si="420">MIN(IF($B80,AC78+IF(ISNUMBER(AB79),AB79,0),AC80/$N78),1)</f>
        <v>0</v>
      </c>
    </row>
    <row r="80" spans="1:29" customFormat="1" ht="14.25" x14ac:dyDescent="0.2">
      <c r="A80" s="11">
        <f ca="1">OFFSET(A80,-CFF.NumLinha,0)+1</f>
        <v>21</v>
      </c>
      <c r="B80" s="11" t="b">
        <f ca="1">$C80&gt;=OFFSET($C80,CFF.NumLinha,0)</f>
        <v>1</v>
      </c>
      <c r="C80" s="11">
        <f ca="1">INDEX(PO!A$12:A$275,MATCH($A80,PO!$V$12:$V$275,0))</f>
        <v>2</v>
      </c>
      <c r="D80" s="11">
        <f t="shared" ref="D80:D92" ca="1" si="421">IF(ISERROR(J80),I80,SMALL(I80:J80,1))-1</f>
        <v>2</v>
      </c>
      <c r="E80" s="11">
        <f ca="1">IF($C80=1,OFFSET(E80,-CFF.NumLinha,0)+1,OFFSET(E80,-CFF.NumLinha,0))</f>
        <v>1</v>
      </c>
      <c r="F80" s="11">
        <f ca="1">IF($C80=1,0,IF($C80=2,OFFSET(F80,-CFF.NumLinha,0)+1,OFFSET(F80,-CFF.NumLinha,0)))</f>
        <v>20</v>
      </c>
      <c r="G80" s="11">
        <f ca="1">IF(AND($C80&lt;=2,$C80&lt;&gt;0),0,IF($C80=3,OFFSET(G80,-CFF.NumLinha,0)+1,OFFSET(G80,-CFF.NumLinha,0)))</f>
        <v>0</v>
      </c>
      <c r="H80" s="11">
        <f ca="1">IF(AND($C80&lt;=3,$C80&lt;&gt;0),0,IF($C80=4,OFFSET(H80,-CFF.NumLinha,0)+1,OFFSET(H80,-CFF.NumLinha,0)))</f>
        <v>0</v>
      </c>
      <c r="I80" s="11">
        <f t="shared" ref="I80:I92" ca="1" si="422">MATCH(0,OFFSET($D80,1,$C80,ROW($A$93)-ROW($A80)),0)</f>
        <v>13</v>
      </c>
      <c r="J80" s="11">
        <f t="shared" ref="J80:J92" ca="1" si="423">MATCH(OFFSET($D80,0,$C80)+1,OFFSET($D80,1,$C80,ROW($A$93)-ROW($A80)),0)</f>
        <v>3</v>
      </c>
      <c r="K80" s="156">
        <f ca="1">ROUND(INDEX(PO!T$12:T$275,MATCH($A80,PO!$V$12:$V$275,0)),2)+10^-12</f>
        <v>37157.85</v>
      </c>
      <c r="L80" s="334"/>
      <c r="M80" s="336"/>
      <c r="N80" s="338"/>
      <c r="O80" s="171" t="s">
        <v>20</v>
      </c>
      <c r="P80" s="166">
        <f t="shared" ref="P80:W80" ca="1" si="424">IF($B80,ROUND(P79*$N78,2),ROUND(SUMIF(OFFSET($B80,1,0,$D80),TRUE,OFFSET(P80,1,0,$D80))/SUMIF(OFFSET($B80,1,0,$D80),TRUE,OFFSET($K80,1,0,$D80))*$N78,2))</f>
        <v>0</v>
      </c>
      <c r="Q80" s="144">
        <f t="shared" ca="1" si="424"/>
        <v>0</v>
      </c>
      <c r="R80" s="144">
        <f t="shared" ca="1" si="424"/>
        <v>0</v>
      </c>
      <c r="S80" s="144">
        <f t="shared" ca="1" si="424"/>
        <v>0</v>
      </c>
      <c r="T80" s="144">
        <f t="shared" ca="1" si="424"/>
        <v>0</v>
      </c>
      <c r="U80" s="144">
        <f t="shared" ca="1" si="424"/>
        <v>0</v>
      </c>
      <c r="V80" s="144">
        <f t="shared" ca="1" si="424"/>
        <v>0</v>
      </c>
      <c r="W80" s="174">
        <f t="shared" ca="1" si="424"/>
        <v>37157.85</v>
      </c>
      <c r="X80" s="163"/>
      <c r="AC80" s="144">
        <f t="shared" ref="AC80" ca="1" si="425">IF($B80,ROUND(AC79*$N78,2),ROUND(SUMIF(OFFSET($B80,1,0,$D80),TRUE,OFFSET(AC80,1,0,$D80))/SUMIF(OFFSET($B80,1,0,$D80),TRUE,OFFSET($K80,1,0,$D80))*$N78,2))</f>
        <v>0</v>
      </c>
    </row>
    <row r="81" spans="1:29" customFormat="1" ht="14.25" customHeight="1" x14ac:dyDescent="0.2">
      <c r="A81" s="1"/>
      <c r="B81" s="1"/>
      <c r="C81" s="1"/>
      <c r="D81" s="1"/>
      <c r="E81" s="1"/>
      <c r="F81" s="1"/>
      <c r="G81" s="1"/>
      <c r="H81" s="1"/>
      <c r="I81" s="1"/>
      <c r="J81" s="1"/>
      <c r="K81" s="1"/>
      <c r="L81" s="333" t="str">
        <f ca="1">INDEX(PO!K$12:K$275,MATCH($A83,PO!$V$12:$V$275,0))</f>
        <v>1.21.</v>
      </c>
      <c r="M81" s="335" t="str">
        <f ca="1">INDEX(PO!N$12:N$275,MATCH($A83,PO!$V$12:$V$275,0))</f>
        <v>PINTURAS EXTERNAS</v>
      </c>
      <c r="N81" s="337">
        <f t="shared" ref="N81" ca="1" si="426">IF(ROUND(K83,2)=0,K83,ROUND(K83,2))</f>
        <v>45403.64</v>
      </c>
      <c r="O81" s="187" t="s">
        <v>143</v>
      </c>
      <c r="P81" s="192">
        <f t="shared" ref="P81" ca="1" si="427">IF($B83,0,P82-IF(ISNUMBER(O82),O82,0))</f>
        <v>0</v>
      </c>
      <c r="Q81" s="193">
        <f t="shared" ref="Q81" ca="1" si="428">IF($B83,0,Q82-IF(ISNUMBER(P82),P82,0))</f>
        <v>0</v>
      </c>
      <c r="R81" s="193">
        <f t="shared" ref="R81" ca="1" si="429">IF($B83,0,R82-IF(ISNUMBER(Q82),Q82,0))</f>
        <v>0</v>
      </c>
      <c r="S81" s="193">
        <f t="shared" ref="S81" ca="1" si="430">IF($B83,0,S82-IF(ISNUMBER(R82),R82,0))</f>
        <v>0</v>
      </c>
      <c r="T81" s="193">
        <f t="shared" ref="T81" ca="1" si="431">IF($B83,0,T82-IF(ISNUMBER(S82),S82,0))</f>
        <v>0</v>
      </c>
      <c r="U81" s="193">
        <f t="shared" ref="U81" ca="1" si="432">IF($B83,0,U82-IF(ISNUMBER(T82),T82,0))</f>
        <v>0</v>
      </c>
      <c r="V81" s="193">
        <f t="shared" ref="V81" ca="1" si="433">IF($B83,0,V82-IF(ISNUMBER(U82),U82,0))</f>
        <v>0</v>
      </c>
      <c r="W81" s="194">
        <v>1</v>
      </c>
      <c r="X81" s="163"/>
      <c r="AC81" s="188">
        <f t="shared" ref="AC81" ca="1" si="434">IF($B83,0,AC82-IF(ISNUMBER(AB82),AB82,0))</f>
        <v>0</v>
      </c>
    </row>
    <row r="82" spans="1:29" customFormat="1" ht="14.25" x14ac:dyDescent="0.2">
      <c r="A82" s="11"/>
      <c r="B82" s="11"/>
      <c r="C82" s="11"/>
      <c r="D82" s="11"/>
      <c r="E82" s="11"/>
      <c r="F82" s="11"/>
      <c r="G82" s="11"/>
      <c r="H82" s="11"/>
      <c r="I82" s="11"/>
      <c r="J82" s="11"/>
      <c r="K82" s="11"/>
      <c r="L82" s="334"/>
      <c r="M82" s="336"/>
      <c r="N82" s="338"/>
      <c r="O82" s="145" t="s">
        <v>145</v>
      </c>
      <c r="P82" s="165">
        <f t="shared" ref="P82" ca="1" si="435">MIN(IF($B83,P81+IF(ISNUMBER(O82),O82,0),P83/$N81),1)</f>
        <v>0</v>
      </c>
      <c r="Q82" s="143">
        <f t="shared" ref="Q82" ca="1" si="436">MIN(IF($B83,Q81+IF(ISNUMBER(P82),P82,0),Q83/$N81),1)</f>
        <v>0</v>
      </c>
      <c r="R82" s="143">
        <f t="shared" ref="R82" ca="1" si="437">MIN(IF($B83,R81+IF(ISNUMBER(Q82),Q82,0),R83/$N81),1)</f>
        <v>0</v>
      </c>
      <c r="S82" s="143">
        <f t="shared" ref="S82" ca="1" si="438">MIN(IF($B83,S81+IF(ISNUMBER(R82),R82,0),S83/$N81),1)</f>
        <v>0</v>
      </c>
      <c r="T82" s="143">
        <f t="shared" ref="T82" ca="1" si="439">MIN(IF($B83,T81+IF(ISNUMBER(S82),S82,0),T83/$N81),1)</f>
        <v>0</v>
      </c>
      <c r="U82" s="143">
        <f t="shared" ref="U82" ca="1" si="440">MIN(IF($B83,U81+IF(ISNUMBER(T82),T82,0),U83/$N81),1)</f>
        <v>0</v>
      </c>
      <c r="V82" s="143">
        <f t="shared" ref="V82" ca="1" si="441">MIN(IF($B83,V81+IF(ISNUMBER(U82),U82,0),V83/$N81),1)</f>
        <v>0</v>
      </c>
      <c r="W82" s="143">
        <f t="shared" ref="W82" ca="1" si="442">MIN(IF($B83,W81+IF(ISNUMBER(V82),V82,0),W83/$N81),1)</f>
        <v>1</v>
      </c>
      <c r="X82" s="163"/>
      <c r="AC82" s="143">
        <f t="shared" ref="AC82" ca="1" si="443">MIN(IF($B83,AC81+IF(ISNUMBER(AB82),AB82,0),AC83/$N81),1)</f>
        <v>0</v>
      </c>
    </row>
    <row r="83" spans="1:29" customFormat="1" ht="14.25" x14ac:dyDescent="0.2">
      <c r="A83" s="11">
        <f ca="1">OFFSET(A83,-CFF.NumLinha,0)+1</f>
        <v>22</v>
      </c>
      <c r="B83" s="11" t="b">
        <f ca="1">$C83&gt;=OFFSET($C83,CFF.NumLinha,0)</f>
        <v>1</v>
      </c>
      <c r="C83" s="11">
        <f ca="1">INDEX(PO!A$12:A$275,MATCH($A83,PO!$V$12:$V$275,0))</f>
        <v>2</v>
      </c>
      <c r="D83" s="11">
        <f t="shared" ref="D83:D92" ca="1" si="444">IF(ISERROR(J83),I83,SMALL(I83:J83,1))-1</f>
        <v>2</v>
      </c>
      <c r="E83" s="11">
        <f ca="1">IF($C83=1,OFFSET(E83,-CFF.NumLinha,0)+1,OFFSET(E83,-CFF.NumLinha,0))</f>
        <v>1</v>
      </c>
      <c r="F83" s="11">
        <f ca="1">IF($C83=1,0,IF($C83=2,OFFSET(F83,-CFF.NumLinha,0)+1,OFFSET(F83,-CFF.NumLinha,0)))</f>
        <v>21</v>
      </c>
      <c r="G83" s="11">
        <f ca="1">IF(AND($C83&lt;=2,$C83&lt;&gt;0),0,IF($C83=3,OFFSET(G83,-CFF.NumLinha,0)+1,OFFSET(G83,-CFF.NumLinha,0)))</f>
        <v>0</v>
      </c>
      <c r="H83" s="11">
        <f ca="1">IF(AND($C83&lt;=3,$C83&lt;&gt;0),0,IF($C83=4,OFFSET(H83,-CFF.NumLinha,0)+1,OFFSET(H83,-CFF.NumLinha,0)))</f>
        <v>0</v>
      </c>
      <c r="I83" s="11">
        <f t="shared" ref="I83:I92" ca="1" si="445">MATCH(0,OFFSET($D83,1,$C83,ROW($A$93)-ROW($A83)),0)</f>
        <v>10</v>
      </c>
      <c r="J83" s="11">
        <f t="shared" ref="J83:J92" ca="1" si="446">MATCH(OFFSET($D83,0,$C83)+1,OFFSET($D83,1,$C83,ROW($A$93)-ROW($A83)),0)</f>
        <v>3</v>
      </c>
      <c r="K83" s="156">
        <f ca="1">ROUND(INDEX(PO!T$12:T$275,MATCH($A83,PO!$V$12:$V$275,0)),2)+10^-12</f>
        <v>45403.64</v>
      </c>
      <c r="L83" s="334"/>
      <c r="M83" s="336"/>
      <c r="N83" s="338"/>
      <c r="O83" s="171" t="s">
        <v>20</v>
      </c>
      <c r="P83" s="166">
        <f t="shared" ref="P83:W83" ca="1" si="447">IF($B83,ROUND(P82*$N81,2),ROUND(SUMIF(OFFSET($B83,1,0,$D83),TRUE,OFFSET(P83,1,0,$D83))/SUMIF(OFFSET($B83,1,0,$D83),TRUE,OFFSET($K83,1,0,$D83))*$N81,2))</f>
        <v>0</v>
      </c>
      <c r="Q83" s="144">
        <f t="shared" ca="1" si="447"/>
        <v>0</v>
      </c>
      <c r="R83" s="144">
        <f t="shared" ca="1" si="447"/>
        <v>0</v>
      </c>
      <c r="S83" s="144">
        <f t="shared" ca="1" si="447"/>
        <v>0</v>
      </c>
      <c r="T83" s="144">
        <f t="shared" ca="1" si="447"/>
        <v>0</v>
      </c>
      <c r="U83" s="144">
        <f t="shared" ca="1" si="447"/>
        <v>0</v>
      </c>
      <c r="V83" s="144">
        <f t="shared" ca="1" si="447"/>
        <v>0</v>
      </c>
      <c r="W83" s="174">
        <f t="shared" ca="1" si="447"/>
        <v>45403.64</v>
      </c>
      <c r="X83" s="163"/>
      <c r="AC83" s="144">
        <f t="shared" ref="AC83" ca="1" si="448">IF($B83,ROUND(AC82*$N81,2),ROUND(SUMIF(OFFSET($B83,1,0,$D83),TRUE,OFFSET(AC83,1,0,$D83))/SUMIF(OFFSET($B83,1,0,$D83),TRUE,OFFSET($K83,1,0,$D83))*$N81,2))</f>
        <v>0</v>
      </c>
    </row>
    <row r="84" spans="1:29" customFormat="1" ht="14.25" customHeight="1" x14ac:dyDescent="0.2">
      <c r="A84" s="1"/>
      <c r="B84" s="1"/>
      <c r="C84" s="1"/>
      <c r="D84" s="1"/>
      <c r="E84" s="1"/>
      <c r="F84" s="1"/>
      <c r="G84" s="1"/>
      <c r="H84" s="1"/>
      <c r="I84" s="1"/>
      <c r="J84" s="1"/>
      <c r="K84" s="1"/>
      <c r="L84" s="333" t="str">
        <f ca="1">INDEX(PO!K$12:K$275,MATCH($A86,PO!$V$12:$V$275,0))</f>
        <v>1.22.</v>
      </c>
      <c r="M84" s="335" t="str">
        <f ca="1">INDEX(PO!N$12:N$275,MATCH($A86,PO!$V$12:$V$275,0))</f>
        <v>LOUÇAS E METAIS</v>
      </c>
      <c r="N84" s="337">
        <f t="shared" ref="N84" ca="1" si="449">IF(ROUND(K86,2)=0,K86,ROUND(K86,2))</f>
        <v>36358.61</v>
      </c>
      <c r="O84" s="187" t="s">
        <v>143</v>
      </c>
      <c r="P84" s="192">
        <f t="shared" ref="P84" ca="1" si="450">IF($B86,0,P85-IF(ISNUMBER(O85),O85,0))</f>
        <v>0</v>
      </c>
      <c r="Q84" s="193">
        <f t="shared" ref="Q84" ca="1" si="451">IF($B86,0,Q85-IF(ISNUMBER(P85),P85,0))</f>
        <v>0</v>
      </c>
      <c r="R84" s="193">
        <f t="shared" ref="R84" ca="1" si="452">IF($B86,0,R85-IF(ISNUMBER(Q85),Q85,0))</f>
        <v>0</v>
      </c>
      <c r="S84" s="193">
        <f t="shared" ref="S84" ca="1" si="453">IF($B86,0,S85-IF(ISNUMBER(R85),R85,0))</f>
        <v>0</v>
      </c>
      <c r="T84" s="193">
        <f t="shared" ref="T84" ca="1" si="454">IF($B86,0,T85-IF(ISNUMBER(S85),S85,0))</f>
        <v>0</v>
      </c>
      <c r="U84" s="193">
        <f t="shared" ref="U84" ca="1" si="455">IF($B86,0,U85-IF(ISNUMBER(T85),T85,0))</f>
        <v>0</v>
      </c>
      <c r="V84" s="193">
        <f t="shared" ref="V84" ca="1" si="456">IF($B86,0,V85-IF(ISNUMBER(U85),U85,0))</f>
        <v>0</v>
      </c>
      <c r="W84" s="194">
        <v>1</v>
      </c>
      <c r="X84" s="163"/>
      <c r="AC84" s="188">
        <f t="shared" ref="AC84" ca="1" si="457">IF($B86,0,AC85-IF(ISNUMBER(AB85),AB85,0))</f>
        <v>0</v>
      </c>
    </row>
    <row r="85" spans="1:29" customFormat="1" ht="14.25" x14ac:dyDescent="0.2">
      <c r="A85" s="11"/>
      <c r="B85" s="11"/>
      <c r="C85" s="11"/>
      <c r="D85" s="11"/>
      <c r="E85" s="11"/>
      <c r="F85" s="11"/>
      <c r="G85" s="11"/>
      <c r="H85" s="11"/>
      <c r="I85" s="11"/>
      <c r="J85" s="11"/>
      <c r="K85" s="11"/>
      <c r="L85" s="334"/>
      <c r="M85" s="336"/>
      <c r="N85" s="338"/>
      <c r="O85" s="145" t="s">
        <v>145</v>
      </c>
      <c r="P85" s="165">
        <f t="shared" ref="P85" ca="1" si="458">MIN(IF($B86,P84+IF(ISNUMBER(O85),O85,0),P86/$N84),1)</f>
        <v>0</v>
      </c>
      <c r="Q85" s="143">
        <f t="shared" ref="Q85" ca="1" si="459">MIN(IF($B86,Q84+IF(ISNUMBER(P85),P85,0),Q86/$N84),1)</f>
        <v>0</v>
      </c>
      <c r="R85" s="143">
        <f t="shared" ref="R85" ca="1" si="460">MIN(IF($B86,R84+IF(ISNUMBER(Q85),Q85,0),R86/$N84),1)</f>
        <v>0</v>
      </c>
      <c r="S85" s="143">
        <f t="shared" ref="S85" ca="1" si="461">MIN(IF($B86,S84+IF(ISNUMBER(R85),R85,0),S86/$N84),1)</f>
        <v>0</v>
      </c>
      <c r="T85" s="143">
        <f t="shared" ref="T85" ca="1" si="462">MIN(IF($B86,T84+IF(ISNUMBER(S85),S85,0),T86/$N84),1)</f>
        <v>0</v>
      </c>
      <c r="U85" s="143">
        <f t="shared" ref="U85" ca="1" si="463">MIN(IF($B86,U84+IF(ISNUMBER(T85),T85,0),U86/$N84),1)</f>
        <v>0</v>
      </c>
      <c r="V85" s="143">
        <f t="shared" ref="V85" ca="1" si="464">MIN(IF($B86,V84+IF(ISNUMBER(U85),U85,0),V86/$N84),1)</f>
        <v>0</v>
      </c>
      <c r="W85" s="143">
        <f t="shared" ref="W85" ca="1" si="465">MIN(IF($B86,W84+IF(ISNUMBER(V85),V85,0),W86/$N84),1)</f>
        <v>1</v>
      </c>
      <c r="X85" s="163"/>
      <c r="AC85" s="143">
        <f t="shared" ref="AC85" ca="1" si="466">MIN(IF($B86,AC84+IF(ISNUMBER(AB85),AB85,0),AC86/$N84),1)</f>
        <v>0</v>
      </c>
    </row>
    <row r="86" spans="1:29" customFormat="1" ht="14.25" x14ac:dyDescent="0.2">
      <c r="A86" s="11">
        <f ca="1">OFFSET(A86,-CFF.NumLinha,0)+1</f>
        <v>23</v>
      </c>
      <c r="B86" s="11" t="b">
        <f ca="1">$C86&gt;=OFFSET($C86,CFF.NumLinha,0)</f>
        <v>1</v>
      </c>
      <c r="C86" s="11">
        <f ca="1">INDEX(PO!A$12:A$275,MATCH($A86,PO!$V$12:$V$275,0))</f>
        <v>2</v>
      </c>
      <c r="D86" s="11">
        <f t="shared" ref="D86:D92" ca="1" si="467">IF(ISERROR(J86),I86,SMALL(I86:J86,1))-1</f>
        <v>2</v>
      </c>
      <c r="E86" s="11">
        <f ca="1">IF($C86=1,OFFSET(E86,-CFF.NumLinha,0)+1,OFFSET(E86,-CFF.NumLinha,0))</f>
        <v>1</v>
      </c>
      <c r="F86" s="11">
        <f ca="1">IF($C86=1,0,IF($C86=2,OFFSET(F86,-CFF.NumLinha,0)+1,OFFSET(F86,-CFF.NumLinha,0)))</f>
        <v>22</v>
      </c>
      <c r="G86" s="11">
        <f ca="1">IF(AND($C86&lt;=2,$C86&lt;&gt;0),0,IF($C86=3,OFFSET(G86,-CFF.NumLinha,0)+1,OFFSET(G86,-CFF.NumLinha,0)))</f>
        <v>0</v>
      </c>
      <c r="H86" s="11">
        <f ca="1">IF(AND($C86&lt;=3,$C86&lt;&gt;0),0,IF($C86=4,OFFSET(H86,-CFF.NumLinha,0)+1,OFFSET(H86,-CFF.NumLinha,0)))</f>
        <v>0</v>
      </c>
      <c r="I86" s="11">
        <f t="shared" ref="I86:I92" ca="1" si="468">MATCH(0,OFFSET($D86,1,$C86,ROW($A$93)-ROW($A86)),0)</f>
        <v>7</v>
      </c>
      <c r="J86" s="11">
        <f t="shared" ref="J86:J92" ca="1" si="469">MATCH(OFFSET($D86,0,$C86)+1,OFFSET($D86,1,$C86,ROW($A$93)-ROW($A86)),0)</f>
        <v>3</v>
      </c>
      <c r="K86" s="156">
        <f ca="1">ROUND(INDEX(PO!T$12:T$275,MATCH($A86,PO!$V$12:$V$275,0)),2)+10^-12</f>
        <v>36358.61</v>
      </c>
      <c r="L86" s="334"/>
      <c r="M86" s="336"/>
      <c r="N86" s="338"/>
      <c r="O86" s="171" t="s">
        <v>20</v>
      </c>
      <c r="P86" s="166">
        <f t="shared" ref="P86:W86" ca="1" si="470">IF($B86,ROUND(P85*$N84,2),ROUND(SUMIF(OFFSET($B86,1,0,$D86),TRUE,OFFSET(P86,1,0,$D86))/SUMIF(OFFSET($B86,1,0,$D86),TRUE,OFFSET($K86,1,0,$D86))*$N84,2))</f>
        <v>0</v>
      </c>
      <c r="Q86" s="144">
        <f t="shared" ca="1" si="470"/>
        <v>0</v>
      </c>
      <c r="R86" s="144">
        <f t="shared" ca="1" si="470"/>
        <v>0</v>
      </c>
      <c r="S86" s="144">
        <f t="shared" ca="1" si="470"/>
        <v>0</v>
      </c>
      <c r="T86" s="144">
        <f t="shared" ca="1" si="470"/>
        <v>0</v>
      </c>
      <c r="U86" s="144">
        <f t="shared" ca="1" si="470"/>
        <v>0</v>
      </c>
      <c r="V86" s="144">
        <f t="shared" ca="1" si="470"/>
        <v>0</v>
      </c>
      <c r="W86" s="174">
        <f t="shared" ca="1" si="470"/>
        <v>36358.61</v>
      </c>
      <c r="X86" s="163"/>
      <c r="AC86" s="144">
        <f t="shared" ref="AC86" ca="1" si="471">IF($B86,ROUND(AC85*$N84,2),ROUND(SUMIF(OFFSET($B86,1,0,$D86),TRUE,OFFSET(AC86,1,0,$D86))/SUMIF(OFFSET($B86,1,0,$D86),TRUE,OFFSET($K86,1,0,$D86))*$N84,2))</f>
        <v>0</v>
      </c>
    </row>
    <row r="87" spans="1:29" customFormat="1" ht="14.25" customHeight="1" x14ac:dyDescent="0.2">
      <c r="A87" s="1"/>
      <c r="B87" s="1"/>
      <c r="C87" s="1"/>
      <c r="D87" s="1"/>
      <c r="E87" s="1"/>
      <c r="F87" s="1"/>
      <c r="G87" s="1"/>
      <c r="H87" s="1"/>
      <c r="I87" s="1"/>
      <c r="J87" s="1"/>
      <c r="K87" s="1"/>
      <c r="L87" s="333" t="str">
        <f ca="1">INDEX(PO!K$12:K$275,MATCH($A89,PO!$V$12:$V$275,0))</f>
        <v>1.23.</v>
      </c>
      <c r="M87" s="335" t="str">
        <f ca="1">INDEX(PO!N$12:N$275,MATCH($A89,PO!$V$12:$V$275,0))</f>
        <v>SERVIÇOS FINAIS</v>
      </c>
      <c r="N87" s="337">
        <f t="shared" ref="N87" ca="1" si="472">IF(ROUND(K89,2)=0,K89,ROUND(K89,2))</f>
        <v>24233.18</v>
      </c>
      <c r="O87" s="187" t="s">
        <v>143</v>
      </c>
      <c r="P87" s="192">
        <f t="shared" ref="P87" ca="1" si="473">IF($B89,0,P88-IF(ISNUMBER(O88),O88,0))</f>
        <v>0</v>
      </c>
      <c r="Q87" s="193">
        <f t="shared" ref="Q87" ca="1" si="474">IF($B89,0,Q88-IF(ISNUMBER(P88),P88,0))</f>
        <v>0</v>
      </c>
      <c r="R87" s="193">
        <f t="shared" ref="R87" ca="1" si="475">IF($B89,0,R88-IF(ISNUMBER(Q88),Q88,0))</f>
        <v>0</v>
      </c>
      <c r="S87" s="193">
        <f t="shared" ref="S87" ca="1" si="476">IF($B89,0,S88-IF(ISNUMBER(R88),R88,0))</f>
        <v>0</v>
      </c>
      <c r="T87" s="193">
        <f t="shared" ref="T87" ca="1" si="477">IF($B89,0,T88-IF(ISNUMBER(S88),S88,0))</f>
        <v>0</v>
      </c>
      <c r="U87" s="193">
        <f t="shared" ref="U87" ca="1" si="478">IF($B89,0,U88-IF(ISNUMBER(T88),T88,0))</f>
        <v>0</v>
      </c>
      <c r="V87" s="193">
        <f t="shared" ref="V87" ca="1" si="479">IF($B89,0,V88-IF(ISNUMBER(U88),U88,0))</f>
        <v>0</v>
      </c>
      <c r="W87" s="194">
        <v>1</v>
      </c>
      <c r="X87" s="163"/>
      <c r="AC87" s="188">
        <f t="shared" ref="AC87" ca="1" si="480">IF($B89,0,AC88-IF(ISNUMBER(AB88),AB88,0))</f>
        <v>0</v>
      </c>
    </row>
    <row r="88" spans="1:29" customFormat="1" ht="14.25" x14ac:dyDescent="0.2">
      <c r="A88" s="11"/>
      <c r="B88" s="11"/>
      <c r="C88" s="11"/>
      <c r="D88" s="11"/>
      <c r="E88" s="11"/>
      <c r="F88" s="11"/>
      <c r="G88" s="11"/>
      <c r="H88" s="11"/>
      <c r="I88" s="11"/>
      <c r="J88" s="11"/>
      <c r="K88" s="11"/>
      <c r="L88" s="334"/>
      <c r="M88" s="336"/>
      <c r="N88" s="338"/>
      <c r="O88" s="145" t="s">
        <v>145</v>
      </c>
      <c r="P88" s="165">
        <f t="shared" ref="P88" ca="1" si="481">MIN(IF($B89,P87+IF(ISNUMBER(O88),O88,0),P89/$N87),1)</f>
        <v>0</v>
      </c>
      <c r="Q88" s="143">
        <f t="shared" ref="Q88" ca="1" si="482">MIN(IF($B89,Q87+IF(ISNUMBER(P88),P88,0),Q89/$N87),1)</f>
        <v>0</v>
      </c>
      <c r="R88" s="143">
        <f t="shared" ref="R88" ca="1" si="483">MIN(IF($B89,R87+IF(ISNUMBER(Q88),Q88,0),R89/$N87),1)</f>
        <v>0</v>
      </c>
      <c r="S88" s="143">
        <f t="shared" ref="S88" ca="1" si="484">MIN(IF($B89,S87+IF(ISNUMBER(R88),R88,0),S89/$N87),1)</f>
        <v>0</v>
      </c>
      <c r="T88" s="143">
        <f t="shared" ref="T88" ca="1" si="485">MIN(IF($B89,T87+IF(ISNUMBER(S88),S88,0),T89/$N87),1)</f>
        <v>0</v>
      </c>
      <c r="U88" s="143">
        <f t="shared" ref="U88" ca="1" si="486">MIN(IF($B89,U87+IF(ISNUMBER(T88),T88,0),U89/$N87),1)</f>
        <v>0</v>
      </c>
      <c r="V88" s="143">
        <f t="shared" ref="V88" ca="1" si="487">MIN(IF($B89,V87+IF(ISNUMBER(U88),U88,0),V89/$N87),1)</f>
        <v>0</v>
      </c>
      <c r="W88" s="143">
        <f t="shared" ref="W88" ca="1" si="488">MIN(IF($B89,W87+IF(ISNUMBER(V88),V88,0),W89/$N87),1)</f>
        <v>1</v>
      </c>
      <c r="X88" s="163"/>
      <c r="AC88" s="143">
        <f t="shared" ref="AC88" ca="1" si="489">MIN(IF($B89,AC87+IF(ISNUMBER(AB88),AB88,0),AC89/$N87),1)</f>
        <v>0</v>
      </c>
    </row>
    <row r="89" spans="1:29" customFormat="1" ht="14.25" x14ac:dyDescent="0.2">
      <c r="A89" s="11">
        <f ca="1">OFFSET(A89,-CFF.NumLinha,0)+1</f>
        <v>24</v>
      </c>
      <c r="B89" s="11" t="b">
        <f ca="1">$C89&gt;=OFFSET($C89,CFF.NumLinha,0)</f>
        <v>1</v>
      </c>
      <c r="C89" s="11">
        <f ca="1">INDEX(PO!A$12:A$275,MATCH($A89,PO!$V$12:$V$275,0))</f>
        <v>2</v>
      </c>
      <c r="D89" s="11">
        <f t="shared" ref="D89:D92" ca="1" si="490">IF(ISERROR(J89),I89,SMALL(I89:J89,1))-1</f>
        <v>2</v>
      </c>
      <c r="E89" s="11">
        <f ca="1">IF($C89=1,OFFSET(E89,-CFF.NumLinha,0)+1,OFFSET(E89,-CFF.NumLinha,0))</f>
        <v>1</v>
      </c>
      <c r="F89" s="11">
        <f ca="1">IF($C89=1,0,IF($C89=2,OFFSET(F89,-CFF.NumLinha,0)+1,OFFSET(F89,-CFF.NumLinha,0)))</f>
        <v>23</v>
      </c>
      <c r="G89" s="11">
        <f ca="1">IF(AND($C89&lt;=2,$C89&lt;&gt;0),0,IF($C89=3,OFFSET(G89,-CFF.NumLinha,0)+1,OFFSET(G89,-CFF.NumLinha,0)))</f>
        <v>0</v>
      </c>
      <c r="H89" s="11">
        <f ca="1">IF(AND($C89&lt;=3,$C89&lt;&gt;0),0,IF($C89=4,OFFSET(H89,-CFF.NumLinha,0)+1,OFFSET(H89,-CFF.NumLinha,0)))</f>
        <v>0</v>
      </c>
      <c r="I89" s="11">
        <f t="shared" ref="I89:I92" ca="1" si="491">MATCH(0,OFFSET($D89,1,$C89,ROW($A$93)-ROW($A89)),0)</f>
        <v>4</v>
      </c>
      <c r="J89" s="11">
        <f t="shared" ref="J89:J92" ca="1" si="492">MATCH(OFFSET($D89,0,$C89)+1,OFFSET($D89,1,$C89,ROW($A$93)-ROW($A89)),0)</f>
        <v>3</v>
      </c>
      <c r="K89" s="156">
        <f ca="1">ROUND(INDEX(PO!T$12:T$275,MATCH($A89,PO!$V$12:$V$275,0)),2)+10^-12</f>
        <v>24233.18</v>
      </c>
      <c r="L89" s="334"/>
      <c r="M89" s="336"/>
      <c r="N89" s="338"/>
      <c r="O89" s="171" t="s">
        <v>20</v>
      </c>
      <c r="P89" s="166">
        <f t="shared" ref="P89:W89" ca="1" si="493">IF($B89,ROUND(P88*$N87,2),ROUND(SUMIF(OFFSET($B89,1,0,$D89),TRUE,OFFSET(P89,1,0,$D89))/SUMIF(OFFSET($B89,1,0,$D89),TRUE,OFFSET($K89,1,0,$D89))*$N87,2))</f>
        <v>0</v>
      </c>
      <c r="Q89" s="144">
        <f t="shared" ca="1" si="493"/>
        <v>0</v>
      </c>
      <c r="R89" s="144">
        <f t="shared" ca="1" si="493"/>
        <v>0</v>
      </c>
      <c r="S89" s="144">
        <f t="shared" ca="1" si="493"/>
        <v>0</v>
      </c>
      <c r="T89" s="144">
        <f t="shared" ca="1" si="493"/>
        <v>0</v>
      </c>
      <c r="U89" s="144">
        <f t="shared" ca="1" si="493"/>
        <v>0</v>
      </c>
      <c r="V89" s="144">
        <f t="shared" ca="1" si="493"/>
        <v>0</v>
      </c>
      <c r="W89" s="174">
        <f t="shared" ca="1" si="493"/>
        <v>24233.18</v>
      </c>
      <c r="X89" s="163"/>
      <c r="AC89" s="144">
        <f t="shared" ref="AC89" ca="1" si="494">IF($B89,ROUND(AC88*$N87,2),ROUND(SUMIF(OFFSET($B89,1,0,$D89),TRUE,OFFSET(AC89,1,0,$D89))/SUMIF(OFFSET($B89,1,0,$D89),TRUE,OFFSET($K89,1,0,$D89))*$N87,2))</f>
        <v>0</v>
      </c>
    </row>
    <row r="90" spans="1:29" customFormat="1" ht="14.25" customHeight="1" x14ac:dyDescent="0.2">
      <c r="A90" s="1"/>
      <c r="B90" s="1"/>
      <c r="C90" s="1"/>
      <c r="D90" s="1"/>
      <c r="E90" s="1"/>
      <c r="F90" s="1"/>
      <c r="G90" s="1"/>
      <c r="H90" s="1"/>
      <c r="I90" s="1"/>
      <c r="J90" s="1"/>
      <c r="K90" s="1"/>
      <c r="L90" s="333" t="str">
        <f ca="1">INDEX(PO!K$12:K$275,MATCH($A92,PO!$V$12:$V$275,0))</f>
        <v>1.24.</v>
      </c>
      <c r="M90" s="335" t="str">
        <f ca="1">INDEX(PO!N$12:N$275,MATCH($A92,PO!$V$12:$V$275,0))</f>
        <v>PREVENÇÃO CONTRA INCÊNDIO</v>
      </c>
      <c r="N90" s="337">
        <f t="shared" ref="N90" ca="1" si="495">IF(ROUND(K92,2)=0,K92,ROUND(K92,2))</f>
        <v>2684</v>
      </c>
      <c r="O90" s="187" t="s">
        <v>143</v>
      </c>
      <c r="P90" s="192">
        <f t="shared" ref="P90" ca="1" si="496">IF($B92,0,P91-IF(ISNUMBER(O91),O91,0))</f>
        <v>0</v>
      </c>
      <c r="Q90" s="193">
        <f t="shared" ref="Q90" ca="1" si="497">IF($B92,0,Q91-IF(ISNUMBER(P91),P91,0))</f>
        <v>0</v>
      </c>
      <c r="R90" s="193">
        <f t="shared" ref="R90" ca="1" si="498">IF($B92,0,R91-IF(ISNUMBER(Q91),Q91,0))</f>
        <v>0</v>
      </c>
      <c r="S90" s="193">
        <f t="shared" ref="S90" ca="1" si="499">IF($B92,0,S91-IF(ISNUMBER(R91),R91,0))</f>
        <v>0</v>
      </c>
      <c r="T90" s="193">
        <f t="shared" ref="T90" ca="1" si="500">IF($B92,0,T91-IF(ISNUMBER(S91),S91,0))</f>
        <v>0</v>
      </c>
      <c r="U90" s="193">
        <f t="shared" ref="U90" ca="1" si="501">IF($B92,0,U91-IF(ISNUMBER(T91),T91,0))</f>
        <v>0</v>
      </c>
      <c r="V90" s="193">
        <f t="shared" ref="V90" ca="1" si="502">IF($B92,0,V91-IF(ISNUMBER(U91),U91,0))</f>
        <v>0</v>
      </c>
      <c r="W90" s="194">
        <v>1</v>
      </c>
      <c r="X90" s="163"/>
      <c r="AC90" s="188">
        <f t="shared" ref="AC90" ca="1" si="503">IF($B92,0,AC91-IF(ISNUMBER(AB91),AB91,0))</f>
        <v>0</v>
      </c>
    </row>
    <row r="91" spans="1:29" customFormat="1" ht="14.25" x14ac:dyDescent="0.2">
      <c r="A91" s="11"/>
      <c r="B91" s="11"/>
      <c r="C91" s="11"/>
      <c r="D91" s="11"/>
      <c r="E91" s="11"/>
      <c r="F91" s="11"/>
      <c r="G91" s="11"/>
      <c r="H91" s="11"/>
      <c r="I91" s="11"/>
      <c r="J91" s="11"/>
      <c r="K91" s="11"/>
      <c r="L91" s="334"/>
      <c r="M91" s="336"/>
      <c r="N91" s="338"/>
      <c r="O91" s="145" t="s">
        <v>145</v>
      </c>
      <c r="P91" s="165">
        <f t="shared" ref="P91" ca="1" si="504">MIN(IF($B92,P90+IF(ISNUMBER(O91),O91,0),P92/$N90),1)</f>
        <v>0</v>
      </c>
      <c r="Q91" s="143">
        <f t="shared" ref="Q91" ca="1" si="505">MIN(IF($B92,Q90+IF(ISNUMBER(P91),P91,0),Q92/$N90),1)</f>
        <v>0</v>
      </c>
      <c r="R91" s="143">
        <f t="shared" ref="R91" ca="1" si="506">MIN(IF($B92,R90+IF(ISNUMBER(Q91),Q91,0),R92/$N90),1)</f>
        <v>0</v>
      </c>
      <c r="S91" s="143">
        <f t="shared" ref="S91" ca="1" si="507">MIN(IF($B92,S90+IF(ISNUMBER(R91),R91,0),S92/$N90),1)</f>
        <v>0</v>
      </c>
      <c r="T91" s="143">
        <f t="shared" ref="T91" ca="1" si="508">MIN(IF($B92,T90+IF(ISNUMBER(S91),S91,0),T92/$N90),1)</f>
        <v>0</v>
      </c>
      <c r="U91" s="143">
        <f t="shared" ref="U91" ca="1" si="509">MIN(IF($B92,U90+IF(ISNUMBER(T91),T91,0),U92/$N90),1)</f>
        <v>0</v>
      </c>
      <c r="V91" s="143">
        <f t="shared" ref="V91" ca="1" si="510">MIN(IF($B92,V90+IF(ISNUMBER(U91),U91,0),V92/$N90),1)</f>
        <v>0</v>
      </c>
      <c r="W91" s="143">
        <f t="shared" ref="W91" ca="1" si="511">MIN(IF($B92,W90+IF(ISNUMBER(V91),V91,0),W92/$N90),1)</f>
        <v>1</v>
      </c>
      <c r="X91" s="163"/>
      <c r="AC91" s="143">
        <f t="shared" ref="AC91" ca="1" si="512">MIN(IF($B92,AC90+IF(ISNUMBER(AB91),AB91,0),AC92/$N90),1)</f>
        <v>0</v>
      </c>
    </row>
    <row r="92" spans="1:29" customFormat="1" ht="14.25" x14ac:dyDescent="0.2">
      <c r="A92" s="11">
        <f ca="1">OFFSET(A92,-CFF.NumLinha,0)+1</f>
        <v>25</v>
      </c>
      <c r="B92" s="11" t="b">
        <f ca="1">$C92&gt;=OFFSET($C92,CFF.NumLinha,0)</f>
        <v>1</v>
      </c>
      <c r="C92" s="11">
        <f ca="1">INDEX(PO!A$12:A$275,MATCH($A92,PO!$V$12:$V$275,0))</f>
        <v>2</v>
      </c>
      <c r="D92" s="11">
        <f t="shared" ref="D92" ca="1" si="513">IF(ISERROR(J92),I92,SMALL(I92:J92,1))-1</f>
        <v>0</v>
      </c>
      <c r="E92" s="11">
        <f ca="1">IF($C92=1,OFFSET(E92,-CFF.NumLinha,0)+1,OFFSET(E92,-CFF.NumLinha,0))</f>
        <v>1</v>
      </c>
      <c r="F92" s="11">
        <f ca="1">IF($C92=1,0,IF($C92=2,OFFSET(F92,-CFF.NumLinha,0)+1,OFFSET(F92,-CFF.NumLinha,0)))</f>
        <v>24</v>
      </c>
      <c r="G92" s="11">
        <f ca="1">IF(AND($C92&lt;=2,$C92&lt;&gt;0),0,IF($C92=3,OFFSET(G92,-CFF.NumLinha,0)+1,OFFSET(G92,-CFF.NumLinha,0)))</f>
        <v>0</v>
      </c>
      <c r="H92" s="11">
        <f ca="1">IF(AND($C92&lt;=3,$C92&lt;&gt;0),0,IF($C92=4,OFFSET(H92,-CFF.NumLinha,0)+1,OFFSET(H92,-CFF.NumLinha,0)))</f>
        <v>0</v>
      </c>
      <c r="I92" s="11">
        <f t="shared" ref="I92" ca="1" si="514">MATCH(0,OFFSET($D92,1,$C92,ROW($A$93)-ROW($A92)),0)</f>
        <v>1</v>
      </c>
      <c r="J92" s="11" t="e">
        <f t="shared" ref="J92" ca="1" si="515">MATCH(OFFSET($D92,0,$C92)+1,OFFSET($D92,1,$C92,ROW($A$93)-ROW($A92)),0)</f>
        <v>#N/A</v>
      </c>
      <c r="K92" s="156">
        <f ca="1">ROUND(INDEX(PO!T$12:T$275,MATCH($A92,PO!$V$12:$V$275,0)),2)+10^-12</f>
        <v>2684.0000000000009</v>
      </c>
      <c r="L92" s="334"/>
      <c r="M92" s="336"/>
      <c r="N92" s="338"/>
      <c r="O92" s="171" t="s">
        <v>20</v>
      </c>
      <c r="P92" s="166">
        <f t="shared" ref="P92:W92" ca="1" si="516">IF($B92,ROUND(P91*$N90,2),ROUND(SUMIF(OFFSET($B92,1,0,$D92),TRUE,OFFSET(P92,1,0,$D92))/SUMIF(OFFSET($B92,1,0,$D92),TRUE,OFFSET($K92,1,0,$D92))*$N90,2))</f>
        <v>0</v>
      </c>
      <c r="Q92" s="144">
        <f t="shared" ca="1" si="516"/>
        <v>0</v>
      </c>
      <c r="R92" s="144">
        <f t="shared" ca="1" si="516"/>
        <v>0</v>
      </c>
      <c r="S92" s="144">
        <f t="shared" ca="1" si="516"/>
        <v>0</v>
      </c>
      <c r="T92" s="144">
        <f t="shared" ca="1" si="516"/>
        <v>0</v>
      </c>
      <c r="U92" s="144">
        <f t="shared" ca="1" si="516"/>
        <v>0</v>
      </c>
      <c r="V92" s="144">
        <f t="shared" ca="1" si="516"/>
        <v>0</v>
      </c>
      <c r="W92" s="174">
        <f t="shared" ca="1" si="516"/>
        <v>2684</v>
      </c>
      <c r="X92" s="163"/>
      <c r="AC92" s="144">
        <f t="shared" ref="AC92" ca="1" si="517">IF($B92,ROUND(AC91*$N90,2),ROUND(SUMIF(OFFSET($B92,1,0,$D92),TRUE,OFFSET(AC92,1,0,$D92))/SUMIF(OFFSET($B92,1,0,$D92),TRUE,OFFSET($K92,1,0,$D92))*$N90,2))</f>
        <v>0</v>
      </c>
    </row>
    <row r="93" spans="1:29" ht="12.75" customHeight="1" x14ac:dyDescent="0.2">
      <c r="A93"/>
      <c r="B93"/>
      <c r="C93" s="11">
        <v>-1</v>
      </c>
      <c r="D93" s="11"/>
      <c r="E93" s="11">
        <v>0</v>
      </c>
      <c r="F93" s="11">
        <v>0</v>
      </c>
      <c r="G93" s="11">
        <v>0</v>
      </c>
      <c r="H93" s="11">
        <v>0</v>
      </c>
      <c r="I93"/>
      <c r="J93"/>
      <c r="K93"/>
      <c r="L93" s="68"/>
      <c r="M93" s="68"/>
      <c r="N93" s="130"/>
      <c r="O93" s="68"/>
      <c r="P93" s="68"/>
      <c r="Q93" s="130"/>
      <c r="R93" s="68"/>
      <c r="S93" s="68"/>
      <c r="T93" s="68"/>
      <c r="U93" s="68"/>
      <c r="V93" s="68"/>
      <c r="W93" s="68"/>
      <c r="X93" s="157"/>
      <c r="AC93" s="68"/>
    </row>
    <row r="94" spans="1:29" ht="12" customHeight="1" x14ac:dyDescent="0.2">
      <c r="A94"/>
      <c r="B94"/>
      <c r="C94"/>
      <c r="D94"/>
      <c r="E94"/>
      <c r="F94"/>
      <c r="G94"/>
      <c r="H94"/>
      <c r="I94"/>
      <c r="J94"/>
      <c r="K94"/>
      <c r="L94" s="1"/>
      <c r="M94" s="1"/>
      <c r="N94" s="1"/>
      <c r="O94" s="1"/>
      <c r="P94" s="1"/>
      <c r="Q94" s="1"/>
      <c r="R94" s="1"/>
      <c r="S94" s="1"/>
      <c r="T94" s="1"/>
      <c r="U94" s="1"/>
      <c r="V94" s="1"/>
      <c r="W94" s="1"/>
      <c r="X94" s="157"/>
      <c r="AC94" s="1"/>
    </row>
    <row r="95" spans="1:29" x14ac:dyDescent="0.2">
      <c r="A95"/>
      <c r="B95"/>
      <c r="C95"/>
      <c r="D95"/>
      <c r="E95"/>
      <c r="F95"/>
      <c r="G95"/>
      <c r="H95"/>
      <c r="I95"/>
      <c r="J95"/>
      <c r="K95"/>
      <c r="L95" s="343">
        <f>DADOS!I32</f>
        <v>0</v>
      </c>
      <c r="M95" s="343"/>
      <c r="N95" s="343"/>
      <c r="O95" s="1"/>
      <c r="P95" s="158"/>
      <c r="Q95" s="340"/>
      <c r="R95" s="340"/>
      <c r="S95" s="340"/>
      <c r="T95" s="1"/>
      <c r="U95" s="1"/>
      <c r="V95" s="1"/>
      <c r="W95" s="1"/>
      <c r="X95" s="157"/>
      <c r="AC95" s="1"/>
    </row>
    <row r="96" spans="1:29" x14ac:dyDescent="0.2">
      <c r="A96"/>
      <c r="B96"/>
      <c r="C96"/>
      <c r="D96"/>
      <c r="E96"/>
      <c r="F96"/>
      <c r="G96"/>
      <c r="H96"/>
      <c r="I96"/>
      <c r="J96"/>
      <c r="K96"/>
      <c r="L96" s="159" t="s">
        <v>120</v>
      </c>
      <c r="M96" s="342"/>
      <c r="N96" s="342"/>
      <c r="O96" s="1"/>
      <c r="P96" s="158"/>
      <c r="Q96" s="340"/>
      <c r="R96" s="340"/>
      <c r="S96" s="340"/>
      <c r="T96" s="1"/>
      <c r="U96" s="1"/>
      <c r="V96" s="1"/>
      <c r="W96" s="1"/>
      <c r="X96" s="157"/>
      <c r="AC96" s="1"/>
    </row>
    <row r="97" spans="1:29" x14ac:dyDescent="0.2">
      <c r="A97"/>
      <c r="B97"/>
      <c r="C97"/>
      <c r="D97"/>
      <c r="E97"/>
      <c r="F97"/>
      <c r="G97"/>
      <c r="H97"/>
      <c r="I97"/>
      <c r="J97"/>
      <c r="K97"/>
      <c r="L97" s="158"/>
      <c r="M97" s="341"/>
      <c r="N97" s="342"/>
      <c r="O97" s="1"/>
      <c r="P97" s="158"/>
      <c r="Q97" s="340"/>
      <c r="R97" s="340"/>
      <c r="S97" s="340"/>
      <c r="T97" s="1"/>
      <c r="U97" s="1"/>
      <c r="V97" s="1"/>
      <c r="W97" s="1"/>
      <c r="X97" s="157"/>
      <c r="AC97" s="1"/>
    </row>
    <row r="98" spans="1:29" x14ac:dyDescent="0.2">
      <c r="A98"/>
      <c r="B98"/>
      <c r="C98"/>
      <c r="D98"/>
      <c r="E98"/>
      <c r="F98"/>
      <c r="G98"/>
      <c r="H98"/>
      <c r="I98"/>
      <c r="J98"/>
      <c r="K98"/>
      <c r="L98" s="344">
        <f ca="1">PO!K289</f>
        <v>45604</v>
      </c>
      <c r="M98" s="344"/>
      <c r="N98" s="344"/>
      <c r="O98" s="1"/>
      <c r="P98" s="1"/>
      <c r="Q98" s="1"/>
      <c r="R98" s="1"/>
      <c r="S98" s="1"/>
      <c r="T98" s="1"/>
      <c r="U98" s="1"/>
      <c r="V98" s="1"/>
      <c r="W98" s="1"/>
      <c r="X98" s="160"/>
      <c r="AC98" s="1"/>
    </row>
    <row r="99" spans="1:29" x14ac:dyDescent="0.2">
      <c r="A99"/>
      <c r="B99"/>
      <c r="C99"/>
      <c r="D99"/>
      <c r="E99"/>
      <c r="F99"/>
      <c r="G99"/>
      <c r="H99"/>
      <c r="I99"/>
      <c r="J99"/>
      <c r="K99"/>
      <c r="L99" s="161" t="s">
        <v>121</v>
      </c>
      <c r="M99" s="68"/>
      <c r="N99" s="68"/>
      <c r="O99" s="1"/>
      <c r="P99" s="1"/>
      <c r="Q99" s="1"/>
      <c r="R99" s="1"/>
      <c r="S99" s="1"/>
      <c r="T99" s="1"/>
      <c r="U99" s="1"/>
      <c r="V99" s="1"/>
      <c r="W99" s="1"/>
      <c r="X99" s="160"/>
      <c r="AC99" s="1"/>
    </row>
    <row r="100" spans="1:29" x14ac:dyDescent="0.2">
      <c r="A100"/>
      <c r="B100"/>
      <c r="C100"/>
      <c r="D100"/>
      <c r="E100"/>
      <c r="F100"/>
      <c r="G100"/>
      <c r="H100"/>
      <c r="I100"/>
      <c r="J100"/>
      <c r="K100"/>
      <c r="L100" s="1"/>
      <c r="M100" s="1"/>
      <c r="N100" s="1"/>
      <c r="O100" s="1"/>
      <c r="P100" s="1"/>
      <c r="Q100" s="1"/>
      <c r="R100" s="1"/>
      <c r="S100" s="1"/>
      <c r="T100" s="1"/>
      <c r="U100" s="1"/>
      <c r="V100" s="1"/>
      <c r="W100" s="1"/>
      <c r="X100" s="160"/>
      <c r="AC100" s="1"/>
    </row>
    <row r="101" spans="1:29" x14ac:dyDescent="0.2">
      <c r="A101"/>
      <c r="B101"/>
      <c r="C101"/>
      <c r="D101"/>
      <c r="E101"/>
      <c r="F101"/>
      <c r="G101"/>
      <c r="H101"/>
      <c r="I101"/>
      <c r="J101"/>
      <c r="K101"/>
      <c r="L101" s="1"/>
      <c r="M101" s="1"/>
      <c r="N101" s="4"/>
      <c r="O101" s="1"/>
      <c r="P101" s="1"/>
      <c r="Q101" s="1"/>
      <c r="R101" s="1"/>
      <c r="S101" s="1"/>
      <c r="T101" s="1"/>
      <c r="U101" s="1"/>
      <c r="V101" s="1"/>
      <c r="W101" s="1"/>
      <c r="X101" s="157"/>
      <c r="AC101" s="1"/>
    </row>
    <row r="102" spans="1:29" x14ac:dyDescent="0.2">
      <c r="A102"/>
      <c r="B102"/>
      <c r="C102"/>
      <c r="D102"/>
      <c r="E102"/>
      <c r="F102"/>
      <c r="G102"/>
      <c r="H102"/>
      <c r="I102"/>
      <c r="J102"/>
      <c r="K102"/>
      <c r="L102" s="1"/>
      <c r="M102" s="1"/>
      <c r="N102" s="4"/>
      <c r="O102" s="1"/>
      <c r="P102" s="1"/>
      <c r="Q102" s="1"/>
      <c r="R102" s="1"/>
      <c r="S102" s="1"/>
      <c r="T102" s="1"/>
      <c r="U102" s="1"/>
      <c r="V102" s="1"/>
      <c r="W102" s="1"/>
      <c r="X102" s="157"/>
      <c r="AC102" s="1"/>
    </row>
    <row r="103" spans="1:29" x14ac:dyDescent="0.2">
      <c r="A103"/>
      <c r="B103"/>
      <c r="C103"/>
      <c r="D103"/>
      <c r="E103"/>
      <c r="F103"/>
      <c r="G103"/>
      <c r="H103"/>
      <c r="I103"/>
      <c r="J103"/>
      <c r="K103"/>
      <c r="L103" s="1"/>
      <c r="M103" s="1"/>
      <c r="N103" s="4"/>
      <c r="O103" s="1"/>
      <c r="P103" s="1"/>
      <c r="Q103" s="1"/>
      <c r="R103" s="1"/>
      <c r="S103" s="1"/>
      <c r="T103" s="1"/>
      <c r="U103" s="1"/>
      <c r="V103" s="1"/>
      <c r="W103" s="1"/>
      <c r="X103" s="157"/>
      <c r="AC103" s="1"/>
    </row>
  </sheetData>
  <sheetProtection algorithmName="SHA-512" hashValue="3h/SOulPk0DAP8hizYaBSscEGBVBpgsiYs1wBjgAlnPPRe4sz/DMZzIf7L11pC6BFR9bESVYUvrA9X9bcxbs8Q==" saltValue="yPVDa8YrJAp7+0eB0wxTvg==" spinCount="100000" sheet="1" objects="1" scenarios="1"/>
  <mergeCells count="88">
    <mergeCell ref="L90:L92"/>
    <mergeCell ref="M90:M92"/>
    <mergeCell ref="N90:N92"/>
    <mergeCell ref="L84:L86"/>
    <mergeCell ref="M84:M86"/>
    <mergeCell ref="N84:N86"/>
    <mergeCell ref="L87:L89"/>
    <mergeCell ref="M87:M89"/>
    <mergeCell ref="N87:N89"/>
    <mergeCell ref="L78:L80"/>
    <mergeCell ref="M78:M80"/>
    <mergeCell ref="N78:N80"/>
    <mergeCell ref="L81:L83"/>
    <mergeCell ref="M81:M83"/>
    <mergeCell ref="N81:N83"/>
    <mergeCell ref="L75:L77"/>
    <mergeCell ref="M75:M77"/>
    <mergeCell ref="N75:N77"/>
    <mergeCell ref="L69:L71"/>
    <mergeCell ref="M69:M71"/>
    <mergeCell ref="N69:N71"/>
    <mergeCell ref="L72:L74"/>
    <mergeCell ref="M72:M74"/>
    <mergeCell ref="N72:N74"/>
    <mergeCell ref="L63:L65"/>
    <mergeCell ref="M63:M65"/>
    <mergeCell ref="N63:N65"/>
    <mergeCell ref="L66:L68"/>
    <mergeCell ref="M66:M68"/>
    <mergeCell ref="N66:N68"/>
    <mergeCell ref="L57:L59"/>
    <mergeCell ref="M57:M59"/>
    <mergeCell ref="N57:N59"/>
    <mergeCell ref="L60:L62"/>
    <mergeCell ref="M60:M62"/>
    <mergeCell ref="N60:N62"/>
    <mergeCell ref="L51:L53"/>
    <mergeCell ref="M51:M53"/>
    <mergeCell ref="N51:N53"/>
    <mergeCell ref="L54:L56"/>
    <mergeCell ref="M54:M56"/>
    <mergeCell ref="N54:N56"/>
    <mergeCell ref="L45:L47"/>
    <mergeCell ref="M45:M47"/>
    <mergeCell ref="N45:N47"/>
    <mergeCell ref="L48:L50"/>
    <mergeCell ref="M48:M50"/>
    <mergeCell ref="N48:N50"/>
    <mergeCell ref="L98:N98"/>
    <mergeCell ref="L11:L13"/>
    <mergeCell ref="M11:M13"/>
    <mergeCell ref="L14:M17"/>
    <mergeCell ref="N14:N17"/>
    <mergeCell ref="L18:L20"/>
    <mergeCell ref="L27:L29"/>
    <mergeCell ref="M27:M29"/>
    <mergeCell ref="N27:N29"/>
    <mergeCell ref="L30:L32"/>
    <mergeCell ref="M30:M32"/>
    <mergeCell ref="N30:N32"/>
    <mergeCell ref="L33:L35"/>
    <mergeCell ref="M33:M35"/>
    <mergeCell ref="N33:N35"/>
    <mergeCell ref="L36:L38"/>
    <mergeCell ref="L8:M8"/>
    <mergeCell ref="N11:N13"/>
    <mergeCell ref="M18:M20"/>
    <mergeCell ref="N18:N20"/>
    <mergeCell ref="Q97:S97"/>
    <mergeCell ref="M97:N97"/>
    <mergeCell ref="Q96:S96"/>
    <mergeCell ref="Q95:S95"/>
    <mergeCell ref="L95:N95"/>
    <mergeCell ref="M96:N96"/>
    <mergeCell ref="L21:L23"/>
    <mergeCell ref="M21:M23"/>
    <mergeCell ref="N21:N23"/>
    <mergeCell ref="L24:L26"/>
    <mergeCell ref="M24:M26"/>
    <mergeCell ref="N24:N26"/>
    <mergeCell ref="L42:L44"/>
    <mergeCell ref="M42:M44"/>
    <mergeCell ref="N42:N44"/>
    <mergeCell ref="M36:M38"/>
    <mergeCell ref="N36:N38"/>
    <mergeCell ref="L39:L41"/>
    <mergeCell ref="M39:M41"/>
    <mergeCell ref="N39:N41"/>
  </mergeCells>
  <phoneticPr fontId="20" type="noConversion"/>
  <conditionalFormatting sqref="L11:N11 L12:M13 L18:N18">
    <cfRule type="expression" dxfId="118" priority="1069" stopIfTrue="1">
      <formula>$C13=1</formula>
    </cfRule>
  </conditionalFormatting>
  <conditionalFormatting sqref="O11 O18">
    <cfRule type="expression" dxfId="117" priority="1141" stopIfTrue="1">
      <formula>$B13=FALSE</formula>
    </cfRule>
    <cfRule type="expression" dxfId="116" priority="1142" stopIfTrue="1">
      <formula>$C13=1</formula>
    </cfRule>
  </conditionalFormatting>
  <conditionalFormatting sqref="P12:W12">
    <cfRule type="expression" dxfId="115" priority="1131" stopIfTrue="1">
      <formula>AND(ISNUMBER(O13),O13&gt;=$N11)</formula>
    </cfRule>
    <cfRule type="cellIs" dxfId="114" priority="1132" stopIfTrue="1" operator="notBetween">
      <formula>0</formula>
      <formula>1</formula>
    </cfRule>
  </conditionalFormatting>
  <conditionalFormatting sqref="P13:W13">
    <cfRule type="expression" dxfId="113" priority="1133" stopIfTrue="1">
      <formula>AND(ISNUMBER(O13),O13&gt;=$N11)</formula>
    </cfRule>
    <cfRule type="cellIs" dxfId="112" priority="1134" stopIfTrue="1" operator="notBetween">
      <formula>0</formula>
      <formula>$N11</formula>
    </cfRule>
  </conditionalFormatting>
  <conditionalFormatting sqref="P14:W14">
    <cfRule type="expression" dxfId="111" priority="1135" stopIfTrue="1">
      <formula>AND(ISNUMBER(O17),O17&gt;=$N14)</formula>
    </cfRule>
  </conditionalFormatting>
  <conditionalFormatting sqref="P15:W15">
    <cfRule type="expression" dxfId="110" priority="1136" stopIfTrue="1">
      <formula>AND(ISNUMBER(O17),O17&gt;=$N14)</formula>
    </cfRule>
  </conditionalFormatting>
  <conditionalFormatting sqref="P16:W16">
    <cfRule type="expression" dxfId="109" priority="1137" stopIfTrue="1">
      <formula>AND(ISNUMBER(O17),O17&gt;=$N14)</formula>
    </cfRule>
    <cfRule type="cellIs" dxfId="108" priority="1138" stopIfTrue="1" operator="notBetween">
      <formula>0</formula>
      <formula>1</formula>
    </cfRule>
  </conditionalFormatting>
  <conditionalFormatting sqref="P17:W17">
    <cfRule type="expression" dxfId="107" priority="1139" stopIfTrue="1">
      <formula>AND(ISNUMBER(O17),O17&gt;=$N14)</formula>
    </cfRule>
    <cfRule type="cellIs" dxfId="106" priority="1140" stopIfTrue="1" operator="notBetween">
      <formula>0</formula>
      <formula>$N14</formula>
    </cfRule>
  </conditionalFormatting>
  <conditionalFormatting sqref="L8">
    <cfRule type="cellIs" dxfId="105" priority="1126" stopIfTrue="1" operator="notEqual">
      <formula>""</formula>
    </cfRule>
  </conditionalFormatting>
  <conditionalFormatting sqref="N9">
    <cfRule type="expression" dxfId="104" priority="1125" stopIfTrue="1">
      <formula>TipoOrçamento&lt;&gt;"REPROGRAMADOAC"</formula>
    </cfRule>
  </conditionalFormatting>
  <conditionalFormatting sqref="L19:M20">
    <cfRule type="expression" dxfId="103" priority="1960" stopIfTrue="1">
      <formula>#REF!=1</formula>
    </cfRule>
  </conditionalFormatting>
  <conditionalFormatting sqref="P11:W11">
    <cfRule type="expression" dxfId="102" priority="280" stopIfTrue="1">
      <formula>AND(ISNUMBER(O13),O13&gt;=$N11)</formula>
    </cfRule>
    <cfRule type="expression" dxfId="101" priority="281" stopIfTrue="1">
      <formula>$B13=FALSE</formula>
    </cfRule>
    <cfRule type="expression" dxfId="100" priority="282" stopIfTrue="1">
      <formula>$C13=1</formula>
    </cfRule>
  </conditionalFormatting>
  <conditionalFormatting sqref="P19:W19">
    <cfRule type="expression" dxfId="99" priority="231" stopIfTrue="1">
      <formula>AND(ISNUMBER(O20),O20&gt;=$N18)</formula>
    </cfRule>
    <cfRule type="cellIs" dxfId="98" priority="232" stopIfTrue="1" operator="notBetween">
      <formula>0</formula>
      <formula>1</formula>
    </cfRule>
  </conditionalFormatting>
  <conditionalFormatting sqref="P20:W20">
    <cfRule type="expression" dxfId="97" priority="233" stopIfTrue="1">
      <formula>AND(ISNUMBER(O20),O20&gt;=$N18)</formula>
    </cfRule>
    <cfRule type="cellIs" dxfId="96" priority="234" stopIfTrue="1" operator="notBetween">
      <formula>0</formula>
      <formula>$N18</formula>
    </cfRule>
  </conditionalFormatting>
  <conditionalFormatting sqref="O10:W10">
    <cfRule type="expression" dxfId="95" priority="203" stopIfTrue="1">
      <formula>1=1</formula>
    </cfRule>
  </conditionalFormatting>
  <conditionalFormatting sqref="P18:W18">
    <cfRule type="expression" dxfId="94" priority="158" stopIfTrue="1">
      <formula>AND(ISNUMBER(O20),O20&gt;=$N18)</formula>
    </cfRule>
    <cfRule type="expression" dxfId="93" priority="159" stopIfTrue="1">
      <formula>$B20=FALSE</formula>
    </cfRule>
    <cfRule type="expression" dxfId="92" priority="160" stopIfTrue="1">
      <formula>$C20=1</formula>
    </cfRule>
  </conditionalFormatting>
  <conditionalFormatting sqref="AC18">
    <cfRule type="expression" dxfId="91" priority="78" stopIfTrue="1">
      <formula>AND(ISNUMBER(AB20),AB20&gt;=$N18)</formula>
    </cfRule>
    <cfRule type="expression" dxfId="90" priority="79" stopIfTrue="1">
      <formula>$B20=FALSE</formula>
    </cfRule>
    <cfRule type="expression" dxfId="89" priority="80" stopIfTrue="1">
      <formula>$C20=1</formula>
    </cfRule>
  </conditionalFormatting>
  <conditionalFormatting sqref="AC12">
    <cfRule type="expression" dxfId="88" priority="93" stopIfTrue="1">
      <formula>AND(ISNUMBER(AB13),AB13&gt;=$N11)</formula>
    </cfRule>
    <cfRule type="cellIs" dxfId="87" priority="94" stopIfTrue="1" operator="notBetween">
      <formula>0</formula>
      <formula>1</formula>
    </cfRule>
  </conditionalFormatting>
  <conditionalFormatting sqref="AC13">
    <cfRule type="expression" dxfId="86" priority="95" stopIfTrue="1">
      <formula>AND(ISNUMBER(AB13),AB13&gt;=$N11)</formula>
    </cfRule>
    <cfRule type="cellIs" dxfId="85" priority="96" stopIfTrue="1" operator="notBetween">
      <formula>0</formula>
      <formula>$N11</formula>
    </cfRule>
  </conditionalFormatting>
  <conditionalFormatting sqref="AC14">
    <cfRule type="expression" dxfId="84" priority="97" stopIfTrue="1">
      <formula>AND(ISNUMBER(AB17),AB17&gt;=$N14)</formula>
    </cfRule>
  </conditionalFormatting>
  <conditionalFormatting sqref="AC15">
    <cfRule type="expression" dxfId="83" priority="98" stopIfTrue="1">
      <formula>AND(ISNUMBER(AB17),AB17&gt;=$N14)</formula>
    </cfRule>
  </conditionalFormatting>
  <conditionalFormatting sqref="AC16">
    <cfRule type="expression" dxfId="82" priority="99" stopIfTrue="1">
      <formula>AND(ISNUMBER(AB17),AB17&gt;=$N14)</formula>
    </cfRule>
    <cfRule type="cellIs" dxfId="81" priority="100" stopIfTrue="1" operator="notBetween">
      <formula>0</formula>
      <formula>1</formula>
    </cfRule>
  </conditionalFormatting>
  <conditionalFormatting sqref="AC17">
    <cfRule type="expression" dxfId="80" priority="101" stopIfTrue="1">
      <formula>AND(ISNUMBER(AB17),AB17&gt;=$N14)</formula>
    </cfRule>
    <cfRule type="cellIs" dxfId="79" priority="102" stopIfTrue="1" operator="notBetween">
      <formula>0</formula>
      <formula>$N14</formula>
    </cfRule>
  </conditionalFormatting>
  <conditionalFormatting sqref="AC11">
    <cfRule type="expression" dxfId="78" priority="90" stopIfTrue="1">
      <formula>AND(ISNUMBER(AB13),AB13&gt;=$N11)</formula>
    </cfRule>
    <cfRule type="expression" dxfId="77" priority="91" stopIfTrue="1">
      <formula>$B13=FALSE</formula>
    </cfRule>
    <cfRule type="expression" dxfId="76" priority="92" stopIfTrue="1">
      <formula>$C13=1</formula>
    </cfRule>
  </conditionalFormatting>
  <conditionalFormatting sqref="AC19">
    <cfRule type="expression" dxfId="75" priority="86" stopIfTrue="1">
      <formula>AND(ISNUMBER(AB20),AB20&gt;=$N18)</formula>
    </cfRule>
    <cfRule type="cellIs" dxfId="74" priority="87" stopIfTrue="1" operator="notBetween">
      <formula>0</formula>
      <formula>1</formula>
    </cfRule>
  </conditionalFormatting>
  <conditionalFormatting sqref="AC20">
    <cfRule type="expression" dxfId="73" priority="88" stopIfTrue="1">
      <formula>AND(ISNUMBER(AB20),AB20&gt;=$N18)</formula>
    </cfRule>
    <cfRule type="cellIs" dxfId="72" priority="89" stopIfTrue="1" operator="notBetween">
      <formula>0</formula>
      <formula>$N18</formula>
    </cfRule>
  </conditionalFormatting>
  <conditionalFormatting sqref="AC10">
    <cfRule type="expression" dxfId="71" priority="81" stopIfTrue="1">
      <formula>1=1</formula>
    </cfRule>
  </conditionalFormatting>
  <conditionalFormatting sqref="L21:N21 L24:N24 L27:N27 L30:N30 L33:N33 L36:N36 L39:N39 L22:M23 L25:M26 L28:M29 L31:M32 L34:M35 L37:M38">
    <cfRule type="expression" dxfId="70" priority="62" stopIfTrue="1">
      <formula>$C23=1</formula>
    </cfRule>
  </conditionalFormatting>
  <conditionalFormatting sqref="O21 O24 O27 O30 O33 O36 O39">
    <cfRule type="expression" dxfId="69" priority="67" stopIfTrue="1">
      <formula>$B23=FALSE</formula>
    </cfRule>
    <cfRule type="expression" dxfId="68" priority="68" stopIfTrue="1">
      <formula>$C23=1</formula>
    </cfRule>
  </conditionalFormatting>
  <conditionalFormatting sqref="P22:W22 P25:W25 P28:W28 P31:W31 P34:W34 P37:W37 P40:W40">
    <cfRule type="expression" dxfId="67" priority="63" stopIfTrue="1">
      <formula>AND(ISNUMBER(O23),O23&gt;=$N21)</formula>
    </cfRule>
    <cfRule type="cellIs" dxfId="66" priority="64" stopIfTrue="1" operator="notBetween">
      <formula>0</formula>
      <formula>1</formula>
    </cfRule>
  </conditionalFormatting>
  <conditionalFormatting sqref="P23:W23 P26:W26 P29:W29 P32:W32 P35:W35 P38:W38 P41:W41">
    <cfRule type="expression" dxfId="65" priority="65" stopIfTrue="1">
      <formula>AND(ISNUMBER(O23),O23&gt;=$N21)</formula>
    </cfRule>
    <cfRule type="cellIs" dxfId="64" priority="66" stopIfTrue="1" operator="notBetween">
      <formula>0</formula>
      <formula>$N21</formula>
    </cfRule>
  </conditionalFormatting>
  <conditionalFormatting sqref="P21:W21 P24:W24 P27:W27 P30:W30 P33:W33 P36:W36 P39:W39">
    <cfRule type="expression" dxfId="63" priority="59" stopIfTrue="1">
      <formula>AND(ISNUMBER(O23),O23&gt;=$N21)</formula>
    </cfRule>
    <cfRule type="expression" dxfId="62" priority="60" stopIfTrue="1">
      <formula>$B23=FALSE</formula>
    </cfRule>
    <cfRule type="expression" dxfId="61" priority="61" stopIfTrue="1">
      <formula>$C23=1</formula>
    </cfRule>
  </conditionalFormatting>
  <conditionalFormatting sqref="AC22 AC25 AC28 AC31 AC34 AC37 AC40">
    <cfRule type="expression" dxfId="60" priority="55" stopIfTrue="1">
      <formula>AND(ISNUMBER(AB23),AB23&gt;=$N21)</formula>
    </cfRule>
    <cfRule type="cellIs" dxfId="59" priority="56" stopIfTrue="1" operator="notBetween">
      <formula>0</formula>
      <formula>1</formula>
    </cfRule>
  </conditionalFormatting>
  <conditionalFormatting sqref="AC23 AC26 AC29 AC32 AC35 AC38 AC41">
    <cfRule type="expression" dxfId="58" priority="57" stopIfTrue="1">
      <formula>AND(ISNUMBER(AB23),AB23&gt;=$N21)</formula>
    </cfRule>
    <cfRule type="cellIs" dxfId="57" priority="58" stopIfTrue="1" operator="notBetween">
      <formula>0</formula>
      <formula>$N21</formula>
    </cfRule>
  </conditionalFormatting>
  <conditionalFormatting sqref="AC21 AC24 AC27 AC30 AC33 AC36 AC39">
    <cfRule type="expression" dxfId="56" priority="52" stopIfTrue="1">
      <formula>AND(ISNUMBER(AB23),AB23&gt;=$N21)</formula>
    </cfRule>
    <cfRule type="expression" dxfId="55" priority="53" stopIfTrue="1">
      <formula>$B23=FALSE</formula>
    </cfRule>
    <cfRule type="expression" dxfId="54" priority="54" stopIfTrue="1">
      <formula>$C23=1</formula>
    </cfRule>
  </conditionalFormatting>
  <conditionalFormatting sqref="L40:M41">
    <cfRule type="expression" dxfId="53" priority="2724" stopIfTrue="1">
      <formula>#REF!=1</formula>
    </cfRule>
  </conditionalFormatting>
  <conditionalFormatting sqref="L42:N42">
    <cfRule type="expression" dxfId="52" priority="45" stopIfTrue="1">
      <formula>$C44=1</formula>
    </cfRule>
  </conditionalFormatting>
  <conditionalFormatting sqref="O42">
    <cfRule type="expression" dxfId="51" priority="50" stopIfTrue="1">
      <formula>$B44=FALSE</formula>
    </cfRule>
    <cfRule type="expression" dxfId="50" priority="51" stopIfTrue="1">
      <formula>$C44=1</formula>
    </cfRule>
  </conditionalFormatting>
  <conditionalFormatting sqref="P43:W43">
    <cfRule type="expression" dxfId="49" priority="46" stopIfTrue="1">
      <formula>AND(ISNUMBER(O44),O44&gt;=$N42)</formula>
    </cfRule>
    <cfRule type="cellIs" dxfId="48" priority="47" stopIfTrue="1" operator="notBetween">
      <formula>0</formula>
      <formula>1</formula>
    </cfRule>
  </conditionalFormatting>
  <conditionalFormatting sqref="P44:W44">
    <cfRule type="expression" dxfId="47" priority="48" stopIfTrue="1">
      <formula>AND(ISNUMBER(O44),O44&gt;=$N42)</formula>
    </cfRule>
    <cfRule type="cellIs" dxfId="46" priority="49" stopIfTrue="1" operator="notBetween">
      <formula>0</formula>
      <formula>$N42</formula>
    </cfRule>
  </conditionalFormatting>
  <conditionalFormatting sqref="P42:W42">
    <cfRule type="expression" dxfId="45" priority="42" stopIfTrue="1">
      <formula>AND(ISNUMBER(O44),O44&gt;=$N42)</formula>
    </cfRule>
    <cfRule type="expression" dxfId="44" priority="43" stopIfTrue="1">
      <formula>$B44=FALSE</formula>
    </cfRule>
    <cfRule type="expression" dxfId="43" priority="44" stopIfTrue="1">
      <formula>$C44=1</formula>
    </cfRule>
  </conditionalFormatting>
  <conditionalFormatting sqref="AC43">
    <cfRule type="expression" dxfId="42" priority="38" stopIfTrue="1">
      <formula>AND(ISNUMBER(AB44),AB44&gt;=$N42)</formula>
    </cfRule>
    <cfRule type="cellIs" dxfId="41" priority="39" stopIfTrue="1" operator="notBetween">
      <formula>0</formula>
      <formula>1</formula>
    </cfRule>
  </conditionalFormatting>
  <conditionalFormatting sqref="AC44">
    <cfRule type="expression" dxfId="40" priority="40" stopIfTrue="1">
      <formula>AND(ISNUMBER(AB44),AB44&gt;=$N42)</formula>
    </cfRule>
    <cfRule type="cellIs" dxfId="39" priority="41" stopIfTrue="1" operator="notBetween">
      <formula>0</formula>
      <formula>$N42</formula>
    </cfRule>
  </conditionalFormatting>
  <conditionalFormatting sqref="AC42">
    <cfRule type="expression" dxfId="38" priority="35" stopIfTrue="1">
      <formula>AND(ISNUMBER(AB44),AB44&gt;=$N42)</formula>
    </cfRule>
    <cfRule type="expression" dxfId="37" priority="36" stopIfTrue="1">
      <formula>$B44=FALSE</formula>
    </cfRule>
    <cfRule type="expression" dxfId="36" priority="37" stopIfTrue="1">
      <formula>$C44=1</formula>
    </cfRule>
  </conditionalFormatting>
  <conditionalFormatting sqref="L43:M44">
    <cfRule type="expression" dxfId="35" priority="4711" stopIfTrue="1">
      <formula>$C93=1</formula>
    </cfRule>
  </conditionalFormatting>
  <conditionalFormatting sqref="L45:N45 L48:N48 L51:N51 L54:N54 L57:N57 L60:N60 L63:N63 L66:N66 L69:N69 L72:N72 L75:N75 L46:M47 L49:M50 L52:M53 L55:M56 L58:M59 L61:M62 L64:M65 L67:M68 L70:M71 L73:M74">
    <cfRule type="expression" dxfId="34" priority="28" stopIfTrue="1">
      <formula>$C47=1</formula>
    </cfRule>
  </conditionalFormatting>
  <conditionalFormatting sqref="O45 O48 O51 O54 O57 O60 O63 O66 O69 O72 O75">
    <cfRule type="expression" dxfId="33" priority="33" stopIfTrue="1">
      <formula>$B47=FALSE</formula>
    </cfRule>
    <cfRule type="expression" dxfId="32" priority="34" stopIfTrue="1">
      <formula>$C47=1</formula>
    </cfRule>
  </conditionalFormatting>
  <conditionalFormatting sqref="P46:W46 P49:W49 P52:W52 P55:W55 P58:W58 P61:W61 P64:W64 P67:W67 P70:W70 P73:W73 P76:W76">
    <cfRule type="expression" dxfId="31" priority="29" stopIfTrue="1">
      <formula>AND(ISNUMBER(O47),O47&gt;=$N45)</formula>
    </cfRule>
    <cfRule type="cellIs" dxfId="30" priority="30" stopIfTrue="1" operator="notBetween">
      <formula>0</formula>
      <formula>1</formula>
    </cfRule>
  </conditionalFormatting>
  <conditionalFormatting sqref="P47:W47 P50:W50 P53:W53 P56:W56 P59:W59 P62:W62 P65:W65 P68:W68 P71:W71 P74:W74 P77:W77">
    <cfRule type="expression" dxfId="29" priority="31" stopIfTrue="1">
      <formula>AND(ISNUMBER(O47),O47&gt;=$N45)</formula>
    </cfRule>
    <cfRule type="cellIs" dxfId="28" priority="32" stopIfTrue="1" operator="notBetween">
      <formula>0</formula>
      <formula>$N45</formula>
    </cfRule>
  </conditionalFormatting>
  <conditionalFormatting sqref="P45:W45 P48:W48 P51:W51 P54:W54 P57:W57 P60:W60 P63:W63 P66:W66 P69:W69 P72:W72 P75:W75">
    <cfRule type="expression" dxfId="27" priority="25" stopIfTrue="1">
      <formula>AND(ISNUMBER(O47),O47&gt;=$N45)</formula>
    </cfRule>
    <cfRule type="expression" dxfId="26" priority="26" stopIfTrue="1">
      <formula>$B47=FALSE</formula>
    </cfRule>
    <cfRule type="expression" dxfId="25" priority="27" stopIfTrue="1">
      <formula>$C47=1</formula>
    </cfRule>
  </conditionalFormatting>
  <conditionalFormatting sqref="AC46 AC49 AC52 AC55 AC58 AC61 AC64 AC67 AC70 AC73 AC76">
    <cfRule type="expression" dxfId="24" priority="21" stopIfTrue="1">
      <formula>AND(ISNUMBER(AB47),AB47&gt;=$N45)</formula>
    </cfRule>
    <cfRule type="cellIs" dxfId="23" priority="22" stopIfTrue="1" operator="notBetween">
      <formula>0</formula>
      <formula>1</formula>
    </cfRule>
  </conditionalFormatting>
  <conditionalFormatting sqref="AC47 AC50 AC53 AC56 AC59 AC62 AC65 AC68 AC71 AC74 AC77">
    <cfRule type="expression" dxfId="22" priority="23" stopIfTrue="1">
      <formula>AND(ISNUMBER(AB47),AB47&gt;=$N45)</formula>
    </cfRule>
    <cfRule type="cellIs" dxfId="21" priority="24" stopIfTrue="1" operator="notBetween">
      <formula>0</formula>
      <formula>$N45</formula>
    </cfRule>
  </conditionalFormatting>
  <conditionalFormatting sqref="AC45 AC48 AC51 AC54 AC57 AC60 AC63 AC66 AC69 AC72 AC75">
    <cfRule type="expression" dxfId="20" priority="18" stopIfTrue="1">
      <formula>AND(ISNUMBER(AB47),AB47&gt;=$N45)</formula>
    </cfRule>
    <cfRule type="expression" dxfId="19" priority="19" stopIfTrue="1">
      <formula>$B47=FALSE</formula>
    </cfRule>
    <cfRule type="expression" dxfId="18" priority="20" stopIfTrue="1">
      <formula>$C47=1</formula>
    </cfRule>
  </conditionalFormatting>
  <conditionalFormatting sqref="L76:M77">
    <cfRule type="expression" dxfId="17" priority="4814" stopIfTrue="1">
      <formula>$C93=1</formula>
    </cfRule>
  </conditionalFormatting>
  <conditionalFormatting sqref="L78:N78 L81:N81 L84:N84 L87:N87 L90:N90 L79:M80 L82:M83 L85:M86 L88:M89 L91:M92">
    <cfRule type="expression" dxfId="16" priority="11" stopIfTrue="1">
      <formula>$C80=1</formula>
    </cfRule>
  </conditionalFormatting>
  <conditionalFormatting sqref="O78 O81 O84 O87 O90">
    <cfRule type="expression" dxfId="15" priority="16" stopIfTrue="1">
      <formula>$B80=FALSE</formula>
    </cfRule>
    <cfRule type="expression" dxfId="14" priority="17" stopIfTrue="1">
      <formula>$C80=1</formula>
    </cfRule>
  </conditionalFormatting>
  <conditionalFormatting sqref="P79:W79 P82:W82 P85:W85 P88:W88 P91:W91">
    <cfRule type="expression" dxfId="13" priority="12" stopIfTrue="1">
      <formula>AND(ISNUMBER(O80),O80&gt;=$N78)</formula>
    </cfRule>
    <cfRule type="cellIs" dxfId="12" priority="13" stopIfTrue="1" operator="notBetween">
      <formula>0</formula>
      <formula>1</formula>
    </cfRule>
  </conditionalFormatting>
  <conditionalFormatting sqref="P80:W80 P83:W83 P86:W86 P89:W89 P92:W92">
    <cfRule type="expression" dxfId="11" priority="14" stopIfTrue="1">
      <formula>AND(ISNUMBER(O80),O80&gt;=$N78)</formula>
    </cfRule>
    <cfRule type="cellIs" dxfId="10" priority="15" stopIfTrue="1" operator="notBetween">
      <formula>0</formula>
      <formula>$N78</formula>
    </cfRule>
  </conditionalFormatting>
  <conditionalFormatting sqref="P78:W78 P81:W81 P84:W84 P87:W87 P90:W90">
    <cfRule type="expression" dxfId="9" priority="8" stopIfTrue="1">
      <formula>AND(ISNUMBER(O80),O80&gt;=$N78)</formula>
    </cfRule>
    <cfRule type="expression" dxfId="8" priority="9" stopIfTrue="1">
      <formula>$B80=FALSE</formula>
    </cfRule>
    <cfRule type="expression" dxfId="7" priority="10" stopIfTrue="1">
      <formula>$C80=1</formula>
    </cfRule>
  </conditionalFormatting>
  <conditionalFormatting sqref="AC79 AC82 AC85 AC88 AC91">
    <cfRule type="expression" dxfId="6" priority="4" stopIfTrue="1">
      <formula>AND(ISNUMBER(AB80),AB80&gt;=$N78)</formula>
    </cfRule>
    <cfRule type="cellIs" dxfId="5" priority="5" stopIfTrue="1" operator="notBetween">
      <formula>0</formula>
      <formula>1</formula>
    </cfRule>
  </conditionalFormatting>
  <conditionalFormatting sqref="AC80 AC83 AC86 AC89 AC92">
    <cfRule type="expression" dxfId="4" priority="6" stopIfTrue="1">
      <formula>AND(ISNUMBER(AB80),AB80&gt;=$N78)</formula>
    </cfRule>
    <cfRule type="cellIs" dxfId="3" priority="7" stopIfTrue="1" operator="notBetween">
      <formula>0</formula>
      <formula>$N78</formula>
    </cfRule>
  </conditionalFormatting>
  <conditionalFormatting sqref="AC78 AC81 AC84 AC87 AC90">
    <cfRule type="expression" dxfId="2" priority="1" stopIfTrue="1">
      <formula>AND(ISNUMBER(AB80),AB80&gt;=$N78)</formula>
    </cfRule>
    <cfRule type="expression" dxfId="1" priority="2" stopIfTrue="1">
      <formula>$B80=FALSE</formula>
    </cfRule>
    <cfRule type="expression" dxfId="0" priority="3" stopIfTrue="1">
      <formula>$C80=1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xr:uid="{00000000-0002-0000-0500-000000000000}">
      <formula1>0</formula1>
    </dataValidation>
    <dataValidation type="decimal" allowBlank="1" showInputMessage="1" showErrorMessage="1" errorTitle="Erro de Dados" error="Digite valores maiores ou iguais à 0%. O % acumulado não deve ultrapassar 100%." sqref="P11:W11 P18:W18 AC11 AC18 P21:W21 P24:W24 P27:W27 P30:W30 P33:W33 P36:W36 P39:W39 AC21 AC24 AC27 AC30 AC33 AC36 AC39 P42:W42 AC42 P45:W45 P48:W48 P51:W51 P54:W54 P57:W57 P60:W60 P63:W63 P66:W66 P69:W69 P72:W72 P75:W75 AC45 AC48 AC51 AC54 AC57 AC60 AC63 AC66 AC69 AC72 AC75 P78:W78 P81:W81 P84:W84 P87:W87 P90:W90 AC78 AC81 AC84 AC87 AC90" xr:uid="{00000000-0002-0000-0500-000001000000}">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60</vt:i4>
      </vt:variant>
    </vt:vector>
  </HeadingPairs>
  <TitlesOfParts>
    <vt:vector size="66"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Jardel Konzen</dc:creator>
  <cp:lastModifiedBy>Jardel Konzen</cp:lastModifiedBy>
  <cp:lastPrinted>2024-11-08T19:06:36Z</cp:lastPrinted>
  <dcterms:created xsi:type="dcterms:W3CDTF">1998-03-27T18:43:07Z</dcterms:created>
  <dcterms:modified xsi:type="dcterms:W3CDTF">2024-11-08T19:07:48Z</dcterms:modified>
</cp:coreProperties>
</file>