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\Desktop\2023\Mormaço\"/>
    </mc:Choice>
  </mc:AlternateContent>
  <bookViews>
    <workbookView xWindow="0" yWindow="0" windowWidth="24000" windowHeight="9435" tabRatio="802"/>
  </bookViews>
  <sheets>
    <sheet name="Resumo" sheetId="19" r:id="rId1"/>
    <sheet name="1. Coleta Domiciliar" sheetId="2" r:id="rId2"/>
    <sheet name="2. Destino Final" sheetId="23" r:id="rId3"/>
    <sheet name="3.Encargos Sociais" sheetId="8" r:id="rId4"/>
    <sheet name="4.CAGED" sheetId="5" r:id="rId5"/>
    <sheet name="5.BDI" sheetId="4" r:id="rId6"/>
    <sheet name="5.1.BDI Aterro" sheetId="24" r:id="rId7"/>
    <sheet name="Ton" sheetId="10" r:id="rId8"/>
    <sheet name="Horários" sheetId="11" r:id="rId9"/>
    <sheet name="Roteiros" sheetId="21" r:id="rId10"/>
    <sheet name="6. Depreciação" sheetId="6" r:id="rId11"/>
    <sheet name="7.Remuneração de capital" sheetId="7" r:id="rId12"/>
    <sheet name="8. Dimensionamento" sheetId="9" r:id="rId13"/>
  </sheets>
  <definedNames>
    <definedName name="_LO25">#REF!</definedName>
    <definedName name="AbaDeprec">'6. Depreciação'!$A$1</definedName>
    <definedName name="AbaRemun" localSheetId="2">#REF!</definedName>
    <definedName name="AbaRemun" localSheetId="8">#REF!</definedName>
    <definedName name="AbaRemun" localSheetId="0">#REF!</definedName>
    <definedName name="AbaRemun" localSheetId="7">#REF!</definedName>
    <definedName name="AbaRemun">'7.Remuneração de capital'!$A$1</definedName>
    <definedName name="_xlnm.Print_Area" localSheetId="1">'1. Coleta Domiciliar'!$A$1:$F$320</definedName>
    <definedName name="_xlnm.Print_Area" localSheetId="2">'2. Destino Final'!$A$1:$F$39</definedName>
    <definedName name="_xlnm.Print_Area" localSheetId="3">'3.Encargos Sociais'!$A$1:$C$40</definedName>
    <definedName name="Horário" localSheetId="6">#REF!</definedName>
    <definedName name="Horário">#REF!</definedName>
    <definedName name="_xlnm.Print_Titles" localSheetId="1">'1. Coleta Domiciliar'!$1:$8</definedName>
    <definedName name="_xlnm.Print_Titles" localSheetId="2">'2. Destino Final'!#REF!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2" l="1"/>
  <c r="E288" i="2"/>
  <c r="E287" i="2"/>
  <c r="F289" i="2" s="1"/>
  <c r="E36" i="2" s="1"/>
  <c r="E286" i="2"/>
  <c r="D145" i="2"/>
  <c r="C31" i="23"/>
  <c r="C16" i="24"/>
  <c r="C21" i="24" s="1"/>
  <c r="F14" i="24"/>
  <c r="E14" i="24"/>
  <c r="D14" i="24"/>
  <c r="C20" i="23"/>
  <c r="E20" i="23"/>
  <c r="F21" i="23" s="1"/>
  <c r="F23" i="23" s="1"/>
  <c r="A12" i="23"/>
  <c r="A11" i="23"/>
  <c r="E11" i="23" l="1"/>
  <c r="F26" i="23"/>
  <c r="D31" i="23" l="1"/>
  <c r="E31" i="23" s="1"/>
  <c r="F32" i="23" s="1"/>
  <c r="F34" i="23" s="1"/>
  <c r="E12" i="23" s="1"/>
  <c r="E13" i="23" s="1"/>
  <c r="F11" i="23" s="1"/>
  <c r="F12" i="23" l="1"/>
  <c r="F13" i="23" s="1"/>
  <c r="F37" i="23"/>
  <c r="E38" i="23" l="1"/>
  <c r="C5" i="19"/>
  <c r="E7" i="10" l="1"/>
  <c r="J25" i="21" l="1"/>
  <c r="A25" i="2"/>
  <c r="C150" i="2"/>
  <c r="E150" i="2" l="1"/>
  <c r="D137" i="2"/>
  <c r="E125" i="2" l="1"/>
  <c r="E172" i="2"/>
  <c r="E171" i="2"/>
  <c r="E173" i="2"/>
  <c r="D185" i="2"/>
  <c r="D184" i="2"/>
  <c r="C184" i="2"/>
  <c r="D183" i="2"/>
  <c r="C183" i="2"/>
  <c r="D182" i="2"/>
  <c r="C182" i="2"/>
  <c r="D181" i="2"/>
  <c r="C181" i="2"/>
  <c r="D180" i="2"/>
  <c r="C180" i="2"/>
  <c r="J23" i="21" l="1"/>
  <c r="F26" i="11" l="1"/>
  <c r="F29" i="11" s="1"/>
  <c r="F31" i="11" s="1"/>
  <c r="F33" i="11" s="1"/>
  <c r="E103" i="2" s="1"/>
  <c r="E140" i="2" s="1"/>
  <c r="D44" i="21"/>
  <c r="D40" i="21"/>
  <c r="D25" i="21"/>
  <c r="D21" i="21"/>
  <c r="D248" i="2"/>
  <c r="A138" i="2"/>
  <c r="A145" i="2" s="1"/>
  <c r="C132" i="2"/>
  <c r="D27" i="21" l="1"/>
  <c r="J6" i="21" s="1"/>
  <c r="J9" i="21" s="1"/>
  <c r="J10" i="21" s="1"/>
  <c r="D46" i="21"/>
  <c r="J15" i="21" s="1"/>
  <c r="E139" i="2"/>
  <c r="J17" i="21" l="1"/>
  <c r="J18" i="21" s="1"/>
  <c r="D7" i="10"/>
  <c r="J27" i="21" l="1"/>
  <c r="B238" i="2"/>
  <c r="C242" i="2" s="1"/>
  <c r="C248" i="2" s="1"/>
  <c r="E248" i="2" s="1"/>
  <c r="E9" i="10"/>
  <c r="D9" i="10"/>
  <c r="H7" i="10" l="1"/>
  <c r="H9" i="10" l="1"/>
  <c r="F14" i="11"/>
  <c r="F17" i="11" s="1"/>
  <c r="F19" i="11" l="1"/>
  <c r="F21" i="11" s="1"/>
  <c r="B54" i="2" l="1"/>
  <c r="E175" i="2" s="1"/>
  <c r="E210" i="2"/>
  <c r="E226" i="2" s="1"/>
  <c r="E146" i="2"/>
  <c r="E187" i="2"/>
  <c r="E234" i="2" l="1"/>
  <c r="E297" i="2"/>
  <c r="C27" i="5" l="1"/>
  <c r="C231" i="2" l="1"/>
  <c r="C230" i="2"/>
  <c r="C232" i="2"/>
  <c r="A38" i="2" l="1"/>
  <c r="A37" i="2"/>
  <c r="A35" i="2"/>
  <c r="A27" i="2"/>
  <c r="A26" i="2"/>
  <c r="A17" i="2"/>
  <c r="C15" i="9" l="1"/>
  <c r="C16" i="9" l="1"/>
  <c r="C18" i="9"/>
  <c r="C200" i="2"/>
  <c r="C205" i="2"/>
  <c r="C23" i="9" l="1"/>
  <c r="C25" i="9" s="1"/>
  <c r="E47" i="2"/>
  <c r="E46" i="2"/>
  <c r="C186" i="2" s="1"/>
  <c r="E45" i="2"/>
  <c r="C138" i="2" s="1"/>
  <c r="E138" i="2" s="1"/>
  <c r="E44" i="2"/>
  <c r="E51" i="2"/>
  <c r="C137" i="2" l="1"/>
  <c r="C225" i="2"/>
  <c r="C220" i="2"/>
  <c r="D252" i="2"/>
  <c r="D250" i="2"/>
  <c r="D246" i="2"/>
  <c r="D244" i="2"/>
  <c r="E180" i="2" l="1"/>
  <c r="E163" i="2"/>
  <c r="E164" i="2"/>
  <c r="E165" i="2"/>
  <c r="E166" i="2"/>
  <c r="E167" i="2"/>
  <c r="E168" i="2"/>
  <c r="E169" i="2"/>
  <c r="E170" i="2"/>
  <c r="E162" i="2"/>
  <c r="D62" i="2" l="1"/>
  <c r="E62" i="2" s="1"/>
  <c r="D61" i="2"/>
  <c r="E61" i="2" s="1"/>
  <c r="D94" i="2"/>
  <c r="E94" i="2" s="1"/>
  <c r="C114" i="2"/>
  <c r="D63" i="2" l="1"/>
  <c r="E63" i="2" s="1"/>
  <c r="C117" i="2"/>
  <c r="D95" i="2"/>
  <c r="E95" i="2" s="1"/>
  <c r="D96" i="2" s="1"/>
  <c r="E96" i="2" s="1"/>
  <c r="C81" i="2"/>
  <c r="C78" i="2"/>
  <c r="C267" i="2" l="1"/>
  <c r="D109" i="2"/>
  <c r="A34" i="2"/>
  <c r="A33" i="2"/>
  <c r="A32" i="2"/>
  <c r="A31" i="2"/>
  <c r="A30" i="2"/>
  <c r="A29" i="2"/>
  <c r="A28" i="2"/>
  <c r="A24" i="2"/>
  <c r="A23" i="2"/>
  <c r="A22" i="2"/>
  <c r="A21" i="2"/>
  <c r="A20" i="2"/>
  <c r="A19" i="2"/>
  <c r="A18" i="2"/>
  <c r="C21" i="8"/>
  <c r="E88" i="2"/>
  <c r="E69" i="2"/>
  <c r="D214" i="2"/>
  <c r="C16" i="4"/>
  <c r="C21" i="4" s="1"/>
  <c r="F14" i="4"/>
  <c r="E14" i="4"/>
  <c r="D14" i="4"/>
  <c r="C18" i="8"/>
  <c r="C29" i="5"/>
  <c r="C120" i="2"/>
  <c r="C111" i="2"/>
  <c r="D114" i="2"/>
  <c r="E114" i="2" s="1"/>
  <c r="E92" i="2"/>
  <c r="C265" i="2"/>
  <c r="E265" i="2" s="1"/>
  <c r="C244" i="2"/>
  <c r="E244" i="2" s="1"/>
  <c r="D242" i="2"/>
  <c r="D253" i="2" s="1"/>
  <c r="E197" i="2"/>
  <c r="D219" i="2"/>
  <c r="C206" i="2"/>
  <c r="C201" i="2"/>
  <c r="C75" i="2"/>
  <c r="D73" i="2"/>
  <c r="C293" i="2"/>
  <c r="E295" i="2" s="1"/>
  <c r="D296" i="2" s="1"/>
  <c r="E296" i="2" s="1"/>
  <c r="C202" i="2"/>
  <c r="C219" i="2" s="1"/>
  <c r="C131" i="2"/>
  <c r="A44" i="2"/>
  <c r="A45" i="2"/>
  <c r="A46" i="2"/>
  <c r="A47" i="2"/>
  <c r="A51" i="2"/>
  <c r="E60" i="2"/>
  <c r="D131" i="2" s="1"/>
  <c r="C83" i="2"/>
  <c r="A137" i="2"/>
  <c r="A144" i="2" s="1"/>
  <c r="E181" i="2"/>
  <c r="E182" i="2"/>
  <c r="E183" i="2"/>
  <c r="E184" i="2"/>
  <c r="E185" i="2"/>
  <c r="E263" i="2"/>
  <c r="E232" i="2"/>
  <c r="E231" i="2"/>
  <c r="E276" i="2"/>
  <c r="E277" i="2"/>
  <c r="E278" i="2"/>
  <c r="D98" i="2"/>
  <c r="E98" i="2" s="1"/>
  <c r="D132" i="2" l="1"/>
  <c r="F152" i="2"/>
  <c r="E25" i="2" s="1"/>
  <c r="C305" i="2"/>
  <c r="C31" i="5"/>
  <c r="C32" i="5" s="1"/>
  <c r="C30" i="5"/>
  <c r="C32" i="8" s="1"/>
  <c r="D200" i="2"/>
  <c r="E200" i="2" s="1"/>
  <c r="D81" i="2"/>
  <c r="E81" i="2" s="1"/>
  <c r="D76" i="2"/>
  <c r="E76" i="2" s="1"/>
  <c r="E108" i="2"/>
  <c r="D112" i="2"/>
  <c r="E112" i="2" s="1"/>
  <c r="D115" i="2"/>
  <c r="E115" i="2" s="1"/>
  <c r="D117" i="2"/>
  <c r="E117" i="2" s="1"/>
  <c r="D111" i="2"/>
  <c r="E111" i="2" s="1"/>
  <c r="D79" i="2"/>
  <c r="E79" i="2" s="1"/>
  <c r="D78" i="2"/>
  <c r="E78" i="2" s="1"/>
  <c r="C250" i="2"/>
  <c r="E250" i="2" s="1"/>
  <c r="D75" i="2"/>
  <c r="E75" i="2" s="1"/>
  <c r="C252" i="2"/>
  <c r="E252" i="2" s="1"/>
  <c r="F279" i="2"/>
  <c r="F281" i="2" s="1"/>
  <c r="E35" i="2" s="1"/>
  <c r="E242" i="2"/>
  <c r="E73" i="2"/>
  <c r="E202" i="2"/>
  <c r="C221" i="2" s="1"/>
  <c r="D174" i="2"/>
  <c r="E137" i="2"/>
  <c r="F140" i="2" s="1"/>
  <c r="C174" i="2"/>
  <c r="E48" i="2"/>
  <c r="C144" i="2"/>
  <c r="E144" i="2" s="1"/>
  <c r="E131" i="2"/>
  <c r="E219" i="2"/>
  <c r="E145" i="2"/>
  <c r="D64" i="2"/>
  <c r="E64" i="2" s="1"/>
  <c r="E65" i="2" s="1"/>
  <c r="D66" i="2" s="1"/>
  <c r="C246" i="2"/>
  <c r="E246" i="2" s="1"/>
  <c r="C258" i="2"/>
  <c r="E258" i="2" s="1"/>
  <c r="F259" i="2" s="1"/>
  <c r="E33" i="2" s="1"/>
  <c r="E293" i="2"/>
  <c r="D294" i="2" s="1"/>
  <c r="E294" i="2" s="1"/>
  <c r="F297" i="2" s="1"/>
  <c r="E214" i="2"/>
  <c r="D266" i="2"/>
  <c r="E266" i="2" s="1"/>
  <c r="D267" i="2" s="1"/>
  <c r="E267" i="2" s="1"/>
  <c r="F268" i="2" s="1"/>
  <c r="E34" i="2" s="1"/>
  <c r="E132" i="2"/>
  <c r="D186" i="2"/>
  <c r="E99" i="2"/>
  <c r="F299" i="2" l="1"/>
  <c r="E37" i="2" s="1"/>
  <c r="C37" i="5"/>
  <c r="C36" i="8" s="1"/>
  <c r="D201" i="2"/>
  <c r="E201" i="2" s="1"/>
  <c r="C216" i="2"/>
  <c r="C29" i="8"/>
  <c r="C20" i="8"/>
  <c r="C26" i="8" s="1"/>
  <c r="C35" i="8" s="1"/>
  <c r="D82" i="2"/>
  <c r="E82" i="2" s="1"/>
  <c r="D83" i="2" s="1"/>
  <c r="E83" i="2" s="1"/>
  <c r="D118" i="2"/>
  <c r="E118" i="2" s="1"/>
  <c r="D120" i="2" s="1"/>
  <c r="E120" i="2" s="1"/>
  <c r="E23" i="2"/>
  <c r="F146" i="2"/>
  <c r="E24" i="2" s="1"/>
  <c r="E186" i="2"/>
  <c r="F187" i="2" s="1"/>
  <c r="E174" i="2"/>
  <c r="F175" i="2" s="1"/>
  <c r="D205" i="2"/>
  <c r="E205" i="2" s="1"/>
  <c r="D206" i="2" s="1"/>
  <c r="E206" i="2" s="1"/>
  <c r="F133" i="2"/>
  <c r="E22" i="2" s="1"/>
  <c r="F254" i="2"/>
  <c r="E32" i="2" s="1"/>
  <c r="D100" i="2"/>
  <c r="C217" i="2" l="1"/>
  <c r="D218" i="2" s="1"/>
  <c r="E218" i="2" s="1"/>
  <c r="D230" i="2"/>
  <c r="E230" i="2" s="1"/>
  <c r="D233" i="2" s="1"/>
  <c r="E233" i="2" s="1"/>
  <c r="F234" i="2" s="1"/>
  <c r="E31" i="2" s="1"/>
  <c r="C30" i="8"/>
  <c r="C33" i="8" s="1"/>
  <c r="C37" i="8"/>
  <c r="E207" i="2"/>
  <c r="C222" i="2"/>
  <c r="D223" i="2" s="1"/>
  <c r="E223" i="2" s="1"/>
  <c r="F189" i="2"/>
  <c r="E26" i="2" s="1"/>
  <c r="E121" i="2"/>
  <c r="D122" i="2" s="1"/>
  <c r="E84" i="2"/>
  <c r="E208" i="2" l="1"/>
  <c r="D209" i="2" s="1"/>
  <c r="E209" i="2" s="1"/>
  <c r="F210" i="2" s="1"/>
  <c r="E29" i="2" s="1"/>
  <c r="E224" i="2"/>
  <c r="D225" i="2" s="1"/>
  <c r="E225" i="2" s="1"/>
  <c r="F226" i="2" s="1"/>
  <c r="C38" i="8"/>
  <c r="D85" i="2"/>
  <c r="F271" i="2" l="1"/>
  <c r="E27" i="2" s="1"/>
  <c r="E30" i="2"/>
  <c r="E28" i="2" s="1"/>
  <c r="C100" i="2"/>
  <c r="E100" i="2" s="1"/>
  <c r="E101" i="2" s="1"/>
  <c r="D102" i="2" s="1"/>
  <c r="E102" i="2" s="1"/>
  <c r="F103" i="2" s="1"/>
  <c r="E20" i="2" s="1"/>
  <c r="C85" i="2"/>
  <c r="E85" i="2" s="1"/>
  <c r="E86" i="2" s="1"/>
  <c r="D87" i="2" s="1"/>
  <c r="E87" i="2" s="1"/>
  <c r="F88" i="2" s="1"/>
  <c r="E19" i="2" s="1"/>
  <c r="C66" i="2"/>
  <c r="E66" i="2" s="1"/>
  <c r="E67" i="2" s="1"/>
  <c r="D68" i="2" s="1"/>
  <c r="E68" i="2" s="1"/>
  <c r="F69" i="2" s="1"/>
  <c r="E18" i="2" s="1"/>
  <c r="C122" i="2"/>
  <c r="E122" i="2" s="1"/>
  <c r="E123" i="2" s="1"/>
  <c r="D124" i="2" s="1"/>
  <c r="E124" i="2" s="1"/>
  <c r="F125" i="2" s="1"/>
  <c r="E21" i="2" l="1"/>
  <c r="F155" i="2"/>
  <c r="F301" i="2" s="1"/>
  <c r="E17" i="2" l="1"/>
  <c r="D305" i="2"/>
  <c r="E305" i="2" s="1"/>
  <c r="F306" i="2" s="1"/>
  <c r="F308" i="2" s="1"/>
  <c r="E38" i="2" s="1"/>
  <c r="E39" i="2" l="1"/>
  <c r="F36" i="2" s="1"/>
  <c r="F311" i="2"/>
  <c r="C4" i="19" s="1"/>
  <c r="F25" i="2" l="1"/>
  <c r="F17" i="2"/>
  <c r="F37" i="2"/>
  <c r="F316" i="2"/>
  <c r="F19" i="2"/>
  <c r="F26" i="2"/>
  <c r="F18" i="2"/>
  <c r="F24" i="2"/>
  <c r="F21" i="2"/>
  <c r="F27" i="2"/>
  <c r="F34" i="2"/>
  <c r="F33" i="2"/>
  <c r="F20" i="2"/>
  <c r="F28" i="2"/>
  <c r="F29" i="2"/>
  <c r="F30" i="2"/>
  <c r="F23" i="2"/>
  <c r="F31" i="2"/>
  <c r="F22" i="2"/>
  <c r="F35" i="2"/>
  <c r="F32" i="2"/>
  <c r="F38" i="2"/>
  <c r="F39" i="2" l="1"/>
  <c r="C7" i="19"/>
</calcChain>
</file>

<file path=xl/comments1.xml><?xml version="1.0" encoding="utf-8"?>
<comments xmlns="http://schemas.openxmlformats.org/spreadsheetml/2006/main">
  <authors>
    <author>Clauber Bridi</author>
  </authors>
  <commentList>
    <comment ref="A15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4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1" authorId="0" shapeId="0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2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3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6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4" authorId="0" shape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6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7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9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80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82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5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7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93" authorId="0" shapeId="0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4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5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6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7" authorId="0" shape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8" authorId="0" shape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00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02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10" authorId="0" shape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12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15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16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18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9" authorId="0" shape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22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9" authorId="0" shapeId="0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30" authorId="0" shapeId="0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31" authorId="0" shapeId="0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32" authorId="0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7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8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9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4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97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98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99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200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2" authorId="0" shapeId="0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203" authorId="0" shapeId="0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204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205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9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15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1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32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38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41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41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43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43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45" authorId="0" shapeId="0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45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47" authorId="0" shapeId="0">
      <text>
        <r>
          <rPr>
            <sz val="9"/>
            <color indexed="81"/>
            <rFont val="Tahoma"/>
            <family val="2"/>
          </rPr>
          <t>Informar o consumo de Arla a cada 1000km</t>
        </r>
      </text>
    </comment>
    <comment ref="D247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49" authorId="0" shape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49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51" authorId="0" shapeId="0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51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58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63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63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64" authorId="0" shapeId="0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65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66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as recapagens, em km
</t>
        </r>
      </text>
    </comment>
    <comment ref="C27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91" authorId="0" shapeId="0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3" authorId="0" shapeId="0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95" authorId="0" shapeId="0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305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314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>
  <authors>
    <author>cbridi</author>
    <author>Clauber Bridi</author>
    <author>Omar</author>
  </authors>
  <commentList>
    <comment ref="C13" authorId="0" shapeId="0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4" authorId="1" shapeId="0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5" authorId="2" shapeId="0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7" authorId="0" shapeId="0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20" authorId="0" shapeId="0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1" authorId="0" shapeId="0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4" authorId="1" shapeId="0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<sst xmlns="http://schemas.openxmlformats.org/spreadsheetml/2006/main" count="919" uniqueCount="471">
  <si>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</si>
  <si>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</si>
  <si>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</si>
  <si>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</si>
  <si>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</si>
  <si>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</si>
  <si>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</si>
  <si>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</si>
  <si>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</si>
  <si>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</si>
  <si>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</si>
  <si>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</si>
  <si>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</si>
  <si>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</si>
  <si>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</si>
  <si>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</si>
  <si>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</si>
  <si>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</si>
  <si>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</si>
  <si>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</si>
  <si>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</si>
  <si>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</si>
  <si>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</si>
  <si>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</si>
  <si>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</si>
  <si>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</si>
  <si>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</si>
  <si>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</si>
  <si>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</si>
  <si>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</si>
  <si>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</si>
  <si>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</si>
  <si>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</si>
  <si>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</si>
  <si>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R$/tonelada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</si>
  <si>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</si>
  <si>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</si>
  <si>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</si>
  <si>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</si>
  <si>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</si>
  <si>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</si>
  <si>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</si>
  <si>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</si>
  <si>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</si>
  <si>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</si>
  <si>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</si>
  <si>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</si>
  <si>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</si>
  <si>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</si>
  <si>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</si>
  <si>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</si>
  <si>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</si>
  <si>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</si>
  <si>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</si>
  <si>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</si>
  <si>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</si>
  <si>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</si>
  <si>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</si>
  <si>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</si>
  <si>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cj</t>
  </si>
  <si>
    <t>Total de mão-de-obra (postos de trabalho)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</si>
  <si>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</si>
  <si>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</si>
  <si>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</si>
  <si>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</si>
  <si>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</si>
  <si>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</si>
  <si>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</si>
  <si>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</si>
  <si>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</si>
  <si>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</si>
  <si>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PREÇO POR TONELADA COLETADA:  [A/B]</t>
  </si>
  <si>
    <t>Custo de recapagem</t>
  </si>
  <si>
    <t>Recipiente térmico para água (5L)</t>
  </si>
  <si>
    <t>Total por Coletor</t>
  </si>
  <si>
    <t>Coletor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</si>
  <si>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</si>
  <si>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</si>
  <si>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</si>
  <si>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</si>
  <si>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</si>
  <si>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</si>
  <si>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</si>
  <si>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</si>
  <si>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</si>
  <si>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</si>
  <si>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</si>
  <si>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</si>
  <si>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</si>
  <si>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</si>
  <si>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</si>
  <si>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</si>
  <si>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</si>
  <si>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</si>
  <si>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</si>
  <si>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</si>
  <si>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</si>
  <si>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</si>
  <si>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</si>
  <si>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</si>
  <si>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1.3. Motorista Turno do Dia</t>
  </si>
  <si>
    <t>hora contabilizada</t>
  </si>
  <si>
    <t>1.5. Vale Transporte</t>
  </si>
  <si>
    <t>Vida útil do chassis</t>
  </si>
  <si>
    <t>anos</t>
  </si>
  <si>
    <t>Depreciação do chassis</t>
  </si>
  <si>
    <t>Custo de aquisição do chassis</t>
  </si>
  <si>
    <t>i = taxa de juros do mercado (sugere-se adotar a taxa SELIC)</t>
  </si>
  <si>
    <t>n = vida útil do bem em anos</t>
  </si>
  <si>
    <t>Custo do chassis</t>
  </si>
  <si>
    <t>3.1.2. Remuneração do Capital</t>
  </si>
  <si>
    <t>Im = investimento médio</t>
  </si>
  <si>
    <t>Investimento médio total do chassis</t>
  </si>
  <si>
    <t>Remuneração mensal de capital do chassis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</si>
  <si>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</si>
  <si>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</si>
  <si>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</si>
  <si>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</si>
  <si>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</si>
  <si>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</si>
  <si>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</si>
  <si>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</si>
  <si>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</si>
  <si>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</si>
  <si>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</si>
  <si>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</si>
  <si>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</si>
  <si>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</si>
  <si>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</si>
  <si>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</si>
  <si>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</si>
  <si>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</si>
  <si>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</si>
  <si>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</si>
  <si>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</si>
  <si>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</si>
  <si>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</si>
  <si>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</si>
  <si>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</si>
  <si>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</si>
  <si>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</si>
  <si>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</si>
  <si>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</si>
  <si>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</si>
  <si>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</si>
  <si>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</si>
  <si>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</si>
  <si>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</si>
  <si>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</si>
  <si>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</si>
  <si>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</si>
  <si>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</si>
  <si>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</si>
  <si>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</si>
  <si>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</si>
  <si>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</si>
  <si>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</si>
  <si>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</si>
  <si>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</si>
  <si>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</si>
  <si>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</si>
  <si>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</si>
  <si>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</si>
  <si>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</si>
  <si>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</si>
  <si>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</si>
  <si>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</si>
  <si>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</si>
  <si>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</si>
  <si>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</si>
  <si>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</si>
  <si>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</si>
  <si>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</si>
  <si>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</si>
  <si>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</si>
  <si>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</si>
  <si>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</si>
  <si>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</si>
  <si>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</si>
  <si>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</si>
  <si>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</si>
  <si>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</si>
  <si>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</si>
  <si>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</si>
  <si>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</si>
  <si>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</si>
  <si>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</si>
  <si>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</si>
  <si>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</si>
  <si>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</si>
  <si>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</si>
  <si>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</si>
  <si>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</si>
  <si>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</si>
  <si>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</si>
  <si>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</si>
  <si>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</si>
  <si>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</si>
  <si>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</si>
  <si>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</si>
  <si>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Rio Grande do Sul  - Coleta de Resíduos Não-Perigosos - CNAE 38114</t>
  </si>
  <si>
    <t xml:space="preserve">1. Acesse o Portal do CAGED no link http://bi.mte.gov.br/cagedestabelecimento/pages/consulta.xhtml 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</si>
  <si>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</si>
  <si>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</si>
  <si>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</si>
  <si>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Para preencher esta planilha siga os passos 1 a 5:</t>
  </si>
  <si>
    <t>Idade do veículo (ano)</t>
  </si>
  <si>
    <t>Idade do veículo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</si>
  <si>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</si>
  <si>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</si>
  <si>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</si>
  <si>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</si>
  <si>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</si>
  <si>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</si>
  <si>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</si>
  <si>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</si>
  <si>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</si>
  <si>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</si>
  <si>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Quantidade média de resíduos coletados por mês: </t>
  </si>
  <si>
    <t>Custo Mensal com Monitoramento da Frota (R$/mês)</t>
  </si>
  <si>
    <t>Implantação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</si>
  <si>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</si>
  <si>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</si>
  <si>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</si>
  <si>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</si>
  <si>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</si>
  <si>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</si>
  <si>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</si>
  <si>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</si>
  <si>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</si>
  <si>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</si>
  <si>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</si>
  <si>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</si>
  <si>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</si>
  <si>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</si>
  <si>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</si>
  <si>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</si>
  <si>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</si>
  <si>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</si>
  <si>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</si>
  <si>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6. Preencha as células em amarelo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</si>
  <si>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</si>
  <si>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</si>
  <si>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</si>
  <si>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</si>
  <si>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</si>
  <si>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</si>
  <si>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</si>
  <si>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</si>
  <si>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</si>
  <si>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</si>
  <si>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</si>
  <si>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</si>
  <si>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</si>
  <si>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2. Na Especificação da Consulta, selecione "Demonstrativo por período" e informe as competências relativas ao período Inicial e Final (últimos 12 meses)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</si>
  <si>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</si>
  <si>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</si>
  <si>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</si>
  <si>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</si>
  <si>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</si>
  <si>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</si>
  <si>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</si>
  <si>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</si>
  <si>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</si>
  <si>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</si>
  <si>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</si>
  <si>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</si>
  <si>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</si>
  <si>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</si>
  <si>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</si>
  <si>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</si>
  <si>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</si>
  <si>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</si>
  <si>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</si>
  <si>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</si>
  <si>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</si>
  <si>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</si>
  <si>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</si>
  <si>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</si>
  <si>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</si>
  <si>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</si>
  <si>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</si>
  <si>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</si>
  <si>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</si>
  <si>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</si>
  <si>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</si>
  <si>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</si>
  <si>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</si>
  <si>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</si>
  <si>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</si>
  <si>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</si>
  <si>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</si>
  <si>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</si>
  <si>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</si>
  <si>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</si>
  <si>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</si>
  <si>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</si>
  <si>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</si>
  <si>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</si>
  <si>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Estoque recuperado início do Período 01-03-2018</t>
  </si>
  <si>
    <t>Estoque recuperado final do Período 28-02-2019</t>
  </si>
  <si>
    <t>Variação Emprego Absoluta de 01-03-2018 a 28-02-2019</t>
  </si>
  <si>
    <t xml:space="preserve">O orçamento deve ser realizado por responsável técnico habilitado e é de </t>
  </si>
  <si>
    <t>responsabilidade do seu autor.</t>
  </si>
  <si>
    <t>realizada nos últimos 12 meses</t>
  </si>
  <si>
    <t xml:space="preserve"> todos os turnos de trabalho.</t>
  </si>
  <si>
    <t>Obs:</t>
  </si>
  <si>
    <t>&gt; Informar a população do município a ser atendida</t>
  </si>
  <si>
    <t xml:space="preserve">&gt; Caso o município possua informações de pesagem, ajustar com o valor da geração média per capita </t>
  </si>
  <si>
    <t>&gt; Informe o número de dias de coleta por semana</t>
  </si>
  <si>
    <t xml:space="preserve">&gt; Informar 1 para caminhão toco; Informar 2 para caminhão truck </t>
  </si>
  <si>
    <t>&gt; Informar a capacidade do compactador em m³</t>
  </si>
  <si>
    <t>&gt; Informar o número de percursos de coleta (cargas) que cada caminhão realiza por dia, considerando</t>
  </si>
  <si>
    <t xml:space="preserve">O orçamento deve ser realizado por responsável técnico habilitado e é </t>
  </si>
  <si>
    <t>de responsabilidade do seu autor.</t>
  </si>
  <si>
    <t xml:space="preserve">O orçamento deve ser realizado por responsável técnico habilitado e </t>
  </si>
  <si>
    <t>é de responsabilidade do seu autor.</t>
  </si>
  <si>
    <t>Valores R$</t>
  </si>
  <si>
    <t xml:space="preserve">Ordem </t>
  </si>
  <si>
    <t xml:space="preserve">Nr. Func. </t>
  </si>
  <si>
    <t xml:space="preserve">Cargo </t>
  </si>
  <si>
    <t xml:space="preserve">Dias </t>
  </si>
  <si>
    <t xml:space="preserve">Entrada </t>
  </si>
  <si>
    <t>Saída</t>
  </si>
  <si>
    <t>Total Horas</t>
  </si>
  <si>
    <t xml:space="preserve">Total de horas por coletor </t>
  </si>
  <si>
    <t xml:space="preserve">Total de dias por semana </t>
  </si>
  <si>
    <t xml:space="preserve">Total de horas por semana </t>
  </si>
  <si>
    <t xml:space="preserve">Dias úteis semana </t>
  </si>
  <si>
    <t>Total de dias com (DSR) Descanso Semanal Remunerado</t>
  </si>
  <si>
    <t>Total de horas/dia com (DSR)</t>
  </si>
  <si>
    <t xml:space="preserve">Total de dias no mês (30 dias) </t>
  </si>
  <si>
    <t>Total geral de horas mês com (DSR)</t>
  </si>
  <si>
    <t>Total geral de horas base mês com (DSR)</t>
  </si>
  <si>
    <t xml:space="preserve">Fator de utilização </t>
  </si>
  <si>
    <t>Planilha com os horários dos funcionários coleta de lixo orgânica e seletiva</t>
  </si>
  <si>
    <t>Distância</t>
  </si>
  <si>
    <t>Und.</t>
  </si>
  <si>
    <t>Cor Linha</t>
  </si>
  <si>
    <t>Ponto a Ponto</t>
  </si>
  <si>
    <t>m</t>
  </si>
  <si>
    <t>Trecho 01</t>
  </si>
  <si>
    <t>1 - 2</t>
  </si>
  <si>
    <t>Trecho 02</t>
  </si>
  <si>
    <t>2 - 3</t>
  </si>
  <si>
    <t>Trecho 03</t>
  </si>
  <si>
    <t>3 - 4</t>
  </si>
  <si>
    <t>Trecho 04</t>
  </si>
  <si>
    <t>4 - 5</t>
  </si>
  <si>
    <t>Trecho 05</t>
  </si>
  <si>
    <t>5 - 6</t>
  </si>
  <si>
    <t>Trecho 06</t>
  </si>
  <si>
    <t>6 - 7</t>
  </si>
  <si>
    <t>Trecho 07</t>
  </si>
  <si>
    <t>7 - 8</t>
  </si>
  <si>
    <t>Trecho 08</t>
  </si>
  <si>
    <t>Trecho 09</t>
  </si>
  <si>
    <t>Trecho 10</t>
  </si>
  <si>
    <t>Trecho 11</t>
  </si>
  <si>
    <t>Trecho 12</t>
  </si>
  <si>
    <t>Distância total da Rota:</t>
  </si>
  <si>
    <t xml:space="preserve">Ton/Mês </t>
  </si>
  <si>
    <t>Dias da semana</t>
  </si>
  <si>
    <t>Nu. Coleta Semanal</t>
  </si>
  <si>
    <t>Trecho</t>
  </si>
  <si>
    <t>x</t>
  </si>
  <si>
    <t>Total Semanal</t>
  </si>
  <si>
    <t>Km</t>
  </si>
  <si>
    <t>Total Mensal</t>
  </si>
  <si>
    <t>8 - 9</t>
  </si>
  <si>
    <t>9 - 10</t>
  </si>
  <si>
    <t>10 - 11</t>
  </si>
  <si>
    <t>11 - 12</t>
  </si>
  <si>
    <t>12 - 13</t>
  </si>
  <si>
    <t>Trecho de Trasporte</t>
  </si>
  <si>
    <t>Distância total sem coleta:</t>
  </si>
  <si>
    <t>Distância total do percurso :</t>
  </si>
  <si>
    <t>Tributos - PIS/COFINS/ e CPP se houver</t>
  </si>
  <si>
    <t>3.1. Veículo Coletor com compactador</t>
  </si>
  <si>
    <t>Custo de aquisição do compactador</t>
  </si>
  <si>
    <t>Idade do chassis</t>
  </si>
  <si>
    <t>Depreciação mensal do chassis</t>
  </si>
  <si>
    <t>1.4. Encarregado/Supervisor</t>
  </si>
  <si>
    <t xml:space="preserve">Descrição </t>
  </si>
  <si>
    <t>Total Geral</t>
  </si>
  <si>
    <t>Coletor Org. e Sel.</t>
  </si>
  <si>
    <t>Motorista Org. e Sel.</t>
  </si>
  <si>
    <t>Distância de Ida</t>
  </si>
  <si>
    <t xml:space="preserve">Distância de Volta </t>
  </si>
  <si>
    <t>Distância Total</t>
  </si>
  <si>
    <t>Custo de Arla / 1.000 km</t>
  </si>
  <si>
    <t>Custo mensal com Arla</t>
  </si>
  <si>
    <t>Prefeitura Municipal de Mormaço</t>
  </si>
  <si>
    <t>Tolenadas de lixo coletados em Mormaço</t>
  </si>
  <si>
    <t>Ton/Aterro</t>
  </si>
  <si>
    <t>PREFEITURA MUNICIPAL DE MORMAÇO</t>
  </si>
  <si>
    <t>Locais de coleta:  Área urbana da cidade + Posse Godoy</t>
  </si>
  <si>
    <t>8 - Fim</t>
  </si>
  <si>
    <t>Trecho 13</t>
  </si>
  <si>
    <t>13 - 14</t>
  </si>
  <si>
    <t>Trecho 14</t>
  </si>
  <si>
    <t>14 - 15</t>
  </si>
  <si>
    <t>Trecho 15</t>
  </si>
  <si>
    <t>15 - Fim</t>
  </si>
  <si>
    <t>Locais de coleta:   Interior da cidade</t>
  </si>
  <si>
    <t xml:space="preserve">  Total dos percursos Interior </t>
  </si>
  <si>
    <t xml:space="preserve">  Total dos percursos Orgânico e Seletivo </t>
  </si>
  <si>
    <t>Rotas de Coleta de Lixo Orgânico e Seletivo</t>
  </si>
  <si>
    <t>Centro de triagem - Início da rota</t>
  </si>
  <si>
    <t>Final da rota - Centro de triagem</t>
  </si>
  <si>
    <t>Cargo: Coletor de lixo orgânico e seletivo</t>
  </si>
  <si>
    <t>Cargo: Motorista de lixo orgânico e seletivo</t>
  </si>
  <si>
    <t>Total de horas por motorista</t>
  </si>
  <si>
    <t xml:space="preserve">Periodicidade: Terça, quarta, quinta e sábado </t>
  </si>
  <si>
    <t xml:space="preserve">  Rota do Centro Triagem até o Aterro Sanitário - Todas às quinta-feiras </t>
  </si>
  <si>
    <t xml:space="preserve">Distância Total  Mensal </t>
  </si>
  <si>
    <t xml:space="preserve">Motorista Triag. At. San. </t>
  </si>
  <si>
    <t xml:space="preserve">Quinta </t>
  </si>
  <si>
    <t>Distância da Rota + Triagem</t>
  </si>
  <si>
    <t xml:space="preserve">Distância Total  Mensal todas as rotas </t>
  </si>
  <si>
    <t>Rota 1: Terça, quinta e sábado</t>
  </si>
  <si>
    <t>Rota 2  - Coleta de Resíduos Domiciliares - Seletivos Interior</t>
  </si>
  <si>
    <t>Distância da Rota + C. Triagem</t>
  </si>
  <si>
    <t xml:space="preserve">Terça, quinta e sábado </t>
  </si>
  <si>
    <t xml:space="preserve">Custo do jogo de pneus </t>
  </si>
  <si>
    <t>Rota 1  - Coleta de Resíduos Domiciliares - Orgânicos e Seletivos</t>
  </si>
  <si>
    <t>Prefeitura Municipal de Mormaço - RS</t>
  </si>
  <si>
    <t xml:space="preserve">Considerado 2 horas semanais.  </t>
  </si>
  <si>
    <t xml:space="preserve">Bermuda com reflexivo </t>
  </si>
  <si>
    <t xml:space="preserve">Camiseta manga curta com reflexivo </t>
  </si>
  <si>
    <t xml:space="preserve">Previsão Toneladas coletadas e enviadas ao centro de triagem </t>
  </si>
  <si>
    <t>Período: Estimativa 2022</t>
  </si>
  <si>
    <t xml:space="preserve">Custo do compactador </t>
  </si>
  <si>
    <t>Investimento médio total do compactador</t>
  </si>
  <si>
    <t>Remuneração mensal de capital do compactador</t>
  </si>
  <si>
    <t>Coletor Org. e Sel. Interior</t>
  </si>
  <si>
    <t>Motorista Org. e Sel. Inter.</t>
  </si>
  <si>
    <t xml:space="preserve">Total geral toneladas ano </t>
  </si>
  <si>
    <t xml:space="preserve">1. Coleta de Resíduos Orgânicos e Seletivos </t>
  </si>
  <si>
    <t>Frota Reserva 10%</t>
  </si>
  <si>
    <t xml:space="preserve">Resumo Custo Edital Resíduos Sólidos </t>
  </si>
  <si>
    <t xml:space="preserve">Plano de Benefício Social </t>
  </si>
  <si>
    <t>Fator de util.</t>
  </si>
  <si>
    <t xml:space="preserve">1.8. Plano de Benefício Social  </t>
  </si>
  <si>
    <t>Rota 3: Quarta</t>
  </si>
  <si>
    <t>População 2022</t>
  </si>
  <si>
    <t>Triagem 5%</t>
  </si>
  <si>
    <t>1. Esta planilha é somente um modelo-base. Qualquer custo previsto no edital e não contemplado nesta planilha deverá ser devidamente incluído</t>
  </si>
  <si>
    <t>3. As células azuis deverão ter seus valores preenchidos em outra planilha do arquivo.</t>
  </si>
  <si>
    <t>PREÇO TOTAL MENSAL COM O DESTINO FINAL</t>
  </si>
  <si>
    <t xml:space="preserve">1. Destinação final </t>
  </si>
  <si>
    <t xml:space="preserve">Destinação Final </t>
  </si>
  <si>
    <t xml:space="preserve">Ton. </t>
  </si>
  <si>
    <t>Custo Mensal com Destinação Final (R$/mês)</t>
  </si>
  <si>
    <t>2. Benefícios e Despesas Indiretas - BDI</t>
  </si>
  <si>
    <t xml:space="preserve">Preço total por Ton em reais </t>
  </si>
  <si>
    <t xml:space="preserve">Destino Final </t>
  </si>
  <si>
    <t xml:space="preserve">Prefeitura Municipal de Mormaço </t>
  </si>
  <si>
    <t xml:space="preserve">2. Destino Final </t>
  </si>
  <si>
    <t>Composição do BDI - Benefícios e Despesas Indiretas do Aterro Sanitário</t>
  </si>
  <si>
    <t>KG/dia/habit</t>
  </si>
  <si>
    <t xml:space="preserve">4. Ferramentas e Materiais de Consumo </t>
  </si>
  <si>
    <t xml:space="preserve">5. Administração Local </t>
  </si>
  <si>
    <t xml:space="preserve">Lavagem dos caminhões compactadores </t>
  </si>
  <si>
    <t>Publicidade (adesivos equipamentos e veículos)</t>
  </si>
  <si>
    <t>Custo mensal com veículo de apoio 15km semana</t>
  </si>
  <si>
    <t xml:space="preserve">6. Monitoramento da frota  </t>
  </si>
  <si>
    <t>7. Benefícios e Despesas Indiretas - BDI</t>
  </si>
  <si>
    <t xml:space="preserve">Quarta </t>
  </si>
  <si>
    <t xml:space="preserve">Coleta Orgânica e Seletiva </t>
  </si>
  <si>
    <t>PO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</si>
</sst>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?_-;_-@_-"/>
    <numFmt numFmtId="173" formatCode="_-* #,##0.0_-;\-* #,##0.0_-;_-* &quot;-&quot;??_-;_-@_-"/>
    <numFmt numFmtId="174" formatCode="_ * #,##0.00_ ;_ * \-#,##0.00_ ;_ * &quot;-&quot;??_ ;_ @_ "/>
    <numFmt numFmtId="175" formatCode="_(* #,##0.0000_);_(* \(#,##0.0000\);_(* &quot;-&quot;??_);_(@_)"/>
    <numFmt numFmtId="176" formatCode="0.0"/>
    <numFmt numFmtId="177" formatCode="#,##0.00;[Red]#,##0.00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5" fillId="0" borderId="0" applyFont="0" applyFill="0" applyBorder="0" applyAlignment="0" applyProtection="0"/>
    <xf numFmtId="173" fontId="47" fillId="0" borderId="0" applyFont="0" applyFill="0" applyBorder="0" applyAlignment="0" applyProtection="0"/>
    <xf numFmtId="0" fontId="14" fillId="0" borderId="0"/>
    <xf numFmtId="0" fontId="15" fillId="0" borderId="0"/>
    <xf numFmtId="0" fontId="47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47" fillId="0" borderId="0" applyFont="0" applyFill="0" applyBorder="0" applyAlignment="0" applyProtection="0"/>
    <xf numFmtId="9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4" fontId="15" fillId="0" borderId="0" applyFont="0" applyFill="0" applyBorder="0" applyAlignment="0" applyProtection="0"/>
    <xf numFmtId="0" fontId="13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2" fillId="0" borderId="0"/>
  </cellStyleXfs>
  <cellXfs count="579">
    <xf numFmtId="0" fontId="0" fillId="0" borderId="0" xfId="0"/>
    <xf numFmtId="0" fontId="20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5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65" fontId="20" fillId="0" borderId="0" xfId="3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20" fillId="0" borderId="2" xfId="0" applyFont="1" applyBorder="1" applyAlignment="1">
      <alignment vertical="center"/>
    </xf>
    <xf numFmtId="0" fontId="20" fillId="0" borderId="2" xfId="0" applyFont="1" applyBorder="1" applyAlignment="1">
      <alignment horizontal="center" vertical="center"/>
    </xf>
    <xf numFmtId="165" fontId="20" fillId="0" borderId="2" xfId="3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65" fontId="20" fillId="0" borderId="1" xfId="3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65" fontId="20" fillId="0" borderId="0" xfId="3" applyFont="1" applyAlignment="1">
      <alignment horizontal="center" vertical="center"/>
    </xf>
    <xf numFmtId="165" fontId="17" fillId="2" borderId="4" xfId="3" applyFont="1" applyFill="1" applyBorder="1" applyAlignment="1">
      <alignment horizontal="center" vertical="center"/>
    </xf>
    <xf numFmtId="165" fontId="17" fillId="2" borderId="4" xfId="3" applyFont="1" applyFill="1" applyBorder="1" applyAlignment="1">
      <alignment vertical="center"/>
    </xf>
    <xf numFmtId="165" fontId="17" fillId="0" borderId="0" xfId="3" applyFont="1" applyFill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65" fontId="17" fillId="0" borderId="6" xfId="3" applyFont="1" applyBorder="1" applyAlignment="1">
      <alignment vertical="center"/>
    </xf>
    <xf numFmtId="165" fontId="17" fillId="0" borderId="7" xfId="3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165" fontId="20" fillId="0" borderId="6" xfId="3" applyFont="1" applyBorder="1" applyAlignment="1">
      <alignment vertical="center"/>
    </xf>
    <xf numFmtId="165" fontId="20" fillId="0" borderId="7" xfId="3" applyFont="1" applyBorder="1" applyAlignment="1">
      <alignment vertical="center"/>
    </xf>
    <xf numFmtId="165" fontId="17" fillId="0" borderId="0" xfId="3" applyFont="1" applyBorder="1" applyAlignment="1">
      <alignment horizontal="center" vertical="center"/>
    </xf>
    <xf numFmtId="3" fontId="20" fillId="0" borderId="0" xfId="0" applyNumberFormat="1" applyFont="1" applyAlignment="1">
      <alignment vertical="center"/>
    </xf>
    <xf numFmtId="165" fontId="17" fillId="0" borderId="0" xfId="3" applyFont="1" applyFill="1" applyBorder="1" applyAlignment="1">
      <alignment horizontal="center" vertical="center"/>
    </xf>
    <xf numFmtId="165" fontId="17" fillId="0" borderId="0" xfId="3" applyFont="1" applyBorder="1" applyAlignment="1">
      <alignment vertical="center"/>
    </xf>
    <xf numFmtId="165" fontId="19" fillId="0" borderId="0" xfId="3" applyFont="1" applyAlignment="1">
      <alignment vertical="center"/>
    </xf>
    <xf numFmtId="166" fontId="20" fillId="0" borderId="1" xfId="3" applyNumberFormat="1" applyFont="1" applyBorder="1" applyAlignment="1">
      <alignment vertical="center"/>
    </xf>
    <xf numFmtId="165" fontId="20" fillId="0" borderId="0" xfId="3" applyFont="1"/>
    <xf numFmtId="165" fontId="18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17" fillId="0" borderId="12" xfId="3" applyFont="1" applyBorder="1" applyAlignment="1">
      <alignment horizontal="center" vertical="center"/>
    </xf>
    <xf numFmtId="165" fontId="17" fillId="0" borderId="5" xfId="3" applyFont="1" applyBorder="1" applyAlignment="1">
      <alignment horizontal="left" vertical="center"/>
    </xf>
    <xf numFmtId="4" fontId="17" fillId="0" borderId="6" xfId="0" applyNumberFormat="1" applyFont="1" applyBorder="1" applyAlignment="1">
      <alignment horizontal="centerContinuous" vertical="center"/>
    </xf>
    <xf numFmtId="165" fontId="17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17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20" fillId="0" borderId="1" xfId="3" applyFont="1" applyBorder="1" applyAlignment="1">
      <alignment vertical="center"/>
    </xf>
    <xf numFmtId="0" fontId="25" fillId="0" borderId="0" xfId="0" applyFont="1" applyAlignment="1">
      <alignment vertical="center"/>
    </xf>
    <xf numFmtId="0" fontId="24" fillId="0" borderId="1" xfId="0" applyFont="1" applyBorder="1" applyAlignment="1">
      <alignment horizontal="center" vertical="center"/>
    </xf>
    <xf numFmtId="165" fontId="20" fillId="0" borderId="0" xfId="3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165" fontId="18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20" fillId="0" borderId="0" xfId="3" applyFont="1" applyBorder="1" applyAlignment="1">
      <alignment vertical="center"/>
    </xf>
    <xf numFmtId="0" fontId="27" fillId="2" borderId="16" xfId="0" applyFont="1" applyFill="1" applyBorder="1" applyAlignment="1">
      <alignment horizontal="center" vertical="center"/>
    </xf>
    <xf numFmtId="0" fontId="27" fillId="2" borderId="17" xfId="0" applyFont="1" applyFill="1" applyBorder="1" applyAlignment="1">
      <alignment horizontal="center" vertical="center"/>
    </xf>
    <xf numFmtId="165" fontId="27" fillId="2" borderId="17" xfId="3" applyFont="1" applyFill="1" applyBorder="1" applyAlignment="1">
      <alignment horizontal="center" vertical="center"/>
    </xf>
    <xf numFmtId="165" fontId="27" fillId="2" borderId="18" xfId="3" applyFont="1" applyFill="1" applyBorder="1" applyAlignment="1">
      <alignment horizontal="center" vertical="center"/>
    </xf>
    <xf numFmtId="165" fontId="17" fillId="0" borderId="19" xfId="3" applyFont="1" applyBorder="1" applyAlignment="1">
      <alignment horizontal="center" vertical="center"/>
    </xf>
    <xf numFmtId="165" fontId="15" fillId="0" borderId="14" xfId="3" applyFont="1" applyBorder="1" applyAlignment="1">
      <alignment horizontal="left" vertical="center"/>
    </xf>
    <xf numFmtId="165" fontId="20" fillId="0" borderId="9" xfId="3" applyFont="1" applyBorder="1" applyAlignment="1">
      <alignment vertical="center"/>
    </xf>
    <xf numFmtId="165" fontId="20" fillId="0" borderId="14" xfId="3" applyFont="1" applyBorder="1" applyAlignment="1">
      <alignment vertical="center"/>
    </xf>
    <xf numFmtId="166" fontId="20" fillId="0" borderId="0" xfId="3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" fontId="20" fillId="0" borderId="20" xfId="3" applyNumberFormat="1" applyFont="1" applyBorder="1" applyAlignment="1">
      <alignment horizontal="center" vertical="center"/>
    </xf>
    <xf numFmtId="165" fontId="17" fillId="0" borderId="28" xfId="3" applyFont="1" applyBorder="1" applyAlignment="1">
      <alignment vertical="center"/>
    </xf>
    <xf numFmtId="4" fontId="17" fillId="0" borderId="29" xfId="0" applyNumberFormat="1" applyFont="1" applyBorder="1" applyAlignment="1">
      <alignment vertical="center"/>
    </xf>
    <xf numFmtId="165" fontId="20" fillId="0" borderId="19" xfId="3" applyFont="1" applyBorder="1" applyAlignment="1">
      <alignment vertical="center"/>
    </xf>
    <xf numFmtId="165" fontId="20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20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17" fillId="0" borderId="31" xfId="3" applyNumberFormat="1" applyFont="1" applyBorder="1" applyAlignment="1">
      <alignment horizontal="center" vertical="center"/>
    </xf>
    <xf numFmtId="165" fontId="26" fillId="0" borderId="1" xfId="3" applyFont="1" applyBorder="1" applyAlignment="1">
      <alignment horizontal="center" vertical="center"/>
    </xf>
    <xf numFmtId="165" fontId="20" fillId="0" borderId="1" xfId="3" applyFont="1" applyFill="1" applyBorder="1" applyAlignment="1">
      <alignment horizontal="center" vertical="center"/>
    </xf>
    <xf numFmtId="165" fontId="25" fillId="0" borderId="0" xfId="3" applyFont="1" applyAlignment="1">
      <alignment vertical="center"/>
    </xf>
    <xf numFmtId="43" fontId="20" fillId="0" borderId="0" xfId="0" applyNumberFormat="1" applyFont="1" applyAlignment="1">
      <alignment vertical="center"/>
    </xf>
    <xf numFmtId="0" fontId="20" fillId="3" borderId="1" xfId="0" applyFont="1" applyFill="1" applyBorder="1" applyAlignment="1">
      <alignment horizontal="center" vertical="center"/>
    </xf>
    <xf numFmtId="165" fontId="20" fillId="3" borderId="2" xfId="3" applyFont="1" applyFill="1" applyBorder="1" applyAlignment="1">
      <alignment horizontal="center" vertical="center"/>
    </xf>
    <xf numFmtId="2" fontId="20" fillId="3" borderId="1" xfId="0" applyNumberFormat="1" applyFont="1" applyFill="1" applyBorder="1" applyAlignment="1">
      <alignment horizontal="center" vertical="center"/>
    </xf>
    <xf numFmtId="165" fontId="20" fillId="3" borderId="1" xfId="3" applyFont="1" applyFill="1" applyBorder="1" applyAlignment="1">
      <alignment horizontal="center" vertical="center"/>
    </xf>
    <xf numFmtId="1" fontId="20" fillId="3" borderId="1" xfId="0" applyNumberFormat="1" applyFont="1" applyFill="1" applyBorder="1" applyAlignment="1">
      <alignment horizontal="center" vertical="center"/>
    </xf>
    <xf numFmtId="0" fontId="20" fillId="3" borderId="0" xfId="0" applyFont="1" applyFill="1" applyAlignment="1">
      <alignment vertical="center"/>
    </xf>
    <xf numFmtId="165" fontId="20" fillId="3" borderId="0" xfId="3" applyFont="1" applyFill="1" applyAlignment="1">
      <alignment vertical="center"/>
    </xf>
    <xf numFmtId="0" fontId="20" fillId="0" borderId="0" xfId="0" applyFont="1" applyAlignment="1">
      <alignment horizontal="right" vertical="center"/>
    </xf>
    <xf numFmtId="166" fontId="20" fillId="0" borderId="1" xfId="3" applyNumberFormat="1" applyFont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4" fontId="20" fillId="3" borderId="2" xfId="0" applyNumberFormat="1" applyFont="1" applyFill="1" applyBorder="1" applyAlignment="1">
      <alignment horizontal="center" vertical="center"/>
    </xf>
    <xf numFmtId="3" fontId="20" fillId="3" borderId="1" xfId="0" applyNumberFormat="1" applyFont="1" applyFill="1" applyBorder="1" applyAlignment="1">
      <alignment horizontal="center" vertical="center"/>
    </xf>
    <xf numFmtId="4" fontId="20" fillId="3" borderId="1" xfId="0" applyNumberFormat="1" applyFont="1" applyFill="1" applyBorder="1" applyAlignment="1">
      <alignment horizontal="center" vertical="center"/>
    </xf>
    <xf numFmtId="13" fontId="20" fillId="3" borderId="1" xfId="0" applyNumberFormat="1" applyFont="1" applyFill="1" applyBorder="1" applyAlignment="1">
      <alignment horizontal="center" vertical="center"/>
    </xf>
    <xf numFmtId="166" fontId="20" fillId="0" borderId="1" xfId="3" applyNumberFormat="1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165" fontId="17" fillId="0" borderId="1" xfId="3" applyFont="1" applyBorder="1" applyAlignment="1">
      <alignment horizontal="center" vertical="center"/>
    </xf>
    <xf numFmtId="165" fontId="20" fillId="0" borderId="2" xfId="3" applyFont="1" applyFill="1" applyBorder="1" applyAlignment="1">
      <alignment horizontal="center" vertical="center"/>
    </xf>
    <xf numFmtId="0" fontId="22" fillId="0" borderId="0" xfId="1" applyAlignment="1" applyProtection="1">
      <alignment vertical="center"/>
    </xf>
    <xf numFmtId="0" fontId="17" fillId="0" borderId="0" xfId="0" applyFont="1"/>
    <xf numFmtId="0" fontId="27" fillId="2" borderId="32" xfId="0" applyFont="1" applyFill="1" applyBorder="1" applyAlignment="1">
      <alignment horizontal="center" vertical="center"/>
    </xf>
    <xf numFmtId="0" fontId="27" fillId="2" borderId="33" xfId="0" applyFont="1" applyFill="1" applyBorder="1" applyAlignment="1">
      <alignment horizontal="center" vertical="center"/>
    </xf>
    <xf numFmtId="165" fontId="27" fillId="2" borderId="33" xfId="3" applyFont="1" applyFill="1" applyBorder="1" applyAlignment="1">
      <alignment horizontal="center" vertical="center"/>
    </xf>
    <xf numFmtId="165" fontId="20" fillId="0" borderId="0" xfId="3" applyFont="1" applyFill="1" applyAlignment="1">
      <alignment vertical="center"/>
    </xf>
    <xf numFmtId="165" fontId="17" fillId="0" borderId="1" xfId="3" applyFont="1" applyFill="1" applyBorder="1" applyAlignment="1">
      <alignment horizontal="center" vertical="center"/>
    </xf>
    <xf numFmtId="164" fontId="17" fillId="0" borderId="34" xfId="0" applyNumberFormat="1" applyFont="1" applyBorder="1" applyAlignment="1">
      <alignment vertical="center"/>
    </xf>
    <xf numFmtId="165" fontId="17" fillId="0" borderId="35" xfId="3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165" fontId="17" fillId="0" borderId="0" xfId="3" applyFont="1" applyAlignment="1">
      <alignment horizontal="center" vertical="center"/>
    </xf>
    <xf numFmtId="165" fontId="17" fillId="0" borderId="3" xfId="3" applyFont="1" applyBorder="1" applyAlignment="1">
      <alignment horizontal="center" vertical="center"/>
    </xf>
    <xf numFmtId="2" fontId="20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20" fillId="0" borderId="0" xfId="3" applyFont="1" applyAlignment="1">
      <alignment horizontal="right" vertical="center"/>
    </xf>
    <xf numFmtId="165" fontId="17" fillId="2" borderId="7" xfId="3" applyFont="1" applyFill="1" applyBorder="1" applyAlignment="1">
      <alignment horizontal="center" vertical="center"/>
    </xf>
    <xf numFmtId="165" fontId="17" fillId="0" borderId="14" xfId="3" applyFont="1" applyBorder="1" applyAlignment="1">
      <alignment vertical="center"/>
    </xf>
    <xf numFmtId="165" fontId="17" fillId="0" borderId="9" xfId="0" applyNumberFormat="1" applyFont="1" applyBorder="1" applyAlignment="1">
      <alignment vertical="center"/>
    </xf>
    <xf numFmtId="165" fontId="17" fillId="0" borderId="9" xfId="3" applyFont="1" applyBorder="1" applyAlignment="1">
      <alignment vertical="center"/>
    </xf>
    <xf numFmtId="10" fontId="17" fillId="0" borderId="15" xfId="2" applyNumberFormat="1" applyFont="1" applyBorder="1" applyAlignment="1">
      <alignment vertical="center"/>
    </xf>
    <xf numFmtId="165" fontId="17" fillId="0" borderId="38" xfId="3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165" fontId="20" fillId="0" borderId="39" xfId="3" applyFont="1" applyBorder="1" applyAlignment="1">
      <alignment vertical="center"/>
    </xf>
    <xf numFmtId="165" fontId="20" fillId="0" borderId="40" xfId="3" applyFont="1" applyBorder="1" applyAlignment="1">
      <alignment vertical="center"/>
    </xf>
    <xf numFmtId="165" fontId="20" fillId="0" borderId="41" xfId="3" applyFont="1" applyBorder="1" applyAlignment="1">
      <alignment vertical="center"/>
    </xf>
    <xf numFmtId="0" fontId="20" fillId="0" borderId="41" xfId="0" applyFont="1" applyBorder="1" applyAlignment="1">
      <alignment vertical="center"/>
    </xf>
    <xf numFmtId="1" fontId="20" fillId="0" borderId="37" xfId="3" applyNumberFormat="1" applyFont="1" applyBorder="1" applyAlignment="1">
      <alignment horizontal="center" vertical="center"/>
    </xf>
    <xf numFmtId="165" fontId="17" fillId="0" borderId="14" xfId="3" applyFont="1" applyBorder="1" applyAlignment="1">
      <alignment horizontal="left" vertical="center"/>
    </xf>
    <xf numFmtId="4" fontId="17" fillId="0" borderId="9" xfId="0" applyNumberFormat="1" applyFont="1" applyBorder="1" applyAlignment="1">
      <alignment horizontal="centerContinuous" vertical="center"/>
    </xf>
    <xf numFmtId="4" fontId="20" fillId="0" borderId="0" xfId="0" applyNumberFormat="1" applyFont="1" applyAlignment="1">
      <alignment vertical="center"/>
    </xf>
    <xf numFmtId="165" fontId="20" fillId="6" borderId="1" xfId="3" applyFont="1" applyFill="1" applyBorder="1" applyAlignment="1">
      <alignment horizontal="center" vertical="center"/>
    </xf>
    <xf numFmtId="165" fontId="20" fillId="6" borderId="1" xfId="3" applyFont="1" applyFill="1" applyBorder="1" applyAlignment="1">
      <alignment vertical="center"/>
    </xf>
    <xf numFmtId="9" fontId="17" fillId="0" borderId="18" xfId="2" applyFont="1" applyBorder="1" applyAlignment="1">
      <alignment vertical="center"/>
    </xf>
    <xf numFmtId="10" fontId="20" fillId="0" borderId="15" xfId="2" applyNumberFormat="1" applyFont="1" applyBorder="1" applyAlignment="1">
      <alignment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165" fontId="20" fillId="0" borderId="1" xfId="0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166" fontId="17" fillId="0" borderId="0" xfId="3" applyNumberFormat="1" applyFont="1" applyBorder="1" applyAlignment="1">
      <alignment horizontal="center" vertical="center"/>
    </xf>
    <xf numFmtId="0" fontId="32" fillId="0" borderId="14" xfId="0" applyFont="1" applyBorder="1"/>
    <xf numFmtId="0" fontId="32" fillId="0" borderId="47" xfId="0" applyFont="1" applyBorder="1"/>
    <xf numFmtId="0" fontId="32" fillId="3" borderId="20" xfId="0" applyFont="1" applyFill="1" applyBorder="1"/>
    <xf numFmtId="0" fontId="32" fillId="0" borderId="23" xfId="0" applyFont="1" applyBorder="1"/>
    <xf numFmtId="0" fontId="32" fillId="0" borderId="48" xfId="0" applyFont="1" applyBorder="1"/>
    <xf numFmtId="0" fontId="32" fillId="0" borderId="20" xfId="0" applyFont="1" applyBorder="1"/>
    <xf numFmtId="0" fontId="32" fillId="0" borderId="28" xfId="0" applyFont="1" applyBorder="1"/>
    <xf numFmtId="2" fontId="33" fillId="7" borderId="1" xfId="0" applyNumberFormat="1" applyFont="1" applyFill="1" applyBorder="1" applyAlignment="1">
      <alignment horizontal="right" vertical="center"/>
    </xf>
    <xf numFmtId="0" fontId="33" fillId="0" borderId="23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2" fontId="33" fillId="7" borderId="36" xfId="0" applyNumberFormat="1" applyFont="1" applyFill="1" applyBorder="1" applyAlignment="1">
      <alignment horizontal="right" vertical="center"/>
    </xf>
    <xf numFmtId="0" fontId="33" fillId="0" borderId="23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3" fillId="0" borderId="20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10" fontId="33" fillId="0" borderId="20" xfId="0" applyNumberFormat="1" applyFont="1" applyBorder="1" applyAlignment="1">
      <alignment horizontal="right" vertical="center"/>
    </xf>
    <xf numFmtId="0" fontId="37" fillId="0" borderId="1" xfId="0" applyFont="1" applyBorder="1" applyAlignment="1">
      <alignment horizontal="left" vertical="center"/>
    </xf>
    <xf numFmtId="10" fontId="37" fillId="0" borderId="20" xfId="0" applyNumberFormat="1" applyFont="1" applyBorder="1" applyAlignment="1">
      <alignment horizontal="right" vertical="center"/>
    </xf>
    <xf numFmtId="0" fontId="33" fillId="5" borderId="23" xfId="0" applyFont="1" applyFill="1" applyBorder="1" applyAlignment="1">
      <alignment horizontal="left" vertical="center"/>
    </xf>
    <xf numFmtId="0" fontId="37" fillId="5" borderId="1" xfId="0" applyFont="1" applyFill="1" applyBorder="1" applyAlignment="1">
      <alignment horizontal="left" vertical="center"/>
    </xf>
    <xf numFmtId="10" fontId="37" fillId="5" borderId="20" xfId="0" applyNumberFormat="1" applyFont="1" applyFill="1" applyBorder="1" applyAlignment="1">
      <alignment horizontal="right" vertical="center"/>
    </xf>
    <xf numFmtId="0" fontId="38" fillId="0" borderId="1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10" fontId="20" fillId="0" borderId="0" xfId="0" applyNumberFormat="1" applyFont="1"/>
    <xf numFmtId="9" fontId="33" fillId="0" borderId="0" xfId="2" applyFont="1" applyBorder="1" applyAlignment="1">
      <alignment horizontal="right" vertical="center"/>
    </xf>
    <xf numFmtId="0" fontId="33" fillId="0" borderId="1" xfId="0" applyFont="1" applyBorder="1" applyAlignment="1">
      <alignment horizontal="left" vertical="center" wrapText="1"/>
    </xf>
    <xf numFmtId="0" fontId="33" fillId="9" borderId="24" xfId="0" applyFont="1" applyFill="1" applyBorder="1" applyAlignment="1">
      <alignment horizontal="left" vertical="center"/>
    </xf>
    <xf numFmtId="0" fontId="37" fillId="9" borderId="36" xfId="0" applyFont="1" applyFill="1" applyBorder="1" applyAlignment="1">
      <alignment horizontal="left" vertical="center"/>
    </xf>
    <xf numFmtId="10" fontId="37" fillId="9" borderId="37" xfId="0" applyNumberFormat="1" applyFont="1" applyFill="1" applyBorder="1" applyAlignment="1">
      <alignment horizontal="right" vertical="center"/>
    </xf>
    <xf numFmtId="0" fontId="37" fillId="0" borderId="0" xfId="0" applyFont="1" applyAlignment="1">
      <alignment horizontal="left" vertical="center"/>
    </xf>
    <xf numFmtId="10" fontId="37" fillId="0" borderId="0" xfId="0" applyNumberFormat="1" applyFont="1" applyAlignment="1">
      <alignment horizontal="right" vertical="center"/>
    </xf>
    <xf numFmtId="0" fontId="39" fillId="4" borderId="0" xfId="0" applyFont="1" applyFill="1" applyAlignment="1">
      <alignment horizontal="left" vertical="center"/>
    </xf>
    <xf numFmtId="10" fontId="33" fillId="0" borderId="0" xfId="0" applyNumberFormat="1" applyFont="1" applyAlignment="1">
      <alignment horizontal="right" vertical="center"/>
    </xf>
    <xf numFmtId="0" fontId="33" fillId="4" borderId="0" xfId="0" applyFont="1" applyFill="1" applyAlignment="1">
      <alignment horizontal="left" vertical="center"/>
    </xf>
    <xf numFmtId="0" fontId="40" fillId="0" borderId="0" xfId="0" applyFont="1" applyAlignment="1">
      <alignment horizontal="justify" vertical="center"/>
    </xf>
    <xf numFmtId="0" fontId="22" fillId="0" borderId="0" xfId="1" applyBorder="1" applyAlignment="1" applyProtection="1">
      <alignment horizontal="left" vertical="center"/>
    </xf>
    <xf numFmtId="0" fontId="41" fillId="0" borderId="0" xfId="0" applyFont="1"/>
    <xf numFmtId="0" fontId="33" fillId="0" borderId="0" xfId="0" applyFont="1" applyAlignment="1">
      <alignment horizontal="right" vertical="center"/>
    </xf>
    <xf numFmtId="0" fontId="22" fillId="0" borderId="0" xfId="1" applyBorder="1" applyAlignment="1" applyProtection="1">
      <alignment vertical="center"/>
    </xf>
    <xf numFmtId="0" fontId="19" fillId="0" borderId="15" xfId="0" applyFont="1" applyBorder="1"/>
    <xf numFmtId="0" fontId="19" fillId="0" borderId="23" xfId="0" applyFont="1" applyBorder="1"/>
    <xf numFmtId="0" fontId="19" fillId="3" borderId="20" xfId="0" applyFont="1" applyFill="1" applyBorder="1"/>
    <xf numFmtId="0" fontId="19" fillId="0" borderId="47" xfId="0" applyFont="1" applyBorder="1"/>
    <xf numFmtId="0" fontId="19" fillId="3" borderId="48" xfId="0" applyFont="1" applyFill="1" applyBorder="1"/>
    <xf numFmtId="0" fontId="19" fillId="0" borderId="49" xfId="0" applyFont="1" applyBorder="1"/>
    <xf numFmtId="0" fontId="19" fillId="3" borderId="50" xfId="0" applyFont="1" applyFill="1" applyBorder="1"/>
    <xf numFmtId="0" fontId="19" fillId="0" borderId="38" xfId="0" applyFont="1" applyBorder="1"/>
    <xf numFmtId="0" fontId="19" fillId="0" borderId="39" xfId="0" applyFont="1" applyBorder="1"/>
    <xf numFmtId="0" fontId="21" fillId="0" borderId="48" xfId="0" applyFont="1" applyBorder="1"/>
    <xf numFmtId="0" fontId="21" fillId="0" borderId="38" xfId="0" applyFont="1" applyBorder="1" applyAlignment="1">
      <alignment horizontal="left" vertical="center"/>
    </xf>
    <xf numFmtId="9" fontId="19" fillId="0" borderId="23" xfId="2" applyFont="1" applyBorder="1"/>
    <xf numFmtId="9" fontId="19" fillId="0" borderId="1" xfId="2" applyFont="1" applyBorder="1" applyAlignment="1">
      <alignment horizontal="center"/>
    </xf>
    <xf numFmtId="9" fontId="19" fillId="0" borderId="20" xfId="2" applyFont="1" applyBorder="1"/>
    <xf numFmtId="0" fontId="19" fillId="0" borderId="21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/>
    </xf>
    <xf numFmtId="10" fontId="19" fillId="3" borderId="12" xfId="0" applyNumberFormat="1" applyFont="1" applyFill="1" applyBorder="1" applyAlignment="1">
      <alignment horizontal="center" vertical="center"/>
    </xf>
    <xf numFmtId="10" fontId="19" fillId="0" borderId="20" xfId="2" applyNumberFormat="1" applyFont="1" applyBorder="1"/>
    <xf numFmtId="0" fontId="19" fillId="0" borderId="23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10" fontId="19" fillId="3" borderId="20" xfId="0" applyNumberFormat="1" applyFont="1" applyFill="1" applyBorder="1" applyAlignment="1">
      <alignment horizontal="center" vertical="center"/>
    </xf>
    <xf numFmtId="10" fontId="19" fillId="0" borderId="20" xfId="0" applyNumberFormat="1" applyFont="1" applyBorder="1" applyAlignment="1">
      <alignment horizontal="center" vertical="center"/>
    </xf>
    <xf numFmtId="10" fontId="19" fillId="3" borderId="1" xfId="2" applyNumberFormat="1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19" fillId="0" borderId="20" xfId="0" applyFont="1" applyBorder="1"/>
    <xf numFmtId="0" fontId="19" fillId="0" borderId="24" xfId="0" applyFont="1" applyBorder="1" applyAlignment="1">
      <alignment horizontal="left" vertical="center"/>
    </xf>
    <xf numFmtId="10" fontId="19" fillId="3" borderId="37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9" fillId="0" borderId="25" xfId="0" applyFont="1" applyBorder="1" applyAlignment="1">
      <alignment vertical="center"/>
    </xf>
    <xf numFmtId="0" fontId="19" fillId="0" borderId="26" xfId="0" applyFont="1" applyBorder="1" applyAlignment="1">
      <alignment vertical="center"/>
    </xf>
    <xf numFmtId="10" fontId="19" fillId="0" borderId="27" xfId="0" applyNumberFormat="1" applyFont="1" applyBorder="1" applyAlignment="1">
      <alignment vertical="center"/>
    </xf>
    <xf numFmtId="0" fontId="19" fillId="0" borderId="28" xfId="0" applyFont="1" applyBorder="1" applyAlignment="1">
      <alignment horizontal="left" vertical="center"/>
    </xf>
    <xf numFmtId="0" fontId="19" fillId="0" borderId="29" xfId="0" applyFont="1" applyBorder="1" applyAlignment="1">
      <alignment horizontal="left" vertical="center"/>
    </xf>
    <xf numFmtId="0" fontId="19" fillId="0" borderId="30" xfId="0" applyFont="1" applyBorder="1" applyAlignment="1">
      <alignment vertical="center"/>
    </xf>
    <xf numFmtId="0" fontId="21" fillId="5" borderId="5" xfId="0" applyFont="1" applyFill="1" applyBorder="1" applyAlignment="1">
      <alignment vertical="center" wrapText="1"/>
    </xf>
    <xf numFmtId="0" fontId="19" fillId="5" borderId="6" xfId="0" applyFont="1" applyFill="1" applyBorder="1" applyAlignment="1">
      <alignment vertical="center"/>
    </xf>
    <xf numFmtId="10" fontId="21" fillId="5" borderId="7" xfId="0" applyNumberFormat="1" applyFont="1" applyFill="1" applyBorder="1" applyAlignment="1">
      <alignment horizontal="center" vertical="center" wrapText="1"/>
    </xf>
    <xf numFmtId="10" fontId="19" fillId="0" borderId="23" xfId="2" applyNumberFormat="1" applyFont="1" applyBorder="1" applyAlignment="1">
      <alignment horizontal="right"/>
    </xf>
    <xf numFmtId="10" fontId="19" fillId="0" borderId="1" xfId="2" applyNumberFormat="1" applyFont="1" applyBorder="1" applyAlignment="1">
      <alignment horizontal="right"/>
    </xf>
    <xf numFmtId="10" fontId="19" fillId="0" borderId="20" xfId="2" applyNumberFormat="1" applyFont="1" applyBorder="1" applyAlignment="1">
      <alignment horizontal="right"/>
    </xf>
    <xf numFmtId="10" fontId="19" fillId="0" borderId="24" xfId="2" applyNumberFormat="1" applyFont="1" applyBorder="1" applyAlignment="1">
      <alignment horizontal="right"/>
    </xf>
    <xf numFmtId="10" fontId="19" fillId="0" borderId="36" xfId="2" applyNumberFormat="1" applyFont="1" applyBorder="1" applyAlignment="1">
      <alignment horizontal="right"/>
    </xf>
    <xf numFmtId="10" fontId="19" fillId="0" borderId="37" xfId="2" applyNumberFormat="1" applyFont="1" applyBorder="1" applyAlignment="1">
      <alignment horizontal="right"/>
    </xf>
    <xf numFmtId="0" fontId="20" fillId="0" borderId="52" xfId="0" applyFont="1" applyBorder="1"/>
    <xf numFmtId="0" fontId="34" fillId="0" borderId="52" xfId="0" applyFont="1" applyBorder="1" applyAlignment="1">
      <alignment horizontal="justify"/>
    </xf>
    <xf numFmtId="0" fontId="34" fillId="0" borderId="53" xfId="0" applyFont="1" applyBorder="1" applyAlignment="1">
      <alignment horizontal="justify"/>
    </xf>
    <xf numFmtId="0" fontId="31" fillId="10" borderId="51" xfId="0" applyFont="1" applyFill="1" applyBorder="1" applyAlignment="1">
      <alignment horizontal="center"/>
    </xf>
    <xf numFmtId="1" fontId="20" fillId="0" borderId="0" xfId="3" applyNumberFormat="1" applyFont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165" fontId="20" fillId="3" borderId="9" xfId="3" applyFont="1" applyFill="1" applyBorder="1" applyAlignment="1">
      <alignment vertical="center"/>
    </xf>
    <xf numFmtId="165" fontId="20" fillId="0" borderId="10" xfId="3" applyFont="1" applyBorder="1" applyAlignment="1">
      <alignment vertical="center"/>
    </xf>
    <xf numFmtId="165" fontId="17" fillId="0" borderId="7" xfId="3" applyFont="1" applyBorder="1" applyAlignment="1">
      <alignment horizontal="right" vertical="center"/>
    </xf>
    <xf numFmtId="165" fontId="17" fillId="2" borderId="4" xfId="3" applyFont="1" applyFill="1" applyBorder="1" applyAlignment="1">
      <alignment horizontal="right" vertical="center"/>
    </xf>
    <xf numFmtId="168" fontId="17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17" fillId="0" borderId="36" xfId="0" applyNumberFormat="1" applyFont="1" applyBorder="1" applyAlignment="1">
      <alignment vertical="center"/>
    </xf>
    <xf numFmtId="165" fontId="17" fillId="0" borderId="11" xfId="3" applyFont="1" applyBorder="1" applyAlignment="1">
      <alignment vertical="center"/>
    </xf>
    <xf numFmtId="165" fontId="17" fillId="0" borderId="5" xfId="3" applyFont="1" applyBorder="1" applyAlignment="1">
      <alignment vertical="center"/>
    </xf>
    <xf numFmtId="0" fontId="18" fillId="0" borderId="3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7" borderId="1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165" fontId="17" fillId="0" borderId="9" xfId="3" applyFont="1" applyBorder="1" applyAlignment="1">
      <alignment horizontal="center" vertical="center"/>
    </xf>
    <xf numFmtId="0" fontId="27" fillId="2" borderId="17" xfId="0" applyFont="1" applyFill="1" applyBorder="1" applyAlignment="1">
      <alignment horizontal="center" vertical="center" wrapText="1"/>
    </xf>
    <xf numFmtId="167" fontId="20" fillId="0" borderId="1" xfId="3" applyNumberFormat="1" applyFont="1" applyBorder="1" applyAlignment="1">
      <alignment horizontal="center" vertical="center"/>
    </xf>
    <xf numFmtId="166" fontId="17" fillId="0" borderId="1" xfId="3" applyNumberFormat="1" applyFont="1" applyBorder="1" applyAlignment="1">
      <alignment horizontal="center" vertical="center"/>
    </xf>
    <xf numFmtId="167" fontId="17" fillId="0" borderId="1" xfId="3" applyNumberFormat="1" applyFont="1" applyBorder="1" applyAlignment="1">
      <alignment horizontal="center" vertical="center"/>
    </xf>
    <xf numFmtId="167" fontId="20" fillId="0" borderId="2" xfId="3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5" fillId="0" borderId="0" xfId="0" applyFont="1"/>
    <xf numFmtId="0" fontId="17" fillId="0" borderId="54" xfId="0" applyFont="1" applyBorder="1" applyAlignment="1">
      <alignment vertical="center"/>
    </xf>
    <xf numFmtId="0" fontId="17" fillId="0" borderId="54" xfId="0" applyFont="1" applyBorder="1" applyAlignment="1">
      <alignment horizontal="center" vertical="center"/>
    </xf>
    <xf numFmtId="165" fontId="17" fillId="0" borderId="54" xfId="3" applyFont="1" applyBorder="1" applyAlignment="1">
      <alignment horizontal="center" vertical="center"/>
    </xf>
    <xf numFmtId="165" fontId="17" fillId="0" borderId="54" xfId="3" applyFont="1" applyFill="1" applyBorder="1" applyAlignment="1">
      <alignment horizontal="center" vertical="center"/>
    </xf>
    <xf numFmtId="4" fontId="15" fillId="0" borderId="0" xfId="0" applyNumberFormat="1" applyFont="1" applyAlignment="1">
      <alignment vertical="center"/>
    </xf>
    <xf numFmtId="0" fontId="21" fillId="0" borderId="23" xfId="0" applyFont="1" applyBorder="1"/>
    <xf numFmtId="0" fontId="21" fillId="0" borderId="1" xfId="0" applyFont="1" applyBorder="1"/>
    <xf numFmtId="0" fontId="21" fillId="0" borderId="20" xfId="0" applyFont="1" applyBorder="1"/>
    <xf numFmtId="0" fontId="19" fillId="0" borderId="1" xfId="0" applyFont="1" applyBorder="1"/>
    <xf numFmtId="170" fontId="38" fillId="0" borderId="20" xfId="3" applyNumberFormat="1" applyFont="1" applyBorder="1" applyAlignment="1">
      <alignment horizontal="center" vertical="center" wrapText="1"/>
    </xf>
    <xf numFmtId="171" fontId="19" fillId="0" borderId="20" xfId="0" applyNumberFormat="1" applyFont="1" applyBorder="1"/>
    <xf numFmtId="2" fontId="19" fillId="0" borderId="20" xfId="0" applyNumberFormat="1" applyFont="1" applyBorder="1"/>
    <xf numFmtId="0" fontId="19" fillId="0" borderId="24" xfId="0" applyFont="1" applyBorder="1"/>
    <xf numFmtId="0" fontId="19" fillId="0" borderId="36" xfId="0" applyFont="1" applyBorder="1"/>
    <xf numFmtId="171" fontId="19" fillId="3" borderId="20" xfId="0" applyNumberFormat="1" applyFont="1" applyFill="1" applyBorder="1"/>
    <xf numFmtId="171" fontId="19" fillId="0" borderId="37" xfId="0" applyNumberFormat="1" applyFont="1" applyBorder="1"/>
    <xf numFmtId="0" fontId="31" fillId="0" borderId="1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31" fillId="0" borderId="20" xfId="0" applyFont="1" applyBorder="1" applyAlignment="1">
      <alignment horizontal="center"/>
    </xf>
    <xf numFmtId="0" fontId="19" fillId="0" borderId="23" xfId="0" applyFont="1" applyBorder="1" applyAlignment="1">
      <alignment horizontal="right"/>
    </xf>
    <xf numFmtId="4" fontId="45" fillId="0" borderId="0" xfId="0" applyNumberFormat="1" applyFont="1" applyAlignment="1">
      <alignment vertical="center"/>
    </xf>
    <xf numFmtId="4" fontId="46" fillId="0" borderId="0" xfId="0" applyNumberFormat="1" applyFont="1" applyAlignment="1">
      <alignment vertical="center"/>
    </xf>
    <xf numFmtId="0" fontId="44" fillId="0" borderId="0" xfId="0" applyFont="1"/>
    <xf numFmtId="0" fontId="15" fillId="0" borderId="2" xfId="0" applyFont="1" applyBorder="1" applyAlignment="1">
      <alignment vertical="center"/>
    </xf>
    <xf numFmtId="169" fontId="21" fillId="0" borderId="20" xfId="0" applyNumberFormat="1" applyFont="1" applyBorder="1"/>
    <xf numFmtId="9" fontId="32" fillId="0" borderId="20" xfId="2" applyFont="1" applyBorder="1"/>
    <xf numFmtId="10" fontId="32" fillId="0" borderId="20" xfId="2" applyNumberFormat="1" applyFont="1" applyBorder="1"/>
    <xf numFmtId="9" fontId="21" fillId="0" borderId="31" xfId="2" applyFont="1" applyBorder="1"/>
    <xf numFmtId="0" fontId="19" fillId="0" borderId="55" xfId="0" applyFont="1" applyBorder="1"/>
    <xf numFmtId="171" fontId="19" fillId="0" borderId="0" xfId="0" applyNumberFormat="1" applyFont="1"/>
    <xf numFmtId="0" fontId="48" fillId="0" borderId="0" xfId="4" applyFont="1"/>
    <xf numFmtId="0" fontId="14" fillId="0" borderId="0" xfId="4"/>
    <xf numFmtId="0" fontId="14" fillId="0" borderId="1" xfId="4" applyBorder="1"/>
    <xf numFmtId="0" fontId="48" fillId="0" borderId="1" xfId="4" applyFont="1" applyBorder="1" applyAlignment="1">
      <alignment horizontal="center"/>
    </xf>
    <xf numFmtId="0" fontId="14" fillId="0" borderId="1" xfId="4" applyBorder="1" applyAlignment="1">
      <alignment horizontal="center"/>
    </xf>
    <xf numFmtId="17" fontId="14" fillId="0" borderId="1" xfId="4" applyNumberFormat="1" applyBorder="1" applyAlignment="1">
      <alignment horizontal="center"/>
    </xf>
    <xf numFmtId="172" fontId="0" fillId="0" borderId="1" xfId="5" applyNumberFormat="1" applyFont="1" applyBorder="1" applyAlignment="1">
      <alignment horizontal="center"/>
    </xf>
    <xf numFmtId="43" fontId="14" fillId="0" borderId="0" xfId="4" applyNumberFormat="1"/>
    <xf numFmtId="43" fontId="0" fillId="0" borderId="0" xfId="5" applyFont="1"/>
    <xf numFmtId="165" fontId="14" fillId="0" borderId="0" xfId="3" applyFont="1"/>
    <xf numFmtId="165" fontId="15" fillId="3" borderId="2" xfId="3" applyFont="1" applyFill="1" applyBorder="1" applyAlignment="1">
      <alignment horizontal="center" vertical="center"/>
    </xf>
    <xf numFmtId="10" fontId="17" fillId="3" borderId="7" xfId="2" applyNumberFormat="1" applyFont="1" applyFill="1" applyBorder="1" applyAlignment="1">
      <alignment vertical="center"/>
    </xf>
    <xf numFmtId="175" fontId="20" fillId="0" borderId="1" xfId="3" applyNumberFormat="1" applyFont="1" applyBorder="1" applyAlignment="1">
      <alignment vertical="center"/>
    </xf>
    <xf numFmtId="0" fontId="48" fillId="0" borderId="0" xfId="25" applyFont="1"/>
    <xf numFmtId="0" fontId="13" fillId="0" borderId="0" xfId="25"/>
    <xf numFmtId="0" fontId="48" fillId="0" borderId="1" xfId="25" applyFont="1" applyBorder="1"/>
    <xf numFmtId="0" fontId="48" fillId="0" borderId="1" xfId="25" applyFont="1" applyBorder="1" applyAlignment="1">
      <alignment horizontal="center"/>
    </xf>
    <xf numFmtId="20" fontId="48" fillId="0" borderId="1" xfId="25" applyNumberFormat="1" applyFont="1" applyBorder="1"/>
    <xf numFmtId="0" fontId="13" fillId="0" borderId="8" xfId="25" applyBorder="1"/>
    <xf numFmtId="0" fontId="13" fillId="0" borderId="9" xfId="25" applyBorder="1"/>
    <xf numFmtId="0" fontId="13" fillId="0" borderId="1" xfId="25" applyBorder="1"/>
    <xf numFmtId="0" fontId="48" fillId="0" borderId="8" xfId="25" applyFont="1" applyBorder="1"/>
    <xf numFmtId="0" fontId="48" fillId="0" borderId="9" xfId="25" applyFont="1" applyBorder="1"/>
    <xf numFmtId="10" fontId="48" fillId="0" borderId="1" xfId="2" applyNumberFormat="1" applyFont="1" applyBorder="1"/>
    <xf numFmtId="165" fontId="13" fillId="0" borderId="0" xfId="3" applyFont="1"/>
    <xf numFmtId="165" fontId="0" fillId="3" borderId="1" xfId="3" applyFont="1" applyFill="1" applyBorder="1"/>
    <xf numFmtId="13" fontId="15" fillId="3" borderId="1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165" fontId="13" fillId="0" borderId="1" xfId="3" applyFont="1" applyBorder="1"/>
    <xf numFmtId="165" fontId="48" fillId="0" borderId="1" xfId="3" applyFont="1" applyBorder="1"/>
    <xf numFmtId="165" fontId="20" fillId="0" borderId="0" xfId="0" applyNumberFormat="1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49" fillId="0" borderId="0" xfId="4" applyFont="1"/>
    <xf numFmtId="166" fontId="15" fillId="0" borderId="0" xfId="3" applyNumberFormat="1" applyFont="1" applyBorder="1"/>
    <xf numFmtId="0" fontId="10" fillId="0" borderId="0" xfId="4" applyFont="1"/>
    <xf numFmtId="165" fontId="0" fillId="0" borderId="1" xfId="3" applyFont="1" applyBorder="1" applyAlignment="1">
      <alignment horizontal="center"/>
    </xf>
    <xf numFmtId="43" fontId="0" fillId="0" borderId="1" xfId="5" applyFont="1" applyBorder="1" applyAlignment="1">
      <alignment horizontal="center"/>
    </xf>
    <xf numFmtId="43" fontId="0" fillId="0" borderId="1" xfId="5" applyFont="1" applyBorder="1" applyAlignment="1"/>
    <xf numFmtId="4" fontId="20" fillId="3" borderId="1" xfId="0" applyNumberFormat="1" applyFont="1" applyFill="1" applyBorder="1" applyAlignment="1">
      <alignment vertical="center"/>
    </xf>
    <xf numFmtId="0" fontId="1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3" applyFont="1" applyBorder="1"/>
    <xf numFmtId="0" fontId="17" fillId="0" borderId="1" xfId="0" applyFont="1" applyBorder="1"/>
    <xf numFmtId="165" fontId="17" fillId="0" borderId="1" xfId="3" applyFont="1" applyBorder="1"/>
    <xf numFmtId="0" fontId="15" fillId="0" borderId="1" xfId="0" applyFont="1" applyBorder="1"/>
    <xf numFmtId="0" fontId="15" fillId="0" borderId="1" xfId="0" applyFont="1" applyBorder="1" applyAlignment="1">
      <alignment horizontal="center" vertical="center"/>
    </xf>
    <xf numFmtId="2" fontId="48" fillId="0" borderId="37" xfId="34" applyNumberFormat="1" applyFont="1" applyBorder="1"/>
    <xf numFmtId="166" fontId="19" fillId="3" borderId="20" xfId="3" applyNumberFormat="1" applyFont="1" applyFill="1" applyBorder="1"/>
    <xf numFmtId="0" fontId="48" fillId="0" borderId="1" xfId="4" applyFont="1" applyBorder="1"/>
    <xf numFmtId="43" fontId="14" fillId="0" borderId="1" xfId="4" applyNumberFormat="1" applyBorder="1"/>
    <xf numFmtId="0" fontId="48" fillId="0" borderId="8" xfId="4" applyFont="1" applyBorder="1"/>
    <xf numFmtId="0" fontId="48" fillId="0" borderId="9" xfId="4" applyFont="1" applyBorder="1"/>
    <xf numFmtId="0" fontId="48" fillId="0" borderId="10" xfId="4" applyFont="1" applyBorder="1"/>
    <xf numFmtId="0" fontId="8" fillId="0" borderId="0" xfId="36"/>
    <xf numFmtId="0" fontId="8" fillId="0" borderId="0" xfId="36" applyAlignment="1">
      <alignment wrapText="1"/>
    </xf>
    <xf numFmtId="0" fontId="8" fillId="0" borderId="0" xfId="36" applyAlignment="1">
      <alignment horizontal="center"/>
    </xf>
    <xf numFmtId="2" fontId="8" fillId="0" borderId="0" xfId="36" applyNumberFormat="1" applyAlignment="1">
      <alignment horizontal="center"/>
    </xf>
    <xf numFmtId="0" fontId="8" fillId="0" borderId="0" xfId="36" applyAlignment="1">
      <alignment vertical="center" wrapText="1"/>
    </xf>
    <xf numFmtId="2" fontId="8" fillId="0" borderId="0" xfId="36" applyNumberFormat="1"/>
    <xf numFmtId="0" fontId="8" fillId="0" borderId="1" xfId="36" applyBorder="1" applyAlignment="1">
      <alignment horizontal="center"/>
    </xf>
    <xf numFmtId="49" fontId="8" fillId="0" borderId="1" xfId="36" applyNumberFormat="1" applyBorder="1" applyAlignment="1">
      <alignment horizontal="center"/>
    </xf>
    <xf numFmtId="4" fontId="8" fillId="0" borderId="1" xfId="36" applyNumberFormat="1" applyBorder="1"/>
    <xf numFmtId="0" fontId="8" fillId="0" borderId="1" xfId="36" applyBorder="1" applyAlignment="1">
      <alignment horizontal="right" vertical="center"/>
    </xf>
    <xf numFmtId="0" fontId="8" fillId="0" borderId="1" xfId="36" applyBorder="1" applyAlignment="1">
      <alignment horizontal="left" vertical="center"/>
    </xf>
    <xf numFmtId="2" fontId="8" fillId="0" borderId="1" xfId="36" applyNumberFormat="1" applyBorder="1"/>
    <xf numFmtId="2" fontId="8" fillId="0" borderId="20" xfId="36" applyNumberFormat="1" applyBorder="1"/>
    <xf numFmtId="2" fontId="48" fillId="0" borderId="22" xfId="36" applyNumberFormat="1" applyFont="1" applyBorder="1"/>
    <xf numFmtId="2" fontId="48" fillId="0" borderId="12" xfId="36" applyNumberFormat="1" applyFont="1" applyBorder="1"/>
    <xf numFmtId="4" fontId="48" fillId="0" borderId="36" xfId="36" applyNumberFormat="1" applyFont="1" applyBorder="1"/>
    <xf numFmtId="2" fontId="48" fillId="0" borderId="37" xfId="36" applyNumberFormat="1" applyFont="1" applyBorder="1"/>
    <xf numFmtId="176" fontId="48" fillId="0" borderId="0" xfId="36" applyNumberFormat="1" applyFont="1" applyAlignment="1">
      <alignment horizontal="center"/>
    </xf>
    <xf numFmtId="2" fontId="48" fillId="0" borderId="22" xfId="36" applyNumberFormat="1" applyFont="1" applyBorder="1" applyAlignment="1">
      <alignment horizontal="right"/>
    </xf>
    <xf numFmtId="176" fontId="0" fillId="0" borderId="1" xfId="37" applyNumberFormat="1" applyFont="1" applyBorder="1" applyAlignment="1">
      <alignment horizontal="right"/>
    </xf>
    <xf numFmtId="177" fontId="8" fillId="0" borderId="1" xfId="36" applyNumberFormat="1" applyBorder="1"/>
    <xf numFmtId="49" fontId="8" fillId="0" borderId="0" xfId="36" applyNumberFormat="1" applyAlignment="1">
      <alignment horizontal="center"/>
    </xf>
    <xf numFmtId="0" fontId="8" fillId="0" borderId="0" xfId="36" applyAlignment="1">
      <alignment horizontal="center" vertical="center"/>
    </xf>
    <xf numFmtId="0" fontId="48" fillId="0" borderId="0" xfId="36" applyFont="1"/>
    <xf numFmtId="0" fontId="8" fillId="0" borderId="8" xfId="25" applyFont="1" applyBorder="1"/>
    <xf numFmtId="43" fontId="13" fillId="0" borderId="0" xfId="25" applyNumberFormat="1"/>
    <xf numFmtId="0" fontId="7" fillId="0" borderId="1" xfId="36" applyFont="1" applyBorder="1" applyAlignment="1">
      <alignment horizontal="left" vertical="center"/>
    </xf>
    <xf numFmtId="2" fontId="7" fillId="0" borderId="1" xfId="36" applyNumberFormat="1" applyFont="1" applyBorder="1"/>
    <xf numFmtId="2" fontId="7" fillId="0" borderId="20" xfId="36" applyNumberFormat="1" applyFont="1" applyBorder="1"/>
    <xf numFmtId="0" fontId="7" fillId="0" borderId="0" xfId="36" applyFont="1"/>
    <xf numFmtId="2" fontId="7" fillId="0" borderId="12" xfId="34" applyNumberFormat="1" applyFont="1" applyBorder="1"/>
    <xf numFmtId="2" fontId="7" fillId="0" borderId="20" xfId="34" applyNumberFormat="1" applyFont="1" applyBorder="1"/>
    <xf numFmtId="2" fontId="48" fillId="0" borderId="18" xfId="34" applyNumberFormat="1" applyFont="1" applyBorder="1"/>
    <xf numFmtId="0" fontId="8" fillId="0" borderId="60" xfId="36" applyBorder="1"/>
    <xf numFmtId="165" fontId="0" fillId="0" borderId="0" xfId="0" applyNumberForma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3" fontId="15" fillId="3" borderId="1" xfId="0" applyNumberFormat="1" applyFont="1" applyFill="1" applyBorder="1" applyAlignment="1">
      <alignment horizontal="center" vertical="center"/>
    </xf>
    <xf numFmtId="165" fontId="15" fillId="0" borderId="2" xfId="3" applyFont="1" applyBorder="1" applyAlignment="1">
      <alignment horizontal="center" vertical="center"/>
    </xf>
    <xf numFmtId="165" fontId="15" fillId="0" borderId="1" xfId="3" applyFont="1" applyBorder="1" applyAlignment="1">
      <alignment horizontal="center" vertical="center"/>
    </xf>
    <xf numFmtId="165" fontId="20" fillId="3" borderId="2" xfId="3" applyFont="1" applyFill="1" applyBorder="1" applyAlignment="1">
      <alignment horizontal="right" vertical="center"/>
    </xf>
    <xf numFmtId="165" fontId="48" fillId="0" borderId="17" xfId="3" applyFont="1" applyBorder="1" applyAlignment="1">
      <alignment horizontal="center" vertical="center" wrapText="1"/>
    </xf>
    <xf numFmtId="175" fontId="20" fillId="0" borderId="0" xfId="3" applyNumberFormat="1" applyFont="1" applyBorder="1" applyAlignment="1">
      <alignment vertical="center"/>
    </xf>
    <xf numFmtId="165" fontId="15" fillId="0" borderId="0" xfId="3" applyFont="1" applyAlignment="1">
      <alignment vertical="center"/>
    </xf>
    <xf numFmtId="1" fontId="15" fillId="0" borderId="1" xfId="3" applyNumberFormat="1" applyFont="1" applyFill="1" applyBorder="1" applyAlignment="1">
      <alignment horizontal="center" vertical="center"/>
    </xf>
    <xf numFmtId="44" fontId="15" fillId="3" borderId="1" xfId="6" applyFont="1" applyFill="1" applyBorder="1" applyAlignment="1">
      <alignment horizontal="center" vertical="center"/>
    </xf>
    <xf numFmtId="44" fontId="15" fillId="3" borderId="1" xfId="6" applyFont="1" applyFill="1" applyBorder="1" applyAlignment="1">
      <alignment vertical="center"/>
    </xf>
    <xf numFmtId="0" fontId="16" fillId="0" borderId="62" xfId="0" applyFont="1" applyBorder="1" applyAlignment="1">
      <alignment vertical="center"/>
    </xf>
    <xf numFmtId="165" fontId="15" fillId="0" borderId="0" xfId="3" applyFont="1" applyAlignment="1">
      <alignment horizontal="right" vertical="center"/>
    </xf>
    <xf numFmtId="175" fontId="15" fillId="0" borderId="1" xfId="3" applyNumberFormat="1" applyFont="1" applyBorder="1" applyAlignment="1">
      <alignment vertical="center"/>
    </xf>
    <xf numFmtId="44" fontId="17" fillId="2" borderId="4" xfId="6" applyFont="1" applyFill="1" applyBorder="1" applyAlignment="1">
      <alignment vertical="center"/>
    </xf>
    <xf numFmtId="175" fontId="15" fillId="0" borderId="0" xfId="3" applyNumberFormat="1" applyFont="1" applyFill="1" applyBorder="1" applyAlignment="1">
      <alignment vertical="center"/>
    </xf>
    <xf numFmtId="44" fontId="17" fillId="0" borderId="4" xfId="6" applyFont="1" applyFill="1" applyBorder="1" applyAlignment="1">
      <alignment vertical="center"/>
    </xf>
    <xf numFmtId="165" fontId="17" fillId="0" borderId="14" xfId="3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2" fontId="48" fillId="0" borderId="17" xfId="34" applyNumberFormat="1" applyFont="1" applyBorder="1" applyAlignment="1">
      <alignment horizontal="right" vertical="center" wrapText="1"/>
    </xf>
    <xf numFmtId="2" fontId="7" fillId="0" borderId="22" xfId="34" applyNumberFormat="1" applyFont="1" applyBorder="1" applyAlignment="1">
      <alignment horizontal="right" vertical="center" wrapText="1"/>
    </xf>
    <xf numFmtId="2" fontId="7" fillId="0" borderId="1" xfId="34" applyNumberFormat="1" applyFont="1" applyBorder="1" applyAlignment="1">
      <alignment horizontal="right" vertical="center" wrapText="1"/>
    </xf>
    <xf numFmtId="2" fontId="48" fillId="0" borderId="36" xfId="34" applyNumberFormat="1" applyFont="1" applyBorder="1" applyAlignment="1">
      <alignment horizontal="right" vertical="center" wrapText="1"/>
    </xf>
    <xf numFmtId="0" fontId="1" fillId="0" borderId="23" xfId="36" applyFont="1" applyBorder="1" applyAlignment="1">
      <alignment horizontal="center" vertical="center"/>
    </xf>
    <xf numFmtId="1" fontId="7" fillId="0" borderId="1" xfId="36" applyNumberFormat="1" applyFont="1" applyBorder="1" applyAlignment="1">
      <alignment horizontal="right" vertical="center"/>
    </xf>
    <xf numFmtId="0" fontId="8" fillId="0" borderId="23" xfId="36" applyBorder="1" applyAlignment="1">
      <alignment horizontal="center"/>
    </xf>
    <xf numFmtId="0" fontId="8" fillId="0" borderId="20" xfId="36" applyBorder="1" applyAlignment="1">
      <alignment horizontal="center"/>
    </xf>
    <xf numFmtId="0" fontId="8" fillId="0" borderId="20" xfId="36" applyBorder="1"/>
    <xf numFmtId="0" fontId="8" fillId="0" borderId="37" xfId="36" applyBorder="1"/>
    <xf numFmtId="2" fontId="48" fillId="0" borderId="3" xfId="37" applyNumberFormat="1" applyFont="1" applyBorder="1"/>
    <xf numFmtId="0" fontId="8" fillId="0" borderId="48" xfId="36" applyBorder="1"/>
    <xf numFmtId="176" fontId="48" fillId="0" borderId="36" xfId="37" applyNumberFormat="1" applyFont="1" applyBorder="1"/>
    <xf numFmtId="2" fontId="48" fillId="0" borderId="17" xfId="37" applyNumberFormat="1" applyFont="1" applyBorder="1" applyAlignment="1">
      <alignment horizontal="right"/>
    </xf>
    <xf numFmtId="0" fontId="8" fillId="0" borderId="18" xfId="36" applyBorder="1"/>
    <xf numFmtId="2" fontId="48" fillId="0" borderId="36" xfId="37" applyNumberFormat="1" applyFont="1" applyBorder="1"/>
    <xf numFmtId="2" fontId="48" fillId="0" borderId="64" xfId="37" applyNumberFormat="1" applyFont="1" applyBorder="1" applyAlignment="1">
      <alignment horizontal="right"/>
    </xf>
    <xf numFmtId="0" fontId="8" fillId="0" borderId="31" xfId="36" applyBorder="1"/>
    <xf numFmtId="0" fontId="48" fillId="0" borderId="10" xfId="4" applyFont="1" applyBorder="1" applyAlignment="1">
      <alignment horizontal="center"/>
    </xf>
    <xf numFmtId="0" fontId="17" fillId="0" borderId="0" xfId="9" applyFont="1" applyAlignment="1">
      <alignment vertical="center"/>
    </xf>
    <xf numFmtId="0" fontId="15" fillId="0" borderId="0" xfId="9" applyAlignment="1">
      <alignment vertical="center"/>
    </xf>
    <xf numFmtId="4" fontId="15" fillId="0" borderId="0" xfId="9" applyNumberFormat="1" applyAlignment="1">
      <alignment vertical="center"/>
    </xf>
    <xf numFmtId="0" fontId="19" fillId="0" borderId="0" xfId="9" applyFont="1" applyAlignment="1">
      <alignment vertical="center"/>
    </xf>
    <xf numFmtId="0" fontId="15" fillId="0" borderId="38" xfId="9" applyBorder="1" applyAlignment="1">
      <alignment vertical="center"/>
    </xf>
    <xf numFmtId="4" fontId="17" fillId="0" borderId="9" xfId="9" applyNumberFormat="1" applyFont="1" applyBorder="1" applyAlignment="1">
      <alignment horizontal="centerContinuous" vertical="center"/>
    </xf>
    <xf numFmtId="168" fontId="17" fillId="0" borderId="1" xfId="9" applyNumberFormat="1" applyFont="1" applyBorder="1" applyAlignment="1">
      <alignment vertical="center"/>
    </xf>
    <xf numFmtId="168" fontId="17" fillId="0" borderId="36" xfId="9" applyNumberFormat="1" applyFont="1" applyBorder="1" applyAlignment="1">
      <alignment vertical="center"/>
    </xf>
    <xf numFmtId="4" fontId="17" fillId="0" borderId="6" xfId="9" applyNumberFormat="1" applyFont="1" applyBorder="1" applyAlignment="1">
      <alignment horizontal="centerContinuous" vertical="center"/>
    </xf>
    <xf numFmtId="164" fontId="17" fillId="0" borderId="34" xfId="9" applyNumberFormat="1" applyFont="1" applyBorder="1" applyAlignment="1">
      <alignment vertical="center"/>
    </xf>
    <xf numFmtId="0" fontId="27" fillId="2" borderId="16" xfId="9" applyFont="1" applyFill="1" applyBorder="1" applyAlignment="1">
      <alignment horizontal="center" vertical="center"/>
    </xf>
    <xf numFmtId="0" fontId="27" fillId="2" borderId="17" xfId="9" applyFont="1" applyFill="1" applyBorder="1" applyAlignment="1">
      <alignment horizontal="center" vertical="center"/>
    </xf>
    <xf numFmtId="0" fontId="15" fillId="0" borderId="1" xfId="9" applyBorder="1" applyAlignment="1">
      <alignment vertical="center"/>
    </xf>
    <xf numFmtId="0" fontId="15" fillId="0" borderId="1" xfId="9" applyBorder="1" applyAlignment="1">
      <alignment horizontal="center" vertical="center"/>
    </xf>
    <xf numFmtId="43" fontId="15" fillId="0" borderId="1" xfId="9" applyNumberFormat="1" applyFill="1" applyBorder="1" applyAlignment="1">
      <alignment vertical="center"/>
    </xf>
    <xf numFmtId="165" fontId="15" fillId="0" borderId="0" xfId="3" applyFont="1" applyFill="1" applyBorder="1" applyAlignment="1">
      <alignment horizontal="center" vertical="center"/>
    </xf>
    <xf numFmtId="0" fontId="17" fillId="0" borderId="5" xfId="9" applyFont="1" applyBorder="1" applyAlignment="1">
      <alignment vertical="center"/>
    </xf>
    <xf numFmtId="0" fontId="17" fillId="0" borderId="6" xfId="9" applyFont="1" applyBorder="1" applyAlignment="1">
      <alignment vertical="center"/>
    </xf>
    <xf numFmtId="0" fontId="15" fillId="0" borderId="6" xfId="9" applyBorder="1" applyAlignment="1">
      <alignment vertical="center"/>
    </xf>
    <xf numFmtId="165" fontId="15" fillId="0" borderId="6" xfId="3" applyFont="1" applyBorder="1" applyAlignment="1">
      <alignment vertical="center"/>
    </xf>
    <xf numFmtId="165" fontId="15" fillId="0" borderId="7" xfId="3" applyFont="1" applyBorder="1" applyAlignment="1">
      <alignment vertical="center"/>
    </xf>
    <xf numFmtId="0" fontId="15" fillId="0" borderId="2" xfId="9" applyBorder="1" applyAlignment="1">
      <alignment vertical="center"/>
    </xf>
    <xf numFmtId="0" fontId="15" fillId="0" borderId="2" xfId="9" applyBorder="1" applyAlignment="1">
      <alignment horizontal="center" vertical="center"/>
    </xf>
    <xf numFmtId="165" fontId="15" fillId="6" borderId="1" xfId="3" applyFont="1" applyFill="1" applyBorder="1" applyAlignment="1">
      <alignment horizontal="center" vertical="center"/>
    </xf>
    <xf numFmtId="0" fontId="17" fillId="0" borderId="25" xfId="9" applyFont="1" applyBorder="1" applyAlignment="1">
      <alignment vertical="center"/>
    </xf>
    <xf numFmtId="0" fontId="15" fillId="0" borderId="26" xfId="9" applyBorder="1" applyAlignment="1">
      <alignment vertical="center"/>
    </xf>
    <xf numFmtId="165" fontId="15" fillId="0" borderId="26" xfId="3" applyFont="1" applyBorder="1" applyAlignment="1">
      <alignment vertical="center"/>
    </xf>
    <xf numFmtId="165" fontId="15" fillId="0" borderId="27" xfId="3" applyFont="1" applyBorder="1" applyAlignment="1">
      <alignment vertical="center"/>
    </xf>
    <xf numFmtId="165" fontId="17" fillId="2" borderId="51" xfId="3" applyFont="1" applyFill="1" applyBorder="1" applyAlignment="1">
      <alignment vertical="center"/>
    </xf>
    <xf numFmtId="0" fontId="18" fillId="0" borderId="8" xfId="9" applyFont="1" applyBorder="1" applyAlignment="1">
      <alignment vertical="center"/>
    </xf>
    <xf numFmtId="0" fontId="18" fillId="0" borderId="9" xfId="9" applyFont="1" applyBorder="1" applyAlignment="1">
      <alignment vertical="center"/>
    </xf>
    <xf numFmtId="43" fontId="18" fillId="0" borderId="9" xfId="9" applyNumberFormat="1" applyFont="1" applyBorder="1" applyAlignment="1">
      <alignment vertical="center"/>
    </xf>
    <xf numFmtId="165" fontId="18" fillId="0" borderId="9" xfId="3" applyFont="1" applyFill="1" applyBorder="1" applyAlignment="1">
      <alignment vertical="center"/>
    </xf>
    <xf numFmtId="165" fontId="18" fillId="0" borderId="10" xfId="3" applyFont="1" applyBorder="1" applyAlignment="1">
      <alignment vertical="center"/>
    </xf>
    <xf numFmtId="165" fontId="15" fillId="0" borderId="0" xfId="3" applyFont="1" applyFill="1" applyAlignment="1">
      <alignment vertical="center"/>
    </xf>
    <xf numFmtId="165" fontId="15" fillId="3" borderId="1" xfId="3" applyFont="1" applyFill="1" applyBorder="1" applyAlignment="1">
      <alignment horizontal="center" vertical="center"/>
    </xf>
    <xf numFmtId="13" fontId="15" fillId="3" borderId="1" xfId="0" applyNumberFormat="1" applyFont="1" applyFill="1" applyBorder="1" applyAlignment="1">
      <alignment horizontal="right" vertical="center"/>
    </xf>
    <xf numFmtId="10" fontId="17" fillId="0" borderId="18" xfId="2" applyNumberFormat="1" applyFont="1" applyBorder="1" applyAlignment="1">
      <alignment vertical="center"/>
    </xf>
    <xf numFmtId="0" fontId="17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165" fontId="17" fillId="0" borderId="14" xfId="3" applyFont="1" applyBorder="1" applyAlignment="1">
      <alignment horizontal="left" vertical="center"/>
    </xf>
    <xf numFmtId="165" fontId="17" fillId="0" borderId="9" xfId="3" applyFont="1" applyBorder="1" applyAlignment="1">
      <alignment horizontal="left" vertical="center"/>
    </xf>
    <xf numFmtId="0" fontId="31" fillId="8" borderId="25" xfId="0" applyFont="1" applyFill="1" applyBorder="1" applyAlignment="1">
      <alignment horizontal="center" vertical="center"/>
    </xf>
    <xf numFmtId="0" fontId="31" fillId="8" borderId="26" xfId="0" applyFont="1" applyFill="1" applyBorder="1" applyAlignment="1">
      <alignment horizontal="center" vertical="center"/>
    </xf>
    <xf numFmtId="0" fontId="31" fillId="8" borderId="27" xfId="0" applyFont="1" applyFill="1" applyBorder="1" applyAlignment="1">
      <alignment horizontal="center" vertical="center"/>
    </xf>
    <xf numFmtId="0" fontId="21" fillId="8" borderId="44" xfId="0" applyFont="1" applyFill="1" applyBorder="1" applyAlignment="1">
      <alignment horizontal="center" vertical="center"/>
    </xf>
    <xf numFmtId="0" fontId="21" fillId="8" borderId="42" xfId="0" applyFont="1" applyFill="1" applyBorder="1" applyAlignment="1">
      <alignment horizontal="center" vertical="center"/>
    </xf>
    <xf numFmtId="0" fontId="21" fillId="8" borderId="45" xfId="0" applyFont="1" applyFill="1" applyBorder="1" applyAlignment="1">
      <alignment horizontal="center" vertical="center"/>
    </xf>
    <xf numFmtId="165" fontId="17" fillId="0" borderId="5" xfId="3" applyFont="1" applyBorder="1" applyAlignment="1">
      <alignment horizontal="center" vertical="center"/>
    </xf>
    <xf numFmtId="165" fontId="17" fillId="0" borderId="6" xfId="3" applyFont="1" applyBorder="1" applyAlignment="1">
      <alignment horizontal="center" vertical="center"/>
    </xf>
    <xf numFmtId="165" fontId="17" fillId="0" borderId="43" xfId="3" applyFont="1" applyBorder="1" applyAlignment="1">
      <alignment horizontal="center" vertical="center"/>
    </xf>
    <xf numFmtId="165" fontId="18" fillId="8" borderId="5" xfId="3" applyFont="1" applyFill="1" applyBorder="1" applyAlignment="1">
      <alignment horizontal="center" vertical="center"/>
    </xf>
    <xf numFmtId="165" fontId="18" fillId="8" borderId="6" xfId="3" applyFont="1" applyFill="1" applyBorder="1" applyAlignment="1">
      <alignment horizontal="center" vertical="center"/>
    </xf>
    <xf numFmtId="165" fontId="18" fillId="8" borderId="7" xfId="3" applyFont="1" applyFill="1" applyBorder="1" applyAlignment="1">
      <alignment horizontal="center" vertical="center"/>
    </xf>
    <xf numFmtId="0" fontId="31" fillId="8" borderId="25" xfId="9" applyFont="1" applyFill="1" applyBorder="1" applyAlignment="1">
      <alignment horizontal="center" vertical="center"/>
    </xf>
    <xf numFmtId="0" fontId="31" fillId="8" borderId="26" xfId="9" applyFont="1" applyFill="1" applyBorder="1" applyAlignment="1">
      <alignment horizontal="center" vertical="center"/>
    </xf>
    <xf numFmtId="0" fontId="31" fillId="8" borderId="27" xfId="9" applyFont="1" applyFill="1" applyBorder="1" applyAlignment="1">
      <alignment horizontal="center" vertical="center"/>
    </xf>
    <xf numFmtId="0" fontId="21" fillId="8" borderId="44" xfId="9" applyFont="1" applyFill="1" applyBorder="1" applyAlignment="1">
      <alignment horizontal="center" vertical="center"/>
    </xf>
    <xf numFmtId="0" fontId="21" fillId="8" borderId="42" xfId="9" applyFont="1" applyFill="1" applyBorder="1" applyAlignment="1">
      <alignment horizontal="center" vertical="center"/>
    </xf>
    <xf numFmtId="0" fontId="21" fillId="8" borderId="45" xfId="9" applyFont="1" applyFill="1" applyBorder="1" applyAlignment="1">
      <alignment horizontal="center" vertical="center"/>
    </xf>
    <xf numFmtId="0" fontId="31" fillId="8" borderId="21" xfId="0" applyFont="1" applyFill="1" applyBorder="1" applyAlignment="1">
      <alignment horizontal="center" vertical="center"/>
    </xf>
    <xf numFmtId="0" fontId="31" fillId="8" borderId="22" xfId="0" applyFont="1" applyFill="1" applyBorder="1" applyAlignment="1">
      <alignment horizontal="center" vertical="center"/>
    </xf>
    <xf numFmtId="0" fontId="31" fillId="8" borderId="12" xfId="0" applyFont="1" applyFill="1" applyBorder="1" applyAlignment="1">
      <alignment horizontal="center" vertical="center"/>
    </xf>
    <xf numFmtId="0" fontId="31" fillId="10" borderId="19" xfId="0" applyFont="1" applyFill="1" applyBorder="1" applyAlignment="1">
      <alignment horizontal="center"/>
    </xf>
    <xf numFmtId="0" fontId="31" fillId="10" borderId="46" xfId="0" applyFont="1" applyFill="1" applyBorder="1" applyAlignment="1">
      <alignment horizontal="center"/>
    </xf>
    <xf numFmtId="0" fontId="20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0" fontId="19" fillId="0" borderId="1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9" fontId="21" fillId="0" borderId="21" xfId="2" applyFont="1" applyBorder="1" applyAlignment="1">
      <alignment horizontal="center"/>
    </xf>
    <xf numFmtId="9" fontId="21" fillId="0" borderId="22" xfId="2" applyFont="1" applyBorder="1" applyAlignment="1">
      <alignment horizontal="center"/>
    </xf>
    <xf numFmtId="9" fontId="21" fillId="0" borderId="12" xfId="2" applyFont="1" applyBorder="1" applyAlignment="1">
      <alignment horizontal="center"/>
    </xf>
    <xf numFmtId="0" fontId="18" fillId="10" borderId="25" xfId="0" applyFont="1" applyFill="1" applyBorder="1" applyAlignment="1">
      <alignment horizontal="center" vertical="center"/>
    </xf>
    <xf numFmtId="0" fontId="18" fillId="10" borderId="26" xfId="0" applyFont="1" applyFill="1" applyBorder="1" applyAlignment="1">
      <alignment horizontal="center" vertical="center"/>
    </xf>
    <xf numFmtId="0" fontId="18" fillId="10" borderId="27" xfId="0" applyFont="1" applyFill="1" applyBorder="1" applyAlignment="1">
      <alignment horizontal="center" vertical="center"/>
    </xf>
    <xf numFmtId="0" fontId="4" fillId="0" borderId="16" xfId="36" applyFont="1" applyBorder="1" applyAlignment="1">
      <alignment horizontal="center"/>
    </xf>
    <xf numFmtId="0" fontId="8" fillId="0" borderId="17" xfId="36" applyBorder="1" applyAlignment="1">
      <alignment horizontal="center"/>
    </xf>
    <xf numFmtId="0" fontId="8" fillId="0" borderId="18" xfId="36" applyBorder="1" applyAlignment="1">
      <alignment horizontal="center"/>
    </xf>
    <xf numFmtId="0" fontId="8" fillId="0" borderId="5" xfId="36" applyBorder="1" applyAlignment="1">
      <alignment horizontal="center" vertical="center" wrapText="1"/>
    </xf>
    <xf numFmtId="0" fontId="8" fillId="0" borderId="6" xfId="36" applyBorder="1" applyAlignment="1">
      <alignment horizontal="center" vertical="center" wrapText="1"/>
    </xf>
    <xf numFmtId="0" fontId="8" fillId="0" borderId="7" xfId="36" applyBorder="1" applyAlignment="1">
      <alignment horizontal="center" vertical="center" wrapText="1"/>
    </xf>
    <xf numFmtId="0" fontId="8" fillId="0" borderId="49" xfId="36" applyBorder="1" applyAlignment="1">
      <alignment horizontal="center"/>
    </xf>
    <xf numFmtId="0" fontId="8" fillId="0" borderId="2" xfId="36" applyBorder="1" applyAlignment="1">
      <alignment horizontal="center"/>
    </xf>
    <xf numFmtId="0" fontId="8" fillId="0" borderId="50" xfId="36" applyBorder="1" applyAlignment="1">
      <alignment horizontal="center"/>
    </xf>
    <xf numFmtId="0" fontId="8" fillId="0" borderId="47" xfId="36" applyBorder="1" applyAlignment="1">
      <alignment horizontal="right"/>
    </xf>
    <xf numFmtId="0" fontId="8" fillId="0" borderId="3" xfId="36" applyBorder="1" applyAlignment="1">
      <alignment horizontal="right"/>
    </xf>
    <xf numFmtId="0" fontId="8" fillId="0" borderId="21" xfId="36" applyBorder="1" applyAlignment="1">
      <alignment horizontal="center"/>
    </xf>
    <xf numFmtId="0" fontId="8" fillId="0" borderId="22" xfId="36" applyBorder="1" applyAlignment="1">
      <alignment horizontal="center"/>
    </xf>
    <xf numFmtId="0" fontId="8" fillId="0" borderId="12" xfId="36" applyBorder="1" applyAlignment="1">
      <alignment horizontal="center"/>
    </xf>
    <xf numFmtId="0" fontId="5" fillId="0" borderId="47" xfId="36" applyFont="1" applyBorder="1" applyAlignment="1">
      <alignment horizontal="center" vertical="center" wrapText="1"/>
    </xf>
    <xf numFmtId="0" fontId="5" fillId="0" borderId="49" xfId="36" applyFont="1" applyBorder="1" applyAlignment="1">
      <alignment horizontal="center" vertical="center" wrapText="1"/>
    </xf>
    <xf numFmtId="0" fontId="8" fillId="0" borderId="24" xfId="36" applyBorder="1" applyAlignment="1">
      <alignment horizontal="center"/>
    </xf>
    <xf numFmtId="0" fontId="8" fillId="0" borderId="36" xfId="36" applyBorder="1" applyAlignment="1">
      <alignment horizontal="center"/>
    </xf>
    <xf numFmtId="0" fontId="8" fillId="0" borderId="37" xfId="36" applyBorder="1" applyAlignment="1">
      <alignment horizontal="center"/>
    </xf>
    <xf numFmtId="0" fontId="8" fillId="0" borderId="49" xfId="36" applyBorder="1" applyAlignment="1">
      <alignment horizontal="center" vertical="center" wrapText="1"/>
    </xf>
    <xf numFmtId="0" fontId="8" fillId="0" borderId="23" xfId="36" applyBorder="1" applyAlignment="1">
      <alignment horizontal="center" vertical="center" wrapText="1"/>
    </xf>
    <xf numFmtId="0" fontId="8" fillId="0" borderId="2" xfId="36" applyBorder="1" applyAlignment="1">
      <alignment horizontal="center" vertical="center" wrapText="1"/>
    </xf>
    <xf numFmtId="0" fontId="8" fillId="0" borderId="1" xfId="36" applyBorder="1" applyAlignment="1">
      <alignment horizontal="center" vertical="center" wrapText="1"/>
    </xf>
    <xf numFmtId="0" fontId="5" fillId="0" borderId="2" xfId="36" applyFont="1" applyBorder="1" applyAlignment="1">
      <alignment horizontal="center" vertical="center" wrapText="1"/>
    </xf>
    <xf numFmtId="0" fontId="8" fillId="0" borderId="50" xfId="36" applyBorder="1" applyAlignment="1">
      <alignment horizontal="center" vertical="center" wrapText="1"/>
    </xf>
    <xf numFmtId="0" fontId="8" fillId="0" borderId="20" xfId="36" applyBorder="1" applyAlignment="1">
      <alignment horizontal="center" vertical="center" wrapText="1"/>
    </xf>
    <xf numFmtId="0" fontId="7" fillId="0" borderId="40" xfId="36" applyFont="1" applyBorder="1" applyAlignment="1">
      <alignment horizontal="center" vertical="center" wrapText="1"/>
    </xf>
    <xf numFmtId="0" fontId="7" fillId="0" borderId="41" xfId="36" applyFont="1" applyBorder="1" applyAlignment="1">
      <alignment horizontal="center" vertical="center" wrapText="1"/>
    </xf>
    <xf numFmtId="0" fontId="7" fillId="0" borderId="57" xfId="36" applyFont="1" applyBorder="1" applyAlignment="1">
      <alignment horizontal="center" vertical="center" wrapText="1"/>
    </xf>
    <xf numFmtId="0" fontId="8" fillId="0" borderId="19" xfId="36" applyBorder="1" applyAlignment="1">
      <alignment horizontal="center" vertical="center" wrapText="1"/>
    </xf>
    <xf numFmtId="0" fontId="8" fillId="0" borderId="11" xfId="36" applyBorder="1" applyAlignment="1">
      <alignment horizontal="center" vertical="center" wrapText="1"/>
    </xf>
    <xf numFmtId="0" fontId="8" fillId="0" borderId="56" xfId="36" applyBorder="1" applyAlignment="1">
      <alignment horizontal="center" vertical="center" wrapText="1"/>
    </xf>
    <xf numFmtId="0" fontId="8" fillId="0" borderId="40" xfId="36" applyBorder="1" applyAlignment="1">
      <alignment horizontal="center" vertical="center" wrapText="1"/>
    </xf>
    <xf numFmtId="0" fontId="8" fillId="0" borderId="41" xfId="36" applyBorder="1" applyAlignment="1">
      <alignment horizontal="center" vertical="center" wrapText="1"/>
    </xf>
    <xf numFmtId="0" fontId="8" fillId="0" borderId="57" xfId="36" applyBorder="1" applyAlignment="1">
      <alignment horizontal="center" vertical="center" wrapText="1"/>
    </xf>
    <xf numFmtId="0" fontId="3" fillId="0" borderId="0" xfId="36" applyFont="1" applyAlignment="1">
      <alignment horizontal="center"/>
    </xf>
    <xf numFmtId="0" fontId="8" fillId="0" borderId="0" xfId="36" applyAlignment="1">
      <alignment horizontal="center"/>
    </xf>
    <xf numFmtId="0" fontId="8" fillId="0" borderId="58" xfId="36" applyBorder="1" applyAlignment="1">
      <alignment horizontal="center"/>
    </xf>
    <xf numFmtId="0" fontId="7" fillId="0" borderId="25" xfId="36" applyFont="1" applyBorder="1" applyAlignment="1">
      <alignment horizontal="center" vertical="center" wrapText="1"/>
    </xf>
    <xf numFmtId="0" fontId="7" fillId="0" borderId="26" xfId="36" applyFont="1" applyBorder="1" applyAlignment="1">
      <alignment horizontal="center" vertical="center" wrapText="1"/>
    </xf>
    <xf numFmtId="0" fontId="7" fillId="0" borderId="27" xfId="36" applyFont="1" applyBorder="1" applyAlignment="1">
      <alignment horizontal="center" vertical="center" wrapText="1"/>
    </xf>
    <xf numFmtId="0" fontId="7" fillId="0" borderId="21" xfId="36" applyFont="1" applyBorder="1" applyAlignment="1">
      <alignment horizontal="center" vertical="center" wrapText="1"/>
    </xf>
    <xf numFmtId="0" fontId="7" fillId="0" borderId="23" xfId="36" applyFont="1" applyBorder="1" applyAlignment="1">
      <alignment horizontal="center" vertical="center" wrapText="1"/>
    </xf>
    <xf numFmtId="0" fontId="7" fillId="0" borderId="22" xfId="36" applyFont="1" applyBorder="1" applyAlignment="1">
      <alignment horizontal="center" vertical="center" wrapText="1"/>
    </xf>
    <xf numFmtId="0" fontId="7" fillId="0" borderId="1" xfId="36" applyFont="1" applyBorder="1" applyAlignment="1">
      <alignment horizontal="center" vertical="center" wrapText="1"/>
    </xf>
    <xf numFmtId="0" fontId="7" fillId="0" borderId="12" xfId="36" applyFont="1" applyBorder="1" applyAlignment="1">
      <alignment horizontal="center" vertical="center" wrapText="1"/>
    </xf>
    <xf numFmtId="0" fontId="7" fillId="0" borderId="20" xfId="36" applyFont="1" applyBorder="1" applyAlignment="1">
      <alignment horizontal="center" vertical="center" wrapText="1"/>
    </xf>
    <xf numFmtId="0" fontId="7" fillId="0" borderId="24" xfId="36" applyFont="1" applyBorder="1" applyAlignment="1">
      <alignment horizontal="center"/>
    </xf>
    <xf numFmtId="0" fontId="7" fillId="0" borderId="36" xfId="36" applyFont="1" applyBorder="1" applyAlignment="1">
      <alignment horizontal="center"/>
    </xf>
    <xf numFmtId="0" fontId="7" fillId="0" borderId="37" xfId="36" applyFont="1" applyBorder="1" applyAlignment="1">
      <alignment horizontal="center"/>
    </xf>
    <xf numFmtId="0" fontId="7" fillId="0" borderId="19" xfId="36" applyFont="1" applyBorder="1" applyAlignment="1">
      <alignment horizontal="center" vertical="center" wrapText="1"/>
    </xf>
    <xf numFmtId="0" fontId="7" fillId="0" borderId="11" xfId="36" applyFont="1" applyBorder="1" applyAlignment="1">
      <alignment horizontal="center" vertical="center" wrapText="1"/>
    </xf>
    <xf numFmtId="0" fontId="7" fillId="0" borderId="56" xfId="36" applyFont="1" applyBorder="1" applyAlignment="1">
      <alignment horizontal="center" vertical="center" wrapText="1"/>
    </xf>
    <xf numFmtId="0" fontId="7" fillId="0" borderId="16" xfId="34" applyFont="1" applyBorder="1" applyAlignment="1">
      <alignment horizontal="center" vertical="center" wrapText="1"/>
    </xf>
    <xf numFmtId="0" fontId="7" fillId="0" borderId="17" xfId="34" applyFont="1" applyBorder="1" applyAlignment="1">
      <alignment horizontal="center" vertical="center" wrapText="1"/>
    </xf>
    <xf numFmtId="0" fontId="7" fillId="0" borderId="18" xfId="34" applyFont="1" applyBorder="1" applyAlignment="1">
      <alignment horizontal="center" vertical="center" wrapText="1"/>
    </xf>
    <xf numFmtId="0" fontId="7" fillId="0" borderId="21" xfId="34" applyFont="1" applyBorder="1" applyAlignment="1">
      <alignment horizontal="right" vertical="center"/>
    </xf>
    <xf numFmtId="0" fontId="7" fillId="0" borderId="22" xfId="34" applyFont="1" applyBorder="1" applyAlignment="1">
      <alignment horizontal="right" vertical="center"/>
    </xf>
    <xf numFmtId="0" fontId="7" fillId="0" borderId="23" xfId="34" applyFont="1" applyBorder="1" applyAlignment="1">
      <alignment horizontal="right" vertical="center"/>
    </xf>
    <xf numFmtId="0" fontId="7" fillId="0" borderId="1" xfId="34" applyFont="1" applyBorder="1" applyAlignment="1">
      <alignment horizontal="right" vertical="center"/>
    </xf>
    <xf numFmtId="0" fontId="8" fillId="0" borderId="23" xfId="36" applyBorder="1" applyAlignment="1">
      <alignment horizontal="center"/>
    </xf>
    <xf numFmtId="0" fontId="8" fillId="0" borderId="1" xfId="36" applyBorder="1" applyAlignment="1">
      <alignment horizontal="center"/>
    </xf>
    <xf numFmtId="0" fontId="8" fillId="0" borderId="24" xfId="36" applyBorder="1" applyAlignment="1">
      <alignment horizontal="right"/>
    </xf>
    <xf numFmtId="0" fontId="8" fillId="0" borderId="36" xfId="36" applyBorder="1" applyAlignment="1">
      <alignment horizontal="right"/>
    </xf>
    <xf numFmtId="0" fontId="8" fillId="0" borderId="63" xfId="36" applyBorder="1" applyAlignment="1">
      <alignment horizontal="right"/>
    </xf>
    <xf numFmtId="0" fontId="8" fillId="0" borderId="64" xfId="36" applyBorder="1" applyAlignment="1">
      <alignment horizontal="right"/>
    </xf>
    <xf numFmtId="0" fontId="7" fillId="0" borderId="24" xfId="34" applyFont="1" applyBorder="1" applyAlignment="1">
      <alignment horizontal="right" vertical="center"/>
    </xf>
    <xf numFmtId="0" fontId="7" fillId="0" borderId="36" xfId="34" applyFont="1" applyBorder="1" applyAlignment="1">
      <alignment horizontal="right" vertical="center"/>
    </xf>
    <xf numFmtId="0" fontId="7" fillId="0" borderId="59" xfId="34" applyFont="1" applyBorder="1" applyAlignment="1">
      <alignment horizontal="center" vertical="center"/>
    </xf>
    <xf numFmtId="0" fontId="7" fillId="0" borderId="60" xfId="34" applyFont="1" applyBorder="1" applyAlignment="1">
      <alignment horizontal="center" vertical="center"/>
    </xf>
    <xf numFmtId="0" fontId="7" fillId="0" borderId="61" xfId="34" applyFont="1" applyBorder="1" applyAlignment="1">
      <alignment horizontal="center" vertical="center"/>
    </xf>
    <xf numFmtId="0" fontId="7" fillId="0" borderId="16" xfId="34" applyFont="1" applyBorder="1" applyAlignment="1">
      <alignment horizontal="right" vertical="center"/>
    </xf>
    <xf numFmtId="0" fontId="7" fillId="0" borderId="17" xfId="34" applyFont="1" applyBorder="1" applyAlignment="1">
      <alignment horizontal="right" vertical="center"/>
    </xf>
    <xf numFmtId="0" fontId="6" fillId="0" borderId="16" xfId="34" applyFont="1" applyBorder="1" applyAlignment="1">
      <alignment horizontal="right" vertical="center"/>
    </xf>
    <xf numFmtId="0" fontId="8" fillId="0" borderId="28" xfId="36" applyBorder="1" applyAlignment="1">
      <alignment horizontal="center"/>
    </xf>
    <xf numFmtId="0" fontId="8" fillId="0" borderId="29" xfId="36" applyBorder="1" applyAlignment="1">
      <alignment horizontal="center"/>
    </xf>
    <xf numFmtId="0" fontId="8" fillId="0" borderId="30" xfId="36" applyBorder="1" applyAlignment="1">
      <alignment horizontal="center"/>
    </xf>
    <xf numFmtId="0" fontId="1" fillId="0" borderId="23" xfId="36" applyFont="1" applyBorder="1" applyAlignment="1">
      <alignment horizontal="center"/>
    </xf>
    <xf numFmtId="0" fontId="8" fillId="0" borderId="38" xfId="36" applyBorder="1" applyAlignment="1">
      <alignment horizontal="center"/>
    </xf>
    <xf numFmtId="0" fontId="8" fillId="0" borderId="0" xfId="36" applyBorder="1" applyAlignment="1">
      <alignment horizontal="center"/>
    </xf>
    <xf numFmtId="0" fontId="8" fillId="0" borderId="39" xfId="36" applyBorder="1" applyAlignment="1">
      <alignment horizontal="center"/>
    </xf>
    <xf numFmtId="0" fontId="8" fillId="0" borderId="16" xfId="36" applyBorder="1" applyAlignment="1">
      <alignment horizontal="right"/>
    </xf>
    <xf numFmtId="0" fontId="8" fillId="0" borderId="17" xfId="36" applyBorder="1" applyAlignment="1">
      <alignment horizontal="right"/>
    </xf>
    <xf numFmtId="0" fontId="5" fillId="0" borderId="16" xfId="36" applyFont="1" applyBorder="1" applyAlignment="1">
      <alignment horizontal="center"/>
    </xf>
    <xf numFmtId="0" fontId="18" fillId="10" borderId="5" xfId="0" applyFont="1" applyFill="1" applyBorder="1" applyAlignment="1">
      <alignment horizontal="center" vertical="center"/>
    </xf>
    <xf numFmtId="0" fontId="18" fillId="10" borderId="6" xfId="0" applyFont="1" applyFill="1" applyBorder="1" applyAlignment="1">
      <alignment horizontal="center" vertical="center"/>
    </xf>
    <xf numFmtId="0" fontId="31" fillId="10" borderId="21" xfId="0" applyFont="1" applyFill="1" applyBorder="1" applyAlignment="1">
      <alignment horizontal="center"/>
    </xf>
    <xf numFmtId="0" fontId="31" fillId="10" borderId="22" xfId="0" applyFont="1" applyFill="1" applyBorder="1" applyAlignment="1">
      <alignment horizontal="center"/>
    </xf>
    <xf numFmtId="0" fontId="31" fillId="10" borderId="12" xfId="0" applyFont="1" applyFill="1" applyBorder="1" applyAlignment="1">
      <alignment horizontal="center"/>
    </xf>
    <xf numFmtId="0" fontId="48" fillId="0" borderId="1" xfId="4" applyFont="1" applyBorder="1" applyAlignment="1">
      <alignment horizontal="center" wrapText="1"/>
    </xf>
    <xf numFmtId="0" fontId="48" fillId="0" borderId="8" xfId="4" applyFont="1" applyBorder="1" applyAlignment="1"/>
    <xf numFmtId="0" fontId="48" fillId="0" borderId="10" xfId="4" applyFont="1" applyBorder="1" applyAlignment="1"/>
    <xf numFmtId="0" fontId="48" fillId="0" borderId="1" xfId="25" applyFont="1" applyBorder="1" applyAlignment="1">
      <alignment wrapText="1"/>
    </xf>
  </cellXfs>
  <cellStyles count="39">
    <cellStyle name="Hiperlink" xfId="1" builtinId="8"/>
    <cellStyle name="Moeda 2" xfId="6"/>
    <cellStyle name="Moeda 3" xfId="7"/>
    <cellStyle name="Normal" xfId="0" builtinId="0"/>
    <cellStyle name="Normal 10" xfId="26"/>
    <cellStyle name="Normal 11" xfId="27"/>
    <cellStyle name="Normal 12" xfId="30"/>
    <cellStyle name="Normal 13" xfId="32"/>
    <cellStyle name="Normal 14" xfId="34"/>
    <cellStyle name="Normal 15" xfId="36"/>
    <cellStyle name="Normal 16" xfId="38"/>
    <cellStyle name="Normal 2" xfId="8"/>
    <cellStyle name="Normal 2 2" xfId="9"/>
    <cellStyle name="Normal 2 3" xfId="25"/>
    <cellStyle name="Normal 3" xfId="10"/>
    <cellStyle name="Normal 4" xfId="11"/>
    <cellStyle name="Normal 5" xfId="12"/>
    <cellStyle name="Normal 6" xfId="4"/>
    <cellStyle name="Normal 7" xfId="13"/>
    <cellStyle name="Normal 8" xfId="14"/>
    <cellStyle name="Normal 9" xfId="15"/>
    <cellStyle name="Porcentagem" xfId="2" builtinId="5"/>
    <cellStyle name="Porcentagem 2" xfId="16"/>
    <cellStyle name="Porcentagem 3" xfId="17"/>
    <cellStyle name="Separador de milhares 10" xfId="28"/>
    <cellStyle name="Separador de milhares 11" xfId="31"/>
    <cellStyle name="Separador de milhares 12" xfId="33"/>
    <cellStyle name="Separador de milhares 13" xfId="35"/>
    <cellStyle name="Separador de milhares 14" xfId="37"/>
    <cellStyle name="Separador de milhares 2" xfId="18"/>
    <cellStyle name="Separador de milhares 3" xfId="19"/>
    <cellStyle name="Separador de milhares 4" xfId="20"/>
    <cellStyle name="Separador de milhares 5" xfId="5"/>
    <cellStyle name="Separador de milhares 6" xfId="21"/>
    <cellStyle name="Separador de milhares 7" xfId="22"/>
    <cellStyle name="Separador de milhares 8" xfId="23"/>
    <cellStyle name="Separador de milhares 9" xfId="29"/>
    <cellStyle name="Vírgula" xfId="3" builtinId="3"/>
    <cellStyle name="Vírgula 2" xfId="2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="" xmlns:a16="http://schemas.microsoft.com/office/drawing/2014/main" id="{00000000-0008-0000-09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="" xmlns:a16="http://schemas.microsoft.com/office/drawing/2014/main" id="{00000000-0008-0000-09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/>
  </sheetViews>
  <sheetFormatPr defaultRowHeight="12.75" x14ac:dyDescent="0.2"/>
  <cols>
    <col min="1" max="1" width="11" customWidth="1"/>
    <col min="2" max="2" width="27.42578125" customWidth="1"/>
    <col min="3" max="3" width="13.85546875" customWidth="1"/>
    <col min="6" max="7" width="11.42578125" bestFit="1" customWidth="1"/>
    <col min="8" max="8" width="10.42578125" bestFit="1" customWidth="1"/>
  </cols>
  <sheetData>
    <row r="1" spans="1:3" x14ac:dyDescent="0.2">
      <c r="A1" s="99" t="s">
        <v>395</v>
      </c>
    </row>
    <row r="2" spans="1:3" x14ac:dyDescent="0.2">
      <c r="A2" s="99" t="s">
        <v>440</v>
      </c>
    </row>
    <row r="3" spans="1:3" x14ac:dyDescent="0.2">
      <c r="A3" s="322" t="s">
        <v>318</v>
      </c>
      <c r="B3" s="322" t="s">
        <v>383</v>
      </c>
      <c r="C3" s="322" t="s">
        <v>470</v>
      </c>
    </row>
    <row r="4" spans="1:3" x14ac:dyDescent="0.2">
      <c r="A4" s="323">
        <v>1</v>
      </c>
      <c r="B4" s="324" t="s">
        <v>469</v>
      </c>
      <c r="C4" s="325">
        <f>'1. Coleta Domiciliar'!F311</f>
        <v>15681.658079938721</v>
      </c>
    </row>
    <row r="5" spans="1:3" x14ac:dyDescent="0.2">
      <c r="A5" s="323">
        <v>2</v>
      </c>
      <c r="B5" s="324" t="s">
        <v>456</v>
      </c>
      <c r="C5" s="325">
        <f>'2. Destino Final'!F37</f>
        <v>4878.7728191999995</v>
      </c>
    </row>
    <row r="6" spans="1:3" x14ac:dyDescent="0.2">
      <c r="A6" s="323"/>
      <c r="B6" s="324"/>
      <c r="C6" s="325"/>
    </row>
    <row r="7" spans="1:3" x14ac:dyDescent="0.2">
      <c r="A7" s="326" t="s">
        <v>384</v>
      </c>
      <c r="B7" s="326"/>
      <c r="C7" s="327">
        <f>SUM(C4:C5)</f>
        <v>20560.430899138722</v>
      </c>
    </row>
  </sheetData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50"/>
  <sheetViews>
    <sheetView topLeftCell="A60" zoomScaleSheetLayoutView="100" workbookViewId="0">
      <selection activeCell="C131" sqref="C131"/>
    </sheetView>
  </sheetViews>
  <sheetFormatPr defaultColWidth="9.140625" defaultRowHeight="12.75" x14ac:dyDescent="0.2"/>
  <cols>
    <col min="1" max="1" width="44.5703125" style="7" customWidth="1"/>
    <col min="2" max="2" width="16" style="7" bestFit="1" customWidth="1"/>
    <col min="3" max="3" width="11.8554687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8.140625" style="8" customWidth="1"/>
    <col min="8" max="8" width="9.140625" style="7"/>
    <col min="9" max="9" width="14.5703125" style="7" customWidth="1"/>
    <col min="10" max="10" width="13.42578125" style="7" customWidth="1"/>
    <col min="11" max="16384" width="9.140625" style="7"/>
  </cols>
  <sheetData>
    <row r="1" spans="1:7" ht="15.75" hidden="1" x14ac:dyDescent="0.2">
      <c r="A1" s="51" t="s">
        <v>197</v>
      </c>
    </row>
    <row r="2" spans="1:7" ht="15.75" hidden="1" x14ac:dyDescent="0.2">
      <c r="A2" s="314" t="s">
        <v>287</v>
      </c>
    </row>
    <row r="3" spans="1:7" ht="15.75" hidden="1" x14ac:dyDescent="0.2">
      <c r="A3" s="314" t="s">
        <v>288</v>
      </c>
    </row>
    <row r="4" spans="1:7" ht="15.75" hidden="1" x14ac:dyDescent="0.2">
      <c r="A4" s="314" t="s">
        <v>290</v>
      </c>
    </row>
    <row r="5" spans="1:7" s="2" customFormat="1" ht="15.6" hidden="1" customHeight="1" x14ac:dyDescent="0.2">
      <c r="A5" s="51" t="s">
        <v>284</v>
      </c>
      <c r="C5" s="3"/>
      <c r="D5" s="3"/>
      <c r="E5" s="3"/>
      <c r="F5" s="3"/>
      <c r="G5" s="4"/>
    </row>
    <row r="6" spans="1:7" s="2" customFormat="1" ht="15.6" hidden="1" customHeight="1" x14ac:dyDescent="0.2">
      <c r="A6" s="273" t="s">
        <v>289</v>
      </c>
      <c r="B6" s="3"/>
      <c r="C6" s="3"/>
      <c r="D6" s="3"/>
      <c r="E6" s="3"/>
      <c r="F6" s="3"/>
      <c r="G6" s="4"/>
    </row>
    <row r="7" spans="1:7" s="2" customFormat="1" ht="15.6" hidden="1" customHeight="1" x14ac:dyDescent="0.2">
      <c r="A7" s="5"/>
      <c r="B7" s="3"/>
      <c r="C7" s="3"/>
      <c r="D7" s="3"/>
      <c r="E7" s="3"/>
      <c r="F7" s="3"/>
      <c r="G7" s="4"/>
    </row>
    <row r="8" spans="1:7" s="2" customFormat="1" ht="15.6" hidden="1" customHeight="1" x14ac:dyDescent="0.2">
      <c r="A8" s="274" t="s">
        <v>295</v>
      </c>
      <c r="B8" s="3"/>
      <c r="C8" s="3"/>
      <c r="D8" s="3"/>
      <c r="E8" s="3"/>
      <c r="F8" s="3"/>
      <c r="G8" s="4"/>
    </row>
    <row r="9" spans="1:7" s="2" customFormat="1" ht="15.6" hidden="1" customHeight="1" x14ac:dyDescent="0.2">
      <c r="A9" s="314" t="s">
        <v>292</v>
      </c>
      <c r="B9" s="3"/>
      <c r="C9" s="3"/>
      <c r="D9" s="3"/>
      <c r="E9" s="3"/>
      <c r="F9" s="3"/>
      <c r="G9" s="4"/>
    </row>
    <row r="10" spans="1:7" s="2" customFormat="1" ht="16.5" hidden="1" customHeight="1" x14ac:dyDescent="0.2">
      <c r="A10" s="5"/>
      <c r="B10" s="3"/>
      <c r="C10" s="3"/>
      <c r="D10" s="4"/>
      <c r="E10" s="4"/>
      <c r="F10" s="4"/>
      <c r="G10" s="4"/>
    </row>
    <row r="11" spans="1:7" s="2" customFormat="1" ht="16.5" customHeight="1" thickBot="1" x14ac:dyDescent="0.25">
      <c r="A11" s="136" t="s">
        <v>426</v>
      </c>
      <c r="B11" s="3"/>
      <c r="C11" s="3"/>
      <c r="D11" s="4"/>
      <c r="E11" s="4"/>
      <c r="F11" s="4"/>
      <c r="G11" s="4"/>
    </row>
    <row r="12" spans="1:7" s="6" customFormat="1" ht="18" x14ac:dyDescent="0.2">
      <c r="A12" s="453" t="s">
        <v>438</v>
      </c>
      <c r="B12" s="454"/>
      <c r="C12" s="454"/>
      <c r="D12" s="454"/>
      <c r="E12" s="454"/>
      <c r="F12" s="455"/>
      <c r="G12" s="33"/>
    </row>
    <row r="13" spans="1:7" s="6" customFormat="1" ht="21.75" customHeight="1" x14ac:dyDescent="0.2">
      <c r="A13" s="456" t="s">
        <v>45</v>
      </c>
      <c r="B13" s="457"/>
      <c r="C13" s="457"/>
      <c r="D13" s="457"/>
      <c r="E13" s="457"/>
      <c r="F13" s="458"/>
      <c r="G13" s="33"/>
    </row>
    <row r="14" spans="1:7" s="2" customFormat="1" ht="10.9" customHeight="1" thickBot="1" x14ac:dyDescent="0.25">
      <c r="A14" s="137"/>
      <c r="B14" s="3"/>
      <c r="C14" s="3"/>
      <c r="D14" s="138"/>
      <c r="E14" s="138"/>
      <c r="F14" s="139"/>
      <c r="G14" s="4"/>
    </row>
    <row r="15" spans="1:7" s="2" customFormat="1" ht="15.75" customHeight="1" thickBot="1" x14ac:dyDescent="0.25">
      <c r="A15" s="462" t="s">
        <v>196</v>
      </c>
      <c r="B15" s="463"/>
      <c r="C15" s="463"/>
      <c r="D15" s="463"/>
      <c r="E15" s="463"/>
      <c r="F15" s="464"/>
      <c r="G15" s="4"/>
    </row>
    <row r="16" spans="1:7" s="2" customFormat="1" ht="15.75" customHeight="1" x14ac:dyDescent="0.2">
      <c r="A16" s="59" t="s">
        <v>195</v>
      </c>
      <c r="B16" s="37"/>
      <c r="C16" s="37"/>
      <c r="D16" s="237"/>
      <c r="E16" s="106" t="s">
        <v>40</v>
      </c>
      <c r="F16" s="38" t="s">
        <v>2</v>
      </c>
      <c r="G16" s="4"/>
    </row>
    <row r="17" spans="1:9" s="9" customFormat="1" ht="15.75" customHeight="1" x14ac:dyDescent="0.2">
      <c r="A17" s="115" t="str">
        <f>A56</f>
        <v>1. Mão-de-obra</v>
      </c>
      <c r="B17" s="116"/>
      <c r="C17" s="117"/>
      <c r="D17" s="117"/>
      <c r="E17" s="234">
        <f>+F155</f>
        <v>4890.5801025904111</v>
      </c>
      <c r="F17" s="118">
        <f>IFERROR(E17/$E$39,0)</f>
        <v>0.31186626297169728</v>
      </c>
      <c r="G17" s="41"/>
    </row>
    <row r="18" spans="1:9" s="2" customFormat="1" ht="15.75" customHeight="1" x14ac:dyDescent="0.2">
      <c r="A18" s="46" t="str">
        <f>A58</f>
        <v>1.1. Coletor Turno Dia</v>
      </c>
      <c r="B18" s="42"/>
      <c r="C18" s="44"/>
      <c r="D18" s="44"/>
      <c r="E18" s="235">
        <f>F69</f>
        <v>2532.4941823775998</v>
      </c>
      <c r="F18" s="53">
        <f>IFERROR(E18/$E$39,0)</f>
        <v>0.16149403140075963</v>
      </c>
      <c r="G18" s="4"/>
    </row>
    <row r="19" spans="1:9" s="2" customFormat="1" ht="15.75" hidden="1" customHeight="1" x14ac:dyDescent="0.2">
      <c r="A19" s="46" t="str">
        <f>A71</f>
        <v>1.2. Coletor Turno Noite</v>
      </c>
      <c r="B19" s="42"/>
      <c r="C19" s="44"/>
      <c r="D19" s="44"/>
      <c r="E19" s="235">
        <f>F88</f>
        <v>0</v>
      </c>
      <c r="F19" s="53">
        <f t="shared" ref="F19:F38" si="0">IFERROR(E19/$E$39,0)</f>
        <v>0</v>
      </c>
      <c r="G19" s="4"/>
    </row>
    <row r="20" spans="1:9" s="2" customFormat="1" ht="15.75" customHeight="1" x14ac:dyDescent="0.2">
      <c r="A20" s="46" t="str">
        <f>A90</f>
        <v>1.3. Motorista Turno do Dia</v>
      </c>
      <c r="B20" s="42"/>
      <c r="C20" s="44"/>
      <c r="D20" s="44"/>
      <c r="E20" s="235">
        <f>F103</f>
        <v>1742.7749899770001</v>
      </c>
      <c r="F20" s="53">
        <f t="shared" si="0"/>
        <v>0.11113461223889982</v>
      </c>
      <c r="G20" s="4"/>
    </row>
    <row r="21" spans="1:9" s="2" customFormat="1" ht="15.75" customHeight="1" x14ac:dyDescent="0.2">
      <c r="A21" s="46" t="str">
        <f>A106</f>
        <v>1.4. Encarregado/Supervisor</v>
      </c>
      <c r="B21" s="42"/>
      <c r="C21" s="44"/>
      <c r="D21" s="44"/>
      <c r="E21" s="235">
        <f>F125</f>
        <v>181.17082883720934</v>
      </c>
      <c r="F21" s="53">
        <f t="shared" si="0"/>
        <v>1.1553040368159672E-2</v>
      </c>
      <c r="G21" s="4"/>
    </row>
    <row r="22" spans="1:9" s="2" customFormat="1" ht="15.75" customHeight="1" x14ac:dyDescent="0.2">
      <c r="A22" s="46" t="str">
        <f>A127</f>
        <v>1.5. Vale Transporte</v>
      </c>
      <c r="B22" s="42"/>
      <c r="C22" s="44"/>
      <c r="D22" s="44"/>
      <c r="E22" s="235">
        <f>F133</f>
        <v>167.57619230769228</v>
      </c>
      <c r="F22" s="53">
        <f t="shared" si="0"/>
        <v>1.068612715909612E-2</v>
      </c>
      <c r="G22" s="4"/>
    </row>
    <row r="23" spans="1:9" s="2" customFormat="1" ht="15.75" customHeight="1" x14ac:dyDescent="0.2">
      <c r="A23" s="46" t="str">
        <f>A135</f>
        <v>1.6. Vale-refeição (diário)</v>
      </c>
      <c r="B23" s="42"/>
      <c r="C23" s="44"/>
      <c r="D23" s="44"/>
      <c r="E23" s="235">
        <f>F140</f>
        <v>212.94818181818184</v>
      </c>
      <c r="F23" s="53">
        <f t="shared" si="0"/>
        <v>1.3579442985726288E-2</v>
      </c>
      <c r="G23" s="4"/>
      <c r="I23" s="4"/>
    </row>
    <row r="24" spans="1:9" s="2" customFormat="1" ht="15.75" customHeight="1" x14ac:dyDescent="0.2">
      <c r="A24" s="46" t="str">
        <f>A142</f>
        <v>1.7. Auxílio Alimentação (mensal)</v>
      </c>
      <c r="B24" s="42"/>
      <c r="C24" s="44"/>
      <c r="D24" s="44"/>
      <c r="E24" s="235">
        <f>F146</f>
        <v>39.740727272727277</v>
      </c>
      <c r="F24" s="53">
        <f t="shared" si="0"/>
        <v>2.534217177172541E-3</v>
      </c>
      <c r="G24" s="4"/>
      <c r="I24" s="4"/>
    </row>
    <row r="25" spans="1:9" s="2" customFormat="1" ht="15.75" customHeight="1" x14ac:dyDescent="0.2">
      <c r="A25" s="46" t="str">
        <f>A148</f>
        <v xml:space="preserve">1.8. Plano de Benefício Social  </v>
      </c>
      <c r="B25" s="42"/>
      <c r="C25" s="44"/>
      <c r="D25" s="44"/>
      <c r="E25" s="235">
        <f>F152</f>
        <v>13.875</v>
      </c>
      <c r="F25" s="53">
        <f t="shared" si="0"/>
        <v>8.8479164188320447E-4</v>
      </c>
      <c r="G25" s="4"/>
      <c r="I25" s="4"/>
    </row>
    <row r="26" spans="1:9" s="9" customFormat="1" ht="15.75" customHeight="1" x14ac:dyDescent="0.2">
      <c r="A26" s="451" t="str">
        <f>A157</f>
        <v>2. Uniformes e Equipamentos de Proteção Individual</v>
      </c>
      <c r="B26" s="452"/>
      <c r="C26" s="452"/>
      <c r="D26" s="117"/>
      <c r="E26" s="234">
        <f>+F189</f>
        <v>117.37121212121211</v>
      </c>
      <c r="F26" s="118">
        <f t="shared" si="0"/>
        <v>7.484617476219757E-3</v>
      </c>
      <c r="G26" s="41"/>
      <c r="I26" s="41"/>
    </row>
    <row r="27" spans="1:9" s="9" customFormat="1" ht="15.75" customHeight="1" x14ac:dyDescent="0.2">
      <c r="A27" s="126" t="str">
        <f>A191</f>
        <v>3. Veículos e Equipamentos</v>
      </c>
      <c r="B27" s="127"/>
      <c r="C27" s="117"/>
      <c r="D27" s="117"/>
      <c r="E27" s="234">
        <f>+F271</f>
        <v>7300.919695544052</v>
      </c>
      <c r="F27" s="118">
        <f t="shared" si="0"/>
        <v>0.46557064682362859</v>
      </c>
      <c r="G27" s="41"/>
      <c r="I27" s="41"/>
    </row>
    <row r="28" spans="1:9" s="2" customFormat="1" ht="15.75" customHeight="1" x14ac:dyDescent="0.2">
      <c r="A28" s="60" t="str">
        <f>A193</f>
        <v>3.1. Veículo Coletor com compactador</v>
      </c>
      <c r="B28" s="43"/>
      <c r="C28" s="44"/>
      <c r="D28" s="44"/>
      <c r="E28" s="235">
        <f>SUM(E29:E34)</f>
        <v>7300.919695544052</v>
      </c>
      <c r="F28" s="132">
        <f t="shared" si="0"/>
        <v>0.46557064682362859</v>
      </c>
      <c r="G28" s="4"/>
    </row>
    <row r="29" spans="1:9" s="2" customFormat="1" ht="15.75" customHeight="1" x14ac:dyDescent="0.2">
      <c r="A29" s="60" t="str">
        <f>A195</f>
        <v>3.1.1. Depreciação</v>
      </c>
      <c r="B29" s="43"/>
      <c r="C29" s="44"/>
      <c r="D29" s="44"/>
      <c r="E29" s="235">
        <f>F210</f>
        <v>654.25250000000005</v>
      </c>
      <c r="F29" s="132">
        <f t="shared" si="0"/>
        <v>4.1720875220266039E-2</v>
      </c>
      <c r="G29" s="4"/>
    </row>
    <row r="30" spans="1:9" s="2" customFormat="1" ht="15.75" customHeight="1" x14ac:dyDescent="0.2">
      <c r="A30" s="60" t="str">
        <f>A212</f>
        <v>3.1.2. Remuneração do Capital</v>
      </c>
      <c r="B30" s="43"/>
      <c r="C30" s="44"/>
      <c r="D30" s="44"/>
      <c r="E30" s="235">
        <f>F226</f>
        <v>845.02113636363663</v>
      </c>
      <c r="F30" s="132">
        <f t="shared" si="0"/>
        <v>5.3885955940122035E-2</v>
      </c>
      <c r="G30" s="4"/>
    </row>
    <row r="31" spans="1:9" s="2" customFormat="1" ht="15.75" customHeight="1" x14ac:dyDescent="0.2">
      <c r="A31" s="60" t="str">
        <f>A228</f>
        <v>3.1.3. Impostos e Seguros</v>
      </c>
      <c r="B31" s="43"/>
      <c r="C31" s="44"/>
      <c r="D31" s="44"/>
      <c r="E31" s="235">
        <f>F234</f>
        <v>182.52613636363637</v>
      </c>
      <c r="F31" s="132">
        <f t="shared" si="0"/>
        <v>1.1639466658002124E-2</v>
      </c>
      <c r="G31" s="4"/>
    </row>
    <row r="32" spans="1:9" s="2" customFormat="1" ht="15.75" customHeight="1" x14ac:dyDescent="0.2">
      <c r="A32" s="60" t="str">
        <f>A236</f>
        <v>3.1.4. Consumos</v>
      </c>
      <c r="B32" s="43"/>
      <c r="C32" s="44"/>
      <c r="D32" s="44"/>
      <c r="E32" s="235">
        <f>F254</f>
        <v>3754.0908473167792</v>
      </c>
      <c r="F32" s="132">
        <f t="shared" si="0"/>
        <v>0.23939374447395481</v>
      </c>
      <c r="G32" s="4"/>
    </row>
    <row r="33" spans="1:8" s="2" customFormat="1" ht="15.75" customHeight="1" x14ac:dyDescent="0.2">
      <c r="A33" s="60" t="str">
        <f>A256</f>
        <v>3.1.5. Manutenção</v>
      </c>
      <c r="B33" s="43"/>
      <c r="C33" s="44"/>
      <c r="D33" s="44"/>
      <c r="E33" s="235">
        <f>F259</f>
        <v>1459.9053428571428</v>
      </c>
      <c r="F33" s="132">
        <f t="shared" si="0"/>
        <v>9.3096363625270906E-2</v>
      </c>
      <c r="G33" s="4"/>
    </row>
    <row r="34" spans="1:8" s="2" customFormat="1" ht="15.75" customHeight="1" x14ac:dyDescent="0.2">
      <c r="A34" s="60" t="str">
        <f>A261</f>
        <v>3.1.6. Pneus</v>
      </c>
      <c r="B34" s="43"/>
      <c r="C34" s="44"/>
      <c r="D34" s="44"/>
      <c r="E34" s="235">
        <f>F268</f>
        <v>405.12373264285719</v>
      </c>
      <c r="F34" s="132">
        <f t="shared" si="0"/>
        <v>2.5834240906012683E-2</v>
      </c>
      <c r="G34" s="4"/>
    </row>
    <row r="35" spans="1:8" s="9" customFormat="1" ht="15.75" customHeight="1" x14ac:dyDescent="0.2">
      <c r="A35" s="126" t="str">
        <f>A273</f>
        <v xml:space="preserve">4. Ferramentas e Materiais de Consumo </v>
      </c>
      <c r="B35" s="127"/>
      <c r="C35" s="117"/>
      <c r="D35" s="117"/>
      <c r="E35" s="234">
        <f>+F281</f>
        <v>17.833333333333332</v>
      </c>
      <c r="F35" s="118">
        <f t="shared" si="0"/>
        <v>1.1372096778558903E-3</v>
      </c>
      <c r="G35" s="41"/>
    </row>
    <row r="36" spans="1:8" s="9" customFormat="1" ht="15.75" customHeight="1" x14ac:dyDescent="0.2">
      <c r="A36" s="390" t="str">
        <f>A283</f>
        <v xml:space="preserve">5. Administração Local </v>
      </c>
      <c r="B36" s="127"/>
      <c r="C36" s="117"/>
      <c r="D36" s="117"/>
      <c r="E36" s="234">
        <f>F289</f>
        <v>306.5</v>
      </c>
      <c r="F36" s="118">
        <f t="shared" si="0"/>
        <v>1.9545127080158715E-2</v>
      </c>
      <c r="G36" s="41"/>
    </row>
    <row r="37" spans="1:8" s="9" customFormat="1" ht="15.75" customHeight="1" x14ac:dyDescent="0.2">
      <c r="A37" s="126" t="str">
        <f>A291</f>
        <v xml:space="preserve">6. Monitoramento da frota  </v>
      </c>
      <c r="B37" s="127"/>
      <c r="C37" s="117"/>
      <c r="D37" s="117"/>
      <c r="E37" s="234">
        <f>+F299</f>
        <v>49.090909090909093</v>
      </c>
      <c r="F37" s="118">
        <f t="shared" si="0"/>
        <v>3.1304667427808708E-3</v>
      </c>
      <c r="G37" s="41"/>
    </row>
    <row r="38" spans="1:8" s="9" customFormat="1" ht="15.75" customHeight="1" thickBot="1" x14ac:dyDescent="0.25">
      <c r="A38" s="126" t="str">
        <f>A303</f>
        <v>7. Benefícios e Despesas Indiretas - BDI</v>
      </c>
      <c r="B38" s="127"/>
      <c r="C38" s="117"/>
      <c r="D38" s="117"/>
      <c r="E38" s="236">
        <f>+F308</f>
        <v>2999.3628272588012</v>
      </c>
      <c r="F38" s="118">
        <f t="shared" si="0"/>
        <v>0.19126566922765872</v>
      </c>
      <c r="G38" s="41"/>
    </row>
    <row r="39" spans="1:8" s="2" customFormat="1" ht="15.75" customHeight="1" thickBot="1" x14ac:dyDescent="0.25">
      <c r="A39" s="39" t="s">
        <v>237</v>
      </c>
      <c r="B39" s="40"/>
      <c r="C39" s="24"/>
      <c r="D39" s="24"/>
      <c r="E39" s="105">
        <f>E17+E26+E27+E35+E37+E38+E36</f>
        <v>15681.658079938721</v>
      </c>
      <c r="F39" s="448">
        <f>F17+F26+F27+F35+F37+F38+F36</f>
        <v>0.99999999999999989</v>
      </c>
      <c r="G39" s="4"/>
      <c r="H39" s="371"/>
    </row>
    <row r="41" spans="1:8" ht="13.5" thickBot="1" x14ac:dyDescent="0.25"/>
    <row r="42" spans="1:8" s="2" customFormat="1" ht="15" customHeight="1" thickBot="1" x14ac:dyDescent="0.25">
      <c r="A42" s="462" t="s">
        <v>96</v>
      </c>
      <c r="B42" s="463"/>
      <c r="C42" s="463"/>
      <c r="D42" s="463"/>
      <c r="E42" s="464"/>
      <c r="F42" s="8"/>
      <c r="G42" s="4"/>
    </row>
    <row r="43" spans="1:8" s="2" customFormat="1" ht="15" customHeight="1" thickBot="1" x14ac:dyDescent="0.25">
      <c r="A43" s="459" t="s">
        <v>41</v>
      </c>
      <c r="B43" s="460"/>
      <c r="C43" s="460"/>
      <c r="D43" s="461"/>
      <c r="E43" s="45" t="s">
        <v>42</v>
      </c>
      <c r="F43" s="8"/>
      <c r="G43" s="4"/>
    </row>
    <row r="44" spans="1:8" s="2" customFormat="1" ht="15" customHeight="1" x14ac:dyDescent="0.2">
      <c r="A44" s="68" t="str">
        <f>+A58</f>
        <v>1.1. Coletor Turno Dia</v>
      </c>
      <c r="B44" s="69"/>
      <c r="C44" s="69"/>
      <c r="D44" s="70"/>
      <c r="E44" s="71">
        <f>C68</f>
        <v>2</v>
      </c>
      <c r="F44" s="8"/>
      <c r="G44" s="4"/>
    </row>
    <row r="45" spans="1:8" s="2" customFormat="1" ht="15" hidden="1" customHeight="1" x14ac:dyDescent="0.2">
      <c r="A45" s="62" t="str">
        <f>+A71</f>
        <v>1.2. Coletor Turno Noite</v>
      </c>
      <c r="B45" s="61"/>
      <c r="C45" s="61"/>
      <c r="D45" s="72"/>
      <c r="E45" s="65">
        <f>C87</f>
        <v>0</v>
      </c>
      <c r="F45" s="8"/>
      <c r="G45" s="4"/>
    </row>
    <row r="46" spans="1:8" s="2" customFormat="1" ht="15" customHeight="1" x14ac:dyDescent="0.2">
      <c r="A46" s="62" t="str">
        <f>+A90</f>
        <v>1.3. Motorista Turno do Dia</v>
      </c>
      <c r="B46" s="61"/>
      <c r="C46" s="61"/>
      <c r="D46" s="72"/>
      <c r="E46" s="65">
        <f>C102</f>
        <v>1</v>
      </c>
      <c r="F46" s="8"/>
      <c r="G46" s="4"/>
    </row>
    <row r="47" spans="1:8" s="2" customFormat="1" ht="15" customHeight="1" x14ac:dyDescent="0.2">
      <c r="A47" s="62" t="str">
        <f>+A106</f>
        <v>1.4. Encarregado/Supervisor</v>
      </c>
      <c r="B47" s="61"/>
      <c r="C47" s="61"/>
      <c r="D47" s="72"/>
      <c r="E47" s="65">
        <f>C124</f>
        <v>1</v>
      </c>
      <c r="F47" s="8"/>
      <c r="G47" s="4"/>
    </row>
    <row r="48" spans="1:8" s="2" customFormat="1" ht="15" customHeight="1" thickBot="1" x14ac:dyDescent="0.25">
      <c r="A48" s="66" t="s">
        <v>60</v>
      </c>
      <c r="B48" s="67"/>
      <c r="C48" s="67"/>
      <c r="D48" s="73"/>
      <c r="E48" s="74">
        <f>SUM(E44:E47)</f>
        <v>4</v>
      </c>
      <c r="F48" s="8"/>
      <c r="G48" s="4"/>
    </row>
    <row r="49" spans="1:7" s="2" customFormat="1" ht="15" customHeight="1" thickBot="1" x14ac:dyDescent="0.25">
      <c r="A49" s="119"/>
      <c r="B49" s="120"/>
      <c r="C49" s="54"/>
      <c r="D49" s="54"/>
      <c r="E49" s="121"/>
      <c r="F49" s="8"/>
      <c r="G49" s="4"/>
    </row>
    <row r="50" spans="1:7" s="2" customFormat="1" ht="15" customHeight="1" x14ac:dyDescent="0.2">
      <c r="A50" s="449" t="s">
        <v>58</v>
      </c>
      <c r="B50" s="450"/>
      <c r="C50" s="450"/>
      <c r="D50" s="450"/>
      <c r="E50" s="45" t="s">
        <v>42</v>
      </c>
      <c r="F50" s="7"/>
      <c r="G50" s="4"/>
    </row>
    <row r="51" spans="1:7" s="2" customFormat="1" ht="15" customHeight="1" thickBot="1" x14ac:dyDescent="0.25">
      <c r="A51" s="122" t="str">
        <f>+A193</f>
        <v>3.1. Veículo Coletor com compactador</v>
      </c>
      <c r="B51" s="123"/>
      <c r="C51" s="123"/>
      <c r="D51" s="124"/>
      <c r="E51" s="125">
        <f>C209</f>
        <v>1</v>
      </c>
      <c r="F51" s="7"/>
      <c r="G51" s="4"/>
    </row>
    <row r="52" spans="1:7" s="2" customFormat="1" ht="15" hidden="1" customHeight="1" x14ac:dyDescent="0.2">
      <c r="A52" s="54"/>
      <c r="B52" s="54"/>
      <c r="C52" s="54"/>
      <c r="D52" s="7"/>
      <c r="E52" s="227"/>
      <c r="F52" s="7"/>
      <c r="G52" s="4"/>
    </row>
    <row r="53" spans="1:7" s="2" customFormat="1" ht="13.5" thickBot="1" x14ac:dyDescent="0.25">
      <c r="A53" s="54"/>
      <c r="B53" s="54"/>
      <c r="C53" s="54"/>
      <c r="D53" s="7"/>
      <c r="E53" s="63"/>
      <c r="F53" s="7"/>
      <c r="G53" s="4"/>
    </row>
    <row r="54" spans="1:7" s="9" customFormat="1" ht="15.75" customHeight="1" thickBot="1" x14ac:dyDescent="0.25">
      <c r="A54" s="238" t="s">
        <v>191</v>
      </c>
      <c r="B54" s="294">
        <f>Horários!F19/Horários!F20</f>
        <v>0.31818181818181818</v>
      </c>
      <c r="C54" s="32"/>
      <c r="E54" s="140"/>
      <c r="G54" s="41"/>
    </row>
    <row r="55" spans="1:7" s="2" customFormat="1" ht="15.75" customHeight="1" x14ac:dyDescent="0.2">
      <c r="A55" s="54"/>
      <c r="B55" s="54"/>
      <c r="C55" s="54"/>
      <c r="D55" s="7"/>
      <c r="E55" s="63"/>
      <c r="F55" s="7"/>
      <c r="G55" s="4"/>
    </row>
    <row r="56" spans="1:7" ht="13.15" customHeight="1" x14ac:dyDescent="0.2">
      <c r="A56" s="9" t="s">
        <v>49</v>
      </c>
    </row>
    <row r="57" spans="1:7" ht="11.25" customHeight="1" x14ac:dyDescent="0.2"/>
    <row r="58" spans="1:7" ht="13.9" customHeight="1" thickBot="1" x14ac:dyDescent="0.25">
      <c r="A58" s="7" t="s">
        <v>99</v>
      </c>
    </row>
    <row r="59" spans="1:7" ht="13.9" customHeight="1" thickBot="1" x14ac:dyDescent="0.25">
      <c r="A59" s="55" t="s">
        <v>64</v>
      </c>
      <c r="B59" s="56" t="s">
        <v>65</v>
      </c>
      <c r="C59" s="56" t="s">
        <v>42</v>
      </c>
      <c r="D59" s="57" t="s">
        <v>233</v>
      </c>
      <c r="E59" s="57" t="s">
        <v>66</v>
      </c>
      <c r="F59" s="58" t="s">
        <v>67</v>
      </c>
    </row>
    <row r="60" spans="1:7" ht="13.15" customHeight="1" x14ac:dyDescent="0.2">
      <c r="A60" s="11" t="s">
        <v>211</v>
      </c>
      <c r="B60" s="12" t="s">
        <v>8</v>
      </c>
      <c r="C60" s="12">
        <v>1</v>
      </c>
      <c r="D60" s="293">
        <v>1678.48</v>
      </c>
      <c r="E60" s="13">
        <f>C60*D60</f>
        <v>1678.48</v>
      </c>
    </row>
    <row r="61" spans="1:7" hidden="1" x14ac:dyDescent="0.2">
      <c r="A61" s="14" t="s">
        <v>36</v>
      </c>
      <c r="B61" s="15" t="s">
        <v>0</v>
      </c>
      <c r="C61" s="81"/>
      <c r="D61" s="16">
        <f>D60/220*2</f>
        <v>15.258909090909091</v>
      </c>
      <c r="E61" s="16">
        <f>C61*D61</f>
        <v>0</v>
      </c>
      <c r="G61" s="8" t="s">
        <v>249</v>
      </c>
    </row>
    <row r="62" spans="1:7" ht="13.15" hidden="1" customHeight="1" x14ac:dyDescent="0.2">
      <c r="A62" s="14" t="s">
        <v>37</v>
      </c>
      <c r="B62" s="15" t="s">
        <v>0</v>
      </c>
      <c r="C62" s="81"/>
      <c r="D62" s="16">
        <f>D60/220*1.5</f>
        <v>11.444181818181818</v>
      </c>
      <c r="E62" s="16">
        <f>C62*D62</f>
        <v>0</v>
      </c>
      <c r="G62" s="8" t="s">
        <v>251</v>
      </c>
    </row>
    <row r="63" spans="1:7" ht="13.15" hidden="1" customHeight="1" x14ac:dyDescent="0.2">
      <c r="A63" s="14" t="s">
        <v>215</v>
      </c>
      <c r="B63" s="15" t="s">
        <v>35</v>
      </c>
      <c r="D63" s="16">
        <f>63/302*(SUM(E61:E62))</f>
        <v>0</v>
      </c>
      <c r="E63" s="16">
        <f>D63</f>
        <v>0</v>
      </c>
      <c r="G63" s="8" t="s">
        <v>214</v>
      </c>
    </row>
    <row r="64" spans="1:7" x14ac:dyDescent="0.2">
      <c r="A64" s="14" t="s">
        <v>1</v>
      </c>
      <c r="B64" s="15" t="s">
        <v>2</v>
      </c>
      <c r="C64" s="15">
        <v>40</v>
      </c>
      <c r="D64" s="76">
        <f>SUM(E60:E63)</f>
        <v>1678.48</v>
      </c>
      <c r="E64" s="16">
        <f>C64*D64/100</f>
        <v>671.39199999999994</v>
      </c>
    </row>
    <row r="65" spans="1:7" x14ac:dyDescent="0.2">
      <c r="A65" s="107" t="s">
        <v>3</v>
      </c>
      <c r="B65" s="108"/>
      <c r="C65" s="108"/>
      <c r="D65" s="109"/>
      <c r="E65" s="110">
        <f>SUM(E60:E64)</f>
        <v>2349.8719999999998</v>
      </c>
    </row>
    <row r="66" spans="1:7" x14ac:dyDescent="0.2">
      <c r="A66" s="14" t="s">
        <v>4</v>
      </c>
      <c r="B66" s="15" t="s">
        <v>2</v>
      </c>
      <c r="C66" s="129">
        <f>'3.Encargos Sociais'!$C$38*100</f>
        <v>69.355340000000012</v>
      </c>
      <c r="D66" s="16">
        <f>E65</f>
        <v>2349.8719999999998</v>
      </c>
      <c r="E66" s="16">
        <f>D66*C66/100</f>
        <v>1629.7617151648001</v>
      </c>
    </row>
    <row r="67" spans="1:7" x14ac:dyDescent="0.2">
      <c r="A67" s="107" t="s">
        <v>74</v>
      </c>
      <c r="B67" s="108"/>
      <c r="C67" s="108"/>
      <c r="D67" s="109"/>
      <c r="E67" s="110">
        <f>E65+E66</f>
        <v>3979.6337151647999</v>
      </c>
    </row>
    <row r="68" spans="1:7" ht="13.5" thickBot="1" x14ac:dyDescent="0.25">
      <c r="A68" s="14" t="s">
        <v>5</v>
      </c>
      <c r="B68" s="15" t="s">
        <v>6</v>
      </c>
      <c r="C68" s="79">
        <v>2</v>
      </c>
      <c r="D68" s="16">
        <f>E67</f>
        <v>3979.6337151647999</v>
      </c>
      <c r="E68" s="16">
        <f>C68*D68</f>
        <v>7959.2674303295998</v>
      </c>
      <c r="G68" s="4"/>
    </row>
    <row r="69" spans="1:7" ht="13.9" customHeight="1" thickBot="1" x14ac:dyDescent="0.25">
      <c r="A69" s="5"/>
      <c r="D69" s="113" t="s">
        <v>190</v>
      </c>
      <c r="E69" s="295">
        <f>$B$54</f>
        <v>0.31818181818181818</v>
      </c>
      <c r="F69" s="114">
        <f>E68*E69</f>
        <v>2532.4941823775998</v>
      </c>
      <c r="G69" s="4"/>
    </row>
    <row r="70" spans="1:7" ht="11.25" customHeight="1" x14ac:dyDescent="0.2"/>
    <row r="71" spans="1:7" ht="13.5" hidden="1" thickBot="1" x14ac:dyDescent="0.25">
      <c r="A71" s="7" t="s">
        <v>89</v>
      </c>
    </row>
    <row r="72" spans="1:7" ht="13.5" hidden="1" thickBot="1" x14ac:dyDescent="0.25">
      <c r="A72" s="55" t="s">
        <v>64</v>
      </c>
      <c r="B72" s="56" t="s">
        <v>65</v>
      </c>
      <c r="C72" s="56" t="s">
        <v>42</v>
      </c>
      <c r="D72" s="57" t="s">
        <v>233</v>
      </c>
      <c r="E72" s="57" t="s">
        <v>66</v>
      </c>
      <c r="F72" s="58" t="s">
        <v>67</v>
      </c>
    </row>
    <row r="73" spans="1:7" hidden="1" x14ac:dyDescent="0.2">
      <c r="A73" s="11" t="s">
        <v>211</v>
      </c>
      <c r="B73" s="12" t="s">
        <v>8</v>
      </c>
      <c r="C73" s="12">
        <v>1</v>
      </c>
      <c r="D73" s="13">
        <f>D60</f>
        <v>1678.48</v>
      </c>
      <c r="E73" s="13">
        <f>C73*D73</f>
        <v>1678.48</v>
      </c>
    </row>
    <row r="74" spans="1:7" hidden="1" x14ac:dyDescent="0.2">
      <c r="A74" s="14" t="s">
        <v>7</v>
      </c>
      <c r="B74" s="15" t="s">
        <v>97</v>
      </c>
      <c r="C74" s="81"/>
      <c r="D74" s="16"/>
      <c r="E74" s="16"/>
    </row>
    <row r="75" spans="1:7" hidden="1" x14ac:dyDescent="0.2">
      <c r="A75" s="14"/>
      <c r="B75" s="15" t="s">
        <v>101</v>
      </c>
      <c r="C75" s="111">
        <f>C74*8/7</f>
        <v>0</v>
      </c>
      <c r="D75" s="16">
        <f>D73/220*0.2</f>
        <v>1.5258909090909092</v>
      </c>
      <c r="E75" s="16">
        <f>C74*D75</f>
        <v>0</v>
      </c>
    </row>
    <row r="76" spans="1:7" hidden="1" x14ac:dyDescent="0.2">
      <c r="A76" s="14" t="s">
        <v>36</v>
      </c>
      <c r="B76" s="15" t="s">
        <v>0</v>
      </c>
      <c r="C76" s="81"/>
      <c r="D76" s="16">
        <f>D73/220*2</f>
        <v>15.258909090909091</v>
      </c>
      <c r="E76" s="16">
        <f>C76*D76</f>
        <v>0</v>
      </c>
      <c r="G76" s="8" t="s">
        <v>249</v>
      </c>
    </row>
    <row r="77" spans="1:7" hidden="1" x14ac:dyDescent="0.2">
      <c r="A77" s="14" t="s">
        <v>98</v>
      </c>
      <c r="B77" s="15" t="s">
        <v>97</v>
      </c>
      <c r="C77" s="81"/>
      <c r="D77" s="16"/>
      <c r="E77" s="16"/>
      <c r="G77" s="8" t="s">
        <v>250</v>
      </c>
    </row>
    <row r="78" spans="1:7" hidden="1" x14ac:dyDescent="0.2">
      <c r="A78" s="14"/>
      <c r="B78" s="15" t="s">
        <v>101</v>
      </c>
      <c r="C78" s="111">
        <f>C77*8/7</f>
        <v>0</v>
      </c>
      <c r="D78" s="16">
        <f>D73/220*2*1.2</f>
        <v>18.310690909090908</v>
      </c>
      <c r="E78" s="16">
        <f>C78*D78</f>
        <v>0</v>
      </c>
      <c r="G78" s="8" t="s">
        <v>250</v>
      </c>
    </row>
    <row r="79" spans="1:7" hidden="1" x14ac:dyDescent="0.2">
      <c r="A79" s="14" t="s">
        <v>37</v>
      </c>
      <c r="B79" s="15" t="s">
        <v>0</v>
      </c>
      <c r="C79" s="81"/>
      <c r="D79" s="16">
        <f>D73/220*1.5</f>
        <v>11.444181818181818</v>
      </c>
      <c r="E79" s="16">
        <f>C79*D79</f>
        <v>0</v>
      </c>
      <c r="G79" s="8" t="s">
        <v>251</v>
      </c>
    </row>
    <row r="80" spans="1:7" hidden="1" x14ac:dyDescent="0.2">
      <c r="A80" s="14" t="s">
        <v>213</v>
      </c>
      <c r="B80" s="15" t="s">
        <v>97</v>
      </c>
      <c r="C80" s="81"/>
      <c r="D80" s="16"/>
      <c r="E80" s="16"/>
      <c r="G80" s="8" t="s">
        <v>252</v>
      </c>
    </row>
    <row r="81" spans="1:7" hidden="1" x14ac:dyDescent="0.2">
      <c r="A81" s="14"/>
      <c r="B81" s="15" t="s">
        <v>101</v>
      </c>
      <c r="C81" s="16">
        <f>C80*8/7</f>
        <v>0</v>
      </c>
      <c r="D81" s="16">
        <f>D73/220*1.5*1.2</f>
        <v>13.733018181818181</v>
      </c>
      <c r="E81" s="16">
        <f>C81*D81</f>
        <v>0</v>
      </c>
      <c r="G81" s="8" t="s">
        <v>252</v>
      </c>
    </row>
    <row r="82" spans="1:7" ht="13.15" hidden="1" customHeight="1" x14ac:dyDescent="0.2">
      <c r="A82" s="14" t="s">
        <v>215</v>
      </c>
      <c r="B82" s="15" t="s">
        <v>35</v>
      </c>
      <c r="D82" s="16">
        <f>63/302*(SUM(E76:E81))</f>
        <v>0</v>
      </c>
      <c r="E82" s="16">
        <f>D82</f>
        <v>0</v>
      </c>
      <c r="G82" s="8" t="s">
        <v>214</v>
      </c>
    </row>
    <row r="83" spans="1:7" hidden="1" x14ac:dyDescent="0.2">
      <c r="A83" s="14" t="s">
        <v>1</v>
      </c>
      <c r="B83" s="15" t="s">
        <v>2</v>
      </c>
      <c r="C83" s="15">
        <f>+C64</f>
        <v>40</v>
      </c>
      <c r="D83" s="76">
        <f>SUM(E73:E82)</f>
        <v>1678.48</v>
      </c>
      <c r="E83" s="16">
        <f>C83*D83/100</f>
        <v>671.39199999999994</v>
      </c>
    </row>
    <row r="84" spans="1:7" hidden="1" x14ac:dyDescent="0.2">
      <c r="A84" s="107" t="s">
        <v>3</v>
      </c>
      <c r="B84" s="108"/>
      <c r="C84" s="108"/>
      <c r="D84" s="109"/>
      <c r="E84" s="110">
        <f>SUM(E73:E83)</f>
        <v>2349.8719999999998</v>
      </c>
    </row>
    <row r="85" spans="1:7" hidden="1" x14ac:dyDescent="0.2">
      <c r="A85" s="14" t="s">
        <v>4</v>
      </c>
      <c r="B85" s="15" t="s">
        <v>2</v>
      </c>
      <c r="C85" s="129">
        <f>'3.Encargos Sociais'!$C$38*100</f>
        <v>69.355340000000012</v>
      </c>
      <c r="D85" s="16">
        <f>E84</f>
        <v>2349.8719999999998</v>
      </c>
      <c r="E85" s="16">
        <f>D85*C85/100</f>
        <v>1629.7617151648001</v>
      </c>
    </row>
    <row r="86" spans="1:7" hidden="1" x14ac:dyDescent="0.2">
      <c r="A86" s="107" t="s">
        <v>74</v>
      </c>
      <c r="B86" s="108"/>
      <c r="C86" s="108"/>
      <c r="D86" s="109"/>
      <c r="E86" s="110">
        <f>E84+E85</f>
        <v>3979.6337151647999</v>
      </c>
    </row>
    <row r="87" spans="1:7" ht="13.5" hidden="1" thickBot="1" x14ac:dyDescent="0.25">
      <c r="A87" s="14" t="s">
        <v>5</v>
      </c>
      <c r="B87" s="15" t="s">
        <v>6</v>
      </c>
      <c r="C87" s="79"/>
      <c r="D87" s="16">
        <f>E86</f>
        <v>3979.6337151647999</v>
      </c>
      <c r="E87" s="16">
        <f>C87*D87</f>
        <v>0</v>
      </c>
    </row>
    <row r="88" spans="1:7" ht="13.5" hidden="1" thickBot="1" x14ac:dyDescent="0.25">
      <c r="D88" s="113" t="s">
        <v>190</v>
      </c>
      <c r="E88" s="47">
        <f>$B$54</f>
        <v>0.31818181818181818</v>
      </c>
      <c r="F88" s="114">
        <f>E87*E88</f>
        <v>0</v>
      </c>
    </row>
    <row r="89" spans="1:7" ht="11.25" customHeight="1" x14ac:dyDescent="0.2"/>
    <row r="90" spans="1:7" ht="13.5" thickBot="1" x14ac:dyDescent="0.25">
      <c r="A90" s="7" t="s">
        <v>100</v>
      </c>
    </row>
    <row r="91" spans="1:7" s="10" customFormat="1" ht="13.15" customHeight="1" thickBot="1" x14ac:dyDescent="0.25">
      <c r="A91" s="55" t="s">
        <v>64</v>
      </c>
      <c r="B91" s="56" t="s">
        <v>65</v>
      </c>
      <c r="C91" s="56" t="s">
        <v>42</v>
      </c>
      <c r="D91" s="57" t="s">
        <v>233</v>
      </c>
      <c r="E91" s="57" t="s">
        <v>66</v>
      </c>
      <c r="F91" s="58" t="s">
        <v>67</v>
      </c>
      <c r="G91" s="8"/>
    </row>
    <row r="92" spans="1:7" x14ac:dyDescent="0.2">
      <c r="A92" s="276" t="s">
        <v>293</v>
      </c>
      <c r="B92" s="12" t="s">
        <v>8</v>
      </c>
      <c r="C92" s="12">
        <v>1</v>
      </c>
      <c r="D92" s="293">
        <v>2251.4899999999998</v>
      </c>
      <c r="E92" s="13">
        <f>C92*D92</f>
        <v>2251.4899999999998</v>
      </c>
    </row>
    <row r="93" spans="1:7" x14ac:dyDescent="0.2">
      <c r="A93" s="276" t="s">
        <v>294</v>
      </c>
      <c r="B93" s="12" t="s">
        <v>8</v>
      </c>
      <c r="C93" s="12">
        <v>1</v>
      </c>
      <c r="D93" s="80">
        <v>1320</v>
      </c>
      <c r="E93" s="13"/>
    </row>
    <row r="94" spans="1:7" hidden="1" x14ac:dyDescent="0.2">
      <c r="A94" s="14" t="s">
        <v>36</v>
      </c>
      <c r="B94" s="15" t="s">
        <v>0</v>
      </c>
      <c r="C94" s="81"/>
      <c r="D94" s="16">
        <f>D92/220*2</f>
        <v>20.468090909090908</v>
      </c>
      <c r="E94" s="16">
        <f>C94*D94</f>
        <v>0</v>
      </c>
      <c r="G94" s="8" t="s">
        <v>249</v>
      </c>
    </row>
    <row r="95" spans="1:7" hidden="1" x14ac:dyDescent="0.2">
      <c r="A95" s="14" t="s">
        <v>37</v>
      </c>
      <c r="B95" s="15" t="s">
        <v>0</v>
      </c>
      <c r="C95" s="81"/>
      <c r="D95" s="16">
        <f>D92/220*1.5</f>
        <v>15.351068181818182</v>
      </c>
      <c r="E95" s="16">
        <f>C95*D95</f>
        <v>0</v>
      </c>
      <c r="G95" s="8" t="s">
        <v>251</v>
      </c>
    </row>
    <row r="96" spans="1:7" ht="13.15" hidden="1" customHeight="1" x14ac:dyDescent="0.2">
      <c r="A96" s="14" t="s">
        <v>215</v>
      </c>
      <c r="B96" s="15" t="s">
        <v>35</v>
      </c>
      <c r="D96" s="16">
        <f>63/302*(SUM(E94:E95))</f>
        <v>0</v>
      </c>
      <c r="E96" s="16">
        <f>D96</f>
        <v>0</v>
      </c>
      <c r="G96" s="8" t="s">
        <v>214</v>
      </c>
    </row>
    <row r="97" spans="1:7" x14ac:dyDescent="0.2">
      <c r="A97" s="14" t="s">
        <v>212</v>
      </c>
      <c r="B97" s="15"/>
      <c r="C97" s="83">
        <v>1</v>
      </c>
      <c r="D97" s="16"/>
      <c r="E97" s="16"/>
    </row>
    <row r="98" spans="1:7" x14ac:dyDescent="0.2">
      <c r="A98" s="14" t="s">
        <v>1</v>
      </c>
      <c r="B98" s="15" t="s">
        <v>2</v>
      </c>
      <c r="C98" s="79">
        <v>20</v>
      </c>
      <c r="D98" s="76">
        <f>IF(C97=2,SUM(E92:E96),IF(C97=1,(SUM(E92:E96))*D93/D92,0))</f>
        <v>1320</v>
      </c>
      <c r="E98" s="16">
        <f>C98*D98/100</f>
        <v>264</v>
      </c>
    </row>
    <row r="99" spans="1:7" s="9" customFormat="1" x14ac:dyDescent="0.2">
      <c r="A99" s="94" t="s">
        <v>3</v>
      </c>
      <c r="B99" s="108"/>
      <c r="C99" s="108"/>
      <c r="D99" s="109"/>
      <c r="E99" s="96">
        <f>SUM(E92:E98)</f>
        <v>2515.4899999999998</v>
      </c>
      <c r="F99" s="41"/>
      <c r="G99" s="41"/>
    </row>
    <row r="100" spans="1:7" x14ac:dyDescent="0.2">
      <c r="A100" s="14" t="s">
        <v>4</v>
      </c>
      <c r="B100" s="15" t="s">
        <v>2</v>
      </c>
      <c r="C100" s="129">
        <f>'3.Encargos Sociais'!$C$38*100</f>
        <v>69.355340000000012</v>
      </c>
      <c r="D100" s="16">
        <f>E99</f>
        <v>2515.4899999999998</v>
      </c>
      <c r="E100" s="16">
        <f>D100*C100/100</f>
        <v>1744.626642166</v>
      </c>
    </row>
    <row r="101" spans="1:7" s="9" customFormat="1" x14ac:dyDescent="0.2">
      <c r="A101" s="94" t="s">
        <v>253</v>
      </c>
      <c r="B101" s="244"/>
      <c r="C101" s="244"/>
      <c r="D101" s="245"/>
      <c r="E101" s="96">
        <f>E99+E100</f>
        <v>4260.116642166</v>
      </c>
      <c r="F101" s="41"/>
      <c r="G101" s="41"/>
    </row>
    <row r="102" spans="1:7" ht="13.5" thickBot="1" x14ac:dyDescent="0.25">
      <c r="A102" s="14" t="s">
        <v>5</v>
      </c>
      <c r="B102" s="15" t="s">
        <v>6</v>
      </c>
      <c r="C102" s="79">
        <v>1</v>
      </c>
      <c r="D102" s="16">
        <f>E101</f>
        <v>4260.116642166</v>
      </c>
      <c r="E102" s="16">
        <f>C102*D102</f>
        <v>4260.116642166</v>
      </c>
    </row>
    <row r="103" spans="1:7" ht="13.5" thickBot="1" x14ac:dyDescent="0.25">
      <c r="A103" s="5"/>
      <c r="D103" s="113" t="s">
        <v>190</v>
      </c>
      <c r="E103" s="295">
        <f>Horários!F33</f>
        <v>0.40909090909090912</v>
      </c>
      <c r="F103" s="114">
        <f>E102*E103</f>
        <v>1742.7749899770001</v>
      </c>
    </row>
    <row r="104" spans="1:7" ht="11.25" customHeight="1" x14ac:dyDescent="0.2">
      <c r="A104" s="5"/>
    </row>
    <row r="105" spans="1:7" ht="11.25" customHeight="1" x14ac:dyDescent="0.2">
      <c r="A105" s="5"/>
    </row>
    <row r="106" spans="1:7" ht="13.5" thickBot="1" x14ac:dyDescent="0.25">
      <c r="A106" s="5" t="s">
        <v>382</v>
      </c>
    </row>
    <row r="107" spans="1:7" ht="13.5" thickBot="1" x14ac:dyDescent="0.25">
      <c r="A107" s="55" t="s">
        <v>64</v>
      </c>
      <c r="B107" s="56" t="s">
        <v>65</v>
      </c>
      <c r="C107" s="56" t="s">
        <v>42</v>
      </c>
      <c r="D107" s="57" t="s">
        <v>233</v>
      </c>
      <c r="E107" s="57" t="s">
        <v>66</v>
      </c>
      <c r="F107" s="58" t="s">
        <v>67</v>
      </c>
    </row>
    <row r="108" spans="1:7" x14ac:dyDescent="0.2">
      <c r="A108" s="276" t="s">
        <v>293</v>
      </c>
      <c r="B108" s="12" t="s">
        <v>8</v>
      </c>
      <c r="C108" s="12">
        <v>1</v>
      </c>
      <c r="D108" s="13">
        <v>2300</v>
      </c>
      <c r="E108" s="13">
        <f>C108*D108</f>
        <v>2300</v>
      </c>
    </row>
    <row r="109" spans="1:7" hidden="1" x14ac:dyDescent="0.2">
      <c r="A109" s="276" t="s">
        <v>294</v>
      </c>
      <c r="B109" s="12" t="s">
        <v>8</v>
      </c>
      <c r="C109" s="12">
        <v>1</v>
      </c>
      <c r="D109" s="16">
        <f>D93</f>
        <v>1320</v>
      </c>
      <c r="E109" s="16"/>
    </row>
    <row r="110" spans="1:7" hidden="1" x14ac:dyDescent="0.2">
      <c r="A110" s="14" t="s">
        <v>7</v>
      </c>
      <c r="B110" s="15" t="s">
        <v>97</v>
      </c>
      <c r="C110" s="81"/>
      <c r="D110" s="14"/>
      <c r="E110" s="14"/>
    </row>
    <row r="111" spans="1:7" hidden="1" x14ac:dyDescent="0.2">
      <c r="A111" s="14"/>
      <c r="B111" s="15" t="s">
        <v>101</v>
      </c>
      <c r="C111" s="16">
        <f>C110*8/7</f>
        <v>0</v>
      </c>
      <c r="D111" s="16">
        <f>D108/220*0.2</f>
        <v>2.0909090909090913</v>
      </c>
      <c r="E111" s="16">
        <f>C110*D111</f>
        <v>0</v>
      </c>
    </row>
    <row r="112" spans="1:7" hidden="1" x14ac:dyDescent="0.2">
      <c r="A112" s="14" t="s">
        <v>36</v>
      </c>
      <c r="B112" s="15" t="s">
        <v>0</v>
      </c>
      <c r="C112" s="81"/>
      <c r="D112" s="16">
        <f>D108/220*2</f>
        <v>20.90909090909091</v>
      </c>
      <c r="E112" s="16">
        <f>C112*D112</f>
        <v>0</v>
      </c>
      <c r="G112" s="8" t="s">
        <v>249</v>
      </c>
    </row>
    <row r="113" spans="1:7" hidden="1" x14ac:dyDescent="0.2">
      <c r="A113" s="14" t="s">
        <v>98</v>
      </c>
      <c r="B113" s="15" t="s">
        <v>97</v>
      </c>
      <c r="C113" s="81"/>
      <c r="D113" s="16"/>
      <c r="E113" s="16"/>
      <c r="G113" s="8" t="s">
        <v>250</v>
      </c>
    </row>
    <row r="114" spans="1:7" hidden="1" x14ac:dyDescent="0.2">
      <c r="A114" s="14"/>
      <c r="B114" s="15" t="s">
        <v>101</v>
      </c>
      <c r="C114" s="16">
        <f>C113*8/7</f>
        <v>0</v>
      </c>
      <c r="D114" s="16">
        <f>D108/220*2*1.2</f>
        <v>25.09090909090909</v>
      </c>
      <c r="E114" s="16">
        <f>C114*D114</f>
        <v>0</v>
      </c>
      <c r="G114" s="8" t="s">
        <v>250</v>
      </c>
    </row>
    <row r="115" spans="1:7" hidden="1" x14ac:dyDescent="0.2">
      <c r="A115" s="14" t="s">
        <v>37</v>
      </c>
      <c r="B115" s="15" t="s">
        <v>0</v>
      </c>
      <c r="C115" s="81"/>
      <c r="D115" s="16">
        <f>D108/220*1.5</f>
        <v>15.681818181818183</v>
      </c>
      <c r="E115" s="16">
        <f>C115*D115</f>
        <v>0</v>
      </c>
      <c r="G115" s="8" t="s">
        <v>251</v>
      </c>
    </row>
    <row r="116" spans="1:7" hidden="1" x14ac:dyDescent="0.2">
      <c r="A116" s="14" t="s">
        <v>213</v>
      </c>
      <c r="B116" s="15" t="s">
        <v>97</v>
      </c>
      <c r="C116" s="81"/>
      <c r="D116" s="16"/>
      <c r="E116" s="16"/>
      <c r="G116" s="8" t="s">
        <v>252</v>
      </c>
    </row>
    <row r="117" spans="1:7" hidden="1" x14ac:dyDescent="0.2">
      <c r="A117" s="14"/>
      <c r="B117" s="15" t="s">
        <v>101</v>
      </c>
      <c r="C117" s="16">
        <f>C116*8/7</f>
        <v>0</v>
      </c>
      <c r="D117" s="16">
        <f>D108/220*1.5*1.2</f>
        <v>18.81818181818182</v>
      </c>
      <c r="E117" s="16">
        <f>C117*D117</f>
        <v>0</v>
      </c>
      <c r="G117" s="8" t="s">
        <v>252</v>
      </c>
    </row>
    <row r="118" spans="1:7" ht="13.15" hidden="1" customHeight="1" x14ac:dyDescent="0.2">
      <c r="A118" s="14" t="s">
        <v>215</v>
      </c>
      <c r="B118" s="15" t="s">
        <v>35</v>
      </c>
      <c r="D118" s="16">
        <f>63/302*(SUM(E112:E117))</f>
        <v>0</v>
      </c>
      <c r="E118" s="16">
        <f>D118</f>
        <v>0</v>
      </c>
      <c r="G118" s="8" t="s">
        <v>214</v>
      </c>
    </row>
    <row r="119" spans="1:7" hidden="1" x14ac:dyDescent="0.2">
      <c r="A119" s="14" t="s">
        <v>212</v>
      </c>
      <c r="B119" s="15"/>
      <c r="C119" s="83"/>
      <c r="D119" s="16"/>
      <c r="E119" s="16"/>
    </row>
    <row r="120" spans="1:7" hidden="1" x14ac:dyDescent="0.2">
      <c r="A120" s="14" t="s">
        <v>1</v>
      </c>
      <c r="B120" s="15" t="s">
        <v>2</v>
      </c>
      <c r="C120" s="76">
        <f>+C98</f>
        <v>20</v>
      </c>
      <c r="D120" s="76">
        <f>IF(C119=2,SUM(E108:E118),IF(C119=1,SUM(E108:E118)*D109/D108,0))</f>
        <v>0</v>
      </c>
      <c r="E120" s="16">
        <f>C120*D120/100</f>
        <v>0</v>
      </c>
    </row>
    <row r="121" spans="1:7" s="9" customFormat="1" x14ac:dyDescent="0.2">
      <c r="A121" s="107" t="s">
        <v>3</v>
      </c>
      <c r="B121" s="108"/>
      <c r="C121" s="108"/>
      <c r="D121" s="109"/>
      <c r="E121" s="110">
        <f>SUM(E108:E120)</f>
        <v>2300</v>
      </c>
      <c r="F121" s="41"/>
      <c r="G121" s="41"/>
    </row>
    <row r="122" spans="1:7" x14ac:dyDescent="0.2">
      <c r="A122" s="14" t="s">
        <v>4</v>
      </c>
      <c r="B122" s="15" t="s">
        <v>2</v>
      </c>
      <c r="C122" s="129">
        <f>'3.Encargos Sociais'!$C$38*100</f>
        <v>69.355340000000012</v>
      </c>
      <c r="D122" s="16">
        <f>E121</f>
        <v>2300</v>
      </c>
      <c r="E122" s="16">
        <f>D122*C122/100</f>
        <v>1595.1728200000005</v>
      </c>
    </row>
    <row r="123" spans="1:7" s="9" customFormat="1" x14ac:dyDescent="0.2">
      <c r="A123" s="107" t="s">
        <v>253</v>
      </c>
      <c r="B123" s="108"/>
      <c r="C123" s="108"/>
      <c r="D123" s="109"/>
      <c r="E123" s="110">
        <f>E121+E122</f>
        <v>3895.1728200000007</v>
      </c>
      <c r="F123" s="41"/>
      <c r="G123" s="41"/>
    </row>
    <row r="124" spans="1:7" ht="13.5" thickBot="1" x14ac:dyDescent="0.25">
      <c r="A124" s="14" t="s">
        <v>5</v>
      </c>
      <c r="B124" s="15" t="s">
        <v>6</v>
      </c>
      <c r="C124" s="79">
        <v>1</v>
      </c>
      <c r="D124" s="16">
        <f>E123</f>
        <v>3895.1728200000007</v>
      </c>
      <c r="E124" s="16">
        <f>C124*D124</f>
        <v>3895.1728200000007</v>
      </c>
    </row>
    <row r="125" spans="1:7" ht="13.5" thickBot="1" x14ac:dyDescent="0.25">
      <c r="A125" s="9" t="s">
        <v>427</v>
      </c>
      <c r="D125" s="113" t="s">
        <v>190</v>
      </c>
      <c r="E125" s="295">
        <f>2/43</f>
        <v>4.6511627906976744E-2</v>
      </c>
      <c r="F125" s="114">
        <f>E124*E125</f>
        <v>181.17082883720934</v>
      </c>
    </row>
    <row r="126" spans="1:7" ht="11.25" customHeight="1" x14ac:dyDescent="0.2">
      <c r="G126" s="7"/>
    </row>
    <row r="127" spans="1:7" ht="13.5" thickBot="1" x14ac:dyDescent="0.25">
      <c r="A127" s="7" t="s">
        <v>102</v>
      </c>
      <c r="B127" s="86"/>
      <c r="D127" s="7"/>
      <c r="E127" s="313"/>
      <c r="G127" s="7"/>
    </row>
    <row r="128" spans="1:7" ht="13.5" thickBot="1" x14ac:dyDescent="0.25">
      <c r="A128" s="55" t="s">
        <v>64</v>
      </c>
      <c r="B128" s="56" t="s">
        <v>65</v>
      </c>
      <c r="C128" s="56" t="s">
        <v>42</v>
      </c>
      <c r="D128" s="57" t="s">
        <v>233</v>
      </c>
      <c r="E128" s="57" t="s">
        <v>66</v>
      </c>
      <c r="F128" s="58" t="s">
        <v>67</v>
      </c>
      <c r="G128" s="7"/>
    </row>
    <row r="129" spans="1:7" x14ac:dyDescent="0.2">
      <c r="A129" s="14" t="s">
        <v>90</v>
      </c>
      <c r="B129" s="15" t="s">
        <v>35</v>
      </c>
      <c r="C129" s="87">
        <v>1</v>
      </c>
      <c r="D129" s="85">
        <v>3.8</v>
      </c>
      <c r="E129" s="16"/>
      <c r="G129" s="7"/>
    </row>
    <row r="130" spans="1:7" x14ac:dyDescent="0.2">
      <c r="A130" s="14" t="s">
        <v>91</v>
      </c>
      <c r="B130" s="15" t="s">
        <v>92</v>
      </c>
      <c r="C130" s="84">
        <v>17</v>
      </c>
      <c r="D130" s="16"/>
      <c r="E130" s="16"/>
      <c r="G130" s="7"/>
    </row>
    <row r="131" spans="1:7" x14ac:dyDescent="0.2">
      <c r="A131" s="14" t="s">
        <v>75</v>
      </c>
      <c r="B131" s="15" t="s">
        <v>9</v>
      </c>
      <c r="C131" s="34">
        <f>$C$130*2*(C68+C87)</f>
        <v>68</v>
      </c>
      <c r="D131" s="13">
        <f>IFERROR((($C$130*2*$D$129)-(E60*0.06*C130/26))/($C$130*2),"-")</f>
        <v>1.8632923076923074</v>
      </c>
      <c r="E131" s="16">
        <f>IFERROR(C131*D131,"-")</f>
        <v>126.7038769230769</v>
      </c>
      <c r="G131" s="7"/>
    </row>
    <row r="132" spans="1:7" ht="13.5" thickBot="1" x14ac:dyDescent="0.25">
      <c r="A132" s="11" t="s">
        <v>46</v>
      </c>
      <c r="B132" s="12" t="s">
        <v>9</v>
      </c>
      <c r="C132" s="34">
        <f>$C$130*2*(C102)</f>
        <v>34</v>
      </c>
      <c r="D132" s="13">
        <f>IFERROR((($C$130*2*$D$129)-(E92*0.06*C130/26))/($C$130*2),"-")</f>
        <v>1.2021269230769231</v>
      </c>
      <c r="E132" s="13">
        <f>IFERROR(C132*D132,"-")</f>
        <v>40.872315384615391</v>
      </c>
      <c r="G132" s="7"/>
    </row>
    <row r="133" spans="1:7" ht="13.5" thickBot="1" x14ac:dyDescent="0.25">
      <c r="F133" s="20">
        <f>SUM(E131:E132)</f>
        <v>167.57619230769228</v>
      </c>
      <c r="G133" s="7"/>
    </row>
    <row r="134" spans="1:7" ht="11.25" customHeight="1" x14ac:dyDescent="0.2">
      <c r="G134" s="7"/>
    </row>
    <row r="135" spans="1:7" ht="13.5" thickBot="1" x14ac:dyDescent="0.25">
      <c r="A135" s="7" t="s">
        <v>118</v>
      </c>
      <c r="F135" s="21"/>
      <c r="G135" s="7"/>
    </row>
    <row r="136" spans="1:7" ht="13.5" thickBot="1" x14ac:dyDescent="0.25">
      <c r="A136" s="55" t="s">
        <v>64</v>
      </c>
      <c r="B136" s="56" t="s">
        <v>65</v>
      </c>
      <c r="C136" s="56" t="s">
        <v>42</v>
      </c>
      <c r="D136" s="57" t="s">
        <v>233</v>
      </c>
      <c r="E136" s="57" t="s">
        <v>66</v>
      </c>
      <c r="F136" s="58" t="s">
        <v>67</v>
      </c>
      <c r="G136" s="7"/>
    </row>
    <row r="137" spans="1:7" x14ac:dyDescent="0.2">
      <c r="A137" s="14" t="str">
        <f>+A131</f>
        <v>Coletor</v>
      </c>
      <c r="B137" s="15" t="s">
        <v>10</v>
      </c>
      <c r="C137" s="93">
        <f>C130*(E44+E45)</f>
        <v>34</v>
      </c>
      <c r="D137" s="82">
        <f>11*0.81</f>
        <v>8.91</v>
      </c>
      <c r="E137" s="47">
        <f>C137*D137</f>
        <v>302.94</v>
      </c>
      <c r="F137" s="21"/>
      <c r="G137" s="7"/>
    </row>
    <row r="138" spans="1:7" ht="13.5" thickBot="1" x14ac:dyDescent="0.25">
      <c r="A138" s="14" t="str">
        <f>+A132</f>
        <v>Motorista</v>
      </c>
      <c r="B138" s="15" t="s">
        <v>10</v>
      </c>
      <c r="C138" s="93">
        <f>C130*(E45+E46)</f>
        <v>17</v>
      </c>
      <c r="D138" s="82">
        <v>12.8</v>
      </c>
      <c r="E138" s="47">
        <f>C138*D138</f>
        <v>217.60000000000002</v>
      </c>
      <c r="F138" s="21"/>
      <c r="G138" s="7"/>
    </row>
    <row r="139" spans="1:7" ht="13.5" hidden="1" thickBot="1" x14ac:dyDescent="0.25">
      <c r="A139" s="310"/>
      <c r="B139" s="15"/>
      <c r="C139" s="93"/>
      <c r="D139" s="82"/>
      <c r="E139" s="47">
        <f>C139*D139</f>
        <v>0</v>
      </c>
      <c r="F139" s="21"/>
      <c r="G139" s="7"/>
    </row>
    <row r="140" spans="1:7" ht="13.5" thickBot="1" x14ac:dyDescent="0.25">
      <c r="D140" s="113" t="s">
        <v>190</v>
      </c>
      <c r="E140" s="295">
        <f>E103</f>
        <v>0.40909090909090912</v>
      </c>
      <c r="F140" s="20">
        <f>(E137*E140)+(E138*E103)</f>
        <v>212.94818181818184</v>
      </c>
      <c r="G140" s="7"/>
    </row>
    <row r="141" spans="1:7" x14ac:dyDescent="0.2">
      <c r="G141" s="7"/>
    </row>
    <row r="142" spans="1:7" ht="13.5" thickBot="1" x14ac:dyDescent="0.25">
      <c r="A142" s="7" t="s">
        <v>119</v>
      </c>
      <c r="F142" s="21"/>
      <c r="G142" s="7"/>
    </row>
    <row r="143" spans="1:7" ht="13.5" thickBot="1" x14ac:dyDescent="0.25">
      <c r="A143" s="55" t="s">
        <v>64</v>
      </c>
      <c r="B143" s="56" t="s">
        <v>65</v>
      </c>
      <c r="C143" s="56" t="s">
        <v>42</v>
      </c>
      <c r="D143" s="57" t="s">
        <v>233</v>
      </c>
      <c r="E143" s="57" t="s">
        <v>66</v>
      </c>
      <c r="F143" s="58" t="s">
        <v>67</v>
      </c>
      <c r="G143" s="7"/>
    </row>
    <row r="144" spans="1:7" hidden="1" x14ac:dyDescent="0.2">
      <c r="A144" s="14" t="str">
        <f>+A137</f>
        <v>Coletor</v>
      </c>
      <c r="B144" s="15" t="s">
        <v>10</v>
      </c>
      <c r="C144" s="93">
        <f>E44+E45</f>
        <v>2</v>
      </c>
      <c r="D144" s="82"/>
      <c r="E144" s="47">
        <f>C144*D144</f>
        <v>0</v>
      </c>
      <c r="F144" s="21"/>
      <c r="G144" s="7"/>
    </row>
    <row r="145" spans="1:7" ht="13.5" thickBot="1" x14ac:dyDescent="0.25">
      <c r="A145" s="14" t="str">
        <f>A138</f>
        <v>Motorista</v>
      </c>
      <c r="B145" s="15" t="s">
        <v>10</v>
      </c>
      <c r="C145" s="93">
        <v>1</v>
      </c>
      <c r="D145" s="446">
        <f>121.43*0.8</f>
        <v>97.144000000000005</v>
      </c>
      <c r="E145" s="47">
        <f>C145*D145</f>
        <v>97.144000000000005</v>
      </c>
      <c r="F145" s="21"/>
      <c r="G145" s="7"/>
    </row>
    <row r="146" spans="1:7" ht="13.5" thickBot="1" x14ac:dyDescent="0.25">
      <c r="D146" s="113" t="s">
        <v>190</v>
      </c>
      <c r="E146" s="295">
        <f>E103</f>
        <v>0.40909090909090912</v>
      </c>
      <c r="F146" s="20">
        <f>SUM(E144:E145)*E146</f>
        <v>39.740727272727277</v>
      </c>
      <c r="G146" s="7"/>
    </row>
    <row r="147" spans="1:7" x14ac:dyDescent="0.2">
      <c r="D147" s="113"/>
      <c r="E147" s="379"/>
      <c r="F147" s="21"/>
      <c r="G147" s="7"/>
    </row>
    <row r="148" spans="1:7" s="5" customFormat="1" ht="13.5" thickBot="1" x14ac:dyDescent="0.25">
      <c r="A148" s="5" t="s">
        <v>443</v>
      </c>
      <c r="D148" s="380"/>
      <c r="E148" s="380"/>
      <c r="F148" s="21"/>
    </row>
    <row r="149" spans="1:7" s="5" customFormat="1" ht="13.5" thickBot="1" x14ac:dyDescent="0.25">
      <c r="A149" s="55" t="s">
        <v>64</v>
      </c>
      <c r="B149" s="56" t="s">
        <v>65</v>
      </c>
      <c r="C149" s="56" t="s">
        <v>42</v>
      </c>
      <c r="D149" s="57" t="s">
        <v>233</v>
      </c>
      <c r="E149" s="57" t="s">
        <v>66</v>
      </c>
      <c r="F149" s="58" t="s">
        <v>67</v>
      </c>
    </row>
    <row r="150" spans="1:7" s="5" customFormat="1" ht="13.5" thickBot="1" x14ac:dyDescent="0.25">
      <c r="A150" s="310" t="s">
        <v>441</v>
      </c>
      <c r="B150" s="329" t="s">
        <v>10</v>
      </c>
      <c r="C150" s="381">
        <f>C68</f>
        <v>2</v>
      </c>
      <c r="D150" s="382">
        <v>18.5</v>
      </c>
      <c r="E150" s="383">
        <f>C150*D150</f>
        <v>37</v>
      </c>
      <c r="F150" s="21"/>
    </row>
    <row r="151" spans="1:7" s="5" customFormat="1" ht="13.5" hidden="1" thickBot="1" x14ac:dyDescent="0.25">
      <c r="A151" s="310"/>
      <c r="B151" s="329" t="s">
        <v>10</v>
      </c>
      <c r="C151" s="381">
        <v>0</v>
      </c>
      <c r="D151" s="382">
        <v>0</v>
      </c>
      <c r="E151" s="383"/>
      <c r="F151" s="21"/>
    </row>
    <row r="152" spans="1:7" s="5" customFormat="1" ht="13.5" thickBot="1" x14ac:dyDescent="0.25">
      <c r="A152" s="384"/>
      <c r="B152" s="384"/>
      <c r="D152" s="385" t="s">
        <v>442</v>
      </c>
      <c r="E152" s="386">
        <v>0.375</v>
      </c>
      <c r="F152" s="387">
        <f>SUM(E150:E151)*E152</f>
        <v>13.875</v>
      </c>
    </row>
    <row r="153" spans="1:7" s="5" customFormat="1" ht="13.5" thickBot="1" x14ac:dyDescent="0.25">
      <c r="A153" s="10"/>
      <c r="B153" s="10"/>
      <c r="D153" s="385"/>
      <c r="E153" s="388"/>
      <c r="F153" s="389"/>
    </row>
    <row r="154" spans="1:7" s="5" customFormat="1" ht="13.5" thickBot="1" x14ac:dyDescent="0.25">
      <c r="A154" s="10"/>
      <c r="B154" s="10"/>
      <c r="D154" s="385"/>
      <c r="E154" s="388"/>
      <c r="F154" s="389"/>
    </row>
    <row r="155" spans="1:7" ht="13.5" thickBot="1" x14ac:dyDescent="0.25">
      <c r="A155" s="22" t="s">
        <v>93</v>
      </c>
      <c r="B155" s="23"/>
      <c r="C155" s="23"/>
      <c r="D155" s="24"/>
      <c r="E155" s="25"/>
      <c r="F155" s="20">
        <f>F146+F140+F133+F125+F103+F88+F69+F152</f>
        <v>4890.5801025904111</v>
      </c>
      <c r="G155" s="7"/>
    </row>
    <row r="157" spans="1:7" x14ac:dyDescent="0.2">
      <c r="A157" s="9" t="s">
        <v>47</v>
      </c>
      <c r="G157" s="7"/>
    </row>
    <row r="158" spans="1:7" ht="11.25" customHeight="1" x14ac:dyDescent="0.2">
      <c r="G158" s="7"/>
    </row>
    <row r="159" spans="1:7" ht="13.9" customHeight="1" x14ac:dyDescent="0.2">
      <c r="A159" s="7" t="s">
        <v>192</v>
      </c>
      <c r="G159" s="7"/>
    </row>
    <row r="160" spans="1:7" ht="11.25" customHeight="1" thickBot="1" x14ac:dyDescent="0.25">
      <c r="G160" s="7"/>
    </row>
    <row r="161" spans="1:7" ht="27.75" customHeight="1" thickBot="1" x14ac:dyDescent="0.25">
      <c r="A161" s="55" t="s">
        <v>64</v>
      </c>
      <c r="B161" s="56" t="s">
        <v>65</v>
      </c>
      <c r="C161" s="246" t="s">
        <v>255</v>
      </c>
      <c r="D161" s="57" t="s">
        <v>233</v>
      </c>
      <c r="E161" s="57" t="s">
        <v>66</v>
      </c>
      <c r="F161" s="58" t="s">
        <v>67</v>
      </c>
      <c r="G161" s="7"/>
    </row>
    <row r="162" spans="1:7" x14ac:dyDescent="0.2">
      <c r="A162" s="276" t="s">
        <v>68</v>
      </c>
      <c r="B162" s="372" t="s">
        <v>10</v>
      </c>
      <c r="C162" s="309">
        <v>12</v>
      </c>
      <c r="D162" s="293">
        <v>150</v>
      </c>
      <c r="E162" s="13">
        <f>IFERROR(D162/C162,0)</f>
        <v>12.5</v>
      </c>
      <c r="G162" s="7"/>
    </row>
    <row r="163" spans="1:7" ht="13.15" customHeight="1" x14ac:dyDescent="0.2">
      <c r="A163" s="310" t="s">
        <v>30</v>
      </c>
      <c r="B163" s="329" t="s">
        <v>10</v>
      </c>
      <c r="C163" s="309">
        <v>4</v>
      </c>
      <c r="D163" s="308">
        <v>65</v>
      </c>
      <c r="E163" s="13">
        <f t="shared" ref="E163:E173" si="1">IFERROR(D163/C163,0)</f>
        <v>16.25</v>
      </c>
      <c r="G163" s="7"/>
    </row>
    <row r="164" spans="1:7" x14ac:dyDescent="0.2">
      <c r="A164" s="310" t="s">
        <v>428</v>
      </c>
      <c r="B164" s="329" t="s">
        <v>10</v>
      </c>
      <c r="C164" s="309">
        <v>4</v>
      </c>
      <c r="D164" s="308">
        <v>28</v>
      </c>
      <c r="E164" s="13">
        <f t="shared" si="1"/>
        <v>7</v>
      </c>
      <c r="G164" s="7"/>
    </row>
    <row r="165" spans="1:7" ht="13.15" customHeight="1" x14ac:dyDescent="0.2">
      <c r="A165" s="310" t="s">
        <v>429</v>
      </c>
      <c r="B165" s="329" t="s">
        <v>10</v>
      </c>
      <c r="C165" s="309">
        <v>3</v>
      </c>
      <c r="D165" s="308">
        <v>26</v>
      </c>
      <c r="E165" s="13">
        <f t="shared" si="1"/>
        <v>8.6666666666666661</v>
      </c>
      <c r="G165" s="7"/>
    </row>
    <row r="166" spans="1:7" ht="13.9" customHeight="1" x14ac:dyDescent="0.2">
      <c r="A166" s="310" t="s">
        <v>429</v>
      </c>
      <c r="B166" s="329" t="s">
        <v>10</v>
      </c>
      <c r="C166" s="309">
        <v>3</v>
      </c>
      <c r="D166" s="308">
        <v>30</v>
      </c>
      <c r="E166" s="13">
        <f t="shared" si="1"/>
        <v>10</v>
      </c>
      <c r="G166" s="7"/>
    </row>
    <row r="167" spans="1:7" ht="13.15" customHeight="1" x14ac:dyDescent="0.2">
      <c r="A167" s="310" t="s">
        <v>32</v>
      </c>
      <c r="B167" s="329" t="s">
        <v>10</v>
      </c>
      <c r="C167" s="309">
        <v>4</v>
      </c>
      <c r="D167" s="308">
        <v>18</v>
      </c>
      <c r="E167" s="13">
        <f t="shared" si="1"/>
        <v>4.5</v>
      </c>
    </row>
    <row r="168" spans="1:7" x14ac:dyDescent="0.2">
      <c r="A168" s="310" t="s">
        <v>70</v>
      </c>
      <c r="B168" s="329" t="s">
        <v>50</v>
      </c>
      <c r="C168" s="309">
        <v>4</v>
      </c>
      <c r="D168" s="308">
        <v>65</v>
      </c>
      <c r="E168" s="13">
        <f t="shared" si="1"/>
        <v>16.25</v>
      </c>
    </row>
    <row r="169" spans="1:7" s="1" customFormat="1" x14ac:dyDescent="0.2">
      <c r="A169" s="310" t="s">
        <v>94</v>
      </c>
      <c r="B169" s="329" t="s">
        <v>50</v>
      </c>
      <c r="C169" s="309">
        <v>2</v>
      </c>
      <c r="D169" s="308">
        <v>10</v>
      </c>
      <c r="E169" s="13">
        <f t="shared" si="1"/>
        <v>5</v>
      </c>
      <c r="F169" s="35"/>
      <c r="G169" s="35"/>
    </row>
    <row r="170" spans="1:7" x14ac:dyDescent="0.2">
      <c r="A170" s="310" t="s">
        <v>69</v>
      </c>
      <c r="B170" s="329" t="s">
        <v>10</v>
      </c>
      <c r="C170" s="309">
        <v>6</v>
      </c>
      <c r="D170" s="308">
        <v>67</v>
      </c>
      <c r="E170" s="13">
        <f t="shared" si="1"/>
        <v>11.166666666666666</v>
      </c>
    </row>
    <row r="171" spans="1:7" ht="13.15" customHeight="1" x14ac:dyDescent="0.2">
      <c r="A171" s="328" t="s">
        <v>11</v>
      </c>
      <c r="B171" s="373" t="s">
        <v>10</v>
      </c>
      <c r="C171" s="309">
        <v>4</v>
      </c>
      <c r="D171" s="308">
        <v>20</v>
      </c>
      <c r="E171" s="13">
        <f>IFERROR(D171/C171,0)</f>
        <v>5</v>
      </c>
    </row>
    <row r="172" spans="1:7" ht="13.15" customHeight="1" x14ac:dyDescent="0.2">
      <c r="A172" s="310" t="s">
        <v>33</v>
      </c>
      <c r="B172" s="329" t="s">
        <v>50</v>
      </c>
      <c r="C172" s="374">
        <v>0.5</v>
      </c>
      <c r="D172" s="308">
        <v>10</v>
      </c>
      <c r="E172" s="13">
        <f>IFERROR(D172/C172,0)</f>
        <v>20</v>
      </c>
    </row>
    <row r="173" spans="1:7" x14ac:dyDescent="0.2">
      <c r="A173" s="310" t="s">
        <v>63</v>
      </c>
      <c r="B173" s="329" t="s">
        <v>51</v>
      </c>
      <c r="C173" s="309">
        <v>1</v>
      </c>
      <c r="D173" s="308">
        <v>20</v>
      </c>
      <c r="E173" s="13">
        <f t="shared" si="1"/>
        <v>20</v>
      </c>
    </row>
    <row r="174" spans="1:7" ht="13.5" thickBot="1" x14ac:dyDescent="0.25">
      <c r="A174" s="14" t="s">
        <v>5</v>
      </c>
      <c r="B174" s="15" t="s">
        <v>6</v>
      </c>
      <c r="C174" s="64">
        <f>E44+E45</f>
        <v>2</v>
      </c>
      <c r="D174" s="16">
        <f>+SUM(E162:E173)</f>
        <v>136.33333333333331</v>
      </c>
      <c r="E174" s="16">
        <f t="shared" ref="E174" si="2">C174*D174</f>
        <v>272.66666666666663</v>
      </c>
    </row>
    <row r="175" spans="1:7" ht="13.5" thickBot="1" x14ac:dyDescent="0.25">
      <c r="D175" s="113" t="s">
        <v>190</v>
      </c>
      <c r="E175" s="295">
        <f>$B$54</f>
        <v>0.31818181818181818</v>
      </c>
      <c r="F175" s="114">
        <f>E174*E175</f>
        <v>86.757575757575751</v>
      </c>
    </row>
    <row r="176" spans="1:7" ht="11.25" customHeight="1" x14ac:dyDescent="0.2"/>
    <row r="177" spans="1:7" ht="13.9" customHeight="1" x14ac:dyDescent="0.2">
      <c r="A177" s="7" t="s">
        <v>193</v>
      </c>
    </row>
    <row r="178" spans="1:7" ht="11.25" customHeight="1" thickBot="1" x14ac:dyDescent="0.25"/>
    <row r="179" spans="1:7" ht="24.75" thickBot="1" x14ac:dyDescent="0.25">
      <c r="A179" s="55" t="s">
        <v>64</v>
      </c>
      <c r="B179" s="56" t="s">
        <v>65</v>
      </c>
      <c r="C179" s="246" t="s">
        <v>255</v>
      </c>
      <c r="D179" s="57" t="s">
        <v>233</v>
      </c>
      <c r="E179" s="57" t="s">
        <v>66</v>
      </c>
      <c r="F179" s="58" t="s">
        <v>67</v>
      </c>
    </row>
    <row r="180" spans="1:7" x14ac:dyDescent="0.2">
      <c r="A180" s="276" t="s">
        <v>68</v>
      </c>
      <c r="B180" s="372" t="s">
        <v>10</v>
      </c>
      <c r="C180" s="309">
        <f>C162</f>
        <v>12</v>
      </c>
      <c r="D180" s="375">
        <f>+D162</f>
        <v>150</v>
      </c>
      <c r="E180" s="13">
        <f>IFERROR(D180/C180,0)</f>
        <v>12.5</v>
      </c>
    </row>
    <row r="181" spans="1:7" x14ac:dyDescent="0.2">
      <c r="A181" s="310" t="s">
        <v>30</v>
      </c>
      <c r="B181" s="329" t="s">
        <v>10</v>
      </c>
      <c r="C181" s="309">
        <f>C163</f>
        <v>4</v>
      </c>
      <c r="D181" s="376">
        <f>+D163</f>
        <v>65</v>
      </c>
      <c r="E181" s="13">
        <f t="shared" ref="E181:E185" si="3">IFERROR(D181/C181,0)</f>
        <v>16.25</v>
      </c>
    </row>
    <row r="182" spans="1:7" x14ac:dyDescent="0.2">
      <c r="A182" s="310" t="s">
        <v>31</v>
      </c>
      <c r="B182" s="329" t="s">
        <v>10</v>
      </c>
      <c r="C182" s="309">
        <f>C165</f>
        <v>3</v>
      </c>
      <c r="D182" s="376">
        <f>+D165</f>
        <v>26</v>
      </c>
      <c r="E182" s="13">
        <f t="shared" si="3"/>
        <v>8.6666666666666661</v>
      </c>
    </row>
    <row r="183" spans="1:7" x14ac:dyDescent="0.2">
      <c r="A183" s="310" t="s">
        <v>70</v>
      </c>
      <c r="B183" s="329" t="s">
        <v>50</v>
      </c>
      <c r="C183" s="309">
        <f>C168</f>
        <v>4</v>
      </c>
      <c r="D183" s="376">
        <f>+D168</f>
        <v>65</v>
      </c>
      <c r="E183" s="13">
        <f t="shared" si="3"/>
        <v>16.25</v>
      </c>
    </row>
    <row r="184" spans="1:7" x14ac:dyDescent="0.2">
      <c r="A184" s="310" t="s">
        <v>69</v>
      </c>
      <c r="B184" s="329" t="s">
        <v>10</v>
      </c>
      <c r="C184" s="309">
        <f>C170</f>
        <v>6</v>
      </c>
      <c r="D184" s="376">
        <f>+D170</f>
        <v>67</v>
      </c>
      <c r="E184" s="13">
        <f t="shared" si="3"/>
        <v>11.166666666666666</v>
      </c>
      <c r="G184" s="7"/>
    </row>
    <row r="185" spans="1:7" x14ac:dyDescent="0.2">
      <c r="A185" s="310" t="s">
        <v>63</v>
      </c>
      <c r="B185" s="329" t="s">
        <v>51</v>
      </c>
      <c r="C185" s="309">
        <v>2</v>
      </c>
      <c r="D185" s="376">
        <f>+D173</f>
        <v>20</v>
      </c>
      <c r="E185" s="13">
        <f t="shared" si="3"/>
        <v>10</v>
      </c>
      <c r="G185" s="7"/>
    </row>
    <row r="186" spans="1:7" ht="13.5" thickBot="1" x14ac:dyDescent="0.25">
      <c r="A186" s="14" t="s">
        <v>5</v>
      </c>
      <c r="B186" s="15" t="s">
        <v>6</v>
      </c>
      <c r="C186" s="64">
        <f>E46</f>
        <v>1</v>
      </c>
      <c r="D186" s="16">
        <f>+SUM(E180:E185)</f>
        <v>74.833333333333329</v>
      </c>
      <c r="E186" s="16">
        <f t="shared" ref="E186" si="4">C186*D186</f>
        <v>74.833333333333329</v>
      </c>
      <c r="G186" s="7"/>
    </row>
    <row r="187" spans="1:7" ht="13.5" thickBot="1" x14ac:dyDescent="0.25">
      <c r="D187" s="113" t="s">
        <v>190</v>
      </c>
      <c r="E187" s="295">
        <f>E103</f>
        <v>0.40909090909090912</v>
      </c>
      <c r="F187" s="114">
        <f>E186*E187</f>
        <v>30.613636363636363</v>
      </c>
      <c r="G187" s="7"/>
    </row>
    <row r="188" spans="1:7" ht="11.25" customHeight="1" thickBot="1" x14ac:dyDescent="0.25">
      <c r="G188" s="7"/>
    </row>
    <row r="189" spans="1:7" ht="13.5" thickBot="1" x14ac:dyDescent="0.25">
      <c r="A189" s="22" t="s">
        <v>194</v>
      </c>
      <c r="B189" s="26"/>
      <c r="C189" s="26"/>
      <c r="D189" s="27"/>
      <c r="E189" s="28"/>
      <c r="F189" s="19">
        <f>+F175+F187</f>
        <v>117.37121212121211</v>
      </c>
      <c r="G189" s="7"/>
    </row>
    <row r="190" spans="1:7" ht="11.25" customHeight="1" x14ac:dyDescent="0.2">
      <c r="G190" s="7"/>
    </row>
    <row r="191" spans="1:7" x14ac:dyDescent="0.2">
      <c r="A191" s="9" t="s">
        <v>56</v>
      </c>
      <c r="G191" s="7"/>
    </row>
    <row r="192" spans="1:7" ht="11.25" customHeight="1" x14ac:dyDescent="0.2">
      <c r="B192" s="98"/>
      <c r="G192" s="7"/>
    </row>
    <row r="193" spans="1:10" x14ac:dyDescent="0.2">
      <c r="A193" s="5" t="s">
        <v>378</v>
      </c>
      <c r="G193" s="7"/>
    </row>
    <row r="194" spans="1:10" ht="11.25" customHeight="1" x14ac:dyDescent="0.2">
      <c r="G194" s="7"/>
    </row>
    <row r="195" spans="1:10" ht="13.5" thickBot="1" x14ac:dyDescent="0.25">
      <c r="A195" s="98" t="s">
        <v>48</v>
      </c>
      <c r="G195" s="7"/>
    </row>
    <row r="196" spans="1:10" ht="13.5" thickBot="1" x14ac:dyDescent="0.25">
      <c r="A196" s="55" t="s">
        <v>64</v>
      </c>
      <c r="B196" s="56" t="s">
        <v>65</v>
      </c>
      <c r="C196" s="56" t="s">
        <v>42</v>
      </c>
      <c r="D196" s="57" t="s">
        <v>233</v>
      </c>
      <c r="E196" s="57" t="s">
        <v>66</v>
      </c>
      <c r="F196" s="58" t="s">
        <v>67</v>
      </c>
      <c r="G196" s="7"/>
    </row>
    <row r="197" spans="1:10" x14ac:dyDescent="0.2">
      <c r="A197" s="11" t="s">
        <v>106</v>
      </c>
      <c r="B197" s="12" t="s">
        <v>10</v>
      </c>
      <c r="C197" s="12">
        <v>1</v>
      </c>
      <c r="D197" s="80">
        <v>250000</v>
      </c>
      <c r="E197" s="13">
        <f>C197*D197</f>
        <v>250000</v>
      </c>
      <c r="G197" s="7"/>
    </row>
    <row r="198" spans="1:10" x14ac:dyDescent="0.2">
      <c r="A198" s="14" t="s">
        <v>103</v>
      </c>
      <c r="B198" s="15" t="s">
        <v>104</v>
      </c>
      <c r="C198" s="79">
        <v>15</v>
      </c>
      <c r="D198" s="76"/>
      <c r="E198" s="16"/>
      <c r="G198" s="7"/>
    </row>
    <row r="199" spans="1:10" x14ac:dyDescent="0.2">
      <c r="A199" s="14" t="s">
        <v>207</v>
      </c>
      <c r="B199" s="15" t="s">
        <v>104</v>
      </c>
      <c r="C199" s="79">
        <v>0</v>
      </c>
      <c r="D199" s="16"/>
      <c r="E199" s="16"/>
      <c r="F199" s="18"/>
      <c r="I199" s="78"/>
      <c r="J199" s="78"/>
    </row>
    <row r="200" spans="1:10" x14ac:dyDescent="0.2">
      <c r="A200" s="14" t="s">
        <v>105</v>
      </c>
      <c r="B200" s="15" t="s">
        <v>2</v>
      </c>
      <c r="C200" s="129">
        <f>IFERROR(VLOOKUP(C198,'6. Depreciação'!A3:B17,2,FALSE),0)</f>
        <v>70.73</v>
      </c>
      <c r="D200" s="16">
        <f>E197</f>
        <v>250000</v>
      </c>
      <c r="E200" s="16">
        <f>C200*D200/100</f>
        <v>176825</v>
      </c>
    </row>
    <row r="201" spans="1:10" ht="13.5" thickBot="1" x14ac:dyDescent="0.25">
      <c r="A201" s="253" t="s">
        <v>52</v>
      </c>
      <c r="B201" s="254" t="s">
        <v>8</v>
      </c>
      <c r="C201" s="254">
        <f>C198*12</f>
        <v>180</v>
      </c>
      <c r="D201" s="255">
        <f>IF(C199&lt;=C198,E200,0)</f>
        <v>176825</v>
      </c>
      <c r="E201" s="255">
        <f>IFERROR(D201/C201,0)</f>
        <v>982.36111111111109</v>
      </c>
    </row>
    <row r="202" spans="1:10" ht="13.5" thickTop="1" x14ac:dyDescent="0.2">
      <c r="A202" s="276" t="s">
        <v>379</v>
      </c>
      <c r="B202" s="12" t="s">
        <v>10</v>
      </c>
      <c r="C202" s="12">
        <f>C197</f>
        <v>1</v>
      </c>
      <c r="D202" s="80">
        <v>120000</v>
      </c>
      <c r="E202" s="13">
        <f>C202*D202</f>
        <v>120000</v>
      </c>
      <c r="G202" s="7"/>
    </row>
    <row r="203" spans="1:10" x14ac:dyDescent="0.2">
      <c r="A203" s="310" t="s">
        <v>103</v>
      </c>
      <c r="B203" s="15" t="s">
        <v>104</v>
      </c>
      <c r="C203" s="79">
        <v>15</v>
      </c>
      <c r="D203" s="16"/>
      <c r="E203" s="16"/>
    </row>
    <row r="204" spans="1:10" x14ac:dyDescent="0.2">
      <c r="A204" s="310" t="s">
        <v>380</v>
      </c>
      <c r="B204" s="15" t="s">
        <v>104</v>
      </c>
      <c r="C204" s="79">
        <v>0</v>
      </c>
      <c r="D204" s="16"/>
      <c r="E204" s="16"/>
      <c r="F204" s="18"/>
      <c r="I204" s="78"/>
      <c r="J204" s="78"/>
    </row>
    <row r="205" spans="1:10" x14ac:dyDescent="0.2">
      <c r="A205" s="310" t="s">
        <v>105</v>
      </c>
      <c r="B205" s="15" t="s">
        <v>2</v>
      </c>
      <c r="C205" s="130">
        <f>IFERROR(VLOOKUP(C203,'6. Depreciação'!A3:B17,2,FALSE),0)</f>
        <v>70.73</v>
      </c>
      <c r="D205" s="16">
        <f>E202</f>
        <v>120000</v>
      </c>
      <c r="E205" s="16">
        <f>C205*D205/100</f>
        <v>84876</v>
      </c>
    </row>
    <row r="206" spans="1:10" x14ac:dyDescent="0.2">
      <c r="A206" s="94" t="s">
        <v>381</v>
      </c>
      <c r="B206" s="95" t="s">
        <v>8</v>
      </c>
      <c r="C206" s="95">
        <f>C203*12</f>
        <v>180</v>
      </c>
      <c r="D206" s="96">
        <f>IF(C204&lt;=C203,E205,0)</f>
        <v>84876</v>
      </c>
      <c r="E206" s="96">
        <f>IFERROR(D206/C206,0)</f>
        <v>471.53333333333336</v>
      </c>
    </row>
    <row r="207" spans="1:10" x14ac:dyDescent="0.2">
      <c r="A207" s="107" t="s">
        <v>258</v>
      </c>
      <c r="B207" s="95"/>
      <c r="C207" s="95"/>
      <c r="D207" s="96"/>
      <c r="E207" s="96">
        <f>E201+E206</f>
        <v>1453.8944444444444</v>
      </c>
    </row>
    <row r="208" spans="1:10" x14ac:dyDescent="0.2">
      <c r="A208" s="107" t="s">
        <v>439</v>
      </c>
      <c r="B208" s="95"/>
      <c r="C208" s="95"/>
      <c r="D208" s="96"/>
      <c r="E208" s="96">
        <f>E207*0.1</f>
        <v>145.38944444444445</v>
      </c>
    </row>
    <row r="209" spans="1:10" ht="13.5" thickBot="1" x14ac:dyDescent="0.25">
      <c r="A209" s="94" t="s">
        <v>259</v>
      </c>
      <c r="B209" s="95" t="s">
        <v>10</v>
      </c>
      <c r="C209" s="79">
        <v>1</v>
      </c>
      <c r="D209" s="96">
        <f>E207+E208</f>
        <v>1599.2838888888889</v>
      </c>
      <c r="E209" s="110">
        <f>C209*D209</f>
        <v>1599.2838888888889</v>
      </c>
    </row>
    <row r="210" spans="1:10" ht="13.5" thickBot="1" x14ac:dyDescent="0.25">
      <c r="A210" s="251"/>
      <c r="B210" s="251"/>
      <c r="C210" s="251"/>
      <c r="D210" s="113" t="s">
        <v>190</v>
      </c>
      <c r="E210" s="295">
        <f>E103</f>
        <v>0.40909090909090912</v>
      </c>
      <c r="F210" s="19">
        <f>E209*E210</f>
        <v>654.25250000000005</v>
      </c>
    </row>
    <row r="211" spans="1:10" ht="11.25" customHeight="1" x14ac:dyDescent="0.2"/>
    <row r="212" spans="1:10" ht="13.5" thickBot="1" x14ac:dyDescent="0.25">
      <c r="A212" s="98" t="s">
        <v>110</v>
      </c>
    </row>
    <row r="213" spans="1:10" ht="13.5" thickBot="1" x14ac:dyDescent="0.25">
      <c r="A213" s="100" t="s">
        <v>64</v>
      </c>
      <c r="B213" s="101" t="s">
        <v>65</v>
      </c>
      <c r="C213" s="101" t="s">
        <v>42</v>
      </c>
      <c r="D213" s="57" t="s">
        <v>233</v>
      </c>
      <c r="E213" s="102" t="s">
        <v>66</v>
      </c>
      <c r="F213" s="58" t="s">
        <v>67</v>
      </c>
      <c r="I213" s="78"/>
      <c r="J213" s="78"/>
    </row>
    <row r="214" spans="1:10" x14ac:dyDescent="0.2">
      <c r="A214" s="14" t="s">
        <v>109</v>
      </c>
      <c r="B214" s="15" t="s">
        <v>10</v>
      </c>
      <c r="C214" s="12">
        <v>1</v>
      </c>
      <c r="D214" s="16">
        <f>D197</f>
        <v>250000</v>
      </c>
      <c r="E214" s="16">
        <f>C214*D214</f>
        <v>250000</v>
      </c>
      <c r="F214" s="18"/>
      <c r="I214" s="78"/>
      <c r="J214" s="78"/>
    </row>
    <row r="215" spans="1:10" x14ac:dyDescent="0.2">
      <c r="A215" s="14" t="s">
        <v>210</v>
      </c>
      <c r="B215" s="15" t="s">
        <v>2</v>
      </c>
      <c r="C215" s="81">
        <v>10</v>
      </c>
      <c r="D215" s="16"/>
      <c r="E215" s="16"/>
      <c r="F215" s="18"/>
      <c r="I215" s="78"/>
      <c r="J215" s="78"/>
    </row>
    <row r="216" spans="1:10" x14ac:dyDescent="0.2">
      <c r="A216" s="14" t="s">
        <v>208</v>
      </c>
      <c r="B216" s="15" t="s">
        <v>35</v>
      </c>
      <c r="C216" s="135">
        <f>IFERROR(IF(C199&lt;=C198,E197-(C200/(100*C198)*C199)*E197,E197-E200),0)</f>
        <v>250000</v>
      </c>
      <c r="D216" s="16"/>
      <c r="E216" s="16"/>
      <c r="F216" s="18"/>
      <c r="I216" s="78"/>
      <c r="J216" s="78"/>
    </row>
    <row r="217" spans="1:10" x14ac:dyDescent="0.2">
      <c r="A217" s="14" t="s">
        <v>112</v>
      </c>
      <c r="B217" s="15" t="s">
        <v>35</v>
      </c>
      <c r="C217" s="76">
        <f>IFERROR(IF(C199&gt;=C198,C216,((((C216)-(E197-E200))*(((C198-C199)+1)/(2*(C198-C199))))+(E197-E200))),0)</f>
        <v>167481.66666666669</v>
      </c>
      <c r="D217" s="16"/>
      <c r="E217" s="16"/>
      <c r="F217" s="18"/>
      <c r="I217" s="78"/>
      <c r="J217" s="78"/>
    </row>
    <row r="218" spans="1:10" ht="13.5" thickBot="1" x14ac:dyDescent="0.25">
      <c r="A218" s="253" t="s">
        <v>113</v>
      </c>
      <c r="B218" s="254" t="s">
        <v>35</v>
      </c>
      <c r="C218" s="254"/>
      <c r="D218" s="256">
        <f>C215*C217/12/100</f>
        <v>1395.6805555555559</v>
      </c>
      <c r="E218" s="255">
        <f>D218</f>
        <v>1395.6805555555559</v>
      </c>
      <c r="F218" s="18"/>
      <c r="I218" s="78"/>
      <c r="J218" s="78"/>
    </row>
    <row r="219" spans="1:10" ht="13.5" thickTop="1" x14ac:dyDescent="0.2">
      <c r="A219" s="276" t="s">
        <v>432</v>
      </c>
      <c r="B219" s="12" t="s">
        <v>10</v>
      </c>
      <c r="C219" s="12">
        <f>C202</f>
        <v>1</v>
      </c>
      <c r="D219" s="13">
        <f>D202</f>
        <v>120000</v>
      </c>
      <c r="E219" s="13">
        <f>C219*D219</f>
        <v>120000</v>
      </c>
      <c r="F219" s="18"/>
      <c r="I219" s="78"/>
      <c r="J219" s="78"/>
    </row>
    <row r="220" spans="1:10" x14ac:dyDescent="0.2">
      <c r="A220" s="310" t="s">
        <v>210</v>
      </c>
      <c r="B220" s="15" t="s">
        <v>2</v>
      </c>
      <c r="C220" s="15">
        <f>C215</f>
        <v>10</v>
      </c>
      <c r="D220" s="16"/>
      <c r="E220" s="16"/>
      <c r="F220" s="18"/>
      <c r="I220" s="78"/>
      <c r="J220" s="78"/>
    </row>
    <row r="221" spans="1:10" x14ac:dyDescent="0.2">
      <c r="A221" s="14" t="s">
        <v>209</v>
      </c>
      <c r="B221" s="15" t="s">
        <v>35</v>
      </c>
      <c r="C221" s="135">
        <f>IFERROR(IF(C204&lt;=C203,E202-(C205/(100*C203)*C204)*E202,E202-E205),0)</f>
        <v>120000</v>
      </c>
      <c r="D221" s="16"/>
      <c r="E221" s="16"/>
      <c r="F221" s="18"/>
      <c r="I221" s="78"/>
      <c r="J221" s="78"/>
    </row>
    <row r="222" spans="1:10" x14ac:dyDescent="0.2">
      <c r="A222" s="310" t="s">
        <v>433</v>
      </c>
      <c r="B222" s="15" t="s">
        <v>35</v>
      </c>
      <c r="C222" s="76">
        <f>IFERROR(IF(C204&gt;=C203,C221,((((C221)-(E202-E205))*(((C203-C204)+1)/(2*(C203-C204))))+(E202-E205))),0)</f>
        <v>80391.199999999997</v>
      </c>
      <c r="D222" s="16"/>
      <c r="E222" s="16"/>
      <c r="F222" s="18"/>
      <c r="I222" s="78"/>
      <c r="J222" s="78"/>
    </row>
    <row r="223" spans="1:10" x14ac:dyDescent="0.2">
      <c r="A223" s="94" t="s">
        <v>434</v>
      </c>
      <c r="B223" s="95" t="s">
        <v>35</v>
      </c>
      <c r="C223" s="95"/>
      <c r="D223" s="104">
        <f>C220*C222/12/100</f>
        <v>669.92666666666673</v>
      </c>
      <c r="E223" s="96">
        <f>D223</f>
        <v>669.92666666666673</v>
      </c>
      <c r="F223" s="18"/>
      <c r="I223" s="78"/>
      <c r="J223" s="78"/>
    </row>
    <row r="224" spans="1:10" x14ac:dyDescent="0.2">
      <c r="A224" s="107" t="s">
        <v>258</v>
      </c>
      <c r="B224" s="108"/>
      <c r="C224" s="108"/>
      <c r="D224" s="109"/>
      <c r="E224" s="110">
        <f>E218+E223</f>
        <v>2065.6072222222228</v>
      </c>
      <c r="F224" s="18"/>
      <c r="I224" s="78"/>
      <c r="J224" s="78"/>
    </row>
    <row r="225" spans="1:10" ht="13.5" thickBot="1" x14ac:dyDescent="0.25">
      <c r="A225" s="94" t="s">
        <v>259</v>
      </c>
      <c r="B225" s="95" t="s">
        <v>10</v>
      </c>
      <c r="C225" s="15">
        <f>C209</f>
        <v>1</v>
      </c>
      <c r="D225" s="96">
        <f>E224</f>
        <v>2065.6072222222228</v>
      </c>
      <c r="E225" s="110">
        <f>C225*D225</f>
        <v>2065.6072222222228</v>
      </c>
      <c r="F225" s="18"/>
      <c r="I225" s="78"/>
      <c r="J225" s="78"/>
    </row>
    <row r="226" spans="1:10" ht="13.5" thickBot="1" x14ac:dyDescent="0.25">
      <c r="C226" s="17"/>
      <c r="D226" s="113" t="s">
        <v>190</v>
      </c>
      <c r="E226" s="295">
        <f>E210</f>
        <v>0.40909090909090912</v>
      </c>
      <c r="F226" s="19">
        <f>E225*E226</f>
        <v>845.02113636363663</v>
      </c>
      <c r="I226" s="78"/>
      <c r="J226" s="78"/>
    </row>
    <row r="227" spans="1:10" ht="11.25" customHeight="1" x14ac:dyDescent="0.2">
      <c r="I227" s="78"/>
      <c r="J227" s="78"/>
    </row>
    <row r="228" spans="1:10" ht="13.5" thickBot="1" x14ac:dyDescent="0.25">
      <c r="A228" s="7" t="s">
        <v>53</v>
      </c>
      <c r="I228" s="78"/>
      <c r="J228" s="78"/>
    </row>
    <row r="229" spans="1:10" ht="13.5" thickBot="1" x14ac:dyDescent="0.25">
      <c r="A229" s="55" t="s">
        <v>64</v>
      </c>
      <c r="B229" s="56" t="s">
        <v>65</v>
      </c>
      <c r="C229" s="56" t="s">
        <v>42</v>
      </c>
      <c r="D229" s="57" t="s">
        <v>233</v>
      </c>
      <c r="E229" s="57" t="s">
        <v>66</v>
      </c>
      <c r="F229" s="58" t="s">
        <v>67</v>
      </c>
      <c r="I229" s="78"/>
      <c r="J229" s="78"/>
    </row>
    <row r="230" spans="1:10" x14ac:dyDescent="0.2">
      <c r="A230" s="11" t="s">
        <v>12</v>
      </c>
      <c r="B230" s="12" t="s">
        <v>10</v>
      </c>
      <c r="C230" s="13">
        <f>C209</f>
        <v>1</v>
      </c>
      <c r="D230" s="13">
        <f>0.01*C216</f>
        <v>2500</v>
      </c>
      <c r="E230" s="13">
        <f>C230*D230</f>
        <v>2500</v>
      </c>
      <c r="I230" s="78"/>
      <c r="J230" s="78"/>
    </row>
    <row r="231" spans="1:10" x14ac:dyDescent="0.2">
      <c r="A231" s="14" t="s">
        <v>189</v>
      </c>
      <c r="B231" s="15" t="s">
        <v>10</v>
      </c>
      <c r="C231" s="13">
        <f>C209</f>
        <v>1</v>
      </c>
      <c r="D231" s="82">
        <v>94.1</v>
      </c>
      <c r="E231" s="16">
        <f>C231*D231</f>
        <v>94.1</v>
      </c>
      <c r="I231" s="78"/>
      <c r="J231" s="78"/>
    </row>
    <row r="232" spans="1:10" x14ac:dyDescent="0.2">
      <c r="A232" s="14" t="s">
        <v>13</v>
      </c>
      <c r="B232" s="15" t="s">
        <v>10</v>
      </c>
      <c r="C232" s="13">
        <f>C209</f>
        <v>1</v>
      </c>
      <c r="D232" s="82">
        <v>2760</v>
      </c>
      <c r="E232" s="16">
        <f>C232*D232</f>
        <v>2760</v>
      </c>
      <c r="F232" s="29"/>
      <c r="I232" s="78"/>
      <c r="J232" s="78"/>
    </row>
    <row r="233" spans="1:10" ht="13.5" thickBot="1" x14ac:dyDescent="0.25">
      <c r="A233" s="94" t="s">
        <v>14</v>
      </c>
      <c r="B233" s="95" t="s">
        <v>8</v>
      </c>
      <c r="C233" s="95">
        <v>12</v>
      </c>
      <c r="D233" s="96">
        <f>SUM(E230:E232)</f>
        <v>5354.1</v>
      </c>
      <c r="E233" s="96">
        <f>D233/C233</f>
        <v>446.17500000000001</v>
      </c>
      <c r="I233" s="78"/>
      <c r="J233" s="78"/>
    </row>
    <row r="234" spans="1:10" ht="13.5" thickBot="1" x14ac:dyDescent="0.25">
      <c r="D234" s="113" t="s">
        <v>190</v>
      </c>
      <c r="E234" s="295">
        <f>E226</f>
        <v>0.40909090909090912</v>
      </c>
      <c r="F234" s="114">
        <f>E233*E234</f>
        <v>182.52613636363637</v>
      </c>
      <c r="I234" s="78"/>
      <c r="J234" s="78"/>
    </row>
    <row r="235" spans="1:10" ht="11.25" customHeight="1" x14ac:dyDescent="0.2">
      <c r="I235" s="78"/>
      <c r="J235" s="78"/>
    </row>
    <row r="236" spans="1:10" x14ac:dyDescent="0.2">
      <c r="A236" s="7" t="s">
        <v>54</v>
      </c>
      <c r="B236" s="30"/>
      <c r="I236" s="78"/>
      <c r="J236" s="78"/>
    </row>
    <row r="237" spans="1:10" x14ac:dyDescent="0.2">
      <c r="B237" s="30"/>
      <c r="I237" s="78"/>
      <c r="J237" s="78"/>
    </row>
    <row r="238" spans="1:10" x14ac:dyDescent="0.2">
      <c r="A238" s="94" t="s">
        <v>115</v>
      </c>
      <c r="B238" s="321">
        <f>Roteiros!J10+Roteiros!J18+Roteiros!J25</f>
        <v>1459.9053428571428</v>
      </c>
      <c r="I238" s="78"/>
      <c r="J238" s="78"/>
    </row>
    <row r="239" spans="1:10" ht="13.5" thickBot="1" x14ac:dyDescent="0.25">
      <c r="B239" s="30"/>
      <c r="I239" s="78"/>
      <c r="J239" s="78"/>
    </row>
    <row r="240" spans="1:10" ht="13.5" thickBot="1" x14ac:dyDescent="0.25">
      <c r="A240" s="55" t="s">
        <v>64</v>
      </c>
      <c r="B240" s="56" t="s">
        <v>65</v>
      </c>
      <c r="C240" s="56" t="s">
        <v>257</v>
      </c>
      <c r="D240" s="57" t="s">
        <v>233</v>
      </c>
      <c r="E240" s="57" t="s">
        <v>66</v>
      </c>
      <c r="F240" s="58" t="s">
        <v>67</v>
      </c>
      <c r="I240" s="78"/>
      <c r="J240" s="78"/>
    </row>
    <row r="241" spans="1:10" x14ac:dyDescent="0.2">
      <c r="A241" s="11" t="s">
        <v>15</v>
      </c>
      <c r="B241" s="12" t="s">
        <v>16</v>
      </c>
      <c r="C241" s="89">
        <v>2.2000000000000002</v>
      </c>
      <c r="D241" s="377">
        <v>5.21</v>
      </c>
      <c r="E241" s="13"/>
      <c r="I241" s="78"/>
      <c r="J241" s="78"/>
    </row>
    <row r="242" spans="1:10" x14ac:dyDescent="0.2">
      <c r="A242" s="14" t="s">
        <v>17</v>
      </c>
      <c r="B242" s="15" t="s">
        <v>18</v>
      </c>
      <c r="C242" s="87">
        <f>B238</f>
        <v>1459.9053428571428</v>
      </c>
      <c r="D242" s="250">
        <f>IFERROR(+D241/C241,"-")</f>
        <v>2.3681818181818182</v>
      </c>
      <c r="E242" s="16">
        <f>IFERROR(C242*D242,"-")</f>
        <v>3457.3212892207794</v>
      </c>
      <c r="I242" s="78"/>
      <c r="J242" s="78"/>
    </row>
    <row r="243" spans="1:10" x14ac:dyDescent="0.2">
      <c r="A243" s="14" t="s">
        <v>234</v>
      </c>
      <c r="B243" s="15" t="s">
        <v>19</v>
      </c>
      <c r="C243" s="91">
        <v>1.33</v>
      </c>
      <c r="D243" s="82">
        <v>20</v>
      </c>
      <c r="E243" s="16"/>
      <c r="G243" s="103"/>
      <c r="I243" s="78"/>
      <c r="J243" s="78"/>
    </row>
    <row r="244" spans="1:10" x14ac:dyDescent="0.2">
      <c r="A244" s="14" t="s">
        <v>20</v>
      </c>
      <c r="B244" s="15" t="s">
        <v>18</v>
      </c>
      <c r="C244" s="87">
        <f>C242</f>
        <v>1459.9053428571428</v>
      </c>
      <c r="D244" s="247">
        <f>+C243*D243/1000</f>
        <v>2.6600000000000002E-2</v>
      </c>
      <c r="E244" s="16">
        <f>C244*D244</f>
        <v>38.833482119999999</v>
      </c>
      <c r="G244" s="103"/>
      <c r="I244" s="78"/>
      <c r="J244" s="78"/>
    </row>
    <row r="245" spans="1:10" x14ac:dyDescent="0.2">
      <c r="A245" s="14" t="s">
        <v>235</v>
      </c>
      <c r="B245" s="15" t="s">
        <v>19</v>
      </c>
      <c r="C245" s="91">
        <v>0.18</v>
      </c>
      <c r="D245" s="82">
        <v>26</v>
      </c>
      <c r="E245" s="16"/>
      <c r="G245" s="103"/>
      <c r="I245" s="78"/>
      <c r="J245" s="78"/>
    </row>
    <row r="246" spans="1:10" x14ac:dyDescent="0.2">
      <c r="A246" s="14" t="s">
        <v>21</v>
      </c>
      <c r="B246" s="15" t="s">
        <v>18</v>
      </c>
      <c r="C246" s="87">
        <f>C242</f>
        <v>1459.9053428571428</v>
      </c>
      <c r="D246" s="247">
        <f>+C245*D245/1000</f>
        <v>4.6800000000000001E-3</v>
      </c>
      <c r="E246" s="16">
        <f>C246*D246</f>
        <v>6.8323570045714286</v>
      </c>
      <c r="G246" s="103"/>
      <c r="I246" s="78"/>
      <c r="J246" s="78"/>
    </row>
    <row r="247" spans="1:10" x14ac:dyDescent="0.2">
      <c r="A247" s="310" t="s">
        <v>390</v>
      </c>
      <c r="B247" s="15" t="s">
        <v>19</v>
      </c>
      <c r="C247" s="91">
        <v>20</v>
      </c>
      <c r="D247" s="82">
        <v>3.3</v>
      </c>
      <c r="E247" s="16"/>
      <c r="G247" s="103"/>
      <c r="I247" s="78"/>
      <c r="J247" s="78"/>
    </row>
    <row r="248" spans="1:10" x14ac:dyDescent="0.2">
      <c r="A248" s="310" t="s">
        <v>391</v>
      </c>
      <c r="B248" s="15" t="s">
        <v>18</v>
      </c>
      <c r="C248" s="87">
        <f>C242</f>
        <v>1459.9053428571428</v>
      </c>
      <c r="D248" s="247">
        <f>+C247*D247/1000</f>
        <v>6.6000000000000003E-2</v>
      </c>
      <c r="E248" s="16">
        <f>C248*D248</f>
        <v>96.353752628571428</v>
      </c>
      <c r="G248" s="103"/>
      <c r="I248" s="78"/>
      <c r="J248" s="78"/>
    </row>
    <row r="249" spans="1:10" x14ac:dyDescent="0.2">
      <c r="A249" s="14" t="s">
        <v>236</v>
      </c>
      <c r="B249" s="15" t="s">
        <v>19</v>
      </c>
      <c r="C249" s="91">
        <v>3</v>
      </c>
      <c r="D249" s="82">
        <v>22</v>
      </c>
      <c r="E249" s="16"/>
      <c r="G249" s="103"/>
      <c r="I249" s="78"/>
      <c r="J249" s="78"/>
    </row>
    <row r="250" spans="1:10" x14ac:dyDescent="0.2">
      <c r="A250" s="14" t="s">
        <v>22</v>
      </c>
      <c r="B250" s="15" t="s">
        <v>18</v>
      </c>
      <c r="C250" s="87">
        <f>C242</f>
        <v>1459.9053428571428</v>
      </c>
      <c r="D250" s="247">
        <f>+C249*D249/1000</f>
        <v>6.6000000000000003E-2</v>
      </c>
      <c r="E250" s="16">
        <f>C250*D250</f>
        <v>96.353752628571428</v>
      </c>
      <c r="G250" s="103"/>
      <c r="I250" s="78"/>
      <c r="J250" s="78"/>
    </row>
    <row r="251" spans="1:10" x14ac:dyDescent="0.2">
      <c r="A251" s="14" t="s">
        <v>23</v>
      </c>
      <c r="B251" s="15" t="s">
        <v>24</v>
      </c>
      <c r="C251" s="91">
        <v>2</v>
      </c>
      <c r="D251" s="82">
        <v>20</v>
      </c>
      <c r="E251" s="16"/>
      <c r="G251" s="103"/>
      <c r="I251" s="78"/>
      <c r="J251" s="78"/>
    </row>
    <row r="252" spans="1:10" x14ac:dyDescent="0.2">
      <c r="A252" s="14" t="s">
        <v>25</v>
      </c>
      <c r="B252" s="15" t="s">
        <v>18</v>
      </c>
      <c r="C252" s="87">
        <f>C242</f>
        <v>1459.9053428571428</v>
      </c>
      <c r="D252" s="247">
        <f>+C251*D251/1000</f>
        <v>0.04</v>
      </c>
      <c r="E252" s="16">
        <f>C252*D252</f>
        <v>58.396213714285715</v>
      </c>
      <c r="G252" s="103"/>
      <c r="I252" s="78"/>
      <c r="J252" s="78"/>
    </row>
    <row r="253" spans="1:10" ht="13.5" thickBot="1" x14ac:dyDescent="0.25">
      <c r="A253" s="94" t="s">
        <v>256</v>
      </c>
      <c r="B253" s="95" t="s">
        <v>116</v>
      </c>
      <c r="C253" s="248"/>
      <c r="D253" s="249">
        <f>IFERROR(D242+D244+D246+D250+D252,0)</f>
        <v>2.5054618181818182</v>
      </c>
      <c r="E253" s="16"/>
      <c r="G253" s="103"/>
      <c r="I253" s="78"/>
      <c r="J253" s="78"/>
    </row>
    <row r="254" spans="1:10" ht="13.5" thickBot="1" x14ac:dyDescent="0.25">
      <c r="F254" s="19">
        <f>SUM(E241:E252)</f>
        <v>3754.0908473167792</v>
      </c>
      <c r="I254" s="78"/>
      <c r="J254" s="78"/>
    </row>
    <row r="255" spans="1:10" ht="11.25" customHeight="1" x14ac:dyDescent="0.2">
      <c r="I255" s="78"/>
      <c r="J255" s="78"/>
    </row>
    <row r="256" spans="1:10" ht="13.5" thickBot="1" x14ac:dyDescent="0.25">
      <c r="A256" s="7" t="s">
        <v>55</v>
      </c>
      <c r="I256" s="78"/>
      <c r="J256" s="78"/>
    </row>
    <row r="257" spans="1:10" ht="13.5" thickBot="1" x14ac:dyDescent="0.25">
      <c r="A257" s="55" t="s">
        <v>64</v>
      </c>
      <c r="B257" s="56" t="s">
        <v>65</v>
      </c>
      <c r="C257" s="56" t="s">
        <v>42</v>
      </c>
      <c r="D257" s="57" t="s">
        <v>233</v>
      </c>
      <c r="E257" s="57" t="s">
        <v>66</v>
      </c>
      <c r="F257" s="58" t="s">
        <v>67</v>
      </c>
      <c r="I257" s="78"/>
      <c r="J257" s="78"/>
    </row>
    <row r="258" spans="1:10" ht="13.5" thickBot="1" x14ac:dyDescent="0.25">
      <c r="A258" s="11" t="s">
        <v>114</v>
      </c>
      <c r="B258" s="12" t="s">
        <v>116</v>
      </c>
      <c r="C258" s="87">
        <f>C242</f>
        <v>1459.9053428571428</v>
      </c>
      <c r="D258" s="80">
        <v>1</v>
      </c>
      <c r="E258" s="13">
        <f>C258*D258</f>
        <v>1459.9053428571428</v>
      </c>
      <c r="I258" s="78"/>
      <c r="J258" s="78"/>
    </row>
    <row r="259" spans="1:10" ht="13.5" thickBot="1" x14ac:dyDescent="0.25">
      <c r="F259" s="19">
        <f>E258</f>
        <v>1459.9053428571428</v>
      </c>
      <c r="I259" s="78"/>
      <c r="J259" s="78"/>
    </row>
    <row r="260" spans="1:10" ht="11.25" customHeight="1" x14ac:dyDescent="0.2">
      <c r="I260" s="78"/>
      <c r="J260" s="78"/>
    </row>
    <row r="261" spans="1:10" ht="13.5" thickBot="1" x14ac:dyDescent="0.25">
      <c r="A261" s="7" t="s">
        <v>62</v>
      </c>
      <c r="I261" s="78"/>
      <c r="J261" s="78"/>
    </row>
    <row r="262" spans="1:10" ht="13.5" thickBot="1" x14ac:dyDescent="0.25">
      <c r="A262" s="55" t="s">
        <v>64</v>
      </c>
      <c r="B262" s="56" t="s">
        <v>65</v>
      </c>
      <c r="C262" s="56" t="s">
        <v>42</v>
      </c>
      <c r="D262" s="57" t="s">
        <v>233</v>
      </c>
      <c r="E262" s="57" t="s">
        <v>66</v>
      </c>
      <c r="F262" s="58" t="s">
        <v>67</v>
      </c>
      <c r="I262" s="78"/>
      <c r="J262" s="78"/>
    </row>
    <row r="263" spans="1:10" x14ac:dyDescent="0.2">
      <c r="A263" s="276" t="s">
        <v>424</v>
      </c>
      <c r="B263" s="12" t="s">
        <v>10</v>
      </c>
      <c r="C263" s="88">
        <v>6</v>
      </c>
      <c r="D263" s="80">
        <v>2500</v>
      </c>
      <c r="E263" s="13">
        <f>C263*D263</f>
        <v>15000</v>
      </c>
      <c r="I263" s="78"/>
      <c r="J263" s="78"/>
    </row>
    <row r="264" spans="1:10" x14ac:dyDescent="0.2">
      <c r="A264" s="11" t="s">
        <v>117</v>
      </c>
      <c r="B264" s="12" t="s">
        <v>10</v>
      </c>
      <c r="C264" s="88">
        <v>2</v>
      </c>
      <c r="D264" s="97"/>
      <c r="E264" s="13"/>
      <c r="I264" s="78"/>
      <c r="J264" s="78"/>
    </row>
    <row r="265" spans="1:10" x14ac:dyDescent="0.2">
      <c r="A265" s="11" t="s">
        <v>72</v>
      </c>
      <c r="B265" s="12" t="s">
        <v>10</v>
      </c>
      <c r="C265" s="13">
        <f>C263*C264</f>
        <v>12</v>
      </c>
      <c r="D265" s="80">
        <v>600</v>
      </c>
      <c r="E265" s="13">
        <f>C265*D265</f>
        <v>7200</v>
      </c>
      <c r="I265" s="78"/>
      <c r="J265" s="78"/>
    </row>
    <row r="266" spans="1:10" x14ac:dyDescent="0.2">
      <c r="A266" s="14" t="s">
        <v>95</v>
      </c>
      <c r="B266" s="15" t="s">
        <v>26</v>
      </c>
      <c r="C266" s="90">
        <v>80000</v>
      </c>
      <c r="D266" s="16">
        <f>E263+E265</f>
        <v>22200</v>
      </c>
      <c r="E266" s="16">
        <f>IFERROR(D266/C266,"-")</f>
        <v>0.27750000000000002</v>
      </c>
      <c r="I266" s="78"/>
      <c r="J266" s="78"/>
    </row>
    <row r="267" spans="1:10" ht="13.5" thickBot="1" x14ac:dyDescent="0.25">
      <c r="A267" s="14" t="s">
        <v>57</v>
      </c>
      <c r="B267" s="15" t="s">
        <v>18</v>
      </c>
      <c r="C267" s="87">
        <f>B238</f>
        <v>1459.9053428571428</v>
      </c>
      <c r="D267" s="16">
        <f>E266</f>
        <v>0.27750000000000002</v>
      </c>
      <c r="E267" s="16">
        <f>IFERROR(C267*D267,0)</f>
        <v>405.12373264285719</v>
      </c>
      <c r="I267" s="78"/>
      <c r="J267" s="78"/>
    </row>
    <row r="268" spans="1:10" ht="13.5" thickBot="1" x14ac:dyDescent="0.25">
      <c r="F268" s="19">
        <f>E267</f>
        <v>405.12373264285719</v>
      </c>
      <c r="I268" s="78"/>
      <c r="J268" s="78"/>
    </row>
    <row r="269" spans="1:10" ht="11.25" customHeight="1" x14ac:dyDescent="0.2">
      <c r="I269" s="78"/>
      <c r="J269" s="78"/>
    </row>
    <row r="270" spans="1:10" ht="11.25" customHeight="1" thickBot="1" x14ac:dyDescent="0.25">
      <c r="G270" s="7"/>
    </row>
    <row r="271" spans="1:10" ht="13.5" thickBot="1" x14ac:dyDescent="0.25">
      <c r="A271" s="22" t="s">
        <v>221</v>
      </c>
      <c r="B271" s="23"/>
      <c r="C271" s="23"/>
      <c r="D271" s="24"/>
      <c r="E271" s="25"/>
      <c r="F271" s="19">
        <f>+SUM(F197:F270)</f>
        <v>7300.919695544052</v>
      </c>
      <c r="G271" s="7"/>
    </row>
    <row r="272" spans="1:10" ht="11.25" customHeight="1" x14ac:dyDescent="0.2">
      <c r="G272" s="7"/>
    </row>
    <row r="273" spans="1:7" x14ac:dyDescent="0.2">
      <c r="A273" s="9" t="s">
        <v>461</v>
      </c>
      <c r="B273" s="9"/>
      <c r="C273" s="9"/>
      <c r="D273" s="32"/>
      <c r="E273" s="32"/>
      <c r="F273" s="31"/>
      <c r="G273" s="7"/>
    </row>
    <row r="274" spans="1:7" ht="11.25" customHeight="1" thickBot="1" x14ac:dyDescent="0.25">
      <c r="G274" s="7"/>
    </row>
    <row r="275" spans="1:7" ht="13.5" thickBot="1" x14ac:dyDescent="0.25">
      <c r="A275" s="55" t="s">
        <v>64</v>
      </c>
      <c r="B275" s="56" t="s">
        <v>65</v>
      </c>
      <c r="C275" s="56" t="s">
        <v>42</v>
      </c>
      <c r="D275" s="57" t="s">
        <v>233</v>
      </c>
      <c r="E275" s="57" t="s">
        <v>66</v>
      </c>
      <c r="F275" s="58" t="s">
        <v>67</v>
      </c>
      <c r="G275" s="7"/>
    </row>
    <row r="276" spans="1:7" x14ac:dyDescent="0.2">
      <c r="A276" s="14" t="s">
        <v>73</v>
      </c>
      <c r="B276" s="15" t="s">
        <v>10</v>
      </c>
      <c r="C276" s="92">
        <v>0.16666666666666666</v>
      </c>
      <c r="D276" s="80">
        <v>45</v>
      </c>
      <c r="E276" s="16">
        <f>C276*D276</f>
        <v>7.5</v>
      </c>
      <c r="F276" s="50"/>
      <c r="G276" s="7"/>
    </row>
    <row r="277" spans="1:7" x14ac:dyDescent="0.2">
      <c r="A277" s="14" t="s">
        <v>28</v>
      </c>
      <c r="B277" s="15" t="s">
        <v>10</v>
      </c>
      <c r="C277" s="92">
        <v>0.16666666666666666</v>
      </c>
      <c r="D277" s="80">
        <v>30</v>
      </c>
      <c r="E277" s="16">
        <f>C277*D277</f>
        <v>5</v>
      </c>
      <c r="F277" s="50"/>
      <c r="G277" s="7"/>
    </row>
    <row r="278" spans="1:7" ht="13.5" thickBot="1" x14ac:dyDescent="0.25">
      <c r="A278" s="14" t="s">
        <v>29</v>
      </c>
      <c r="B278" s="15" t="s">
        <v>10</v>
      </c>
      <c r="C278" s="92">
        <v>0.16666666666666666</v>
      </c>
      <c r="D278" s="80">
        <v>32</v>
      </c>
      <c r="E278" s="16">
        <f>C278*D278</f>
        <v>5.333333333333333</v>
      </c>
      <c r="F278" s="50"/>
      <c r="G278" s="7"/>
    </row>
    <row r="279" spans="1:7" ht="13.5" thickBot="1" x14ac:dyDescent="0.25">
      <c r="A279" s="9"/>
      <c r="B279" s="9"/>
      <c r="C279" s="9"/>
      <c r="D279" s="9"/>
      <c r="E279" s="32"/>
      <c r="F279" s="19">
        <f>SUM(E276:E278)</f>
        <v>17.833333333333332</v>
      </c>
      <c r="G279" s="7"/>
    </row>
    <row r="280" spans="1:7" ht="11.25" customHeight="1" thickBot="1" x14ac:dyDescent="0.25">
      <c r="G280" s="7"/>
    </row>
    <row r="281" spans="1:7" ht="13.5" thickBot="1" x14ac:dyDescent="0.25">
      <c r="A281" s="22" t="s">
        <v>222</v>
      </c>
      <c r="B281" s="23"/>
      <c r="C281" s="23"/>
      <c r="D281" s="24"/>
      <c r="E281" s="25"/>
      <c r="F281" s="19">
        <f>+F279</f>
        <v>17.833333333333332</v>
      </c>
      <c r="G281" s="7"/>
    </row>
    <row r="282" spans="1:7" ht="11.25" customHeight="1" x14ac:dyDescent="0.2">
      <c r="G282" s="7"/>
    </row>
    <row r="283" spans="1:7" ht="11.25" customHeight="1" x14ac:dyDescent="0.2">
      <c r="A283" s="9" t="s">
        <v>462</v>
      </c>
      <c r="B283" s="9"/>
      <c r="C283" s="9"/>
      <c r="D283" s="32"/>
      <c r="E283" s="32"/>
      <c r="F283" s="31"/>
      <c r="G283" s="7"/>
    </row>
    <row r="284" spans="1:7" ht="11.25" customHeight="1" thickBot="1" x14ac:dyDescent="0.25">
      <c r="A284" s="5"/>
      <c r="B284" s="5"/>
      <c r="C284" s="5"/>
      <c r="D284" s="380"/>
      <c r="E284" s="380"/>
      <c r="F284" s="380"/>
      <c r="G284" s="7"/>
    </row>
    <row r="285" spans="1:7" ht="11.25" customHeight="1" thickBot="1" x14ac:dyDescent="0.25">
      <c r="A285" s="55" t="s">
        <v>64</v>
      </c>
      <c r="B285" s="56" t="s">
        <v>65</v>
      </c>
      <c r="C285" s="56" t="s">
        <v>42</v>
      </c>
      <c r="D285" s="57" t="s">
        <v>233</v>
      </c>
      <c r="E285" s="57" t="s">
        <v>66</v>
      </c>
      <c r="F285" s="58" t="s">
        <v>67</v>
      </c>
      <c r="G285" s="7"/>
    </row>
    <row r="286" spans="1:7" ht="11.25" customHeight="1" x14ac:dyDescent="0.2">
      <c r="A286" s="310" t="s">
        <v>463</v>
      </c>
      <c r="B286" s="329" t="s">
        <v>10</v>
      </c>
      <c r="C286" s="447">
        <v>1</v>
      </c>
      <c r="D286" s="293">
        <v>150</v>
      </c>
      <c r="E286" s="376">
        <f t="shared" ref="E286:E287" si="5">C286*D286</f>
        <v>150</v>
      </c>
      <c r="F286" s="426"/>
      <c r="G286" s="7"/>
    </row>
    <row r="287" spans="1:7" ht="11.25" customHeight="1" x14ac:dyDescent="0.2">
      <c r="A287" s="310" t="s">
        <v>464</v>
      </c>
      <c r="B287" s="329" t="s">
        <v>10</v>
      </c>
      <c r="C287" s="374">
        <v>8.3333333333333329E-2</v>
      </c>
      <c r="D287" s="293">
        <v>150</v>
      </c>
      <c r="E287" s="376">
        <f t="shared" si="5"/>
        <v>12.5</v>
      </c>
      <c r="F287" s="426"/>
      <c r="G287" s="7"/>
    </row>
    <row r="288" spans="1:7" ht="11.25" customHeight="1" thickBot="1" x14ac:dyDescent="0.25">
      <c r="A288" s="310" t="s">
        <v>465</v>
      </c>
      <c r="B288" s="49" t="s">
        <v>367</v>
      </c>
      <c r="C288" s="329">
        <v>60</v>
      </c>
      <c r="D288" s="446">
        <v>2.4</v>
      </c>
      <c r="E288" s="376">
        <f t="shared" ref="E288" si="6">+D288*C288</f>
        <v>144</v>
      </c>
      <c r="F288" s="426"/>
      <c r="G288" s="7"/>
    </row>
    <row r="289" spans="1:7" ht="11.25" customHeight="1" thickBot="1" x14ac:dyDescent="0.25">
      <c r="A289" s="10"/>
      <c r="B289" s="10"/>
      <c r="C289" s="10"/>
      <c r="D289" s="385" t="s">
        <v>190</v>
      </c>
      <c r="E289" s="386">
        <v>1</v>
      </c>
      <c r="F289" s="19">
        <f>SUM(E286:E288)</f>
        <v>306.5</v>
      </c>
      <c r="G289" s="7"/>
    </row>
    <row r="290" spans="1:7" ht="11.25" customHeight="1" x14ac:dyDescent="0.2">
      <c r="G290" s="7"/>
    </row>
    <row r="291" spans="1:7" ht="13.5" thickBot="1" x14ac:dyDescent="0.25">
      <c r="A291" s="9" t="s">
        <v>466</v>
      </c>
      <c r="B291" s="9"/>
      <c r="C291" s="9"/>
      <c r="D291" s="32"/>
      <c r="E291" s="32"/>
      <c r="F291" s="31"/>
    </row>
    <row r="292" spans="1:7" ht="13.5" thickBot="1" x14ac:dyDescent="0.25">
      <c r="A292" s="55" t="s">
        <v>64</v>
      </c>
      <c r="B292" s="56" t="s">
        <v>65</v>
      </c>
      <c r="C292" s="56" t="s">
        <v>42</v>
      </c>
      <c r="D292" s="57" t="s">
        <v>233</v>
      </c>
      <c r="E292" s="57" t="s">
        <v>66</v>
      </c>
      <c r="F292" s="58" t="s">
        <v>67</v>
      </c>
    </row>
    <row r="293" spans="1:7" x14ac:dyDescent="0.2">
      <c r="A293" s="14" t="s">
        <v>220</v>
      </c>
      <c r="B293" s="49" t="s">
        <v>59</v>
      </c>
      <c r="C293" s="64">
        <f>C197</f>
        <v>1</v>
      </c>
      <c r="D293" s="82">
        <v>600</v>
      </c>
      <c r="E293" s="16">
        <f>+D293*C293</f>
        <v>600</v>
      </c>
      <c r="F293" s="50"/>
    </row>
    <row r="294" spans="1:7" x14ac:dyDescent="0.2">
      <c r="A294" s="14" t="s">
        <v>61</v>
      </c>
      <c r="B294" s="49" t="s">
        <v>8</v>
      </c>
      <c r="C294" s="15">
        <v>60</v>
      </c>
      <c r="D294" s="75">
        <f>SUM(E293:E293)</f>
        <v>600</v>
      </c>
      <c r="E294" s="75">
        <f>+D294/C294</f>
        <v>10</v>
      </c>
      <c r="F294" s="50"/>
    </row>
    <row r="295" spans="1:7" x14ac:dyDescent="0.2">
      <c r="A295" s="14" t="s">
        <v>39</v>
      </c>
      <c r="B295" s="49" t="s">
        <v>8</v>
      </c>
      <c r="C295" s="15">
        <v>1</v>
      </c>
      <c r="D295" s="82">
        <v>110</v>
      </c>
      <c r="E295" s="16">
        <f>C295*D295</f>
        <v>110</v>
      </c>
      <c r="F295" s="50"/>
    </row>
    <row r="296" spans="1:7" ht="13.5" thickBot="1" x14ac:dyDescent="0.25">
      <c r="A296" s="14" t="s">
        <v>39</v>
      </c>
      <c r="B296" s="49" t="s">
        <v>8</v>
      </c>
      <c r="C296" s="15">
        <v>1</v>
      </c>
      <c r="D296" s="75">
        <f>+E295</f>
        <v>110</v>
      </c>
      <c r="E296" s="75">
        <f>+D296/C296</f>
        <v>110</v>
      </c>
      <c r="F296" s="50"/>
    </row>
    <row r="297" spans="1:7" ht="13.5" thickBot="1" x14ac:dyDescent="0.25">
      <c r="A297" s="10"/>
      <c r="B297" s="10"/>
      <c r="D297" s="113" t="s">
        <v>190</v>
      </c>
      <c r="E297" s="295">
        <f>E226</f>
        <v>0.40909090909090912</v>
      </c>
      <c r="F297" s="19">
        <f>(E296+E294)*E297</f>
        <v>49.090909090909093</v>
      </c>
    </row>
    <row r="298" spans="1:7" s="48" customFormat="1" ht="11.25" customHeight="1" thickBot="1" x14ac:dyDescent="0.25">
      <c r="A298" s="7"/>
      <c r="B298" s="7"/>
      <c r="C298" s="7"/>
      <c r="D298" s="8"/>
      <c r="E298" s="8"/>
      <c r="F298" s="8"/>
      <c r="G298" s="77"/>
    </row>
    <row r="299" spans="1:7" ht="13.5" thickBot="1" x14ac:dyDescent="0.25">
      <c r="A299" s="22" t="s">
        <v>219</v>
      </c>
      <c r="B299" s="23"/>
      <c r="C299" s="23"/>
      <c r="D299" s="24"/>
      <c r="E299" s="25"/>
      <c r="F299" s="19">
        <f>+F297</f>
        <v>49.090909090909093</v>
      </c>
    </row>
    <row r="300" spans="1:7" ht="11.25" customHeight="1" thickBot="1" x14ac:dyDescent="0.25"/>
    <row r="301" spans="1:7" ht="17.25" customHeight="1" thickBot="1" x14ac:dyDescent="0.25">
      <c r="A301" s="22" t="s">
        <v>223</v>
      </c>
      <c r="B301" s="26"/>
      <c r="C301" s="26"/>
      <c r="D301" s="27"/>
      <c r="E301" s="28"/>
      <c r="F301" s="20">
        <f>+F155+F189+F271+F281+F299+F289</f>
        <v>12682.29525267992</v>
      </c>
    </row>
    <row r="302" spans="1:7" ht="11.25" customHeight="1" x14ac:dyDescent="0.2"/>
    <row r="303" spans="1:7" ht="13.5" thickBot="1" x14ac:dyDescent="0.25">
      <c r="A303" s="9" t="s">
        <v>467</v>
      </c>
    </row>
    <row r="304" spans="1:7" ht="13.5" thickBot="1" x14ac:dyDescent="0.25">
      <c r="A304" s="55" t="s">
        <v>64</v>
      </c>
      <c r="B304" s="56" t="s">
        <v>65</v>
      </c>
      <c r="C304" s="56" t="s">
        <v>42</v>
      </c>
      <c r="D304" s="57" t="s">
        <v>233</v>
      </c>
      <c r="E304" s="57" t="s">
        <v>66</v>
      </c>
      <c r="F304" s="58" t="s">
        <v>67</v>
      </c>
    </row>
    <row r="305" spans="1:7" ht="13.5" thickBot="1" x14ac:dyDescent="0.25">
      <c r="A305" s="11" t="s">
        <v>38</v>
      </c>
      <c r="B305" s="12" t="s">
        <v>2</v>
      </c>
      <c r="C305" s="129">
        <f>'5.BDI'!C21*100</f>
        <v>23.65</v>
      </c>
      <c r="D305" s="13">
        <f>+F301</f>
        <v>12682.29525267992</v>
      </c>
      <c r="E305" s="13">
        <f>C305*D305/100</f>
        <v>2999.3628272588012</v>
      </c>
    </row>
    <row r="306" spans="1:7" ht="13.5" thickBot="1" x14ac:dyDescent="0.25">
      <c r="F306" s="19">
        <f>+E305</f>
        <v>2999.3628272588012</v>
      </c>
    </row>
    <row r="307" spans="1:7" ht="11.25" customHeight="1" thickBot="1" x14ac:dyDescent="0.25"/>
    <row r="308" spans="1:7" ht="13.5" thickBot="1" x14ac:dyDescent="0.25">
      <c r="A308" s="22" t="s">
        <v>238</v>
      </c>
      <c r="B308" s="26"/>
      <c r="C308" s="26"/>
      <c r="D308" s="27"/>
      <c r="E308" s="28"/>
      <c r="F308" s="20">
        <f>F306</f>
        <v>2999.3628272588012</v>
      </c>
    </row>
    <row r="309" spans="1:7" x14ac:dyDescent="0.2">
      <c r="A309" s="9"/>
      <c r="B309" s="9"/>
      <c r="C309" s="9"/>
      <c r="D309" s="32"/>
      <c r="E309" s="32"/>
      <c r="F309" s="31"/>
    </row>
    <row r="310" spans="1:7" ht="11.25" customHeight="1" thickBot="1" x14ac:dyDescent="0.25"/>
    <row r="311" spans="1:7" ht="24.75" customHeight="1" thickBot="1" x14ac:dyDescent="0.25">
      <c r="A311" s="22" t="s">
        <v>224</v>
      </c>
      <c r="B311" s="26"/>
      <c r="C311" s="26"/>
      <c r="D311" s="27"/>
      <c r="E311" s="28"/>
      <c r="F311" s="20">
        <f>F301+F308</f>
        <v>15681.658079938721</v>
      </c>
    </row>
    <row r="312" spans="1:7" ht="12.6" customHeight="1" x14ac:dyDescent="0.2">
      <c r="A312" s="51"/>
      <c r="B312" s="51"/>
      <c r="C312" s="51"/>
      <c r="D312" s="52"/>
      <c r="E312" s="52"/>
      <c r="F312" s="52"/>
    </row>
    <row r="313" spans="1:7" ht="14.25" hidden="1" x14ac:dyDescent="0.2">
      <c r="A313" s="6"/>
      <c r="B313" s="6"/>
      <c r="C313" s="6"/>
      <c r="D313" s="33"/>
      <c r="E313" s="33"/>
    </row>
    <row r="314" spans="1:7" ht="16.149999999999999" hidden="1" customHeight="1" x14ac:dyDescent="0.2">
      <c r="A314" s="228" t="s">
        <v>218</v>
      </c>
      <c r="B314" s="229"/>
      <c r="C314" s="229"/>
      <c r="D314" s="230"/>
      <c r="E314" s="231" t="s">
        <v>27</v>
      </c>
      <c r="G314" s="8" t="s">
        <v>199</v>
      </c>
    </row>
    <row r="315" spans="1:7" ht="13.5" hidden="1" thickBot="1" x14ac:dyDescent="0.25"/>
    <row r="316" spans="1:7" ht="25.5" hidden="1" customHeight="1" thickBot="1" x14ac:dyDescent="0.25">
      <c r="A316" s="22" t="s">
        <v>71</v>
      </c>
      <c r="B316" s="23"/>
      <c r="C316" s="23"/>
      <c r="D316" s="24"/>
      <c r="E316" s="232" t="s">
        <v>34</v>
      </c>
      <c r="F316" s="233" t="str">
        <f>IFERROR(F311/D314,"-")</f>
        <v>-</v>
      </c>
      <c r="G316" s="8" t="s">
        <v>199</v>
      </c>
    </row>
    <row r="317" spans="1:7" ht="12.6" hidden="1" customHeight="1" x14ac:dyDescent="0.2">
      <c r="A317" s="9"/>
      <c r="B317" s="9"/>
      <c r="C317" s="9"/>
      <c r="D317" s="32"/>
      <c r="E317" s="32"/>
      <c r="F317" s="32"/>
    </row>
    <row r="318" spans="1:7" s="2" customFormat="1" ht="9.75" hidden="1" customHeight="1" x14ac:dyDescent="0.2">
      <c r="A318" s="36"/>
      <c r="B318" s="8"/>
      <c r="C318" s="8"/>
      <c r="D318" s="8"/>
      <c r="E318" s="8"/>
      <c r="F318" s="8"/>
      <c r="G318" s="4"/>
    </row>
    <row r="319" spans="1:7" s="2" customFormat="1" ht="9.75" hidden="1" customHeight="1" x14ac:dyDescent="0.2">
      <c r="A319" s="36"/>
      <c r="B319" s="8"/>
      <c r="C319" s="8"/>
      <c r="D319" s="8"/>
      <c r="E319" s="8"/>
      <c r="F319" s="8"/>
      <c r="G319" s="4"/>
    </row>
    <row r="320" spans="1:7" s="2" customFormat="1" ht="9.75" hidden="1" customHeight="1" x14ac:dyDescent="0.2">
      <c r="A320" s="36"/>
      <c r="B320" s="8"/>
      <c r="C320" s="8"/>
      <c r="D320" s="8"/>
      <c r="E320" s="8"/>
      <c r="F320" s="8"/>
      <c r="G320" s="4"/>
    </row>
    <row r="350" spans="4:7" ht="9" customHeight="1" x14ac:dyDescent="0.2">
      <c r="D350" s="7"/>
      <c r="E350" s="7"/>
      <c r="F350" s="7"/>
      <c r="G350" s="7"/>
    </row>
  </sheetData>
  <mergeCells count="7">
    <mergeCell ref="A50:D50"/>
    <mergeCell ref="A26:C26"/>
    <mergeCell ref="A12:F12"/>
    <mergeCell ref="A13:F13"/>
    <mergeCell ref="A43:D43"/>
    <mergeCell ref="A15:F15"/>
    <mergeCell ref="A42:E42"/>
  </mergeCells>
  <phoneticPr fontId="23" type="noConversion"/>
  <hyperlinks>
    <hyperlink ref="A212" location="AbaRemun" display="3.1.2. Remuneração do Capital"/>
    <hyperlink ref="A195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5" fitToHeight="4" orientation="portrait" verticalDpi="300" r:id="rId1"/>
  <headerFooter alignWithMargins="0">
    <oddFooter>&amp;R&amp;P de &amp;N</oddFooter>
  </headerFooter>
  <rowBreaks count="2" manualBreakCount="2">
    <brk id="126" max="5" man="1"/>
    <brk id="211" max="5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topLeftCell="A14" zoomScaleSheetLayoutView="100" workbookViewId="0">
      <selection activeCell="D20" sqref="D20"/>
    </sheetView>
  </sheetViews>
  <sheetFormatPr defaultColWidth="9.140625" defaultRowHeight="12.75" x14ac:dyDescent="0.2"/>
  <cols>
    <col min="1" max="1" width="44.5703125" style="412" customWidth="1"/>
    <col min="2" max="2" width="16" style="412" bestFit="1" customWidth="1"/>
    <col min="3" max="3" width="11.85546875" style="412" customWidth="1"/>
    <col min="4" max="4" width="14.7109375" style="380" customWidth="1"/>
    <col min="5" max="5" width="15.42578125" style="380" customWidth="1"/>
    <col min="6" max="6" width="12.42578125" style="380" customWidth="1"/>
    <col min="7" max="7" width="28.140625" style="380" customWidth="1"/>
    <col min="8" max="8" width="9.140625" style="412"/>
    <col min="9" max="9" width="14.5703125" style="412" customWidth="1"/>
    <col min="10" max="10" width="13.42578125" style="412" customWidth="1"/>
    <col min="11" max="16384" width="9.140625" style="412"/>
  </cols>
  <sheetData>
    <row r="1" spans="1:7" hidden="1" x14ac:dyDescent="0.2">
      <c r="A1" s="411" t="s">
        <v>197</v>
      </c>
    </row>
    <row r="2" spans="1:7" hidden="1" x14ac:dyDescent="0.2">
      <c r="A2" s="413" t="s">
        <v>447</v>
      </c>
    </row>
    <row r="3" spans="1:7" hidden="1" x14ac:dyDescent="0.2">
      <c r="A3" s="412" t="s">
        <v>198</v>
      </c>
    </row>
    <row r="4" spans="1:7" hidden="1" x14ac:dyDescent="0.2">
      <c r="A4" s="413" t="s">
        <v>448</v>
      </c>
    </row>
    <row r="5" spans="1:7" ht="16.5" customHeight="1" thickBot="1" x14ac:dyDescent="0.25">
      <c r="A5" s="136" t="s">
        <v>457</v>
      </c>
      <c r="B5" s="413"/>
      <c r="C5" s="413"/>
      <c r="D5" s="4"/>
      <c r="E5" s="4"/>
      <c r="F5" s="4"/>
      <c r="G5" s="4"/>
    </row>
    <row r="6" spans="1:7" s="414" customFormat="1" ht="18" x14ac:dyDescent="0.2">
      <c r="A6" s="465" t="s">
        <v>458</v>
      </c>
      <c r="B6" s="466"/>
      <c r="C6" s="466"/>
      <c r="D6" s="466"/>
      <c r="E6" s="466"/>
      <c r="F6" s="467"/>
      <c r="G6" s="33"/>
    </row>
    <row r="7" spans="1:7" s="414" customFormat="1" ht="21.75" customHeight="1" x14ac:dyDescent="0.2">
      <c r="A7" s="468" t="s">
        <v>45</v>
      </c>
      <c r="B7" s="469"/>
      <c r="C7" s="469"/>
      <c r="D7" s="469"/>
      <c r="E7" s="469"/>
      <c r="F7" s="470"/>
      <c r="G7" s="33"/>
    </row>
    <row r="8" spans="1:7" ht="10.9" customHeight="1" thickBot="1" x14ac:dyDescent="0.25">
      <c r="A8" s="415"/>
      <c r="B8" s="413"/>
      <c r="C8" s="413"/>
      <c r="D8" s="138"/>
      <c r="E8" s="138"/>
      <c r="F8" s="139"/>
      <c r="G8" s="4"/>
    </row>
    <row r="9" spans="1:7" ht="15.75" customHeight="1" thickBot="1" x14ac:dyDescent="0.25">
      <c r="A9" s="462" t="s">
        <v>196</v>
      </c>
      <c r="B9" s="463"/>
      <c r="C9" s="463"/>
      <c r="D9" s="463"/>
      <c r="E9" s="463"/>
      <c r="F9" s="464"/>
      <c r="G9" s="4"/>
    </row>
    <row r="10" spans="1:7" ht="15.75" customHeight="1" x14ac:dyDescent="0.2">
      <c r="A10" s="59" t="s">
        <v>195</v>
      </c>
      <c r="B10" s="37"/>
      <c r="C10" s="37"/>
      <c r="D10" s="237"/>
      <c r="E10" s="106" t="s">
        <v>40</v>
      </c>
      <c r="F10" s="38" t="s">
        <v>2</v>
      </c>
      <c r="G10" s="4"/>
    </row>
    <row r="11" spans="1:7" s="411" customFormat="1" ht="15.75" customHeight="1" x14ac:dyDescent="0.2">
      <c r="A11" s="390" t="str">
        <f>A17</f>
        <v xml:space="preserve">1. Destinação final </v>
      </c>
      <c r="B11" s="416"/>
      <c r="C11" s="117"/>
      <c r="D11" s="117"/>
      <c r="E11" s="417">
        <f>+F23</f>
        <v>4385.808</v>
      </c>
      <c r="F11" s="118">
        <f>IFERROR(E11/$E$13,0)</f>
        <v>0.89895720963682135</v>
      </c>
      <c r="G11" s="41"/>
    </row>
    <row r="12" spans="1:7" s="411" customFormat="1" ht="15.75" customHeight="1" thickBot="1" x14ac:dyDescent="0.25">
      <c r="A12" s="390" t="str">
        <f>A28</f>
        <v>2. Benefícios e Despesas Indiretas - BDI</v>
      </c>
      <c r="B12" s="416"/>
      <c r="C12" s="117"/>
      <c r="D12" s="117"/>
      <c r="E12" s="418">
        <f>+F34</f>
        <v>492.96481919999997</v>
      </c>
      <c r="F12" s="118">
        <f>IFERROR(E12/$E$13,0)</f>
        <v>0.10104279036317872</v>
      </c>
      <c r="G12" s="41"/>
    </row>
    <row r="13" spans="1:7" ht="15.75" customHeight="1" thickBot="1" x14ac:dyDescent="0.25">
      <c r="A13" s="39" t="s">
        <v>449</v>
      </c>
      <c r="B13" s="419"/>
      <c r="C13" s="24"/>
      <c r="D13" s="24"/>
      <c r="E13" s="420">
        <f>E11+E12</f>
        <v>4878.7728191999995</v>
      </c>
      <c r="F13" s="131">
        <f>F11+F12</f>
        <v>1</v>
      </c>
      <c r="G13" s="4"/>
    </row>
    <row r="16" spans="1:7" ht="11.25" customHeight="1" x14ac:dyDescent="0.2">
      <c r="G16" s="412"/>
    </row>
    <row r="17" spans="1:7" x14ac:dyDescent="0.2">
      <c r="A17" s="411" t="s">
        <v>450</v>
      </c>
      <c r="B17" s="411"/>
      <c r="C17" s="411"/>
      <c r="D17" s="32"/>
      <c r="E17" s="32"/>
      <c r="F17" s="31"/>
      <c r="G17" s="412"/>
    </row>
    <row r="18" spans="1:7" ht="11.25" customHeight="1" thickBot="1" x14ac:dyDescent="0.25">
      <c r="G18" s="412"/>
    </row>
    <row r="19" spans="1:7" ht="13.5" thickBot="1" x14ac:dyDescent="0.25">
      <c r="A19" s="421" t="s">
        <v>64</v>
      </c>
      <c r="B19" s="422" t="s">
        <v>65</v>
      </c>
      <c r="C19" s="422" t="s">
        <v>42</v>
      </c>
      <c r="D19" s="57" t="s">
        <v>233</v>
      </c>
      <c r="E19" s="57" t="s">
        <v>66</v>
      </c>
      <c r="F19" s="58" t="s">
        <v>67</v>
      </c>
      <c r="G19" s="412"/>
    </row>
    <row r="20" spans="1:7" ht="13.5" thickBot="1" x14ac:dyDescent="0.25">
      <c r="A20" s="423" t="s">
        <v>451</v>
      </c>
      <c r="B20" s="424" t="s">
        <v>452</v>
      </c>
      <c r="C20" s="425">
        <f>Ton!H7</f>
        <v>31.327199999999998</v>
      </c>
      <c r="D20" s="293">
        <v>140</v>
      </c>
      <c r="E20" s="376">
        <f>C20*D20</f>
        <v>4385.808</v>
      </c>
      <c r="F20" s="426"/>
      <c r="G20" s="412"/>
    </row>
    <row r="21" spans="1:7" ht="13.5" thickBot="1" x14ac:dyDescent="0.25">
      <c r="A21" s="411"/>
      <c r="B21" s="411"/>
      <c r="C21" s="411"/>
      <c r="D21" s="411"/>
      <c r="E21" s="32"/>
      <c r="F21" s="19">
        <f>SUM(E20:E20)</f>
        <v>4385.808</v>
      </c>
      <c r="G21" s="412"/>
    </row>
    <row r="22" spans="1:7" ht="11.25" customHeight="1" thickBot="1" x14ac:dyDescent="0.25">
      <c r="G22" s="412"/>
    </row>
    <row r="23" spans="1:7" ht="13.5" thickBot="1" x14ac:dyDescent="0.25">
      <c r="A23" s="427" t="s">
        <v>453</v>
      </c>
      <c r="B23" s="428"/>
      <c r="C23" s="428"/>
      <c r="D23" s="24"/>
      <c r="E23" s="25"/>
      <c r="F23" s="19">
        <f>+F21</f>
        <v>4385.808</v>
      </c>
      <c r="G23" s="412"/>
    </row>
    <row r="24" spans="1:7" ht="11.25" customHeight="1" x14ac:dyDescent="0.2">
      <c r="G24" s="412"/>
    </row>
    <row r="25" spans="1:7" ht="11.25" customHeight="1" thickBot="1" x14ac:dyDescent="0.25"/>
    <row r="26" spans="1:7" ht="17.25" customHeight="1" thickBot="1" x14ac:dyDescent="0.25">
      <c r="A26" s="427" t="s">
        <v>223</v>
      </c>
      <c r="B26" s="429"/>
      <c r="C26" s="429"/>
      <c r="D26" s="430"/>
      <c r="E26" s="431"/>
      <c r="F26" s="20">
        <f>F23</f>
        <v>4385.808</v>
      </c>
    </row>
    <row r="27" spans="1:7" ht="11.25" customHeight="1" x14ac:dyDescent="0.2"/>
    <row r="28" spans="1:7" x14ac:dyDescent="0.2">
      <c r="A28" s="411" t="s">
        <v>454</v>
      </c>
    </row>
    <row r="29" spans="1:7" ht="11.25" customHeight="1" thickBot="1" x14ac:dyDescent="0.25"/>
    <row r="30" spans="1:7" ht="13.5" thickBot="1" x14ac:dyDescent="0.25">
      <c r="A30" s="421" t="s">
        <v>64</v>
      </c>
      <c r="B30" s="422" t="s">
        <v>65</v>
      </c>
      <c r="C30" s="422" t="s">
        <v>42</v>
      </c>
      <c r="D30" s="57" t="s">
        <v>233</v>
      </c>
      <c r="E30" s="57" t="s">
        <v>66</v>
      </c>
      <c r="F30" s="58" t="s">
        <v>67</v>
      </c>
    </row>
    <row r="31" spans="1:7" ht="13.5" thickBot="1" x14ac:dyDescent="0.25">
      <c r="A31" s="432" t="s">
        <v>38</v>
      </c>
      <c r="B31" s="433" t="s">
        <v>2</v>
      </c>
      <c r="C31" s="434">
        <f>'5.1.BDI Aterro'!C21*100</f>
        <v>11.24</v>
      </c>
      <c r="D31" s="375">
        <f>+F26</f>
        <v>4385.808</v>
      </c>
      <c r="E31" s="375">
        <f>C31*D31/100</f>
        <v>492.96481919999997</v>
      </c>
    </row>
    <row r="32" spans="1:7" ht="13.5" thickBot="1" x14ac:dyDescent="0.25">
      <c r="F32" s="19">
        <f>+E31</f>
        <v>492.96481919999997</v>
      </c>
    </row>
    <row r="33" spans="1:7" ht="11.25" customHeight="1" thickBot="1" x14ac:dyDescent="0.25"/>
    <row r="34" spans="1:7" ht="13.5" thickBot="1" x14ac:dyDescent="0.25">
      <c r="A34" s="427" t="s">
        <v>238</v>
      </c>
      <c r="B34" s="429"/>
      <c r="C34" s="429"/>
      <c r="D34" s="430"/>
      <c r="E34" s="431"/>
      <c r="F34" s="20">
        <f>F32</f>
        <v>492.96481919999997</v>
      </c>
    </row>
    <row r="35" spans="1:7" x14ac:dyDescent="0.2">
      <c r="A35" s="411"/>
      <c r="B35" s="411"/>
      <c r="C35" s="411"/>
      <c r="D35" s="32"/>
      <c r="E35" s="32"/>
      <c r="F35" s="31"/>
    </row>
    <row r="36" spans="1:7" ht="11.25" customHeight="1" thickBot="1" x14ac:dyDescent="0.25"/>
    <row r="37" spans="1:7" ht="24.75" customHeight="1" x14ac:dyDescent="0.2">
      <c r="A37" s="435" t="s">
        <v>224</v>
      </c>
      <c r="B37" s="436"/>
      <c r="C37" s="436"/>
      <c r="D37" s="437"/>
      <c r="E37" s="438"/>
      <c r="F37" s="439">
        <f>F26+F34</f>
        <v>4878.7728191999995</v>
      </c>
    </row>
    <row r="38" spans="1:7" ht="12.6" customHeight="1" x14ac:dyDescent="0.2">
      <c r="A38" s="440" t="s">
        <v>455</v>
      </c>
      <c r="B38" s="441"/>
      <c r="C38" s="442"/>
      <c r="D38" s="443"/>
      <c r="E38" s="443">
        <f>F37/C20</f>
        <v>155.73599999999999</v>
      </c>
      <c r="F38" s="444"/>
    </row>
    <row r="39" spans="1:7" ht="9.75" customHeight="1" x14ac:dyDescent="0.2">
      <c r="A39" s="36"/>
      <c r="B39" s="380"/>
      <c r="C39" s="380"/>
      <c r="G39" s="4"/>
    </row>
    <row r="41" spans="1:7" x14ac:dyDescent="0.2">
      <c r="F41" s="445"/>
    </row>
    <row r="69" spans="4:7" ht="9" customHeight="1" x14ac:dyDescent="0.2">
      <c r="D69" s="412"/>
      <c r="E69" s="412"/>
      <c r="F69" s="412"/>
      <c r="G69" s="412"/>
    </row>
  </sheetData>
  <mergeCells count="3">
    <mergeCell ref="A6:F6"/>
    <mergeCell ref="A7:F7"/>
    <mergeCell ref="A9:F9"/>
  </mergeCells>
  <pageMargins left="0.9055118110236221" right="0.51181102362204722" top="0.74803149606299213" bottom="0.74803149606299213" header="0.31496062992125984" footer="0.31496062992125984"/>
  <pageSetup paperSize="9" scale="76" orientation="portrait" verticalDpi="300" r:id="rId1"/>
  <headerFooter alignWithMargins="0"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11" workbookViewId="0"/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20.8554687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9" t="s">
        <v>197</v>
      </c>
    </row>
    <row r="2" spans="1:7" x14ac:dyDescent="0.2">
      <c r="A2" s="128" t="s">
        <v>245</v>
      </c>
    </row>
    <row r="3" spans="1:7" s="2" customFormat="1" ht="15.6" customHeight="1" x14ac:dyDescent="0.2">
      <c r="B3" s="3"/>
      <c r="C3" s="3"/>
      <c r="D3" s="3"/>
      <c r="E3" s="3"/>
      <c r="F3" s="3"/>
      <c r="G3" s="4"/>
    </row>
    <row r="4" spans="1:7" s="2" customFormat="1" ht="15.6" hidden="1" customHeight="1" x14ac:dyDescent="0.2">
      <c r="A4" s="274" t="s">
        <v>295</v>
      </c>
      <c r="B4" s="3"/>
      <c r="C4" s="3"/>
      <c r="D4" s="3"/>
      <c r="E4" s="3"/>
      <c r="F4" s="3"/>
      <c r="G4" s="4"/>
    </row>
    <row r="5" spans="1:7" s="2" customFormat="1" ht="16.5" customHeight="1" x14ac:dyDescent="0.2">
      <c r="A5" s="314" t="s">
        <v>315</v>
      </c>
      <c r="B5" s="3"/>
      <c r="C5" s="3"/>
      <c r="D5" s="4"/>
      <c r="E5" s="4"/>
      <c r="F5" s="4"/>
      <c r="G5" s="4"/>
    </row>
    <row r="6" spans="1:7" s="2" customFormat="1" ht="16.5" customHeight="1" x14ac:dyDescent="0.2">
      <c r="A6" s="314" t="s">
        <v>316</v>
      </c>
      <c r="B6" s="3"/>
      <c r="C6" s="3"/>
      <c r="D6" s="4"/>
      <c r="E6" s="4"/>
      <c r="F6" s="4"/>
      <c r="G6" s="4"/>
    </row>
    <row r="7" spans="1:7" ht="13.5" thickBot="1" x14ac:dyDescent="0.25"/>
    <row r="8" spans="1:7" ht="18" x14ac:dyDescent="0.2">
      <c r="A8" s="471" t="s">
        <v>227</v>
      </c>
      <c r="B8" s="472"/>
      <c r="C8" s="473"/>
      <c r="D8" s="136"/>
      <c r="E8" s="136"/>
      <c r="F8" s="136"/>
    </row>
    <row r="9" spans="1:7" ht="14.25" x14ac:dyDescent="0.2">
      <c r="A9" s="152" t="s">
        <v>136</v>
      </c>
      <c r="B9" s="153" t="s">
        <v>137</v>
      </c>
      <c r="C9" s="154" t="s">
        <v>138</v>
      </c>
      <c r="D9" s="155"/>
    </row>
    <row r="10" spans="1:7" ht="14.25" x14ac:dyDescent="0.2">
      <c r="A10" s="152" t="s">
        <v>139</v>
      </c>
      <c r="B10" s="153" t="s">
        <v>43</v>
      </c>
      <c r="C10" s="156">
        <v>0.2</v>
      </c>
      <c r="D10" s="155"/>
    </row>
    <row r="11" spans="1:7" ht="14.25" x14ac:dyDescent="0.2">
      <c r="A11" s="152" t="s">
        <v>140</v>
      </c>
      <c r="B11" s="153" t="s">
        <v>141</v>
      </c>
      <c r="C11" s="156">
        <v>1.4999999999999999E-2</v>
      </c>
      <c r="D11" s="155"/>
    </row>
    <row r="12" spans="1:7" ht="14.25" x14ac:dyDescent="0.2">
      <c r="A12" s="152" t="s">
        <v>142</v>
      </c>
      <c r="B12" s="153" t="s">
        <v>143</v>
      </c>
      <c r="C12" s="156">
        <v>0.01</v>
      </c>
      <c r="D12" s="155"/>
    </row>
    <row r="13" spans="1:7" ht="14.25" x14ac:dyDescent="0.2">
      <c r="A13" s="152" t="s">
        <v>144</v>
      </c>
      <c r="B13" s="153" t="s">
        <v>145</v>
      </c>
      <c r="C13" s="156">
        <v>2E-3</v>
      </c>
      <c r="D13" s="155"/>
    </row>
    <row r="14" spans="1:7" ht="14.25" x14ac:dyDescent="0.2">
      <c r="A14" s="152" t="s">
        <v>146</v>
      </c>
      <c r="B14" s="153" t="s">
        <v>147</v>
      </c>
      <c r="C14" s="156">
        <v>6.0000000000000001E-3</v>
      </c>
      <c r="D14" s="155"/>
    </row>
    <row r="15" spans="1:7" ht="14.25" x14ac:dyDescent="0.2">
      <c r="A15" s="152" t="s">
        <v>148</v>
      </c>
      <c r="B15" s="153" t="s">
        <v>149</v>
      </c>
      <c r="C15" s="156">
        <v>2.5000000000000001E-2</v>
      </c>
      <c r="D15" s="155"/>
    </row>
    <row r="16" spans="1:7" ht="14.25" x14ac:dyDescent="0.2">
      <c r="A16" s="152" t="s">
        <v>150</v>
      </c>
      <c r="B16" s="153" t="s">
        <v>151</v>
      </c>
      <c r="C16" s="156">
        <v>0.03</v>
      </c>
      <c r="D16" s="155"/>
    </row>
    <row r="17" spans="1:8" ht="14.25" x14ac:dyDescent="0.2">
      <c r="A17" s="152" t="s">
        <v>152</v>
      </c>
      <c r="B17" s="153" t="s">
        <v>44</v>
      </c>
      <c r="C17" s="156">
        <v>0.08</v>
      </c>
      <c r="D17" s="155"/>
    </row>
    <row r="18" spans="1:8" ht="15" x14ac:dyDescent="0.2">
      <c r="A18" s="152" t="s">
        <v>153</v>
      </c>
      <c r="B18" s="157" t="s">
        <v>154</v>
      </c>
      <c r="C18" s="158">
        <f>SUM(C10:C17)</f>
        <v>0.36800000000000005</v>
      </c>
      <c r="D18" s="155"/>
    </row>
    <row r="19" spans="1:8" ht="15" x14ac:dyDescent="0.2">
      <c r="A19" s="159"/>
      <c r="B19" s="160"/>
      <c r="C19" s="161"/>
      <c r="D19" s="155"/>
    </row>
    <row r="20" spans="1:8" ht="14.25" x14ac:dyDescent="0.2">
      <c r="A20" s="152" t="s">
        <v>155</v>
      </c>
      <c r="B20" s="162" t="s">
        <v>156</v>
      </c>
      <c r="C20" s="156">
        <f>ROUND(IF('4.CAGED'!C32&gt;24,(1-12/'4.CAGED'!C32)*0.1111,0.1111-C29),4)</f>
        <v>6.5699999999999995E-2</v>
      </c>
      <c r="D20" s="155"/>
    </row>
    <row r="21" spans="1:8" ht="14.25" x14ac:dyDescent="0.2">
      <c r="A21" s="152" t="s">
        <v>157</v>
      </c>
      <c r="B21" s="162" t="s">
        <v>158</v>
      </c>
      <c r="C21" s="156">
        <f>ROUND('4.CAGED'!C36/'4.CAGED'!C33,4)</f>
        <v>8.3299999999999999E-2</v>
      </c>
      <c r="D21" s="155"/>
    </row>
    <row r="22" spans="1:8" ht="14.25" x14ac:dyDescent="0.2">
      <c r="A22" s="152" t="s">
        <v>217</v>
      </c>
      <c r="B22" s="162" t="s">
        <v>160</v>
      </c>
      <c r="C22" s="156">
        <v>5.9999999999999995E-4</v>
      </c>
      <c r="D22" s="155"/>
    </row>
    <row r="23" spans="1:8" ht="14.25" x14ac:dyDescent="0.2">
      <c r="A23" s="152" t="s">
        <v>159</v>
      </c>
      <c r="B23" s="162" t="s">
        <v>162</v>
      </c>
      <c r="C23" s="156">
        <v>8.2000000000000007E-3</v>
      </c>
      <c r="D23" s="155"/>
    </row>
    <row r="24" spans="1:8" ht="14.25" x14ac:dyDescent="0.2">
      <c r="A24" s="152" t="s">
        <v>161</v>
      </c>
      <c r="B24" s="162" t="s">
        <v>164</v>
      </c>
      <c r="C24" s="156">
        <v>3.0999999999999999E-3</v>
      </c>
      <c r="D24" s="155"/>
    </row>
    <row r="25" spans="1:8" ht="14.25" x14ac:dyDescent="0.2">
      <c r="A25" s="152" t="s">
        <v>163</v>
      </c>
      <c r="B25" s="162" t="s">
        <v>165</v>
      </c>
      <c r="C25" s="156">
        <v>1.2E-2</v>
      </c>
      <c r="D25" s="155"/>
    </row>
    <row r="26" spans="1:8" ht="15" x14ac:dyDescent="0.2">
      <c r="A26" s="152" t="s">
        <v>166</v>
      </c>
      <c r="B26" s="157" t="s">
        <v>167</v>
      </c>
      <c r="C26" s="158">
        <f>SUM(C20:C25)</f>
        <v>0.1729</v>
      </c>
      <c r="D26" s="163"/>
    </row>
    <row r="27" spans="1:8" ht="15" x14ac:dyDescent="0.2">
      <c r="A27" s="159"/>
      <c r="B27" s="160"/>
      <c r="C27" s="161"/>
      <c r="D27" s="163"/>
    </row>
    <row r="28" spans="1:8" ht="14.25" x14ac:dyDescent="0.2">
      <c r="A28" s="152" t="s">
        <v>168</v>
      </c>
      <c r="B28" s="153" t="s">
        <v>169</v>
      </c>
      <c r="C28" s="156">
        <v>2.1000000000000001E-2</v>
      </c>
      <c r="D28" s="155"/>
      <c r="E28" s="164"/>
    </row>
    <row r="29" spans="1:8" ht="14.25" x14ac:dyDescent="0.2">
      <c r="A29" s="152" t="s">
        <v>216</v>
      </c>
      <c r="B29" s="153" t="s">
        <v>171</v>
      </c>
      <c r="C29" s="156">
        <f>ROUND(IF('4.CAGED'!C32&gt;12,12/'4.CAGED'!C32*0.1111,0.1111),4)</f>
        <v>4.5400000000000003E-2</v>
      </c>
      <c r="D29" s="155"/>
      <c r="H29" s="165"/>
    </row>
    <row r="30" spans="1:8" ht="14.25" x14ac:dyDescent="0.2">
      <c r="A30" s="152" t="s">
        <v>170</v>
      </c>
      <c r="B30" s="153" t="s">
        <v>173</v>
      </c>
      <c r="C30" s="156">
        <f>C28*C29</f>
        <v>9.5340000000000008E-4</v>
      </c>
      <c r="D30" s="155"/>
      <c r="E30" s="164"/>
    </row>
    <row r="31" spans="1:8" ht="14.25" x14ac:dyDescent="0.2">
      <c r="A31" s="152" t="s">
        <v>172</v>
      </c>
      <c r="B31" s="153" t="s">
        <v>175</v>
      </c>
      <c r="C31" s="156">
        <v>1.7999999999999999E-2</v>
      </c>
      <c r="D31" s="155"/>
      <c r="G31" s="164"/>
    </row>
    <row r="32" spans="1:8" ht="14.25" x14ac:dyDescent="0.2">
      <c r="A32" s="152" t="s">
        <v>174</v>
      </c>
      <c r="B32" s="153" t="s">
        <v>176</v>
      </c>
      <c r="C32" s="156">
        <f>ROUND(('4.CAGED'!C35/'4.CAGED'!C33)*'4.CAGED'!C30/12,4)</f>
        <v>2E-3</v>
      </c>
      <c r="D32" s="155"/>
    </row>
    <row r="33" spans="1:4" ht="15" x14ac:dyDescent="0.2">
      <c r="A33" s="152" t="s">
        <v>177</v>
      </c>
      <c r="B33" s="157" t="s">
        <v>178</v>
      </c>
      <c r="C33" s="158">
        <f>SUM(C28:C32)</f>
        <v>8.7353400000000012E-2</v>
      </c>
      <c r="D33" s="163"/>
    </row>
    <row r="34" spans="1:4" ht="15" x14ac:dyDescent="0.2">
      <c r="A34" s="159"/>
      <c r="B34" s="160"/>
      <c r="C34" s="161"/>
      <c r="D34" s="163"/>
    </row>
    <row r="35" spans="1:4" ht="14.25" x14ac:dyDescent="0.2">
      <c r="A35" s="152" t="s">
        <v>179</v>
      </c>
      <c r="B35" s="153" t="s">
        <v>180</v>
      </c>
      <c r="C35" s="156">
        <f>ROUND(C18*C26,4)</f>
        <v>6.3600000000000004E-2</v>
      </c>
      <c r="D35" s="155"/>
    </row>
    <row r="36" spans="1:4" ht="28.5" x14ac:dyDescent="0.2">
      <c r="A36" s="152" t="s">
        <v>181</v>
      </c>
      <c r="B36" s="166" t="s">
        <v>291</v>
      </c>
      <c r="C36" s="156">
        <f>ROUND((C28*C17),4)</f>
        <v>1.6999999999999999E-3</v>
      </c>
      <c r="D36" s="155"/>
    </row>
    <row r="37" spans="1:4" ht="15" x14ac:dyDescent="0.2">
      <c r="A37" s="152" t="s">
        <v>182</v>
      </c>
      <c r="B37" s="157" t="s">
        <v>183</v>
      </c>
      <c r="C37" s="158">
        <f>SUM(C35:C36)</f>
        <v>6.5299999999999997E-2</v>
      </c>
      <c r="D37" s="163"/>
    </row>
    <row r="38" spans="1:4" ht="15.75" thickBot="1" x14ac:dyDescent="0.25">
      <c r="A38" s="167"/>
      <c r="B38" s="168" t="s">
        <v>184</v>
      </c>
      <c r="C38" s="169">
        <f>C37+C33+C26+C18</f>
        <v>0.6935534000000001</v>
      </c>
      <c r="D38" s="163"/>
    </row>
    <row r="39" spans="1:4" ht="15" x14ac:dyDescent="0.2">
      <c r="A39" s="155"/>
      <c r="B39" s="170"/>
      <c r="C39" s="171"/>
      <c r="D39" s="172"/>
    </row>
    <row r="40" spans="1:4" ht="14.25" x14ac:dyDescent="0.2">
      <c r="A40" s="155"/>
      <c r="B40" s="155"/>
      <c r="C40" s="173"/>
      <c r="D40" s="174"/>
    </row>
    <row r="41" spans="1:4" ht="14.25" x14ac:dyDescent="0.2">
      <c r="A41" s="155"/>
      <c r="B41" s="155"/>
      <c r="C41" s="173"/>
      <c r="D41" s="155"/>
    </row>
    <row r="42" spans="1:4" ht="14.25" x14ac:dyDescent="0.2">
      <c r="A42" s="155"/>
      <c r="B42" s="155"/>
      <c r="C42" s="173"/>
      <c r="D42" s="155"/>
    </row>
    <row r="43" spans="1:4" ht="14.25" x14ac:dyDescent="0.2">
      <c r="A43" s="155"/>
      <c r="B43" s="155"/>
      <c r="C43" s="173"/>
      <c r="D43" s="155"/>
    </row>
    <row r="44" spans="1:4" ht="15" x14ac:dyDescent="0.2">
      <c r="A44" s="155"/>
      <c r="B44" s="170"/>
      <c r="C44" s="171"/>
      <c r="D44" s="155"/>
    </row>
    <row r="45" spans="1:4" ht="15" x14ac:dyDescent="0.2">
      <c r="A45" s="163"/>
      <c r="B45" s="170"/>
      <c r="C45" s="171"/>
      <c r="D45" s="163"/>
    </row>
    <row r="46" spans="1:4" ht="16.5" x14ac:dyDescent="0.2">
      <c r="A46" s="175"/>
    </row>
    <row r="47" spans="1:4" x14ac:dyDescent="0.2">
      <c r="A47" s="176"/>
      <c r="B47" s="177"/>
      <c r="C47" s="177"/>
    </row>
    <row r="48" spans="1:4" ht="14.25" x14ac:dyDescent="0.2">
      <c r="A48" s="155"/>
      <c r="B48" s="178"/>
      <c r="C48" s="177"/>
    </row>
    <row r="49" spans="1:3" ht="14.25" x14ac:dyDescent="0.2">
      <c r="A49" s="155"/>
      <c r="B49" s="178"/>
      <c r="C49" s="155"/>
    </row>
    <row r="50" spans="1:3" ht="14.25" x14ac:dyDescent="0.2">
      <c r="A50" s="155"/>
      <c r="B50" s="173"/>
      <c r="C50" s="177"/>
    </row>
    <row r="51" spans="1:3" ht="14.25" x14ac:dyDescent="0.2">
      <c r="A51" s="155"/>
      <c r="B51" s="178"/>
      <c r="C51" s="155"/>
    </row>
    <row r="52" spans="1:3" ht="14.25" x14ac:dyDescent="0.2">
      <c r="A52" s="155"/>
      <c r="B52" s="173"/>
      <c r="C52" s="177"/>
    </row>
    <row r="53" spans="1:3" ht="14.25" x14ac:dyDescent="0.2">
      <c r="A53" s="155"/>
      <c r="B53" s="178"/>
      <c r="C53" s="155"/>
    </row>
    <row r="54" spans="1:3" ht="14.25" x14ac:dyDescent="0.2">
      <c r="A54" s="155"/>
      <c r="B54" s="173"/>
      <c r="C54" s="177"/>
    </row>
    <row r="55" spans="1:3" ht="14.25" x14ac:dyDescent="0.2">
      <c r="A55" s="155"/>
      <c r="B55" s="178"/>
      <c r="C55" s="155"/>
    </row>
    <row r="56" spans="1:3" ht="14.25" x14ac:dyDescent="0.2">
      <c r="A56" s="155"/>
      <c r="B56" s="173"/>
      <c r="C56" s="177"/>
    </row>
    <row r="57" spans="1:3" ht="16.5" x14ac:dyDescent="0.2">
      <c r="A57" s="175"/>
    </row>
    <row r="60" spans="1:3" x14ac:dyDescent="0.2">
      <c r="A60" s="179"/>
    </row>
  </sheetData>
  <mergeCells count="1">
    <mergeCell ref="A8:C8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B6" sqref="B6"/>
    </sheetView>
  </sheetViews>
  <sheetFormatPr defaultColWidth="9.140625"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99" t="s">
        <v>239</v>
      </c>
    </row>
    <row r="3" spans="1:3" x14ac:dyDescent="0.2">
      <c r="A3" s="1" t="s">
        <v>205</v>
      </c>
    </row>
    <row r="4" spans="1:3" x14ac:dyDescent="0.2">
      <c r="A4" s="252" t="s">
        <v>201</v>
      </c>
    </row>
    <row r="5" spans="1:3" ht="25.5" customHeight="1" x14ac:dyDescent="0.2">
      <c r="A5" s="477" t="s">
        <v>254</v>
      </c>
      <c r="B5" s="476"/>
      <c r="C5" s="476"/>
    </row>
    <row r="6" spans="1:3" x14ac:dyDescent="0.2">
      <c r="A6" s="1" t="s">
        <v>202</v>
      </c>
    </row>
    <row r="7" spans="1:3" ht="26.25" customHeight="1" x14ac:dyDescent="0.2">
      <c r="A7" s="476" t="s">
        <v>203</v>
      </c>
      <c r="B7" s="476"/>
      <c r="C7" s="476"/>
    </row>
    <row r="8" spans="1:3" x14ac:dyDescent="0.2">
      <c r="A8" s="1" t="s">
        <v>204</v>
      </c>
    </row>
    <row r="9" spans="1:3" x14ac:dyDescent="0.2">
      <c r="A9" s="275" t="s">
        <v>240</v>
      </c>
    </row>
    <row r="10" spans="1:3" ht="13.5" thickBot="1" x14ac:dyDescent="0.25"/>
    <row r="11" spans="1:3" ht="18" x14ac:dyDescent="0.25">
      <c r="B11" s="474" t="s">
        <v>225</v>
      </c>
      <c r="C11" s="475"/>
    </row>
    <row r="12" spans="1:3" ht="15" x14ac:dyDescent="0.25">
      <c r="B12" s="141" t="s">
        <v>200</v>
      </c>
      <c r="C12" s="180"/>
    </row>
    <row r="13" spans="1:3" ht="15" x14ac:dyDescent="0.25">
      <c r="B13" s="142" t="s">
        <v>120</v>
      </c>
      <c r="C13" s="143">
        <v>1932</v>
      </c>
    </row>
    <row r="14" spans="1:3" ht="15" x14ac:dyDescent="0.25">
      <c r="B14" s="144" t="s">
        <v>121</v>
      </c>
      <c r="C14" s="143">
        <v>2197</v>
      </c>
    </row>
    <row r="15" spans="1:3" ht="14.25" x14ac:dyDescent="0.2">
      <c r="B15" s="181" t="s">
        <v>122</v>
      </c>
      <c r="C15" s="182">
        <v>25</v>
      </c>
    </row>
    <row r="16" spans="1:3" ht="14.25" x14ac:dyDescent="0.2">
      <c r="B16" s="181" t="s">
        <v>123</v>
      </c>
      <c r="C16" s="182">
        <v>1463</v>
      </c>
    </row>
    <row r="17" spans="1:5" ht="14.25" x14ac:dyDescent="0.2">
      <c r="B17" s="181" t="s">
        <v>124</v>
      </c>
      <c r="C17" s="182">
        <v>321</v>
      </c>
    </row>
    <row r="18" spans="1:5" ht="14.25" x14ac:dyDescent="0.2">
      <c r="B18" s="181" t="s">
        <v>125</v>
      </c>
      <c r="C18" s="182">
        <v>12</v>
      </c>
    </row>
    <row r="19" spans="1:5" ht="14.25" x14ac:dyDescent="0.2">
      <c r="B19" s="181" t="s">
        <v>126</v>
      </c>
      <c r="C19" s="182">
        <v>339</v>
      </c>
    </row>
    <row r="20" spans="1:5" ht="14.25" x14ac:dyDescent="0.2">
      <c r="B20" s="181" t="s">
        <v>127</v>
      </c>
      <c r="C20" s="182">
        <v>0</v>
      </c>
    </row>
    <row r="21" spans="1:5" ht="14.25" x14ac:dyDescent="0.2">
      <c r="B21" s="181" t="s">
        <v>128</v>
      </c>
      <c r="C21" s="182">
        <v>22</v>
      </c>
    </row>
    <row r="22" spans="1:5" ht="14.25" x14ac:dyDescent="0.2">
      <c r="B22" s="183" t="s">
        <v>129</v>
      </c>
      <c r="C22" s="184">
        <v>0</v>
      </c>
    </row>
    <row r="23" spans="1:5" ht="14.25" x14ac:dyDescent="0.2">
      <c r="B23" s="281" t="s">
        <v>298</v>
      </c>
      <c r="C23" s="184">
        <v>0</v>
      </c>
    </row>
    <row r="24" spans="1:5" ht="15" x14ac:dyDescent="0.25">
      <c r="A24" s="1" t="s">
        <v>130</v>
      </c>
      <c r="B24" s="141" t="s">
        <v>131</v>
      </c>
      <c r="C24" s="180"/>
    </row>
    <row r="25" spans="1:5" ht="14.25" x14ac:dyDescent="0.2">
      <c r="B25" s="185" t="s">
        <v>299</v>
      </c>
      <c r="C25" s="186">
        <v>5183</v>
      </c>
    </row>
    <row r="26" spans="1:5" ht="14.25" x14ac:dyDescent="0.2">
      <c r="B26" s="181" t="s">
        <v>300</v>
      </c>
      <c r="C26" s="182">
        <v>4918</v>
      </c>
    </row>
    <row r="27" spans="1:5" ht="14.25" x14ac:dyDescent="0.2">
      <c r="B27" s="181" t="s">
        <v>301</v>
      </c>
      <c r="C27" s="204">
        <f>C13-C14</f>
        <v>-265</v>
      </c>
    </row>
    <row r="28" spans="1:5" ht="14.25" x14ac:dyDescent="0.2">
      <c r="B28" s="187"/>
      <c r="C28" s="188"/>
    </row>
    <row r="29" spans="1:5" s="99" customFormat="1" ht="15" x14ac:dyDescent="0.25">
      <c r="B29" s="142" t="s">
        <v>133</v>
      </c>
      <c r="C29" s="189">
        <f>MEDIAN(C25,C26)</f>
        <v>5050.5</v>
      </c>
    </row>
    <row r="30" spans="1:5" ht="15" x14ac:dyDescent="0.25">
      <c r="B30" s="144" t="s">
        <v>296</v>
      </c>
      <c r="C30" s="279">
        <f>C16/C29</f>
        <v>0.28967428967428965</v>
      </c>
    </row>
    <row r="31" spans="1:5" ht="15" x14ac:dyDescent="0.25">
      <c r="B31" s="144" t="s">
        <v>297</v>
      </c>
      <c r="C31" s="279">
        <f>MEDIAN(C13,C14)/C29</f>
        <v>0.40877140877140877</v>
      </c>
      <c r="E31" s="252"/>
    </row>
    <row r="32" spans="1:5" s="99" customFormat="1" ht="15" x14ac:dyDescent="0.25">
      <c r="B32" s="144" t="s">
        <v>246</v>
      </c>
      <c r="C32" s="277">
        <f>12/C31</f>
        <v>29.356260595785905</v>
      </c>
    </row>
    <row r="33" spans="2:3" ht="15" x14ac:dyDescent="0.25">
      <c r="B33" s="144" t="s">
        <v>132</v>
      </c>
      <c r="C33" s="146">
        <v>360</v>
      </c>
    </row>
    <row r="34" spans="2:3" ht="15" x14ac:dyDescent="0.25">
      <c r="B34" s="144" t="s">
        <v>241</v>
      </c>
      <c r="C34" s="146">
        <v>10</v>
      </c>
    </row>
    <row r="35" spans="2:3" ht="15" x14ac:dyDescent="0.25">
      <c r="B35" s="142" t="s">
        <v>242</v>
      </c>
      <c r="C35" s="145">
        <v>30</v>
      </c>
    </row>
    <row r="36" spans="2:3" ht="15" x14ac:dyDescent="0.25">
      <c r="B36" s="142" t="s">
        <v>243</v>
      </c>
      <c r="C36" s="145">
        <v>30</v>
      </c>
    </row>
    <row r="37" spans="2:3" s="99" customFormat="1" ht="15" x14ac:dyDescent="0.25">
      <c r="B37" s="142" t="s">
        <v>135</v>
      </c>
      <c r="C37" s="145">
        <f>30+(3*TRUNC(1/C31))</f>
        <v>36</v>
      </c>
    </row>
    <row r="38" spans="2:3" s="99" customFormat="1" ht="15" x14ac:dyDescent="0.25">
      <c r="B38" s="144" t="s">
        <v>44</v>
      </c>
      <c r="C38" s="278">
        <v>0.08</v>
      </c>
    </row>
    <row r="39" spans="2:3" s="99" customFormat="1" ht="15.75" thickBot="1" x14ac:dyDescent="0.3">
      <c r="B39" s="147" t="s">
        <v>134</v>
      </c>
      <c r="C39" s="280">
        <v>0.4</v>
      </c>
    </row>
  </sheetData>
  <mergeCells count="3">
    <mergeCell ref="B11:C11"/>
    <mergeCell ref="A7:C7"/>
    <mergeCell ref="A5:C5"/>
  </mergeCells>
  <pageMargins left="0.90551181102362199" right="0.51181102362204722" top="0.74803149606299213" bottom="0.74803149606299213" header="0.31496062992125984" footer="0.31496062992125984"/>
  <pageSetup paperSize="9" scale="98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5"/>
  <sheetViews>
    <sheetView workbookViewId="0">
      <selection activeCell="C16" sqref="C16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2" bestFit="1" customWidth="1"/>
    <col min="6" max="6" width="9.7109375" bestFit="1" customWidth="1"/>
  </cols>
  <sheetData>
    <row r="1" spans="1:8" s="133" customFormat="1" ht="14.25" x14ac:dyDescent="0.2">
      <c r="A1" s="9" t="s">
        <v>197</v>
      </c>
      <c r="B1" s="6"/>
      <c r="C1" s="6"/>
      <c r="E1" s="134"/>
    </row>
    <row r="2" spans="1:8" s="133" customFormat="1" ht="14.25" x14ac:dyDescent="0.2">
      <c r="A2" s="128" t="s">
        <v>247</v>
      </c>
      <c r="B2" s="6"/>
      <c r="C2" s="6"/>
      <c r="E2" s="134"/>
    </row>
    <row r="3" spans="1:8" s="133" customFormat="1" ht="14.25" x14ac:dyDescent="0.2">
      <c r="A3" s="7" t="s">
        <v>198</v>
      </c>
      <c r="B3" s="6"/>
      <c r="C3" s="6"/>
      <c r="E3" s="134"/>
    </row>
    <row r="4" spans="1:8" s="133" customFormat="1" ht="14.25" x14ac:dyDescent="0.2">
      <c r="A4" s="7"/>
      <c r="B4" s="6"/>
      <c r="C4" s="6"/>
      <c r="E4" s="134"/>
    </row>
    <row r="5" spans="1:8" s="2" customFormat="1" ht="15.6" hidden="1" customHeight="1" x14ac:dyDescent="0.2">
      <c r="A5" s="274" t="s">
        <v>295</v>
      </c>
      <c r="B5" s="3"/>
      <c r="C5" s="3"/>
      <c r="D5" s="3"/>
      <c r="E5" s="3"/>
      <c r="F5" s="3"/>
      <c r="G5" s="4"/>
    </row>
    <row r="6" spans="1:8" s="2" customFormat="1" ht="16.5" customHeight="1" x14ac:dyDescent="0.2">
      <c r="A6" s="314" t="s">
        <v>313</v>
      </c>
      <c r="B6" s="3"/>
      <c r="C6" s="3"/>
      <c r="D6" s="4"/>
      <c r="E6" s="4"/>
      <c r="F6" s="4"/>
      <c r="G6" s="4"/>
    </row>
    <row r="7" spans="1:8" s="2" customFormat="1" ht="16.5" customHeight="1" x14ac:dyDescent="0.2">
      <c r="A7" s="314" t="s">
        <v>314</v>
      </c>
      <c r="B7" s="3"/>
      <c r="C7" s="3"/>
      <c r="D7" s="4"/>
      <c r="E7" s="4"/>
      <c r="F7" s="4"/>
      <c r="G7" s="4"/>
    </row>
    <row r="8" spans="1:8" s="133" customFormat="1" ht="15" thickBot="1" x14ac:dyDescent="0.25">
      <c r="B8" s="6"/>
      <c r="C8" s="6"/>
      <c r="E8" s="134"/>
    </row>
    <row r="9" spans="1:8" ht="15.75" x14ac:dyDescent="0.2">
      <c r="A9" s="483" t="s">
        <v>226</v>
      </c>
      <c r="B9" s="484"/>
      <c r="C9" s="484"/>
      <c r="D9" s="484"/>
      <c r="E9" s="484"/>
      <c r="F9" s="485"/>
    </row>
    <row r="10" spans="1:8" ht="16.5" thickBot="1" x14ac:dyDescent="0.25">
      <c r="A10" s="239"/>
      <c r="B10" s="240"/>
      <c r="C10" s="240"/>
      <c r="D10" s="240"/>
      <c r="E10" s="240"/>
      <c r="F10" s="241"/>
    </row>
    <row r="11" spans="1:8" ht="15" x14ac:dyDescent="0.25">
      <c r="A11" s="190"/>
      <c r="B11" s="6"/>
      <c r="C11" s="6"/>
      <c r="D11" s="480" t="s">
        <v>244</v>
      </c>
      <c r="E11" s="481"/>
      <c r="F11" s="482"/>
      <c r="G11" s="133"/>
      <c r="H11" s="133"/>
    </row>
    <row r="12" spans="1:8" ht="15" thickBot="1" x14ac:dyDescent="0.25">
      <c r="A12" s="187"/>
      <c r="B12" s="133"/>
      <c r="C12" s="133"/>
      <c r="D12" s="191" t="s">
        <v>185</v>
      </c>
      <c r="E12" s="192" t="s">
        <v>186</v>
      </c>
      <c r="F12" s="193" t="s">
        <v>187</v>
      </c>
      <c r="G12" s="133"/>
      <c r="H12" s="133"/>
    </row>
    <row r="13" spans="1:8" ht="14.25" x14ac:dyDescent="0.2">
      <c r="A13" s="194" t="s">
        <v>76</v>
      </c>
      <c r="B13" s="195" t="s">
        <v>77</v>
      </c>
      <c r="C13" s="196">
        <v>0.05</v>
      </c>
      <c r="D13" s="217">
        <v>2.9700000000000001E-2</v>
      </c>
      <c r="E13" s="218">
        <v>5.0799999999999998E-2</v>
      </c>
      <c r="F13" s="219">
        <v>6.2700000000000006E-2</v>
      </c>
      <c r="G13" s="133"/>
      <c r="H13" s="133"/>
    </row>
    <row r="14" spans="1:8" ht="14.25" x14ac:dyDescent="0.2">
      <c r="A14" s="198" t="s">
        <v>78</v>
      </c>
      <c r="B14" s="199" t="s">
        <v>79</v>
      </c>
      <c r="C14" s="200">
        <v>8.6E-3</v>
      </c>
      <c r="D14" s="217">
        <f>0.3%+0.56%</f>
        <v>8.6E-3</v>
      </c>
      <c r="E14" s="218">
        <f>0.48%+0.85%</f>
        <v>1.3299999999999999E-2</v>
      </c>
      <c r="F14" s="219">
        <f>0.82%+0.89%</f>
        <v>1.7099999999999997E-2</v>
      </c>
      <c r="G14" s="133"/>
      <c r="H14" s="133"/>
    </row>
    <row r="15" spans="1:8" ht="14.25" x14ac:dyDescent="0.2">
      <c r="A15" s="198" t="s">
        <v>80</v>
      </c>
      <c r="B15" s="199" t="s">
        <v>81</v>
      </c>
      <c r="C15" s="200">
        <v>0.1</v>
      </c>
      <c r="D15" s="217">
        <v>7.7799999999999994E-2</v>
      </c>
      <c r="E15" s="218">
        <v>0.1085</v>
      </c>
      <c r="F15" s="219">
        <v>0.13550000000000001</v>
      </c>
      <c r="G15" s="133"/>
      <c r="H15" s="133"/>
    </row>
    <row r="16" spans="1:8" ht="14.25" x14ac:dyDescent="0.2">
      <c r="A16" s="198" t="s">
        <v>82</v>
      </c>
      <c r="B16" s="199" t="s">
        <v>83</v>
      </c>
      <c r="C16" s="201">
        <f>(1+E16)^(E17/252)-1</f>
        <v>1.8928642061037948E-3</v>
      </c>
      <c r="D16" s="217" t="s">
        <v>283</v>
      </c>
      <c r="E16" s="202">
        <v>0.1</v>
      </c>
      <c r="F16" s="197"/>
      <c r="G16" s="133"/>
      <c r="H16" s="133"/>
    </row>
    <row r="17" spans="1:8" ht="14.25" x14ac:dyDescent="0.2">
      <c r="A17" s="198" t="s">
        <v>84</v>
      </c>
      <c r="B17" s="478" t="s">
        <v>85</v>
      </c>
      <c r="C17" s="200">
        <v>0.02</v>
      </c>
      <c r="D17" s="272" t="s">
        <v>188</v>
      </c>
      <c r="E17" s="203">
        <v>5</v>
      </c>
      <c r="F17" s="204"/>
      <c r="G17" s="133"/>
      <c r="H17" s="133"/>
    </row>
    <row r="18" spans="1:8" ht="15" thickBot="1" x14ac:dyDescent="0.25">
      <c r="A18" s="205" t="s">
        <v>377</v>
      </c>
      <c r="B18" s="479"/>
      <c r="C18" s="206">
        <v>3.6499999999999998E-2</v>
      </c>
      <c r="D18" s="181"/>
      <c r="E18" s="207"/>
      <c r="F18" s="204"/>
      <c r="G18" s="133"/>
      <c r="H18" s="133"/>
    </row>
    <row r="19" spans="1:8" ht="14.25" x14ac:dyDescent="0.2">
      <c r="A19" s="208" t="s">
        <v>86</v>
      </c>
      <c r="B19" s="209"/>
      <c r="C19" s="210"/>
      <c r="D19" s="181"/>
      <c r="E19" s="207"/>
      <c r="F19" s="204"/>
      <c r="G19" s="133"/>
      <c r="H19" s="133"/>
    </row>
    <row r="20" spans="1:8" ht="15" thickBot="1" x14ac:dyDescent="0.25">
      <c r="A20" s="211" t="s">
        <v>87</v>
      </c>
      <c r="B20" s="212"/>
      <c r="C20" s="213"/>
      <c r="D20" s="181"/>
      <c r="E20" s="207"/>
      <c r="F20" s="204"/>
      <c r="G20" s="133"/>
      <c r="H20" s="133"/>
    </row>
    <row r="21" spans="1:8" ht="15.75" thickBot="1" x14ac:dyDescent="0.25">
      <c r="A21" s="214" t="s">
        <v>88</v>
      </c>
      <c r="B21" s="215"/>
      <c r="C21" s="216">
        <f>ROUND((((1+C13+C14)*(1+C15)*(1+C16))/(1-(C17+C18))-1),4)</f>
        <v>0.23649999999999999</v>
      </c>
      <c r="D21" s="220">
        <v>0.21429999999999999</v>
      </c>
      <c r="E21" s="221">
        <v>0.2717</v>
      </c>
      <c r="F21" s="222">
        <v>0.3362</v>
      </c>
      <c r="G21" s="133"/>
      <c r="H21" s="133"/>
    </row>
    <row r="22" spans="1:8" ht="14.25" x14ac:dyDescent="0.2">
      <c r="A22" s="133"/>
      <c r="B22" s="133"/>
      <c r="C22" s="133"/>
      <c r="D22" s="133"/>
      <c r="E22" s="134"/>
      <c r="F22" s="133"/>
      <c r="G22" s="133"/>
      <c r="H22" s="133"/>
    </row>
    <row r="23" spans="1:8" ht="14.25" x14ac:dyDescent="0.2">
      <c r="A23" s="133"/>
      <c r="B23" s="133"/>
      <c r="C23" s="133"/>
      <c r="D23" s="133"/>
      <c r="E23" s="134"/>
      <c r="F23" s="133"/>
      <c r="G23" s="133"/>
      <c r="H23" s="133"/>
    </row>
    <row r="24" spans="1:8" ht="14.25" x14ac:dyDescent="0.2">
      <c r="A24" s="133"/>
      <c r="B24" s="133"/>
      <c r="C24" s="133"/>
      <c r="D24" s="133"/>
      <c r="E24" s="134"/>
      <c r="F24" s="133"/>
      <c r="G24" s="133"/>
      <c r="H24" s="133"/>
    </row>
    <row r="25" spans="1:8" ht="14.25" x14ac:dyDescent="0.2">
      <c r="A25" s="133"/>
      <c r="B25" s="133"/>
      <c r="C25" s="133"/>
      <c r="D25" s="133"/>
      <c r="E25" s="134"/>
      <c r="F25" s="133"/>
      <c r="G25" s="133"/>
      <c r="H25" s="133"/>
    </row>
  </sheetData>
  <mergeCells count="3">
    <mergeCell ref="B17:B18"/>
    <mergeCell ref="D11:F11"/>
    <mergeCell ref="A9:F9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24" sqref="A24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2" bestFit="1" customWidth="1"/>
    <col min="6" max="6" width="9.7109375" bestFit="1" customWidth="1"/>
  </cols>
  <sheetData>
    <row r="1" spans="1:8" s="133" customFormat="1" ht="14.25" x14ac:dyDescent="0.2">
      <c r="A1" s="9" t="s">
        <v>197</v>
      </c>
      <c r="B1" s="6"/>
      <c r="C1" s="6"/>
      <c r="E1" s="134"/>
    </row>
    <row r="2" spans="1:8" s="133" customFormat="1" ht="14.25" x14ac:dyDescent="0.2">
      <c r="A2" s="257" t="s">
        <v>247</v>
      </c>
      <c r="B2" s="6"/>
      <c r="C2" s="6"/>
      <c r="E2" s="134"/>
    </row>
    <row r="3" spans="1:8" s="133" customFormat="1" ht="14.25" x14ac:dyDescent="0.2">
      <c r="A3" s="5" t="s">
        <v>198</v>
      </c>
      <c r="B3" s="6"/>
      <c r="C3" s="6"/>
      <c r="E3" s="134"/>
    </row>
    <row r="4" spans="1:8" s="133" customFormat="1" ht="14.25" x14ac:dyDescent="0.2">
      <c r="A4" s="5"/>
      <c r="B4" s="6"/>
      <c r="C4" s="6"/>
      <c r="E4" s="134"/>
    </row>
    <row r="5" spans="1:8" s="2" customFormat="1" ht="15.6" hidden="1" customHeight="1" x14ac:dyDescent="0.2">
      <c r="A5" s="274" t="s">
        <v>295</v>
      </c>
      <c r="B5" s="3"/>
      <c r="C5" s="3"/>
      <c r="D5" s="3"/>
      <c r="E5" s="3"/>
      <c r="F5" s="3"/>
      <c r="G5" s="4"/>
    </row>
    <row r="6" spans="1:8" s="2" customFormat="1" ht="16.5" customHeight="1" x14ac:dyDescent="0.2">
      <c r="A6" s="314" t="s">
        <v>313</v>
      </c>
      <c r="B6" s="3"/>
      <c r="C6" s="3"/>
      <c r="D6" s="4"/>
      <c r="E6" s="4"/>
      <c r="F6" s="4"/>
      <c r="G6" s="4"/>
    </row>
    <row r="7" spans="1:8" s="2" customFormat="1" ht="16.5" customHeight="1" x14ac:dyDescent="0.2">
      <c r="A7" s="314" t="s">
        <v>314</v>
      </c>
      <c r="B7" s="3"/>
      <c r="C7" s="3"/>
      <c r="D7" s="4"/>
      <c r="E7" s="4"/>
      <c r="F7" s="4"/>
      <c r="G7" s="4"/>
    </row>
    <row r="8" spans="1:8" s="133" customFormat="1" ht="15" thickBot="1" x14ac:dyDescent="0.25">
      <c r="B8" s="6"/>
      <c r="C8" s="6"/>
      <c r="E8" s="134"/>
    </row>
    <row r="9" spans="1:8" ht="15.75" x14ac:dyDescent="0.2">
      <c r="A9" s="483" t="s">
        <v>459</v>
      </c>
      <c r="B9" s="484"/>
      <c r="C9" s="484"/>
      <c r="D9" s="484"/>
      <c r="E9" s="484"/>
      <c r="F9" s="485"/>
    </row>
    <row r="10" spans="1:8" ht="16.5" thickBot="1" x14ac:dyDescent="0.25">
      <c r="A10" s="239"/>
      <c r="B10" s="240"/>
      <c r="C10" s="240"/>
      <c r="D10" s="240"/>
      <c r="E10" s="240"/>
      <c r="F10" s="241"/>
    </row>
    <row r="11" spans="1:8" ht="15" x14ac:dyDescent="0.25">
      <c r="A11" s="190"/>
      <c r="B11" s="6"/>
      <c r="C11" s="6"/>
      <c r="D11" s="480" t="s">
        <v>244</v>
      </c>
      <c r="E11" s="481"/>
      <c r="F11" s="482"/>
      <c r="G11" s="133"/>
      <c r="H11" s="133"/>
    </row>
    <row r="12" spans="1:8" ht="15" thickBot="1" x14ac:dyDescent="0.25">
      <c r="A12" s="187"/>
      <c r="B12" s="133"/>
      <c r="C12" s="133"/>
      <c r="D12" s="191" t="s">
        <v>185</v>
      </c>
      <c r="E12" s="192" t="s">
        <v>186</v>
      </c>
      <c r="F12" s="193" t="s">
        <v>187</v>
      </c>
      <c r="G12" s="133"/>
      <c r="H12" s="133"/>
    </row>
    <row r="13" spans="1:8" ht="14.25" x14ac:dyDescent="0.2">
      <c r="A13" s="194" t="s">
        <v>76</v>
      </c>
      <c r="B13" s="195" t="s">
        <v>77</v>
      </c>
      <c r="C13" s="196">
        <v>0.02</v>
      </c>
      <c r="D13" s="217">
        <v>2.9700000000000001E-2</v>
      </c>
      <c r="E13" s="218">
        <v>5.0799999999999998E-2</v>
      </c>
      <c r="F13" s="219">
        <v>6.2700000000000006E-2</v>
      </c>
      <c r="G13" s="133"/>
      <c r="H13" s="133"/>
    </row>
    <row r="14" spans="1:8" ht="14.25" x14ac:dyDescent="0.2">
      <c r="A14" s="198" t="s">
        <v>78</v>
      </c>
      <c r="B14" s="391" t="s">
        <v>79</v>
      </c>
      <c r="C14" s="200">
        <v>8.6E-3</v>
      </c>
      <c r="D14" s="217">
        <f>0.3%+0.56%</f>
        <v>8.6E-3</v>
      </c>
      <c r="E14" s="218">
        <f>0.48%+0.85%</f>
        <v>1.3299999999999999E-2</v>
      </c>
      <c r="F14" s="219">
        <f>0.82%+0.89%</f>
        <v>1.7099999999999997E-2</v>
      </c>
      <c r="G14" s="133"/>
      <c r="H14" s="133"/>
    </row>
    <row r="15" spans="1:8" ht="14.25" x14ac:dyDescent="0.2">
      <c r="A15" s="198" t="s">
        <v>80</v>
      </c>
      <c r="B15" s="391" t="s">
        <v>81</v>
      </c>
      <c r="C15" s="200">
        <v>0.04</v>
      </c>
      <c r="D15" s="217">
        <v>7.7799999999999994E-2</v>
      </c>
      <c r="E15" s="218">
        <v>0.1085</v>
      </c>
      <c r="F15" s="219">
        <v>0.13550000000000001</v>
      </c>
      <c r="G15" s="133"/>
      <c r="H15" s="133"/>
    </row>
    <row r="16" spans="1:8" ht="14.25" x14ac:dyDescent="0.2">
      <c r="A16" s="198" t="s">
        <v>82</v>
      </c>
      <c r="B16" s="391" t="s">
        <v>83</v>
      </c>
      <c r="C16" s="201">
        <f>(1+E16)^(E17/252)-1</f>
        <v>1.8928642061037948E-3</v>
      </c>
      <c r="D16" s="217" t="s">
        <v>283</v>
      </c>
      <c r="E16" s="202">
        <v>0.1</v>
      </c>
      <c r="F16" s="197"/>
      <c r="G16" s="133"/>
      <c r="H16" s="133"/>
    </row>
    <row r="17" spans="1:8" ht="14.25" x14ac:dyDescent="0.2">
      <c r="A17" s="198" t="s">
        <v>84</v>
      </c>
      <c r="B17" s="478" t="s">
        <v>85</v>
      </c>
      <c r="C17" s="200">
        <v>0</v>
      </c>
      <c r="D17" s="272" t="s">
        <v>188</v>
      </c>
      <c r="E17" s="203">
        <v>5</v>
      </c>
      <c r="F17" s="204"/>
      <c r="G17" s="133"/>
      <c r="H17" s="133"/>
    </row>
    <row r="18" spans="1:8" ht="15" thickBot="1" x14ac:dyDescent="0.25">
      <c r="A18" s="205" t="s">
        <v>377</v>
      </c>
      <c r="B18" s="479"/>
      <c r="C18" s="206">
        <v>3.6499999999999998E-2</v>
      </c>
      <c r="D18" s="181"/>
      <c r="E18" s="207"/>
      <c r="F18" s="204"/>
      <c r="G18" s="133"/>
      <c r="H18" s="133"/>
    </row>
    <row r="19" spans="1:8" ht="14.25" x14ac:dyDescent="0.2">
      <c r="A19" s="208" t="s">
        <v>86</v>
      </c>
      <c r="B19" s="209"/>
      <c r="C19" s="210"/>
      <c r="D19" s="181"/>
      <c r="E19" s="207"/>
      <c r="F19" s="204"/>
      <c r="G19" s="133"/>
      <c r="H19" s="133"/>
    </row>
    <row r="20" spans="1:8" ht="15" thickBot="1" x14ac:dyDescent="0.25">
      <c r="A20" s="211" t="s">
        <v>87</v>
      </c>
      <c r="B20" s="212"/>
      <c r="C20" s="213"/>
      <c r="D20" s="181"/>
      <c r="E20" s="207"/>
      <c r="F20" s="204"/>
      <c r="G20" s="133"/>
      <c r="H20" s="133"/>
    </row>
    <row r="21" spans="1:8" ht="15.75" thickBot="1" x14ac:dyDescent="0.25">
      <c r="A21" s="214" t="s">
        <v>88</v>
      </c>
      <c r="B21" s="215"/>
      <c r="C21" s="216">
        <f>ROUND((((1+C13+C14)*(1+C15)*(1+C16))/(1-(C17+C18))-1),4)</f>
        <v>0.1124</v>
      </c>
      <c r="D21" s="220">
        <v>0.21429999999999999</v>
      </c>
      <c r="E21" s="221">
        <v>0.2717</v>
      </c>
      <c r="F21" s="222">
        <v>0.3362</v>
      </c>
      <c r="G21" s="133"/>
      <c r="H21" s="133"/>
    </row>
    <row r="22" spans="1:8" ht="14.25" x14ac:dyDescent="0.2">
      <c r="A22" s="133"/>
      <c r="B22" s="133"/>
      <c r="C22" s="133"/>
      <c r="D22" s="133"/>
      <c r="E22" s="134"/>
      <c r="F22" s="133"/>
      <c r="G22" s="133"/>
      <c r="H22" s="133"/>
    </row>
    <row r="23" spans="1:8" ht="14.25" x14ac:dyDescent="0.2">
      <c r="A23" s="133"/>
      <c r="B23" s="133"/>
      <c r="C23" s="133"/>
      <c r="D23" s="133"/>
      <c r="E23" s="134"/>
      <c r="F23" s="133"/>
      <c r="G23" s="133"/>
      <c r="H23" s="133"/>
    </row>
    <row r="24" spans="1:8" ht="14.25" x14ac:dyDescent="0.2">
      <c r="A24" s="133"/>
      <c r="B24" s="133"/>
      <c r="C24" s="133"/>
      <c r="D24" s="133"/>
      <c r="E24" s="134"/>
      <c r="F24" s="133"/>
      <c r="G24" s="133"/>
      <c r="H24" s="133"/>
    </row>
    <row r="25" spans="1:8" ht="14.25" x14ac:dyDescent="0.2">
      <c r="A25" s="133"/>
      <c r="B25" s="133"/>
      <c r="C25" s="133"/>
      <c r="D25" s="133"/>
      <c r="E25" s="134"/>
      <c r="F25" s="133"/>
      <c r="G25" s="133"/>
      <c r="H25" s="133"/>
    </row>
  </sheetData>
  <mergeCells count="3">
    <mergeCell ref="A9:F9"/>
    <mergeCell ref="D11:F11"/>
    <mergeCell ref="B17:B18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D7" sqref="D7"/>
    </sheetView>
  </sheetViews>
  <sheetFormatPr defaultColWidth="8.85546875" defaultRowHeight="15" x14ac:dyDescent="0.25"/>
  <cols>
    <col min="1" max="1" width="7.140625" style="284" customWidth="1"/>
    <col min="2" max="2" width="10.28515625" style="284" customWidth="1"/>
    <col min="3" max="3" width="8.5703125" style="284" customWidth="1"/>
    <col min="4" max="4" width="9.140625" style="284" bestFit="1" customWidth="1"/>
    <col min="5" max="5" width="11.42578125" style="284" bestFit="1" customWidth="1"/>
    <col min="6" max="7" width="11.42578125" style="284" hidden="1" customWidth="1"/>
    <col min="8" max="8" width="11.42578125" style="284" bestFit="1" customWidth="1"/>
    <col min="9" max="9" width="8.85546875" style="284"/>
    <col min="10" max="11" width="11.28515625" style="284" bestFit="1" customWidth="1"/>
    <col min="12" max="16384" width="8.85546875" style="284"/>
  </cols>
  <sheetData>
    <row r="1" spans="1:8" ht="15.75" x14ac:dyDescent="0.25">
      <c r="A1" s="315" t="s">
        <v>392</v>
      </c>
    </row>
    <row r="2" spans="1:8" ht="15.75" x14ac:dyDescent="0.25">
      <c r="A2" s="315" t="s">
        <v>393</v>
      </c>
    </row>
    <row r="3" spans="1:8" ht="15.75" x14ac:dyDescent="0.25">
      <c r="A3" s="315" t="s">
        <v>431</v>
      </c>
    </row>
    <row r="4" spans="1:8" x14ac:dyDescent="0.25">
      <c r="A4" s="283"/>
    </row>
    <row r="5" spans="1:8" x14ac:dyDescent="0.25">
      <c r="A5" s="334" t="s">
        <v>430</v>
      </c>
      <c r="B5" s="335"/>
      <c r="C5" s="335"/>
      <c r="D5" s="336"/>
      <c r="E5" s="285"/>
      <c r="F5" s="285" t="s">
        <v>317</v>
      </c>
      <c r="G5" s="285" t="s">
        <v>317</v>
      </c>
      <c r="H5" s="285"/>
    </row>
    <row r="6" spans="1:8" ht="30" x14ac:dyDescent="0.25">
      <c r="A6" s="286" t="s">
        <v>318</v>
      </c>
      <c r="B6" s="575" t="s">
        <v>445</v>
      </c>
      <c r="C6" s="575" t="s">
        <v>460</v>
      </c>
      <c r="D6" s="286" t="s">
        <v>361</v>
      </c>
      <c r="E6" s="332" t="s">
        <v>446</v>
      </c>
      <c r="F6" s="332">
        <v>108.51</v>
      </c>
      <c r="G6" s="332"/>
      <c r="H6" s="332" t="s">
        <v>394</v>
      </c>
    </row>
    <row r="7" spans="1:8" x14ac:dyDescent="0.25">
      <c r="A7" s="287">
        <v>1</v>
      </c>
      <c r="B7" s="289">
        <v>2748</v>
      </c>
      <c r="C7" s="318">
        <v>0.4</v>
      </c>
      <c r="D7" s="319">
        <f>B7*C7*30/1000</f>
        <v>32.975999999999999</v>
      </c>
      <c r="E7" s="333">
        <f>D7*0.05</f>
        <v>1.6488</v>
      </c>
      <c r="F7" s="285"/>
      <c r="G7" s="285"/>
      <c r="H7" s="333">
        <f>D7-E7</f>
        <v>31.327199999999998</v>
      </c>
    </row>
    <row r="8" spans="1:8" x14ac:dyDescent="0.25">
      <c r="A8" s="287"/>
      <c r="B8" s="288"/>
      <c r="C8" s="288"/>
      <c r="D8" s="289"/>
      <c r="E8" s="285"/>
      <c r="F8" s="285"/>
      <c r="G8" s="285"/>
      <c r="H8" s="285"/>
    </row>
    <row r="9" spans="1:8" x14ac:dyDescent="0.25">
      <c r="A9" s="576" t="s">
        <v>437</v>
      </c>
      <c r="B9" s="577"/>
      <c r="C9" s="410"/>
      <c r="D9" s="320">
        <f>D7*12</f>
        <v>395.71199999999999</v>
      </c>
      <c r="E9" s="333">
        <f>E7*12</f>
        <v>19.785600000000002</v>
      </c>
      <c r="F9" s="285"/>
      <c r="G9" s="285"/>
      <c r="H9" s="333">
        <f>H7*12</f>
        <v>375.92639999999994</v>
      </c>
    </row>
    <row r="11" spans="1:8" x14ac:dyDescent="0.25">
      <c r="A11" s="316"/>
      <c r="B11" s="317"/>
      <c r="D11" s="290"/>
      <c r="F11" s="291"/>
    </row>
    <row r="12" spans="1:8" x14ac:dyDescent="0.25">
      <c r="A12" s="316"/>
      <c r="B12" s="317"/>
      <c r="D12" s="290"/>
      <c r="F12" s="290"/>
    </row>
    <row r="14" spans="1:8" x14ac:dyDescent="0.25">
      <c r="F14" s="292"/>
    </row>
  </sheetData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opLeftCell="A7" workbookViewId="0">
      <selection activeCell="A11" sqref="A11:F33"/>
    </sheetView>
  </sheetViews>
  <sheetFormatPr defaultColWidth="8.85546875" defaultRowHeight="15" x14ac:dyDescent="0.25"/>
  <cols>
    <col min="1" max="1" width="8.85546875" style="297"/>
    <col min="2" max="2" width="23" style="297" customWidth="1"/>
    <col min="3" max="3" width="14.42578125" style="297" customWidth="1"/>
    <col min="4" max="4" width="7.28515625" style="297" customWidth="1"/>
    <col min="5" max="5" width="6" style="297" customWidth="1"/>
    <col min="6" max="6" width="10.42578125" style="297" bestFit="1" customWidth="1"/>
    <col min="7" max="16384" width="8.85546875" style="297"/>
  </cols>
  <sheetData>
    <row r="1" spans="1:12" ht="15.75" x14ac:dyDescent="0.25">
      <c r="A1" s="315" t="s">
        <v>392</v>
      </c>
    </row>
    <row r="2" spans="1:12" x14ac:dyDescent="0.25">
      <c r="A2" s="296" t="s">
        <v>335</v>
      </c>
    </row>
    <row r="3" spans="1:12" x14ac:dyDescent="0.25">
      <c r="A3" s="296" t="s">
        <v>413</v>
      </c>
    </row>
    <row r="4" spans="1:12" x14ac:dyDescent="0.25">
      <c r="A4" s="298" t="s">
        <v>319</v>
      </c>
      <c r="B4" s="298" t="s">
        <v>320</v>
      </c>
      <c r="C4" s="298" t="s">
        <v>321</v>
      </c>
      <c r="D4" s="298" t="s">
        <v>322</v>
      </c>
      <c r="E4" s="298" t="s">
        <v>323</v>
      </c>
      <c r="F4" s="298" t="s">
        <v>324</v>
      </c>
    </row>
    <row r="5" spans="1:12" ht="33.75" customHeight="1" x14ac:dyDescent="0.25">
      <c r="A5" s="299">
        <v>2</v>
      </c>
      <c r="B5" s="298" t="s">
        <v>385</v>
      </c>
      <c r="C5" s="578" t="s">
        <v>423</v>
      </c>
      <c r="D5" s="300">
        <v>0.29166666666666669</v>
      </c>
      <c r="E5" s="300">
        <v>0.4375</v>
      </c>
      <c r="F5" s="300">
        <v>0.14583333333333334</v>
      </c>
    </row>
    <row r="6" spans="1:12" ht="30" x14ac:dyDescent="0.25">
      <c r="A6" s="299">
        <v>1</v>
      </c>
      <c r="B6" s="298" t="s">
        <v>386</v>
      </c>
      <c r="C6" s="578" t="s">
        <v>423</v>
      </c>
      <c r="D6" s="300">
        <v>0.29166666666666669</v>
      </c>
      <c r="E6" s="300">
        <v>0.45833333333333331</v>
      </c>
      <c r="F6" s="300">
        <v>0.16666666666666666</v>
      </c>
    </row>
    <row r="7" spans="1:12" x14ac:dyDescent="0.25">
      <c r="A7" s="299">
        <v>2</v>
      </c>
      <c r="B7" s="298" t="s">
        <v>435</v>
      </c>
      <c r="C7" s="298" t="s">
        <v>468</v>
      </c>
      <c r="D7" s="300">
        <v>0.29166666666666669</v>
      </c>
      <c r="E7" s="300">
        <v>0.4375</v>
      </c>
      <c r="F7" s="300">
        <v>0.14583333333333334</v>
      </c>
    </row>
    <row r="8" spans="1:12" x14ac:dyDescent="0.25">
      <c r="A8" s="299">
        <v>1</v>
      </c>
      <c r="B8" s="298" t="s">
        <v>436</v>
      </c>
      <c r="C8" s="298" t="s">
        <v>468</v>
      </c>
      <c r="D8" s="300">
        <v>0.29166666666666669</v>
      </c>
      <c r="E8" s="300">
        <v>0.45833333333333331</v>
      </c>
      <c r="F8" s="300">
        <v>0.16666666666666666</v>
      </c>
    </row>
    <row r="9" spans="1:12" x14ac:dyDescent="0.25">
      <c r="A9" s="299">
        <v>1</v>
      </c>
      <c r="B9" s="298" t="s">
        <v>416</v>
      </c>
      <c r="C9" s="298" t="s">
        <v>417</v>
      </c>
      <c r="D9" s="300">
        <v>0.60416666666666663</v>
      </c>
      <c r="E9" s="300">
        <v>0.6875</v>
      </c>
      <c r="F9" s="300">
        <v>8.3333333333333329E-2</v>
      </c>
      <c r="H9" s="307"/>
      <c r="I9" s="307"/>
      <c r="L9" s="307"/>
    </row>
    <row r="10" spans="1:12" x14ac:dyDescent="0.25">
      <c r="H10" s="307"/>
      <c r="I10" s="307"/>
      <c r="L10" s="307"/>
    </row>
    <row r="11" spans="1:12" x14ac:dyDescent="0.25">
      <c r="A11" s="296" t="s">
        <v>410</v>
      </c>
      <c r="H11" s="362"/>
    </row>
    <row r="12" spans="1:12" x14ac:dyDescent="0.25">
      <c r="A12" s="301" t="s">
        <v>325</v>
      </c>
      <c r="B12" s="302"/>
      <c r="C12" s="302"/>
      <c r="D12" s="302"/>
      <c r="E12" s="302"/>
      <c r="F12" s="311">
        <v>3.5</v>
      </c>
      <c r="H12" s="362"/>
    </row>
    <row r="13" spans="1:12" x14ac:dyDescent="0.25">
      <c r="A13" s="301" t="s">
        <v>326</v>
      </c>
      <c r="B13" s="302"/>
      <c r="C13" s="302"/>
      <c r="D13" s="302"/>
      <c r="E13" s="302"/>
      <c r="F13" s="303">
        <v>4</v>
      </c>
    </row>
    <row r="14" spans="1:12" x14ac:dyDescent="0.25">
      <c r="A14" s="301" t="s">
        <v>327</v>
      </c>
      <c r="B14" s="302"/>
      <c r="C14" s="302"/>
      <c r="D14" s="302"/>
      <c r="E14" s="302"/>
      <c r="F14" s="311">
        <f>F12*F13</f>
        <v>14</v>
      </c>
    </row>
    <row r="15" spans="1:12" x14ac:dyDescent="0.25">
      <c r="A15" s="301" t="s">
        <v>328</v>
      </c>
      <c r="B15" s="302"/>
      <c r="C15" s="302"/>
      <c r="D15" s="302"/>
      <c r="E15" s="302"/>
      <c r="F15" s="303">
        <v>6</v>
      </c>
    </row>
    <row r="16" spans="1:12" x14ac:dyDescent="0.25">
      <c r="A16" s="301" t="s">
        <v>329</v>
      </c>
      <c r="B16" s="302"/>
      <c r="C16" s="302"/>
      <c r="D16" s="302"/>
      <c r="E16" s="302"/>
      <c r="F16" s="303">
        <v>7</v>
      </c>
    </row>
    <row r="17" spans="1:6" x14ac:dyDescent="0.25">
      <c r="A17" s="301" t="s">
        <v>330</v>
      </c>
      <c r="B17" s="302"/>
      <c r="C17" s="302"/>
      <c r="D17" s="302"/>
      <c r="E17" s="302"/>
      <c r="F17" s="311">
        <f>F14/F15</f>
        <v>2.3333333333333335</v>
      </c>
    </row>
    <row r="18" spans="1:6" x14ac:dyDescent="0.25">
      <c r="A18" s="301" t="s">
        <v>331</v>
      </c>
      <c r="B18" s="302"/>
      <c r="C18" s="302"/>
      <c r="D18" s="302"/>
      <c r="E18" s="302"/>
      <c r="F18" s="303">
        <v>30</v>
      </c>
    </row>
    <row r="19" spans="1:6" x14ac:dyDescent="0.25">
      <c r="A19" s="304" t="s">
        <v>332</v>
      </c>
      <c r="B19" s="305"/>
      <c r="C19" s="305"/>
      <c r="D19" s="305"/>
      <c r="E19" s="305"/>
      <c r="F19" s="312">
        <f>F17*F18</f>
        <v>70</v>
      </c>
    </row>
    <row r="20" spans="1:6" x14ac:dyDescent="0.25">
      <c r="A20" s="304" t="s">
        <v>333</v>
      </c>
      <c r="B20" s="305"/>
      <c r="C20" s="305"/>
      <c r="D20" s="305"/>
      <c r="E20" s="305"/>
      <c r="F20" s="298">
        <v>220</v>
      </c>
    </row>
    <row r="21" spans="1:6" x14ac:dyDescent="0.25">
      <c r="A21" s="304" t="s">
        <v>334</v>
      </c>
      <c r="B21" s="305"/>
      <c r="C21" s="305"/>
      <c r="D21" s="305"/>
      <c r="E21" s="305"/>
      <c r="F21" s="306">
        <f>F19/F20</f>
        <v>0.31818181818181818</v>
      </c>
    </row>
    <row r="23" spans="1:6" x14ac:dyDescent="0.25">
      <c r="A23" s="296" t="s">
        <v>411</v>
      </c>
    </row>
    <row r="24" spans="1:6" x14ac:dyDescent="0.25">
      <c r="A24" s="361" t="s">
        <v>412</v>
      </c>
      <c r="B24" s="302"/>
      <c r="C24" s="302"/>
      <c r="D24" s="302"/>
      <c r="E24" s="302"/>
      <c r="F24" s="311">
        <v>4.5</v>
      </c>
    </row>
    <row r="25" spans="1:6" x14ac:dyDescent="0.25">
      <c r="A25" s="301" t="s">
        <v>326</v>
      </c>
      <c r="B25" s="302"/>
      <c r="C25" s="302"/>
      <c r="D25" s="302"/>
      <c r="E25" s="302"/>
      <c r="F25" s="303">
        <v>4</v>
      </c>
    </row>
    <row r="26" spans="1:6" x14ac:dyDescent="0.25">
      <c r="A26" s="301" t="s">
        <v>327</v>
      </c>
      <c r="B26" s="302"/>
      <c r="C26" s="302"/>
      <c r="D26" s="302"/>
      <c r="E26" s="302"/>
      <c r="F26" s="311">
        <f>F24*F25</f>
        <v>18</v>
      </c>
    </row>
    <row r="27" spans="1:6" x14ac:dyDescent="0.25">
      <c r="A27" s="301" t="s">
        <v>328</v>
      </c>
      <c r="B27" s="302"/>
      <c r="C27" s="302"/>
      <c r="D27" s="302"/>
      <c r="E27" s="302"/>
      <c r="F27" s="303">
        <v>6</v>
      </c>
    </row>
    <row r="28" spans="1:6" x14ac:dyDescent="0.25">
      <c r="A28" s="301" t="s">
        <v>329</v>
      </c>
      <c r="B28" s="302"/>
      <c r="C28" s="302"/>
      <c r="D28" s="302"/>
      <c r="E28" s="302"/>
      <c r="F28" s="303">
        <v>7</v>
      </c>
    </row>
    <row r="29" spans="1:6" x14ac:dyDescent="0.25">
      <c r="A29" s="301" t="s">
        <v>330</v>
      </c>
      <c r="B29" s="302"/>
      <c r="C29" s="302"/>
      <c r="D29" s="302"/>
      <c r="E29" s="302"/>
      <c r="F29" s="311">
        <f>F26/F27</f>
        <v>3</v>
      </c>
    </row>
    <row r="30" spans="1:6" x14ac:dyDescent="0.25">
      <c r="A30" s="301" t="s">
        <v>331</v>
      </c>
      <c r="B30" s="302"/>
      <c r="C30" s="302"/>
      <c r="D30" s="302"/>
      <c r="E30" s="302"/>
      <c r="F30" s="303">
        <v>30</v>
      </c>
    </row>
    <row r="31" spans="1:6" x14ac:dyDescent="0.25">
      <c r="A31" s="304" t="s">
        <v>332</v>
      </c>
      <c r="B31" s="305"/>
      <c r="C31" s="305"/>
      <c r="D31" s="305"/>
      <c r="E31" s="305"/>
      <c r="F31" s="312">
        <f>F29*F30</f>
        <v>90</v>
      </c>
    </row>
    <row r="32" spans="1:6" x14ac:dyDescent="0.25">
      <c r="A32" s="304" t="s">
        <v>333</v>
      </c>
      <c r="B32" s="305"/>
      <c r="C32" s="305"/>
      <c r="D32" s="305"/>
      <c r="E32" s="305"/>
      <c r="F32" s="298">
        <v>220</v>
      </c>
    </row>
    <row r="33" spans="1:6" x14ac:dyDescent="0.25">
      <c r="A33" s="304" t="s">
        <v>334</v>
      </c>
      <c r="B33" s="305"/>
      <c r="C33" s="305"/>
      <c r="D33" s="305"/>
      <c r="E33" s="305"/>
      <c r="F33" s="306">
        <f>F31/F32</f>
        <v>0.40909090909090912</v>
      </c>
    </row>
  </sheetData>
  <pageMargins left="0.51181102362204722" right="0.51181102362204722" top="0.78740157480314965" bottom="0.78740157480314965" header="0.31496062992125984" footer="0.31496062992125984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0"/>
  <sheetViews>
    <sheetView workbookViewId="0">
      <selection activeCell="B16" sqref="B16"/>
    </sheetView>
  </sheetViews>
  <sheetFormatPr defaultColWidth="8.85546875" defaultRowHeight="15" x14ac:dyDescent="0.25"/>
  <cols>
    <col min="1" max="1" width="11.7109375" style="337" customWidth="1"/>
    <col min="2" max="2" width="15.7109375" style="337" customWidth="1"/>
    <col min="3" max="3" width="14.5703125" style="337" customWidth="1"/>
    <col min="4" max="4" width="13.28515625" style="337" customWidth="1"/>
    <col min="5" max="5" width="5.7109375" style="337" customWidth="1"/>
    <col min="6" max="6" width="2.5703125" style="337" customWidth="1"/>
    <col min="7" max="7" width="19.28515625" style="337" customWidth="1"/>
    <col min="8" max="8" width="10.5703125" style="337" customWidth="1"/>
    <col min="9" max="9" width="11.7109375" style="337" customWidth="1"/>
    <col min="10" max="10" width="15.42578125" style="337" customWidth="1"/>
    <col min="11" max="11" width="6.5703125" style="337" bestFit="1" customWidth="1"/>
    <col min="12" max="12" width="5.140625" style="337" customWidth="1"/>
    <col min="13" max="13" width="14.140625" style="337" customWidth="1"/>
    <col min="14" max="14" width="28" style="337" customWidth="1"/>
    <col min="15" max="15" width="7.28515625" style="337" customWidth="1"/>
    <col min="16" max="16" width="4.7109375" style="337" customWidth="1"/>
    <col min="17" max="17" width="15.140625" style="337" customWidth="1"/>
    <col min="18" max="18" width="6.28515625" style="337" customWidth="1"/>
    <col min="19" max="19" width="9.28515625" style="337" customWidth="1"/>
    <col min="20" max="20" width="12" style="337" customWidth="1"/>
    <col min="21" max="21" width="11.5703125" style="337" customWidth="1"/>
    <col min="22" max="22" width="10.5703125" style="337" customWidth="1"/>
    <col min="23" max="16384" width="8.85546875" style="337"/>
  </cols>
  <sheetData>
    <row r="1" spans="1:23" ht="18" x14ac:dyDescent="0.25">
      <c r="A1" s="136" t="s">
        <v>392</v>
      </c>
    </row>
    <row r="2" spans="1:23" ht="15" customHeight="1" thickBot="1" x14ac:dyDescent="0.3">
      <c r="A2" s="360" t="s">
        <v>407</v>
      </c>
      <c r="S2" s="338"/>
    </row>
    <row r="3" spans="1:23" ht="15" customHeight="1" thickBot="1" x14ac:dyDescent="0.3">
      <c r="A3" s="486" t="s">
        <v>425</v>
      </c>
      <c r="B3" s="487"/>
      <c r="C3" s="487"/>
      <c r="D3" s="487"/>
      <c r="E3" s="488"/>
      <c r="F3" s="339"/>
      <c r="G3" s="489" t="s">
        <v>406</v>
      </c>
      <c r="H3" s="490"/>
      <c r="I3" s="490"/>
      <c r="J3" s="490"/>
      <c r="K3" s="491"/>
      <c r="L3" s="339"/>
      <c r="M3" s="339"/>
      <c r="S3" s="338"/>
      <c r="T3" s="339"/>
      <c r="U3" s="339"/>
      <c r="V3" s="339"/>
      <c r="W3" s="339"/>
    </row>
    <row r="4" spans="1:23" ht="15" customHeight="1" x14ac:dyDescent="0.25">
      <c r="A4" s="492" t="s">
        <v>396</v>
      </c>
      <c r="B4" s="493"/>
      <c r="C4" s="493"/>
      <c r="D4" s="493"/>
      <c r="E4" s="494"/>
      <c r="F4" s="339"/>
      <c r="G4" s="505" t="s">
        <v>362</v>
      </c>
      <c r="H4" s="507" t="s">
        <v>363</v>
      </c>
      <c r="I4" s="507"/>
      <c r="J4" s="509" t="s">
        <v>422</v>
      </c>
      <c r="K4" s="510" t="s">
        <v>337</v>
      </c>
      <c r="L4" s="339"/>
      <c r="M4" s="339"/>
      <c r="S4" s="340"/>
      <c r="T4" s="341"/>
      <c r="U4" s="339"/>
      <c r="V4" s="342"/>
      <c r="W4" s="342"/>
    </row>
    <row r="5" spans="1:23" x14ac:dyDescent="0.25">
      <c r="A5" s="398" t="s">
        <v>364</v>
      </c>
      <c r="B5" s="343" t="s">
        <v>338</v>
      </c>
      <c r="C5" s="343" t="s">
        <v>339</v>
      </c>
      <c r="D5" s="343" t="s">
        <v>336</v>
      </c>
      <c r="E5" s="399" t="s">
        <v>261</v>
      </c>
      <c r="F5" s="339"/>
      <c r="G5" s="506"/>
      <c r="H5" s="508"/>
      <c r="I5" s="508"/>
      <c r="J5" s="508"/>
      <c r="K5" s="511"/>
      <c r="L5" s="339"/>
      <c r="M5" s="339"/>
      <c r="S5" s="340"/>
      <c r="T5" s="341"/>
      <c r="U5" s="339"/>
      <c r="V5" s="342"/>
      <c r="W5" s="342"/>
    </row>
    <row r="6" spans="1:23" s="339" customFormat="1" x14ac:dyDescent="0.25">
      <c r="A6" s="398" t="s">
        <v>341</v>
      </c>
      <c r="B6" s="343"/>
      <c r="C6" s="344" t="s">
        <v>342</v>
      </c>
      <c r="D6" s="345">
        <v>10558.54</v>
      </c>
      <c r="E6" s="400" t="s">
        <v>340</v>
      </c>
      <c r="F6" s="337"/>
      <c r="G6" s="500" t="s">
        <v>420</v>
      </c>
      <c r="H6" s="346">
        <v>3</v>
      </c>
      <c r="I6" s="347" t="s">
        <v>365</v>
      </c>
      <c r="J6" s="348">
        <f>D27</f>
        <v>49.655590000000004</v>
      </c>
      <c r="K6" s="349" t="s">
        <v>18</v>
      </c>
      <c r="S6" s="340"/>
      <c r="T6" s="341"/>
      <c r="V6" s="342"/>
      <c r="W6" s="342"/>
    </row>
    <row r="7" spans="1:23" s="339" customFormat="1" x14ac:dyDescent="0.25">
      <c r="A7" s="398" t="s">
        <v>343</v>
      </c>
      <c r="B7" s="343"/>
      <c r="C7" s="344" t="s">
        <v>344</v>
      </c>
      <c r="D7" s="345">
        <v>2600.02</v>
      </c>
      <c r="E7" s="400" t="s">
        <v>340</v>
      </c>
      <c r="F7" s="337"/>
      <c r="G7" s="501"/>
      <c r="H7" s="346"/>
      <c r="I7" s="347"/>
      <c r="J7" s="348"/>
      <c r="K7" s="349"/>
      <c r="L7" s="337"/>
      <c r="M7" s="337"/>
      <c r="S7" s="340"/>
      <c r="T7" s="341"/>
      <c r="V7" s="342"/>
      <c r="W7" s="342"/>
    </row>
    <row r="8" spans="1:23" ht="15.75" thickBot="1" x14ac:dyDescent="0.3">
      <c r="A8" s="398" t="s">
        <v>345</v>
      </c>
      <c r="B8" s="343"/>
      <c r="C8" s="344" t="s">
        <v>346</v>
      </c>
      <c r="D8" s="345">
        <v>1202.78</v>
      </c>
      <c r="E8" s="400" t="s">
        <v>340</v>
      </c>
      <c r="G8" s="502"/>
      <c r="H8" s="503"/>
      <c r="I8" s="503"/>
      <c r="J8" s="503"/>
      <c r="K8" s="504"/>
      <c r="S8" s="340"/>
      <c r="T8" s="341"/>
      <c r="U8" s="339"/>
      <c r="V8" s="342"/>
      <c r="W8" s="342"/>
    </row>
    <row r="9" spans="1:23" ht="15" customHeight="1" x14ac:dyDescent="0.25">
      <c r="A9" s="398" t="s">
        <v>347</v>
      </c>
      <c r="B9" s="343"/>
      <c r="C9" s="344" t="s">
        <v>348</v>
      </c>
      <c r="D9" s="345">
        <v>1552.11</v>
      </c>
      <c r="E9" s="400" t="s">
        <v>340</v>
      </c>
      <c r="G9" s="515" t="s">
        <v>366</v>
      </c>
      <c r="H9" s="516"/>
      <c r="I9" s="517"/>
      <c r="J9" s="350">
        <f>(H6*J6)+(H7*J7)</f>
        <v>148.96677</v>
      </c>
      <c r="K9" s="351" t="s">
        <v>367</v>
      </c>
      <c r="S9" s="342"/>
    </row>
    <row r="10" spans="1:23" ht="15.75" thickBot="1" x14ac:dyDescent="0.3">
      <c r="A10" s="398" t="s">
        <v>349</v>
      </c>
      <c r="B10" s="343"/>
      <c r="C10" s="344" t="s">
        <v>350</v>
      </c>
      <c r="D10" s="345">
        <v>2133.66</v>
      </c>
      <c r="E10" s="400" t="s">
        <v>340</v>
      </c>
      <c r="G10" s="518" t="s">
        <v>368</v>
      </c>
      <c r="H10" s="519"/>
      <c r="I10" s="520"/>
      <c r="J10" s="352">
        <f>((J9/7)*30)</f>
        <v>638.42901428571429</v>
      </c>
      <c r="K10" s="353" t="s">
        <v>367</v>
      </c>
      <c r="S10" s="340"/>
      <c r="T10" s="341"/>
      <c r="U10" s="339"/>
      <c r="V10" s="342"/>
      <c r="W10" s="342"/>
    </row>
    <row r="11" spans="1:23" ht="15.75" thickBot="1" x14ac:dyDescent="0.3">
      <c r="A11" s="398" t="s">
        <v>351</v>
      </c>
      <c r="B11" s="343"/>
      <c r="C11" s="344" t="s">
        <v>352</v>
      </c>
      <c r="D11" s="345">
        <v>1607.51</v>
      </c>
      <c r="E11" s="400" t="s">
        <v>340</v>
      </c>
      <c r="G11" s="521" t="s">
        <v>130</v>
      </c>
      <c r="H11" s="522"/>
      <c r="I11" s="522"/>
      <c r="J11" s="522"/>
      <c r="K11" s="523"/>
      <c r="S11" s="340"/>
      <c r="T11" s="341"/>
      <c r="U11" s="339"/>
      <c r="V11" s="342"/>
      <c r="W11" s="342"/>
    </row>
    <row r="12" spans="1:23" ht="15" customHeight="1" thickBot="1" x14ac:dyDescent="0.3">
      <c r="A12" s="398" t="s">
        <v>353</v>
      </c>
      <c r="B12" s="343"/>
      <c r="C12" s="344" t="s">
        <v>354</v>
      </c>
      <c r="D12" s="345">
        <v>9610.74</v>
      </c>
      <c r="E12" s="400" t="s">
        <v>340</v>
      </c>
      <c r="G12" s="524" t="s">
        <v>405</v>
      </c>
      <c r="H12" s="525"/>
      <c r="I12" s="525"/>
      <c r="J12" s="525"/>
      <c r="K12" s="526"/>
      <c r="T12" s="341"/>
      <c r="U12" s="339"/>
      <c r="V12" s="342"/>
      <c r="W12" s="342"/>
    </row>
    <row r="13" spans="1:23" ht="15" customHeight="1" x14ac:dyDescent="0.25">
      <c r="A13" s="398" t="s">
        <v>355</v>
      </c>
      <c r="B13" s="343"/>
      <c r="C13" s="344" t="s">
        <v>369</v>
      </c>
      <c r="D13" s="345">
        <v>1035.6500000000001</v>
      </c>
      <c r="E13" s="400" t="s">
        <v>340</v>
      </c>
      <c r="G13" s="527" t="s">
        <v>362</v>
      </c>
      <c r="H13" s="529" t="s">
        <v>363</v>
      </c>
      <c r="I13" s="529"/>
      <c r="J13" s="529" t="s">
        <v>418</v>
      </c>
      <c r="K13" s="531" t="s">
        <v>337</v>
      </c>
      <c r="S13" s="354"/>
      <c r="T13" s="341"/>
      <c r="U13" s="339"/>
      <c r="V13" s="342"/>
      <c r="W13" s="342"/>
    </row>
    <row r="14" spans="1:23" x14ac:dyDescent="0.25">
      <c r="A14" s="398" t="s">
        <v>356</v>
      </c>
      <c r="B14" s="343"/>
      <c r="C14" s="344" t="s">
        <v>370</v>
      </c>
      <c r="D14" s="345">
        <v>1885.22</v>
      </c>
      <c r="E14" s="400" t="s">
        <v>340</v>
      </c>
      <c r="G14" s="528"/>
      <c r="H14" s="530"/>
      <c r="I14" s="530"/>
      <c r="J14" s="530"/>
      <c r="K14" s="532"/>
      <c r="S14" s="354"/>
      <c r="T14" s="341"/>
      <c r="U14" s="339"/>
      <c r="V14" s="342"/>
      <c r="W14" s="342"/>
    </row>
    <row r="15" spans="1:23" ht="15.75" customHeight="1" x14ac:dyDescent="0.25">
      <c r="A15" s="398" t="s">
        <v>357</v>
      </c>
      <c r="B15" s="343"/>
      <c r="C15" s="344" t="s">
        <v>371</v>
      </c>
      <c r="D15" s="345">
        <v>1464.01</v>
      </c>
      <c r="E15" s="400" t="s">
        <v>340</v>
      </c>
      <c r="G15" s="396" t="s">
        <v>444</v>
      </c>
      <c r="H15" s="397">
        <v>1</v>
      </c>
      <c r="I15" s="363" t="s">
        <v>365</v>
      </c>
      <c r="J15" s="364">
        <f>D46</f>
        <v>116.47780999999999</v>
      </c>
      <c r="K15" s="365" t="s">
        <v>18</v>
      </c>
      <c r="S15" s="339"/>
      <c r="T15" s="341"/>
      <c r="U15" s="339"/>
      <c r="V15" s="342"/>
      <c r="W15" s="342"/>
    </row>
    <row r="16" spans="1:23" ht="15" customHeight="1" thickBot="1" x14ac:dyDescent="0.3">
      <c r="A16" s="398" t="s">
        <v>358</v>
      </c>
      <c r="B16" s="343"/>
      <c r="C16" s="344" t="s">
        <v>372</v>
      </c>
      <c r="D16" s="345">
        <v>1315.06</v>
      </c>
      <c r="E16" s="400" t="s">
        <v>340</v>
      </c>
      <c r="G16" s="533"/>
      <c r="H16" s="534"/>
      <c r="I16" s="534"/>
      <c r="J16" s="534"/>
      <c r="K16" s="535"/>
      <c r="S16" s="339"/>
    </row>
    <row r="17" spans="1:23" x14ac:dyDescent="0.25">
      <c r="A17" s="398" t="s">
        <v>359</v>
      </c>
      <c r="B17" s="343"/>
      <c r="C17" s="344" t="s">
        <v>373</v>
      </c>
      <c r="D17" s="345">
        <v>1272.83</v>
      </c>
      <c r="E17" s="400" t="s">
        <v>340</v>
      </c>
      <c r="G17" s="536" t="s">
        <v>366</v>
      </c>
      <c r="H17" s="537"/>
      <c r="I17" s="538"/>
      <c r="J17" s="355">
        <f>J15*H15</f>
        <v>116.47780999999999</v>
      </c>
      <c r="K17" s="351" t="s">
        <v>367</v>
      </c>
      <c r="S17" s="339"/>
    </row>
    <row r="18" spans="1:23" ht="15" customHeight="1" thickBot="1" x14ac:dyDescent="0.3">
      <c r="A18" s="398" t="s">
        <v>398</v>
      </c>
      <c r="B18" s="343"/>
      <c r="C18" s="344" t="s">
        <v>399</v>
      </c>
      <c r="D18" s="345">
        <v>1035.4000000000001</v>
      </c>
      <c r="E18" s="400" t="s">
        <v>340</v>
      </c>
      <c r="G18" s="512" t="s">
        <v>368</v>
      </c>
      <c r="H18" s="513"/>
      <c r="I18" s="514"/>
      <c r="J18" s="352">
        <f>J17/7*30</f>
        <v>499.19061428571422</v>
      </c>
      <c r="K18" s="353" t="s">
        <v>367</v>
      </c>
      <c r="S18" s="339"/>
    </row>
    <row r="19" spans="1:23" ht="15" customHeight="1" thickBot="1" x14ac:dyDescent="0.3">
      <c r="A19" s="398" t="s">
        <v>400</v>
      </c>
      <c r="B19" s="343"/>
      <c r="C19" s="344" t="s">
        <v>401</v>
      </c>
      <c r="D19" s="345">
        <v>1014.7</v>
      </c>
      <c r="E19" s="400" t="s">
        <v>340</v>
      </c>
      <c r="G19" s="366"/>
      <c r="H19" s="366"/>
      <c r="I19" s="366"/>
      <c r="J19" s="366"/>
      <c r="K19" s="366"/>
      <c r="S19" s="339"/>
    </row>
    <row r="20" spans="1:23" ht="15" customHeight="1" thickBot="1" x14ac:dyDescent="0.3">
      <c r="A20" s="398" t="s">
        <v>402</v>
      </c>
      <c r="B20" s="343"/>
      <c r="C20" s="344" t="s">
        <v>403</v>
      </c>
      <c r="D20" s="345">
        <v>1367.36</v>
      </c>
      <c r="E20" s="400" t="s">
        <v>340</v>
      </c>
      <c r="G20" s="539" t="s">
        <v>414</v>
      </c>
      <c r="H20" s="540"/>
      <c r="I20" s="540"/>
      <c r="J20" s="540"/>
      <c r="K20" s="541"/>
      <c r="S20" s="339"/>
    </row>
    <row r="21" spans="1:23" ht="15" customHeight="1" thickBot="1" x14ac:dyDescent="0.3">
      <c r="A21" s="495" t="s">
        <v>360</v>
      </c>
      <c r="B21" s="496"/>
      <c r="C21" s="496"/>
      <c r="D21" s="402">
        <f>SUM(D6:D20)/1000</f>
        <v>39.655590000000004</v>
      </c>
      <c r="E21" s="403" t="s">
        <v>18</v>
      </c>
      <c r="G21" s="542" t="s">
        <v>387</v>
      </c>
      <c r="H21" s="543"/>
      <c r="I21" s="543"/>
      <c r="J21" s="393">
        <v>37.6</v>
      </c>
      <c r="K21" s="367" t="s">
        <v>18</v>
      </c>
      <c r="S21" s="339"/>
    </row>
    <row r="22" spans="1:23" x14ac:dyDescent="0.25">
      <c r="A22" s="497" t="s">
        <v>374</v>
      </c>
      <c r="B22" s="498"/>
      <c r="C22" s="498"/>
      <c r="D22" s="498"/>
      <c r="E22" s="499"/>
      <c r="G22" s="544" t="s">
        <v>388</v>
      </c>
      <c r="H22" s="545"/>
      <c r="I22" s="545"/>
      <c r="J22" s="394">
        <v>37.6</v>
      </c>
      <c r="K22" s="368" t="s">
        <v>18</v>
      </c>
      <c r="S22" s="340"/>
      <c r="T22" s="341"/>
      <c r="U22" s="339"/>
      <c r="V22" s="342"/>
      <c r="W22" s="342"/>
    </row>
    <row r="23" spans="1:23" ht="15.75" thickBot="1" x14ac:dyDescent="0.3">
      <c r="A23" s="546" t="s">
        <v>408</v>
      </c>
      <c r="B23" s="547"/>
      <c r="C23" s="547"/>
      <c r="D23" s="356">
        <v>5</v>
      </c>
      <c r="E23" s="400" t="s">
        <v>18</v>
      </c>
      <c r="G23" s="552" t="s">
        <v>389</v>
      </c>
      <c r="H23" s="553"/>
      <c r="I23" s="553"/>
      <c r="J23" s="395">
        <f>J21+J22</f>
        <v>75.2</v>
      </c>
      <c r="K23" s="330" t="s">
        <v>367</v>
      </c>
      <c r="S23" s="340"/>
      <c r="T23" s="341"/>
      <c r="U23" s="339"/>
      <c r="V23" s="342"/>
      <c r="W23" s="342"/>
    </row>
    <row r="24" spans="1:23" ht="15.75" thickBot="1" x14ac:dyDescent="0.3">
      <c r="A24" s="546" t="s">
        <v>409</v>
      </c>
      <c r="B24" s="547"/>
      <c r="C24" s="547"/>
      <c r="D24" s="356">
        <v>5</v>
      </c>
      <c r="E24" s="400" t="s">
        <v>18</v>
      </c>
      <c r="G24" s="554"/>
      <c r="H24" s="555"/>
      <c r="I24" s="555"/>
      <c r="J24" s="555"/>
      <c r="K24" s="556"/>
    </row>
    <row r="25" spans="1:23" ht="15.75" thickBot="1" x14ac:dyDescent="0.3">
      <c r="A25" s="548" t="s">
        <v>375</v>
      </c>
      <c r="B25" s="549"/>
      <c r="C25" s="549"/>
      <c r="D25" s="404">
        <f>SUM(D23:D24)</f>
        <v>10</v>
      </c>
      <c r="E25" s="401" t="s">
        <v>18</v>
      </c>
      <c r="G25" s="557" t="s">
        <v>415</v>
      </c>
      <c r="H25" s="558"/>
      <c r="I25" s="558"/>
      <c r="J25" s="392">
        <f>J23/7*30</f>
        <v>322.28571428571433</v>
      </c>
      <c r="K25" s="369" t="s">
        <v>367</v>
      </c>
      <c r="S25" s="340"/>
      <c r="V25" s="342"/>
    </row>
    <row r="26" spans="1:23" ht="15.75" thickBot="1" x14ac:dyDescent="0.3">
      <c r="A26" s="564"/>
      <c r="B26" s="565"/>
      <c r="C26" s="565"/>
      <c r="D26" s="565"/>
      <c r="E26" s="566"/>
      <c r="G26" s="370"/>
      <c r="H26" s="370"/>
      <c r="I26" s="370"/>
      <c r="J26" s="370"/>
      <c r="K26" s="370"/>
    </row>
    <row r="27" spans="1:23" ht="15.75" thickBot="1" x14ac:dyDescent="0.3">
      <c r="A27" s="567" t="s">
        <v>376</v>
      </c>
      <c r="B27" s="568"/>
      <c r="C27" s="568"/>
      <c r="D27" s="405">
        <f>D21+D25</f>
        <v>49.655590000000004</v>
      </c>
      <c r="E27" s="406" t="s">
        <v>18</v>
      </c>
      <c r="G27" s="559" t="s">
        <v>419</v>
      </c>
      <c r="H27" s="558"/>
      <c r="I27" s="558"/>
      <c r="J27" s="378">
        <f>J10+J18+J25</f>
        <v>1459.9053428571428</v>
      </c>
      <c r="K27" s="369" t="s">
        <v>367</v>
      </c>
      <c r="S27" s="342"/>
    </row>
    <row r="28" spans="1:23" ht="15.75" thickBot="1" x14ac:dyDescent="0.3">
      <c r="S28" s="340"/>
    </row>
    <row r="29" spans="1:23" ht="15.75" thickBot="1" x14ac:dyDescent="0.3">
      <c r="A29" s="569" t="s">
        <v>421</v>
      </c>
      <c r="B29" s="487"/>
      <c r="C29" s="487"/>
      <c r="D29" s="487"/>
      <c r="E29" s="488"/>
    </row>
    <row r="30" spans="1:23" x14ac:dyDescent="0.25">
      <c r="A30" s="492" t="s">
        <v>404</v>
      </c>
      <c r="B30" s="493"/>
      <c r="C30" s="493"/>
      <c r="D30" s="493"/>
      <c r="E30" s="494"/>
    </row>
    <row r="31" spans="1:23" x14ac:dyDescent="0.25">
      <c r="A31" s="398" t="s">
        <v>364</v>
      </c>
      <c r="B31" s="343" t="s">
        <v>338</v>
      </c>
      <c r="C31" s="343" t="s">
        <v>339</v>
      </c>
      <c r="D31" s="343" t="s">
        <v>336</v>
      </c>
      <c r="E31" s="399" t="s">
        <v>261</v>
      </c>
      <c r="L31" s="339"/>
      <c r="M31" s="339"/>
    </row>
    <row r="32" spans="1:23" x14ac:dyDescent="0.25">
      <c r="A32" s="398" t="s">
        <v>341</v>
      </c>
      <c r="B32" s="343"/>
      <c r="C32" s="344" t="s">
        <v>342</v>
      </c>
      <c r="D32" s="357">
        <v>14300.61</v>
      </c>
      <c r="E32" s="400" t="s">
        <v>340</v>
      </c>
    </row>
    <row r="33" spans="1:13" x14ac:dyDescent="0.25">
      <c r="A33" s="398" t="s">
        <v>343</v>
      </c>
      <c r="B33" s="343"/>
      <c r="C33" s="344" t="s">
        <v>344</v>
      </c>
      <c r="D33" s="357">
        <v>16184.4</v>
      </c>
      <c r="E33" s="400" t="s">
        <v>340</v>
      </c>
      <c r="L33" s="358"/>
    </row>
    <row r="34" spans="1:13" x14ac:dyDescent="0.25">
      <c r="A34" s="398" t="s">
        <v>345</v>
      </c>
      <c r="B34" s="343"/>
      <c r="C34" s="344" t="s">
        <v>346</v>
      </c>
      <c r="D34" s="357">
        <v>12420.07</v>
      </c>
      <c r="E34" s="400" t="s">
        <v>340</v>
      </c>
      <c r="L34" s="358"/>
    </row>
    <row r="35" spans="1:13" x14ac:dyDescent="0.25">
      <c r="A35" s="398" t="s">
        <v>347</v>
      </c>
      <c r="B35" s="343"/>
      <c r="C35" s="344" t="s">
        <v>348</v>
      </c>
      <c r="D35" s="345">
        <v>13603</v>
      </c>
      <c r="E35" s="400" t="s">
        <v>340</v>
      </c>
      <c r="L35" s="358"/>
    </row>
    <row r="36" spans="1:13" x14ac:dyDescent="0.25">
      <c r="A36" s="398" t="s">
        <v>349</v>
      </c>
      <c r="B36" s="343"/>
      <c r="C36" s="344" t="s">
        <v>350</v>
      </c>
      <c r="D36" s="345">
        <v>11593.37</v>
      </c>
      <c r="E36" s="400" t="s">
        <v>340</v>
      </c>
      <c r="L36" s="358"/>
    </row>
    <row r="37" spans="1:13" x14ac:dyDescent="0.25">
      <c r="A37" s="398" t="s">
        <v>351</v>
      </c>
      <c r="B37" s="343"/>
      <c r="C37" s="344" t="s">
        <v>352</v>
      </c>
      <c r="D37" s="345">
        <v>13148.6</v>
      </c>
      <c r="E37" s="400" t="s">
        <v>340</v>
      </c>
      <c r="L37" s="358"/>
    </row>
    <row r="38" spans="1:13" x14ac:dyDescent="0.25">
      <c r="A38" s="398" t="s">
        <v>353</v>
      </c>
      <c r="B38" s="343"/>
      <c r="C38" s="344" t="s">
        <v>354</v>
      </c>
      <c r="D38" s="345">
        <v>14694.28</v>
      </c>
      <c r="E38" s="400" t="s">
        <v>340</v>
      </c>
    </row>
    <row r="39" spans="1:13" ht="14.45" customHeight="1" x14ac:dyDescent="0.25">
      <c r="A39" s="398" t="s">
        <v>355</v>
      </c>
      <c r="B39" s="343"/>
      <c r="C39" s="344" t="s">
        <v>397</v>
      </c>
      <c r="D39" s="345">
        <v>7533.48</v>
      </c>
      <c r="E39" s="400" t="s">
        <v>340</v>
      </c>
    </row>
    <row r="40" spans="1:13" ht="15.75" thickBot="1" x14ac:dyDescent="0.3">
      <c r="A40" s="548" t="s">
        <v>360</v>
      </c>
      <c r="B40" s="549"/>
      <c r="C40" s="549"/>
      <c r="D40" s="407">
        <f>SUM(D32:D39)/1000</f>
        <v>103.47780999999999</v>
      </c>
      <c r="E40" s="401" t="s">
        <v>18</v>
      </c>
    </row>
    <row r="41" spans="1:13" x14ac:dyDescent="0.25">
      <c r="A41" s="497" t="s">
        <v>374</v>
      </c>
      <c r="B41" s="498"/>
      <c r="C41" s="498"/>
      <c r="D41" s="498"/>
      <c r="E41" s="499"/>
      <c r="M41" s="359"/>
    </row>
    <row r="42" spans="1:13" x14ac:dyDescent="0.25">
      <c r="A42" s="563" t="s">
        <v>408</v>
      </c>
      <c r="B42" s="547"/>
      <c r="C42" s="547"/>
      <c r="D42" s="356">
        <v>5</v>
      </c>
      <c r="E42" s="400" t="s">
        <v>18</v>
      </c>
      <c r="M42" s="359"/>
    </row>
    <row r="43" spans="1:13" x14ac:dyDescent="0.25">
      <c r="A43" s="546" t="s">
        <v>409</v>
      </c>
      <c r="B43" s="547"/>
      <c r="C43" s="547"/>
      <c r="D43" s="356">
        <v>8</v>
      </c>
      <c r="E43" s="400" t="s">
        <v>18</v>
      </c>
    </row>
    <row r="44" spans="1:13" ht="15.75" thickBot="1" x14ac:dyDescent="0.3">
      <c r="A44" s="548" t="s">
        <v>375</v>
      </c>
      <c r="B44" s="549"/>
      <c r="C44" s="549"/>
      <c r="D44" s="404">
        <f>SUM(D42:D43)</f>
        <v>13</v>
      </c>
      <c r="E44" s="401" t="s">
        <v>18</v>
      </c>
    </row>
    <row r="45" spans="1:13" ht="15.75" thickBot="1" x14ac:dyDescent="0.3">
      <c r="A45" s="560"/>
      <c r="B45" s="561"/>
      <c r="C45" s="561"/>
      <c r="D45" s="561"/>
      <c r="E45" s="562"/>
    </row>
    <row r="46" spans="1:13" ht="14.45" customHeight="1" thickBot="1" x14ac:dyDescent="0.3">
      <c r="A46" s="550" t="s">
        <v>376</v>
      </c>
      <c r="B46" s="551"/>
      <c r="C46" s="551"/>
      <c r="D46" s="408">
        <f>D40+D44</f>
        <v>116.47780999999999</v>
      </c>
      <c r="E46" s="409" t="s">
        <v>18</v>
      </c>
    </row>
    <row r="50" ht="15" customHeight="1" x14ac:dyDescent="0.25"/>
  </sheetData>
  <mergeCells count="43">
    <mergeCell ref="A46:C46"/>
    <mergeCell ref="G23:I23"/>
    <mergeCell ref="G24:K24"/>
    <mergeCell ref="G25:I25"/>
    <mergeCell ref="G27:I27"/>
    <mergeCell ref="A43:C43"/>
    <mergeCell ref="A45:E45"/>
    <mergeCell ref="A44:C44"/>
    <mergeCell ref="A42:C42"/>
    <mergeCell ref="A26:E26"/>
    <mergeCell ref="A27:C27"/>
    <mergeCell ref="A29:E29"/>
    <mergeCell ref="A40:C40"/>
    <mergeCell ref="A30:E30"/>
    <mergeCell ref="G17:I17"/>
    <mergeCell ref="G20:K20"/>
    <mergeCell ref="G21:I21"/>
    <mergeCell ref="G22:I22"/>
    <mergeCell ref="A41:E41"/>
    <mergeCell ref="A23:C23"/>
    <mergeCell ref="A24:C24"/>
    <mergeCell ref="A25:C25"/>
    <mergeCell ref="G13:G14"/>
    <mergeCell ref="H13:I14"/>
    <mergeCell ref="J13:J14"/>
    <mergeCell ref="K13:K14"/>
    <mergeCell ref="G16:K16"/>
    <mergeCell ref="A3:E3"/>
    <mergeCell ref="G3:K3"/>
    <mergeCell ref="A4:E4"/>
    <mergeCell ref="A21:C21"/>
    <mergeCell ref="A22:E22"/>
    <mergeCell ref="G6:G7"/>
    <mergeCell ref="G8:K8"/>
    <mergeCell ref="G4:G5"/>
    <mergeCell ref="H4:I5"/>
    <mergeCell ref="J4:J5"/>
    <mergeCell ref="K4:K5"/>
    <mergeCell ref="G18:I18"/>
    <mergeCell ref="G9:I9"/>
    <mergeCell ref="G10:I10"/>
    <mergeCell ref="G11:K11"/>
    <mergeCell ref="G12:K12"/>
  </mergeCells>
  <pageMargins left="0.51181102362204722" right="0.51181102362204722" top="0.78740157480314965" bottom="0.78740157480314965" header="0.31496062992125984" footer="0.31496062992125984"/>
  <pageSetup paperSize="9" scale="73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C7" sqref="C7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570" t="s">
        <v>228</v>
      </c>
      <c r="B1" s="571"/>
    </row>
    <row r="2" spans="1:2" s="99" customFormat="1" ht="19.5" customHeight="1" x14ac:dyDescent="0.2">
      <c r="A2" s="242" t="s">
        <v>206</v>
      </c>
      <c r="B2" s="243" t="s">
        <v>285</v>
      </c>
    </row>
    <row r="3" spans="1:2" ht="19.5" customHeight="1" x14ac:dyDescent="0.2">
      <c r="A3" s="149">
        <v>1</v>
      </c>
      <c r="B3" s="148">
        <v>33.629999999999995</v>
      </c>
    </row>
    <row r="4" spans="1:2" ht="19.5" customHeight="1" x14ac:dyDescent="0.2">
      <c r="A4" s="149">
        <v>2</v>
      </c>
      <c r="B4" s="148">
        <v>43.13</v>
      </c>
    </row>
    <row r="5" spans="1:2" ht="19.5" customHeight="1" x14ac:dyDescent="0.2">
      <c r="A5" s="149">
        <v>3</v>
      </c>
      <c r="B5" s="148">
        <v>48.68</v>
      </c>
    </row>
    <row r="6" spans="1:2" ht="19.5" customHeight="1" x14ac:dyDescent="0.2">
      <c r="A6" s="149">
        <v>4</v>
      </c>
      <c r="B6" s="148">
        <v>52.62</v>
      </c>
    </row>
    <row r="7" spans="1:2" ht="19.5" customHeight="1" x14ac:dyDescent="0.2">
      <c r="A7" s="149">
        <v>5</v>
      </c>
      <c r="B7" s="148">
        <v>55.679999999999993</v>
      </c>
    </row>
    <row r="8" spans="1:2" ht="19.5" customHeight="1" x14ac:dyDescent="0.2">
      <c r="A8" s="149">
        <v>6</v>
      </c>
      <c r="B8" s="148">
        <v>58.18</v>
      </c>
    </row>
    <row r="9" spans="1:2" ht="19.5" customHeight="1" x14ac:dyDescent="0.2">
      <c r="A9" s="149">
        <v>7</v>
      </c>
      <c r="B9" s="148">
        <v>60.29</v>
      </c>
    </row>
    <row r="10" spans="1:2" ht="19.5" customHeight="1" x14ac:dyDescent="0.2">
      <c r="A10" s="149">
        <v>8</v>
      </c>
      <c r="B10" s="148">
        <v>62.12</v>
      </c>
    </row>
    <row r="11" spans="1:2" ht="19.5" customHeight="1" x14ac:dyDescent="0.2">
      <c r="A11" s="149">
        <v>9</v>
      </c>
      <c r="B11" s="148">
        <v>63.73</v>
      </c>
    </row>
    <row r="12" spans="1:2" ht="19.5" customHeight="1" x14ac:dyDescent="0.2">
      <c r="A12" s="149">
        <v>10</v>
      </c>
      <c r="B12" s="148">
        <v>65.180000000000007</v>
      </c>
    </row>
    <row r="13" spans="1:2" ht="19.5" customHeight="1" x14ac:dyDescent="0.2">
      <c r="A13" s="149">
        <v>11</v>
      </c>
      <c r="B13" s="148">
        <v>66.47999999999999</v>
      </c>
    </row>
    <row r="14" spans="1:2" ht="19.5" customHeight="1" x14ac:dyDescent="0.2">
      <c r="A14" s="149">
        <v>12</v>
      </c>
      <c r="B14" s="148">
        <v>67.67</v>
      </c>
    </row>
    <row r="15" spans="1:2" ht="19.5" customHeight="1" x14ac:dyDescent="0.2">
      <c r="A15" s="149">
        <v>13</v>
      </c>
      <c r="B15" s="148">
        <v>68.77</v>
      </c>
    </row>
    <row r="16" spans="1:2" ht="19.5" customHeight="1" x14ac:dyDescent="0.2">
      <c r="A16" s="149">
        <v>14</v>
      </c>
      <c r="B16" s="148">
        <v>69.789999999999992</v>
      </c>
    </row>
    <row r="17" spans="1:2" ht="19.5" customHeight="1" thickBot="1" x14ac:dyDescent="0.25">
      <c r="A17" s="150">
        <v>15</v>
      </c>
      <c r="B17" s="151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21" sqref="A21"/>
    </sheetView>
  </sheetViews>
  <sheetFormatPr defaultColWidth="9.140625"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26" t="s">
        <v>232</v>
      </c>
    </row>
    <row r="2" spans="1:1" x14ac:dyDescent="0.2">
      <c r="A2" s="223"/>
    </row>
    <row r="3" spans="1:1" x14ac:dyDescent="0.2">
      <c r="A3" s="223" t="s">
        <v>248</v>
      </c>
    </row>
    <row r="4" spans="1:1" x14ac:dyDescent="0.2">
      <c r="A4" s="223"/>
    </row>
    <row r="5" spans="1:1" x14ac:dyDescent="0.2">
      <c r="A5" s="223"/>
    </row>
    <row r="6" spans="1:1" x14ac:dyDescent="0.2">
      <c r="A6" s="223"/>
    </row>
    <row r="7" spans="1:1" x14ac:dyDescent="0.2">
      <c r="A7" s="223"/>
    </row>
    <row r="8" spans="1:1" x14ac:dyDescent="0.2">
      <c r="A8" s="223"/>
    </row>
    <row r="9" spans="1:1" x14ac:dyDescent="0.2">
      <c r="A9" s="223"/>
    </row>
    <row r="10" spans="1:1" x14ac:dyDescent="0.2">
      <c r="A10" s="223"/>
    </row>
    <row r="11" spans="1:1" x14ac:dyDescent="0.2">
      <c r="A11" s="223"/>
    </row>
    <row r="12" spans="1:1" ht="19.5" x14ac:dyDescent="0.35">
      <c r="A12" s="224" t="s">
        <v>229</v>
      </c>
    </row>
    <row r="13" spans="1:1" ht="15" x14ac:dyDescent="0.2">
      <c r="A13" s="224" t="s">
        <v>107</v>
      </c>
    </row>
    <row r="14" spans="1:1" ht="15" x14ac:dyDescent="0.2">
      <c r="A14" s="224" t="s">
        <v>111</v>
      </c>
    </row>
    <row r="15" spans="1:1" ht="19.5" x14ac:dyDescent="0.35">
      <c r="A15" s="224" t="s">
        <v>230</v>
      </c>
    </row>
    <row r="16" spans="1:1" ht="19.5" x14ac:dyDescent="0.35">
      <c r="A16" s="224" t="s">
        <v>231</v>
      </c>
    </row>
    <row r="17" spans="1:1" ht="15.75" thickBot="1" x14ac:dyDescent="0.25">
      <c r="A17" s="225" t="s">
        <v>108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5"/>
  <sheetViews>
    <sheetView workbookViewId="0">
      <selection activeCell="C18" sqref="C18"/>
    </sheetView>
  </sheetViews>
  <sheetFormatPr defaultColWidth="9.140625" defaultRowHeight="12.75" x14ac:dyDescent="0.2"/>
  <cols>
    <col min="1" max="1" width="58.28515625" style="252" customWidth="1"/>
    <col min="2" max="2" width="11.140625" style="252" bestFit="1" customWidth="1"/>
    <col min="3" max="3" width="13.28515625" style="252" bestFit="1" customWidth="1"/>
    <col min="4" max="16384" width="9.140625" style="252"/>
  </cols>
  <sheetData>
    <row r="1" spans="1:7" x14ac:dyDescent="0.2">
      <c r="A1" s="9" t="s">
        <v>197</v>
      </c>
    </row>
    <row r="2" spans="1:7" x14ac:dyDescent="0.2">
      <c r="A2" s="257" t="s">
        <v>260</v>
      </c>
    </row>
    <row r="3" spans="1:7" x14ac:dyDescent="0.2">
      <c r="A3" s="257" t="s">
        <v>286</v>
      </c>
    </row>
    <row r="4" spans="1:7" x14ac:dyDescent="0.2">
      <c r="A4" s="5" t="s">
        <v>284</v>
      </c>
    </row>
    <row r="5" spans="1:7" x14ac:dyDescent="0.2">
      <c r="A5" s="5"/>
    </row>
    <row r="6" spans="1:7" s="2" customFormat="1" ht="15.6" hidden="1" customHeight="1" x14ac:dyDescent="0.2">
      <c r="A6" s="274" t="s">
        <v>295</v>
      </c>
      <c r="B6" s="3"/>
      <c r="C6" s="3"/>
      <c r="D6" s="3"/>
      <c r="E6" s="3"/>
      <c r="F6" s="3"/>
      <c r="G6" s="4"/>
    </row>
    <row r="7" spans="1:7" s="2" customFormat="1" ht="16.5" customHeight="1" x14ac:dyDescent="0.2">
      <c r="A7" s="314" t="s">
        <v>302</v>
      </c>
      <c r="B7" s="3"/>
      <c r="C7" s="3"/>
      <c r="D7" s="4"/>
      <c r="E7" s="4"/>
      <c r="F7" s="4"/>
      <c r="G7" s="4"/>
    </row>
    <row r="8" spans="1:7" s="2" customFormat="1" ht="16.5" customHeight="1" x14ac:dyDescent="0.2">
      <c r="A8" s="314" t="s">
        <v>303</v>
      </c>
      <c r="B8" s="3"/>
      <c r="C8" s="3"/>
      <c r="D8" s="4"/>
      <c r="E8" s="4"/>
      <c r="F8" s="4"/>
      <c r="G8" s="4"/>
    </row>
    <row r="9" spans="1:7" ht="13.5" thickBot="1" x14ac:dyDescent="0.25"/>
    <row r="10" spans="1:7" ht="18" x14ac:dyDescent="0.25">
      <c r="A10" s="572" t="s">
        <v>280</v>
      </c>
      <c r="B10" s="573"/>
      <c r="C10" s="574"/>
    </row>
    <row r="11" spans="1:7" ht="18" x14ac:dyDescent="0.25">
      <c r="A11" s="270"/>
      <c r="B11" s="269"/>
      <c r="C11" s="271"/>
    </row>
    <row r="12" spans="1:7" s="99" customFormat="1" ht="15" x14ac:dyDescent="0.25">
      <c r="A12" s="258" t="s">
        <v>281</v>
      </c>
      <c r="B12" s="259" t="s">
        <v>261</v>
      </c>
      <c r="C12" s="260" t="s">
        <v>138</v>
      </c>
    </row>
    <row r="13" spans="1:7" ht="14.25" x14ac:dyDescent="0.2">
      <c r="A13" s="181" t="s">
        <v>269</v>
      </c>
      <c r="B13" s="261" t="s">
        <v>262</v>
      </c>
      <c r="C13" s="331">
        <v>2748</v>
      </c>
    </row>
    <row r="14" spans="1:7" ht="14.25" x14ac:dyDescent="0.2">
      <c r="A14" s="181" t="s">
        <v>270</v>
      </c>
      <c r="B14" s="261" t="s">
        <v>267</v>
      </c>
      <c r="C14" s="262">
        <v>0.4</v>
      </c>
    </row>
    <row r="15" spans="1:7" ht="14.25" x14ac:dyDescent="0.2">
      <c r="A15" s="181" t="s">
        <v>271</v>
      </c>
      <c r="B15" s="261" t="s">
        <v>268</v>
      </c>
      <c r="C15" s="263">
        <f>C13*C14/1000</f>
        <v>1.0992</v>
      </c>
    </row>
    <row r="16" spans="1:7" ht="14.25" x14ac:dyDescent="0.2">
      <c r="A16" s="181" t="s">
        <v>277</v>
      </c>
      <c r="B16" s="261" t="s">
        <v>263</v>
      </c>
      <c r="C16" s="264">
        <f>(C15*30)</f>
        <v>32.975999999999999</v>
      </c>
    </row>
    <row r="17" spans="1:3" ht="14.25" x14ac:dyDescent="0.2">
      <c r="A17" s="181" t="s">
        <v>273</v>
      </c>
      <c r="B17" s="261" t="s">
        <v>92</v>
      </c>
      <c r="C17" s="267">
        <v>4</v>
      </c>
    </row>
    <row r="18" spans="1:3" ht="14.25" x14ac:dyDescent="0.2">
      <c r="A18" s="181" t="s">
        <v>272</v>
      </c>
      <c r="B18" s="261" t="s">
        <v>268</v>
      </c>
      <c r="C18" s="263">
        <f>IFERROR(C15*7/C17,0)</f>
        <v>1.9236</v>
      </c>
    </row>
    <row r="19" spans="1:3" ht="14.25" x14ac:dyDescent="0.2">
      <c r="A19" s="181" t="s">
        <v>264</v>
      </c>
      <c r="B19" s="261" t="s">
        <v>265</v>
      </c>
      <c r="C19" s="204">
        <v>500</v>
      </c>
    </row>
    <row r="20" spans="1:3" ht="14.25" x14ac:dyDescent="0.2">
      <c r="A20" s="181" t="s">
        <v>278</v>
      </c>
      <c r="B20" s="261"/>
      <c r="C20" s="182">
        <v>1</v>
      </c>
    </row>
    <row r="21" spans="1:3" ht="14.25" x14ac:dyDescent="0.2">
      <c r="A21" s="181" t="s">
        <v>279</v>
      </c>
      <c r="B21" s="261" t="s">
        <v>266</v>
      </c>
      <c r="C21" s="182">
        <v>12</v>
      </c>
    </row>
    <row r="22" spans="1:3" ht="14.25" x14ac:dyDescent="0.2">
      <c r="A22" s="181" t="s">
        <v>274</v>
      </c>
      <c r="B22" s="261" t="s">
        <v>263</v>
      </c>
      <c r="C22" s="204">
        <v>5.5</v>
      </c>
    </row>
    <row r="23" spans="1:3" ht="14.25" x14ac:dyDescent="0.2">
      <c r="A23" s="181" t="s">
        <v>275</v>
      </c>
      <c r="B23" s="261"/>
      <c r="C23" s="263">
        <f>C18/C22</f>
        <v>0.34974545454545453</v>
      </c>
    </row>
    <row r="24" spans="1:3" ht="14.25" x14ac:dyDescent="0.2">
      <c r="A24" s="181" t="s">
        <v>282</v>
      </c>
      <c r="B24" s="261"/>
      <c r="C24" s="267">
        <v>1</v>
      </c>
    </row>
    <row r="25" spans="1:3" ht="15" thickBot="1" x14ac:dyDescent="0.25">
      <c r="A25" s="265" t="s">
        <v>276</v>
      </c>
      <c r="B25" s="266"/>
      <c r="C25" s="268">
        <f>IFERROR(C23/C24,0)</f>
        <v>0.34974545454545453</v>
      </c>
    </row>
    <row r="26" spans="1:3" ht="14.25" x14ac:dyDescent="0.2">
      <c r="A26" s="133"/>
      <c r="B26" s="133"/>
      <c r="C26" s="282"/>
    </row>
    <row r="27" spans="1:3" ht="14.25" x14ac:dyDescent="0.2">
      <c r="A27" s="133" t="s">
        <v>306</v>
      </c>
    </row>
    <row r="28" spans="1:3" x14ac:dyDescent="0.2">
      <c r="A28" s="252" t="s">
        <v>307</v>
      </c>
    </row>
    <row r="29" spans="1:3" x14ac:dyDescent="0.2">
      <c r="A29" s="252" t="s">
        <v>308</v>
      </c>
    </row>
    <row r="30" spans="1:3" x14ac:dyDescent="0.2">
      <c r="A30" s="252" t="s">
        <v>304</v>
      </c>
    </row>
    <row r="31" spans="1:3" x14ac:dyDescent="0.2">
      <c r="A31" s="252" t="s">
        <v>309</v>
      </c>
    </row>
    <row r="32" spans="1:3" x14ac:dyDescent="0.2">
      <c r="A32" s="252" t="s">
        <v>310</v>
      </c>
    </row>
    <row r="33" spans="1:1" x14ac:dyDescent="0.2">
      <c r="A33" s="252" t="s">
        <v>311</v>
      </c>
    </row>
    <row r="34" spans="1:1" x14ac:dyDescent="0.2">
      <c r="A34" s="252" t="s">
        <v>312</v>
      </c>
    </row>
    <row r="35" spans="1:1" x14ac:dyDescent="0.2">
      <c r="A35" s="252" t="s">
        <v>305</v>
      </c>
    </row>
  </sheetData>
  <mergeCells count="1">
    <mergeCell ref="A10:C10"/>
  </mergeCells>
  <conditionalFormatting sqref="C22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6</vt:i4>
      </vt:variant>
    </vt:vector>
  </HeadingPairs>
  <TitlesOfParts>
    <vt:vector size="19" baseType="lpstr">
      <vt:lpstr>Resumo</vt:lpstr>
      <vt:lpstr>1. Coleta Domiciliar</vt:lpstr>
      <vt:lpstr>2. Destino Final</vt:lpstr>
      <vt:lpstr>3.Encargos Sociais</vt:lpstr>
      <vt:lpstr>4.CAGED</vt:lpstr>
      <vt:lpstr>5.BDI</vt:lpstr>
      <vt:lpstr>5.1.BDI Aterro</vt:lpstr>
      <vt:lpstr>Ton</vt:lpstr>
      <vt:lpstr>Horários</vt:lpstr>
      <vt:lpstr>Roteiros</vt:lpstr>
      <vt:lpstr>6. Depreciação</vt:lpstr>
      <vt:lpstr>7.Remuneração de capital</vt:lpstr>
      <vt:lpstr>8. Dimensionamento</vt:lpstr>
      <vt:lpstr>AbaDeprec</vt:lpstr>
      <vt:lpstr>AbaRemun</vt:lpstr>
      <vt:lpstr>'1. Coleta Domiciliar'!Area_de_impressao</vt:lpstr>
      <vt:lpstr>'2. Destino Final'!Area_de_impressao</vt:lpstr>
      <vt:lpstr>'3.Encargos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Ws</cp:lastModifiedBy>
  <cp:lastPrinted>2022-06-20T10:14:29Z</cp:lastPrinted>
  <dcterms:created xsi:type="dcterms:W3CDTF">2000-12-13T10:02:50Z</dcterms:created>
  <dcterms:modified xsi:type="dcterms:W3CDTF">2023-07-12T11:40:09Z</dcterms:modified>
</cp:coreProperties>
</file>