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lmo\OneDrive\Documentos\2025\Projeto\18_2025_Ronda Alta - CONSULTORIA EM PROJETOS\23_Coleta de Lixo\"/>
    </mc:Choice>
  </mc:AlternateContent>
  <xr:revisionPtr revIDLastSave="0" documentId="13_ncr:1_{D3274124-CC64-42B1-A183-D13D3184BB34}" xr6:coauthVersionLast="47" xr6:coauthVersionMax="47" xr10:uidLastSave="{00000000-0000-0000-0000-000000000000}"/>
  <bookViews>
    <workbookView xWindow="-108" yWindow="-108" windowWidth="23256" windowHeight="12456" tabRatio="802" activeTab="6" xr2:uid="{00000000-000D-0000-FFFF-FFFF00000000}"/>
  </bookViews>
  <sheets>
    <sheet name="Coleta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Plan1" sheetId="9" r:id="rId7"/>
  </sheets>
  <definedNames>
    <definedName name="AbaDeprec">'5. Depreciação'!$A$1</definedName>
    <definedName name="AbaRemun">'6.Remuneração de capital'!$A$1</definedName>
    <definedName name="_xlnm.Print_Area" localSheetId="1">'2.Encargos Sociais'!$A$1:$C$36</definedName>
    <definedName name="_xlnm.Print_Area" localSheetId="0">Coleta!$A$1:$F$239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4" l="1"/>
  <c r="C122" i="2" l="1"/>
  <c r="E54" i="2" l="1"/>
  <c r="A36" i="2"/>
  <c r="A15" i="2"/>
  <c r="C176" i="2" l="1"/>
  <c r="E55" i="2"/>
  <c r="D170" i="2"/>
  <c r="D168" i="2"/>
  <c r="D166" i="2"/>
  <c r="C171" i="2"/>
  <c r="E169" i="2"/>
  <c r="E163" i="2"/>
  <c r="D164" i="2" s="1"/>
  <c r="E161" i="2"/>
  <c r="D162" i="2" s="1"/>
  <c r="E167" i="2"/>
  <c r="E165" i="2"/>
  <c r="C162" i="2"/>
  <c r="C170" i="2" s="1"/>
  <c r="E170" i="2" s="1"/>
  <c r="E44" i="2"/>
  <c r="D45" i="2" s="1"/>
  <c r="E45" i="2" s="1"/>
  <c r="C12" i="9"/>
  <c r="C14" i="9" s="1"/>
  <c r="C19" i="9" s="1"/>
  <c r="C21" i="9" s="1"/>
  <c r="C11" i="9"/>
  <c r="D171" i="2" l="1"/>
  <c r="E171" i="2" s="1"/>
  <c r="E162" i="2"/>
  <c r="A10" i="2"/>
  <c r="C66" i="2"/>
  <c r="E64" i="2"/>
  <c r="A13" i="2" l="1"/>
  <c r="A11" i="2"/>
  <c r="E154" i="2" l="1"/>
  <c r="E209" i="2" s="1"/>
  <c r="E146" i="2"/>
  <c r="E130" i="2"/>
  <c r="E105" i="2"/>
  <c r="E92" i="2"/>
  <c r="E198" i="2" l="1"/>
  <c r="E176" i="2"/>
  <c r="E230" i="2" l="1"/>
  <c r="A9" i="2"/>
  <c r="C13" i="4"/>
  <c r="C205" i="2"/>
  <c r="C207" i="2" s="1"/>
  <c r="E207" i="2" s="1"/>
  <c r="E208" i="2" s="1"/>
  <c r="E197" i="2"/>
  <c r="E196" i="2"/>
  <c r="E195" i="2"/>
  <c r="E194" i="2"/>
  <c r="E193" i="2"/>
  <c r="C185" i="2"/>
  <c r="C183" i="2"/>
  <c r="E183" i="2" s="1"/>
  <c r="E181" i="2"/>
  <c r="F177" i="2"/>
  <c r="E20" i="2" s="1"/>
  <c r="C152" i="2"/>
  <c r="E152" i="2" s="1"/>
  <c r="C151" i="2"/>
  <c r="E151" i="2" s="1"/>
  <c r="C150" i="2"/>
  <c r="E150" i="2" s="1"/>
  <c r="C145" i="2"/>
  <c r="C140" i="2"/>
  <c r="E134" i="2"/>
  <c r="C127" i="2"/>
  <c r="C123" i="2"/>
  <c r="C139" i="2" s="1"/>
  <c r="E118" i="2"/>
  <c r="E103" i="2"/>
  <c r="D102" i="2"/>
  <c r="E102" i="2" s="1"/>
  <c r="D101" i="2"/>
  <c r="E101" i="2" s="1"/>
  <c r="D100" i="2"/>
  <c r="E100" i="2" s="1"/>
  <c r="D99" i="2"/>
  <c r="E99" i="2" s="1"/>
  <c r="D98" i="2"/>
  <c r="E98" i="2" s="1"/>
  <c r="D97" i="2"/>
  <c r="E97" i="2" s="1"/>
  <c r="E90" i="2"/>
  <c r="E89" i="2"/>
  <c r="E88" i="2"/>
  <c r="E87" i="2"/>
  <c r="E86" i="2"/>
  <c r="E85" i="2"/>
  <c r="E84" i="2"/>
  <c r="E83" i="2"/>
  <c r="E82" i="2"/>
  <c r="E81" i="2"/>
  <c r="E80" i="2"/>
  <c r="F54" i="2"/>
  <c r="F44" i="2"/>
  <c r="E36" i="2"/>
  <c r="E32" i="2"/>
  <c r="C104" i="2" s="1"/>
  <c r="A32" i="2"/>
  <c r="A31" i="2"/>
  <c r="A24" i="2"/>
  <c r="A23" i="2"/>
  <c r="A22" i="2"/>
  <c r="A21" i="2"/>
  <c r="A20" i="2"/>
  <c r="A19" i="2"/>
  <c r="A18" i="2"/>
  <c r="A17" i="2"/>
  <c r="A16" i="2"/>
  <c r="A14" i="2"/>
  <c r="A12" i="2"/>
  <c r="A8" i="2"/>
  <c r="A7" i="2"/>
  <c r="D153" i="2" l="1"/>
  <c r="E153" i="2" s="1"/>
  <c r="F154" i="2" s="1"/>
  <c r="E18" i="2" s="1"/>
  <c r="D91" i="2"/>
  <c r="E91" i="2" s="1"/>
  <c r="F198" i="2"/>
  <c r="F200" i="2" s="1"/>
  <c r="E22" i="2" s="1"/>
  <c r="E139" i="2"/>
  <c r="D184" i="2"/>
  <c r="E184" i="2" s="1"/>
  <c r="D185" i="2" s="1"/>
  <c r="E185" i="2" s="1"/>
  <c r="F186" i="2" s="1"/>
  <c r="E205" i="2"/>
  <c r="E206" i="2" s="1"/>
  <c r="F209" i="2" s="1"/>
  <c r="F211" i="2" s="1"/>
  <c r="C164" i="2"/>
  <c r="E164" i="2" s="1"/>
  <c r="E56" i="2"/>
  <c r="D104" i="2"/>
  <c r="C168" i="2"/>
  <c r="E168" i="2" s="1"/>
  <c r="E46" i="2"/>
  <c r="D121" i="2"/>
  <c r="E121" i="2" s="1"/>
  <c r="D122" i="2" s="1"/>
  <c r="E122" i="2" s="1"/>
  <c r="E33" i="2"/>
  <c r="E123" i="2"/>
  <c r="C166" i="2"/>
  <c r="E166" i="2" s="1"/>
  <c r="F172" i="2" l="1"/>
  <c r="E19" i="2" s="1"/>
  <c r="E21" i="2"/>
  <c r="E23" i="2"/>
  <c r="C137" i="2"/>
  <c r="D138" i="2" s="1"/>
  <c r="E138" i="2" s="1"/>
  <c r="F92" i="2"/>
  <c r="E104" i="2"/>
  <c r="F105" i="2" s="1"/>
  <c r="D47" i="2"/>
  <c r="D57" i="2"/>
  <c r="E57" i="2" s="1"/>
  <c r="E58" i="2" s="1"/>
  <c r="D59" i="2" s="1"/>
  <c r="E59" i="2" s="1"/>
  <c r="F60" i="2" s="1"/>
  <c r="C141" i="2"/>
  <c r="D126" i="2"/>
  <c r="E126" i="2" s="1"/>
  <c r="D127" i="2" s="1"/>
  <c r="E127" i="2" s="1"/>
  <c r="E128" i="2" s="1"/>
  <c r="D129" i="2" s="1"/>
  <c r="E129" i="2" s="1"/>
  <c r="F130" i="2" s="1"/>
  <c r="E47" i="2" l="1"/>
  <c r="E48" i="2" s="1"/>
  <c r="D49" i="2" s="1"/>
  <c r="E9" i="2"/>
  <c r="F107" i="2"/>
  <c r="E16" i="2"/>
  <c r="C142" i="2"/>
  <c r="D143" i="2" s="1"/>
  <c r="E143" i="2" s="1"/>
  <c r="E144" i="2" s="1"/>
  <c r="D145" i="2" s="1"/>
  <c r="E145" i="2" s="1"/>
  <c r="F146" i="2" s="1"/>
  <c r="F188" i="2" s="1"/>
  <c r="E49" i="2" l="1"/>
  <c r="F50" i="2" s="1"/>
  <c r="E8" i="2" s="1"/>
  <c r="F109" i="2"/>
  <c r="E17" i="2"/>
  <c r="E15" i="2" s="1"/>
  <c r="E14" i="2" s="1"/>
  <c r="F110" i="2" l="1"/>
  <c r="E13" i="2"/>
  <c r="E65" i="2" s="1"/>
  <c r="F66" i="2" s="1"/>
  <c r="E10" i="2" l="1"/>
  <c r="F68" i="2"/>
  <c r="E12" i="2"/>
  <c r="F231" i="2"/>
  <c r="E25" i="2" s="1"/>
  <c r="E11" i="2" l="1"/>
  <c r="F11" i="4"/>
  <c r="E11" i="4"/>
  <c r="D11" i="4"/>
  <c r="C14" i="8"/>
  <c r="C34" i="5"/>
  <c r="C29" i="5"/>
  <c r="C28" i="5"/>
  <c r="F71" i="2" l="1"/>
  <c r="G28" i="5"/>
  <c r="C39" i="5"/>
  <c r="E37" i="5"/>
  <c r="D37" i="5" s="1"/>
  <c r="D38" i="5" s="1"/>
  <c r="C38" i="5" s="1"/>
  <c r="C32" i="8" s="1"/>
  <c r="E7" i="2" l="1"/>
  <c r="F213" i="2"/>
  <c r="C22" i="8"/>
  <c r="C31" i="8" s="1"/>
  <c r="C33" i="8" s="1"/>
  <c r="K35" i="5"/>
  <c r="K36" i="5" s="1"/>
  <c r="K37" i="5" s="1"/>
  <c r="K38" i="5" s="1"/>
  <c r="K39" i="5" s="1"/>
  <c r="K40" i="5" s="1"/>
  <c r="K41" i="5" s="1"/>
  <c r="F37" i="5"/>
  <c r="G37" i="5" s="1"/>
  <c r="C37" i="5"/>
  <c r="D218" i="2" l="1"/>
  <c r="E218" i="2" s="1"/>
  <c r="F219" i="2" s="1"/>
  <c r="F221" i="2" s="1"/>
  <c r="E24" i="2" s="1"/>
  <c r="C29" i="8"/>
  <c r="C34" i="8" s="1"/>
  <c r="G38" i="5"/>
  <c r="G32" i="5"/>
  <c r="E26" i="2" l="1"/>
  <c r="F7" i="2" s="1"/>
  <c r="F24" i="2"/>
  <c r="F224" i="2"/>
  <c r="F233" i="2" s="1"/>
  <c r="F10" i="2"/>
  <c r="F11" i="2"/>
  <c r="F19" i="2"/>
  <c r="F20" i="2"/>
  <c r="F9" i="2"/>
  <c r="F23" i="2"/>
  <c r="F12" i="2"/>
  <c r="F18" i="2"/>
  <c r="F13" i="2"/>
  <c r="F25" i="2"/>
  <c r="F8" i="2"/>
  <c r="F17" i="2"/>
  <c r="F16" i="2"/>
  <c r="F21" i="2"/>
  <c r="F15" i="2"/>
  <c r="F14" i="2"/>
  <c r="F22" i="2"/>
  <c r="F2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5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7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49" authorId="0" shapeId="0" xr:uid="{00000000-0006-0000-0000-000005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4" authorId="0" shapeId="0" xr:uid="{00000000-0006-0000-0000-000006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5" authorId="0" shapeId="0" xr:uid="{00000000-0006-0000-0000-00000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57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9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4" authorId="0" shapeId="0" xr:uid="{00000000-0006-0000-0000-00000A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65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C80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0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1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1" authorId="0" shapeId="0" xr:uid="{00000000-0006-0000-0000-00000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2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2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3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3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4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4" authorId="0" shapeId="0" xr:uid="{00000000-0006-0000-0000-00001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5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5" authorId="0" shapeId="0" xr:uid="{00000000-0006-0000-0000-00001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6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6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7" authorId="0" shapeId="0" xr:uid="{00000000-0006-0000-0000-00001A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7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8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8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9" authorId="0" shapeId="0" xr:uid="{00000000-0006-0000-0000-00001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9" authorId="0" shapeId="0" xr:uid="{00000000-0006-0000-0000-00001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90" authorId="0" shapeId="0" xr:uid="{00000000-0006-0000-0000-000020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97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98" authorId="0" shapeId="0" xr:uid="{00000000-0006-0000-0000-00002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99" authorId="0" shapeId="0" xr:uid="{00000000-0006-0000-0000-00002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00" authorId="0" shapeId="0" xr:uid="{00000000-0006-0000-0000-00002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01" authorId="0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02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3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18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19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20" authorId="0" shapeId="0" xr:uid="{00000000-0006-0000-0000-00002A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21" authorId="0" shapeId="0" xr:uid="{00000000-0006-0000-0000-00002B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3" authorId="0" shapeId="0" xr:uid="{00000000-0006-0000-0000-00002C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24" authorId="0" shapeId="0" xr:uid="{00000000-0006-0000-0000-00002D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25" authorId="0" shapeId="0" xr:uid="{00000000-0006-0000-0000-00002E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26" authorId="0" shapeId="0" xr:uid="{00000000-0006-0000-0000-00002F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9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35" authorId="0" shapeId="0" xr:uid="{00000000-0006-0000-0000-000031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1" authorId="0" shapeId="0" xr:uid="{00000000-0006-0000-0000-000032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52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
</t>
        </r>
      </text>
    </comment>
    <comment ref="B158" authorId="0" shapeId="0" xr:uid="{00000000-0006-0000-0000-000034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61" authorId="0" shapeId="0" xr:uid="{00000000-0006-0000-0000-000035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61" authorId="0" shapeId="0" xr:uid="{00000000-0006-0000-0000-000036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63" authorId="0" shapeId="0" xr:uid="{00000000-0006-0000-0000-000037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63" authorId="0" shapeId="0" xr:uid="{00000000-0006-0000-0000-000038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65" authorId="0" shapeId="0" xr:uid="{00000000-0006-0000-0000-000039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65" authorId="0" shapeId="0" xr:uid="{00000000-0006-0000-0000-00003A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67" authorId="0" shapeId="0" xr:uid="{00000000-0006-0000-0000-00003B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67" authorId="0" shapeId="0" xr:uid="{00000000-0006-0000-0000-00003C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169" authorId="0" shapeId="0" xr:uid="{00000000-0006-0000-0000-00003D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169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176" authorId="0" shapeId="0" xr:uid="{00000000-0006-0000-0000-00003F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81" authorId="0" shapeId="0" xr:uid="{00000000-0006-0000-0000-000040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81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82" authorId="0" shapeId="0" xr:uid="{00000000-0006-0000-0000-000042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183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184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C193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3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4" authorId="0" shapeId="0" xr:uid="{00000000-0006-0000-0000-000047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4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5" authorId="0" shapeId="0" xr:uid="{00000000-0006-0000-0000-000049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5" authorId="0" shapeId="0" xr:uid="{00000000-0006-0000-0000-00004A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6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6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7" authorId="0" shapeId="0" xr:uid="{00000000-0006-0000-0000-00004D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7" authorId="0" shapeId="0" xr:uid="{00000000-0006-0000-0000-00004E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02" authorId="0" shapeId="0" xr:uid="{00000000-0006-0000-0000-00004F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5" authorId="0" shapeId="0" xr:uid="{00000000-0006-0000-0000-000050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</t>
        </r>
      </text>
    </comment>
    <comment ref="D207" authorId="0" shapeId="0" xr:uid="{00000000-0006-0000-0000-000051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18" authorId="0" shapeId="0" xr:uid="{00000000-0006-0000-0000-000052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26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  <comment ref="C230" authorId="0" shapeId="0" xr:uid="{00000000-0006-0000-0000-000054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Mesquita</author>
  </authors>
  <commentList>
    <comment ref="G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Jorge Mesquita:</t>
        </r>
        <r>
          <rPr>
            <sz val="9"/>
            <color indexed="81"/>
            <rFont val="Tahoma"/>
            <family val="2"/>
          </rPr>
          <t xml:space="preserve">
Criar um tipo de arredondamento.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4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9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0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1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3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6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17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0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<sst xmlns="http://schemas.openxmlformats.org/spreadsheetml/2006/main" count="492" uniqueCount="301">
  <si>
    <t>Adicional de Insalubridade</t>
  </si>
  <si>
    <t>%</t>
  </si>
  <si>
    <t>Soma</t>
  </si>
  <si>
    <t>Encargos Sociais</t>
  </si>
  <si>
    <t>Total do Efetivo</t>
  </si>
  <si>
    <t>homem</t>
  </si>
  <si>
    <t>mês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</si>
  <si>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</si>
  <si>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</si>
  <si>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</si>
  <si>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</si>
  <si>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</si>
  <si>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</si>
  <si>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</si>
  <si>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</si>
  <si>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</si>
  <si>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</si>
  <si>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</si>
  <si>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</si>
  <si>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</si>
  <si>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</si>
  <si>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</si>
  <si>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</si>
  <si>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</si>
  <si>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</si>
  <si>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</si>
  <si>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</si>
  <si>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</si>
  <si>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</si>
  <si>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</si>
  <si>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</si>
  <si>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</si>
  <si>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</si>
  <si>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</si>
  <si>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</si>
  <si>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</si>
  <si>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</si>
  <si>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</si>
  <si>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</si>
  <si>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</si>
  <si>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</si>
  <si>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</si>
  <si>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</si>
  <si>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</si>
  <si>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</si>
  <si>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</si>
  <si>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</si>
  <si>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</si>
  <si>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</si>
  <si>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</si>
  <si>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</si>
  <si>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</si>
  <si>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</si>
  <si>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</si>
  <si>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</si>
  <si>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</si>
  <si>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</si>
  <si>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</si>
  <si>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</si>
  <si>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</si>
  <si>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</si>
  <si>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</si>
  <si>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</si>
  <si>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</si>
  <si>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</si>
  <si>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</si>
  <si>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</si>
  <si>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</si>
  <si>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</si>
  <si>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</si>
  <si>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</si>
  <si>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</si>
  <si>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</si>
  <si>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</si>
  <si>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</si>
  <si>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</si>
  <si>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</si>
  <si>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</si>
  <si>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</si>
  <si>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</si>
  <si>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</si>
  <si>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</si>
  <si>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</si>
  <si>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</si>
  <si>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</si>
  <si>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Meia de algodão com cano alto</t>
  </si>
  <si>
    <t>Quantitativos</t>
  </si>
  <si>
    <t>1.1. Coletor Turno Dia</t>
  </si>
  <si>
    <t>Vida útil do chassis</t>
  </si>
  <si>
    <t>anos</t>
  </si>
  <si>
    <t>Depreciação do chassis</t>
  </si>
  <si>
    <t>Custo de aquisição do chassis</t>
  </si>
  <si>
    <t>i = taxa de juros do mercado (sugere-se adotar a taxa SELIC)</t>
  </si>
  <si>
    <t>n = vida útil do bem em anos</t>
  </si>
  <si>
    <t>Custo do chassis</t>
  </si>
  <si>
    <t>3.1.2. Remuneração do Capital</t>
  </si>
  <si>
    <t>Im = investimento médio</t>
  </si>
  <si>
    <t>Investimento médio total do chassis</t>
  </si>
  <si>
    <t>Remuneração mensal de capital do chassis</t>
  </si>
  <si>
    <t>Custo de manutenção dos caminhões</t>
  </si>
  <si>
    <t>Quilometragem mensal</t>
  </si>
  <si>
    <t>R$/km rodado</t>
  </si>
  <si>
    <t>Número de recapagens por pneu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</si>
  <si>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</si>
  <si>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</si>
  <si>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</si>
  <si>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</si>
  <si>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</si>
  <si>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</si>
  <si>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</si>
  <si>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</si>
  <si>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</si>
  <si>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</si>
  <si>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</si>
  <si>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</si>
  <si>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</si>
  <si>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Rotatividade</t>
  </si>
  <si>
    <t>Demitidos s/ Justa Causa em relação ao Estoque Médio</t>
  </si>
  <si>
    <t>Dias ano</t>
  </si>
  <si>
    <t>Estoque Médio</t>
  </si>
  <si>
    <t>Multa FGTS</t>
  </si>
  <si>
    <t>Fração de tempo para gozo férias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</si>
  <si>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</si>
  <si>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</si>
  <si>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</si>
  <si>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</si>
  <si>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</si>
  <si>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</si>
  <si>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</si>
  <si>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</si>
  <si>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</si>
  <si>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</si>
  <si>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</si>
  <si>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</si>
  <si>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</si>
  <si>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</si>
  <si>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</si>
  <si>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</si>
  <si>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</si>
  <si>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</si>
  <si>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</si>
  <si>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</si>
  <si>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</si>
  <si>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</si>
  <si>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</si>
  <si>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</si>
  <si>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</si>
  <si>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</si>
  <si>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</si>
  <si>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</si>
  <si>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</si>
  <si>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</si>
  <si>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</si>
  <si>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</si>
  <si>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</si>
  <si>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</si>
  <si>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</si>
  <si>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</si>
  <si>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</si>
  <si>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</si>
  <si>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</si>
  <si>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</si>
  <si>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</si>
  <si>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</si>
  <si>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</si>
  <si>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</si>
  <si>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</si>
  <si>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</si>
  <si>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</si>
  <si>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</si>
  <si>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</si>
  <si>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</si>
  <si>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</si>
  <si>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</si>
  <si>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</si>
  <si>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</si>
  <si>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</si>
  <si>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</si>
  <si>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</si>
  <si>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</si>
  <si>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</si>
  <si>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</si>
  <si>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</si>
  <si>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</si>
  <si>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</si>
  <si>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</si>
  <si>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</si>
  <si>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</si>
  <si>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</si>
  <si>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</si>
  <si>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</si>
  <si>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</si>
  <si>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</si>
  <si>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</si>
  <si>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</si>
  <si>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</si>
  <si>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Valor do veículo proposto (V0)</t>
  </si>
  <si>
    <t>Taxa de juros anual nominal</t>
  </si>
  <si>
    <t>C2</t>
  </si>
  <si>
    <t>B3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</si>
  <si>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</si>
  <si>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</si>
  <si>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</si>
  <si>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</si>
  <si>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</si>
  <si>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</si>
  <si>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</si>
  <si>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</si>
  <si>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</si>
  <si>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</si>
  <si>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</si>
  <si>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</si>
  <si>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</si>
  <si>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</si>
  <si>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</si>
  <si>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</si>
  <si>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</si>
  <si>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</si>
  <si>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</si>
  <si>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</si>
  <si>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</si>
  <si>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</si>
  <si>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6. Preencha as células em amarelo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</si>
  <si>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</si>
  <si>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</si>
  <si>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</si>
  <si>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</si>
  <si>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</si>
  <si>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</si>
  <si>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</si>
  <si>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</si>
  <si>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</si>
  <si>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</si>
  <si>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</si>
  <si>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</si>
  <si>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</si>
  <si>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</si>
  <si>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</si>
  <si>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Estoque recuperado início do Período 01-09-2016</t>
  </si>
  <si>
    <t>Estoque recuperado final do Período 31-08-2017</t>
  </si>
  <si>
    <t>Variação Emprego Absoluta de 01-09-2016 a 31-08-2017</t>
  </si>
  <si>
    <t>i</t>
  </si>
  <si>
    <t>Depreciação Média</t>
  </si>
  <si>
    <t>1.2. Motorista Turno do Dia</t>
  </si>
  <si>
    <t xml:space="preserve">1. Coleta de Resíduos Sólidos </t>
  </si>
  <si>
    <t>Planilha de Composição de Custos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</si>
  <si>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</si>
  <si>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</si>
  <si>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</si>
  <si>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</si>
  <si>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</si>
  <si>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Custo do compactador</t>
  </si>
  <si>
    <t>Valor do compactador proposto (V0)</t>
  </si>
  <si>
    <t>Investimento médio total do compactador</t>
  </si>
  <si>
    <t>Remuneração mensal de capital do compactador</t>
  </si>
  <si>
    <t>Custo jg. compl. + 2 recap./ km rodado</t>
  </si>
  <si>
    <t>7.Destino Final</t>
  </si>
  <si>
    <t>PREÇO TOTAL</t>
  </si>
  <si>
    <t>Ton</t>
  </si>
  <si>
    <t xml:space="preserve">7. Destino Final </t>
  </si>
  <si>
    <t xml:space="preserve">Coleta e transporte até Central de Triagem, Compostagem e Aterro. </t>
  </si>
  <si>
    <t>Custo mensal com Veiculos e Equipamentos (R$/mês)</t>
  </si>
  <si>
    <t>1. Esta planilha é somente um modelo de cálculo expedito e deve ser ajustada conforme cada caso concreto.</t>
  </si>
  <si>
    <t>2. Dimensionar separadamente setores atendidos por veículos de capacidade de carga diferentes.</t>
  </si>
  <si>
    <t>3. Preencher somente células em amarelo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</si>
  <si>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</si>
  <si>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</si>
  <si>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</si>
  <si>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</si>
  <si>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</si>
  <si>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</si>
  <si>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</si>
  <si>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</si>
  <si>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</si>
  <si>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</si>
  <si>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</si>
  <si>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</si>
  <si>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dia</t>
  </si>
  <si>
    <t>Quantitativo diário de coleta (Qc)</t>
  </si>
  <si>
    <t>Densidade RSU compactado</t>
  </si>
  <si>
    <t>Kg/m³</t>
  </si>
  <si>
    <t>Tipo de Veículo (1 = toco, 2 = truck)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</si>
  <si>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</si>
  <si>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</si>
  <si>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</si>
  <si>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</si>
  <si>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</si>
  <si>
    <t>Disposição final</t>
  </si>
  <si>
    <t xml:space="preserve">Custo Mensal com Mão-de-obra (R$/mês) </t>
  </si>
  <si>
    <t>Reserva técnica</t>
  </si>
  <si>
    <t>Custo Mensal com Uniformes e EPIs (R$/mês) TOTAL</t>
  </si>
  <si>
    <t>1.3. Auxilio Alimentação</t>
  </si>
  <si>
    <t>Ida e Volta</t>
  </si>
  <si>
    <t>Coleta</t>
  </si>
  <si>
    <r>
      <t>Custo do jogo de pneus</t>
    </r>
    <r>
      <rPr>
        <sz val="10"/>
        <color indexed="10"/>
        <rFont val="Arial"/>
        <family val="2"/>
      </rPr>
      <t xml:space="preserve"> </t>
    </r>
  </si>
  <si>
    <r>
      <t>3.1. Veículo Coletor</t>
    </r>
    <r>
      <rPr>
        <sz val="10"/>
        <color indexed="10"/>
        <rFont val="Arial"/>
        <family val="2"/>
      </rPr>
      <t xml:space="preserve"> 19 M</t>
    </r>
    <r>
      <rPr>
        <sz val="10"/>
        <color indexed="10"/>
        <rFont val="Calibri"/>
        <family val="2"/>
      </rPr>
      <t>³</t>
    </r>
  </si>
  <si>
    <t>Capacidade</t>
  </si>
  <si>
    <t xml:space="preserve">Piso da categoria - Acordo Coletivo NÚMERO DE REGISTRO NO MTE: RS000040/2025 
</t>
  </si>
  <si>
    <t xml:space="preserve">Coletor- Acordo Coletivo NÚMERO DE REGISTRO NO MTE: RS000040/2025 </t>
  </si>
  <si>
    <t>Piso da categoria -  Acordo Coletivo NÚMERO DE REGISTRO NO MTE RS001610/2024</t>
  </si>
  <si>
    <t>Motorista - Acordo Coletivo NÚMERO DE REGISTRO NO MTE RS001610/2024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</si>
</sst>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 &quot;#,##0.00_);\(&quot;R$ &quot;#,##0.00\)"/>
    <numFmt numFmtId="166" formatCode="_(* #,##0.00_);_(* \(#,##0.00\);_(* &quot;-&quot;??_);_(@_)"/>
    <numFmt numFmtId="167" formatCode="_(* #,##0_);_(* \(#,##0\);_(* &quot;-&quot;??_);_(@_)"/>
    <numFmt numFmtId="168" formatCode="_(* #,##0.000_);_(* \(#,##0.000\);_(* &quot;-&quot;??_);_(@_)"/>
    <numFmt numFmtId="169" formatCode="&quot;R$ &quot;#,##0.00"/>
    <numFmt numFmtId="170" formatCode="0.0000"/>
    <numFmt numFmtId="171" formatCode="_-* #,##0.000_-;\-* #,##0.000_-;_-* &quot;-&quot;??_-;_-@_-"/>
    <numFmt numFmtId="172" formatCode="_-* #,##0.00_-;\-* #,##0.00_-;_-* &quot;-&quot;?_-;_-@_-"/>
    <numFmt numFmtId="173" formatCode="_-* #,##0_-;\-* #,##0_-;_-* &quot;-&quot;?_-;_-@_-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9" fillId="0" borderId="0" applyFont="0" applyFill="0" applyBorder="0" applyAlignment="0" applyProtection="0"/>
  </cellStyleXfs>
  <cellXfs count="351">
    <xf numFmtId="0" fontId="0" fillId="0" borderId="0" xfId="0"/>
    <xf numFmtId="0" fontId="7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6" fontId="7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6" fontId="4" fillId="2" borderId="4" xfId="3" applyFont="1" applyFill="1" applyBorder="1" applyAlignment="1">
      <alignment horizontal="center" vertical="center"/>
    </xf>
    <xf numFmtId="166" fontId="4" fillId="2" borderId="4" xfId="3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6" fontId="4" fillId="0" borderId="6" xfId="3" applyFont="1" applyBorder="1" applyAlignment="1">
      <alignment vertical="center"/>
    </xf>
    <xf numFmtId="166" fontId="4" fillId="0" borderId="7" xfId="3" applyFont="1" applyBorder="1" applyAlignment="1">
      <alignment vertical="center"/>
    </xf>
    <xf numFmtId="166" fontId="4" fillId="0" borderId="0" xfId="3" applyFont="1" applyBorder="1" applyAlignment="1">
      <alignment horizontal="center" vertical="center"/>
    </xf>
    <xf numFmtId="166" fontId="4" fillId="0" borderId="0" xfId="3" applyFont="1" applyFill="1" applyBorder="1" applyAlignment="1">
      <alignment horizontal="center" vertical="center"/>
    </xf>
    <xf numFmtId="166" fontId="4" fillId="0" borderId="0" xfId="3" applyFont="1" applyBorder="1" applyAlignment="1">
      <alignment vertical="center"/>
    </xf>
    <xf numFmtId="166" fontId="6" fillId="0" borderId="0" xfId="3" applyFont="1" applyAlignment="1">
      <alignment vertical="center"/>
    </xf>
    <xf numFmtId="166" fontId="4" fillId="0" borderId="12" xfId="3" applyFont="1" applyBorder="1" applyAlignment="1">
      <alignment horizontal="center" vertical="center"/>
    </xf>
    <xf numFmtId="166" fontId="4" fillId="0" borderId="5" xfId="3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Continuous" vertical="center"/>
    </xf>
    <xf numFmtId="166" fontId="4" fillId="0" borderId="0" xfId="3" applyFont="1" applyAlignment="1">
      <alignment vertical="center"/>
    </xf>
    <xf numFmtId="166" fontId="4" fillId="0" borderId="13" xfId="3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6" fontId="5" fillId="0" borderId="0" xfId="3" applyFont="1" applyBorder="1" applyAlignment="1">
      <alignment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166" fontId="14" fillId="2" borderId="17" xfId="3" applyFont="1" applyFill="1" applyBorder="1" applyAlignment="1">
      <alignment horizontal="center" vertical="center"/>
    </xf>
    <xf numFmtId="166" fontId="14" fillId="2" borderId="18" xfId="3" applyFont="1" applyFill="1" applyBorder="1" applyAlignment="1">
      <alignment horizontal="center" vertical="center"/>
    </xf>
    <xf numFmtId="166" fontId="4" fillId="0" borderId="19" xfId="3" applyFont="1" applyBorder="1" applyAlignment="1">
      <alignment horizontal="center" vertical="center"/>
    </xf>
    <xf numFmtId="166" fontId="2" fillId="0" borderId="14" xfId="3" applyFont="1" applyBorder="1" applyAlignment="1">
      <alignment horizontal="left" vertical="center"/>
    </xf>
    <xf numFmtId="166" fontId="4" fillId="0" borderId="28" xfId="3" applyFont="1" applyBorder="1" applyAlignment="1">
      <alignment vertical="center"/>
    </xf>
    <xf numFmtId="4" fontId="4" fillId="0" borderId="29" xfId="0" applyNumberFormat="1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4" fillId="0" borderId="31" xfId="3" applyNumberFormat="1" applyFont="1" applyBorder="1" applyAlignment="1">
      <alignment horizontal="center" vertical="center"/>
    </xf>
    <xf numFmtId="166" fontId="13" fillId="0" borderId="1" xfId="3" applyFont="1" applyBorder="1" applyAlignment="1">
      <alignment horizontal="center" vertical="center"/>
    </xf>
    <xf numFmtId="166" fontId="12" fillId="0" borderId="0" xfId="3" applyFont="1" applyAlignment="1">
      <alignment vertical="center"/>
    </xf>
    <xf numFmtId="43" fontId="7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6" fontId="4" fillId="0" borderId="1" xfId="3" applyFont="1" applyBorder="1" applyAlignment="1">
      <alignment horizontal="center" vertical="center"/>
    </xf>
    <xf numFmtId="0" fontId="9" fillId="0" borderId="0" xfId="1" applyAlignment="1" applyProtection="1">
      <alignment vertical="center"/>
    </xf>
    <xf numFmtId="0" fontId="4" fillId="0" borderId="0" xfId="0" applyFont="1"/>
    <xf numFmtId="0" fontId="14" fillId="2" borderId="32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166" fontId="14" fillId="2" borderId="33" xfId="3" applyFont="1" applyFill="1" applyBorder="1" applyAlignment="1">
      <alignment horizontal="center" vertical="center"/>
    </xf>
    <xf numFmtId="166" fontId="4" fillId="0" borderId="1" xfId="3" applyFont="1" applyFill="1" applyBorder="1" applyAlignment="1">
      <alignment horizontal="center" vertical="center"/>
    </xf>
    <xf numFmtId="166" fontId="4" fillId="0" borderId="34" xfId="3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6" fontId="4" fillId="0" borderId="0" xfId="3" applyFont="1" applyAlignment="1">
      <alignment horizontal="center" vertical="center"/>
    </xf>
    <xf numFmtId="166" fontId="4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6" fontId="4" fillId="2" borderId="7" xfId="3" applyFont="1" applyFill="1" applyBorder="1" applyAlignment="1">
      <alignment horizontal="center" vertical="center"/>
    </xf>
    <xf numFmtId="166" fontId="4" fillId="0" borderId="14" xfId="3" applyFont="1" applyBorder="1" applyAlignment="1">
      <alignment vertical="center"/>
    </xf>
    <xf numFmtId="166" fontId="4" fillId="0" borderId="9" xfId="0" applyNumberFormat="1" applyFont="1" applyBorder="1" applyAlignment="1">
      <alignment vertical="center"/>
    </xf>
    <xf numFmtId="166" fontId="4" fillId="0" borderId="9" xfId="3" applyFont="1" applyBorder="1" applyAlignment="1">
      <alignment vertical="center"/>
    </xf>
    <xf numFmtId="166" fontId="4" fillId="0" borderId="37" xfId="3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4" fillId="0" borderId="9" xfId="0" applyNumberFormat="1" applyFont="1" applyBorder="1" applyAlignment="1">
      <alignment horizontal="centerContinuous" vertical="center"/>
    </xf>
    <xf numFmtId="4" fontId="7" fillId="0" borderId="0" xfId="0" applyNumberFormat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0" fillId="0" borderId="37" xfId="0" applyBorder="1" applyAlignment="1">
      <alignment vertical="center"/>
    </xf>
    <xf numFmtId="0" fontId="19" fillId="0" borderId="14" xfId="0" applyFont="1" applyBorder="1"/>
    <xf numFmtId="0" fontId="19" fillId="0" borderId="46" xfId="0" applyFont="1" applyBorder="1"/>
    <xf numFmtId="0" fontId="19" fillId="0" borderId="23" xfId="0" applyFont="1" applyBorder="1"/>
    <xf numFmtId="0" fontId="19" fillId="0" borderId="50" xfId="0" applyFont="1" applyBorder="1"/>
    <xf numFmtId="0" fontId="19" fillId="0" borderId="47" xfId="0" applyFont="1" applyBorder="1"/>
    <xf numFmtId="0" fontId="19" fillId="0" borderId="51" xfId="0" applyFont="1" applyBorder="1"/>
    <xf numFmtId="0" fontId="19" fillId="0" borderId="20" xfId="0" applyFont="1" applyBorder="1"/>
    <xf numFmtId="0" fontId="19" fillId="0" borderId="28" xfId="0" applyFont="1" applyBorder="1"/>
    <xf numFmtId="2" fontId="20" fillId="6" borderId="1" xfId="0" applyNumberFormat="1" applyFont="1" applyFill="1" applyBorder="1" applyAlignment="1">
      <alignment horizontal="right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2" fontId="20" fillId="6" borderId="35" xfId="0" applyNumberFormat="1" applyFont="1" applyFill="1" applyBorder="1" applyAlignment="1">
      <alignment horizontal="right" vertical="center"/>
    </xf>
    <xf numFmtId="0" fontId="20" fillId="0" borderId="23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20" fillId="0" borderId="20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10" fontId="24" fillId="0" borderId="20" xfId="0" applyNumberFormat="1" applyFont="1" applyBorder="1" applyAlignment="1">
      <alignment horizontal="right" vertical="center"/>
    </xf>
    <xf numFmtId="0" fontId="20" fillId="4" borderId="23" xfId="0" applyFont="1" applyFill="1" applyBorder="1" applyAlignment="1">
      <alignment horizontal="left" vertical="center"/>
    </xf>
    <xf numFmtId="0" fontId="24" fillId="4" borderId="1" xfId="0" applyFont="1" applyFill="1" applyBorder="1" applyAlignment="1">
      <alignment horizontal="left" vertical="center"/>
    </xf>
    <xf numFmtId="10" fontId="24" fillId="4" borderId="20" xfId="0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10" fontId="7" fillId="0" borderId="0" xfId="0" applyNumberFormat="1" applyFont="1"/>
    <xf numFmtId="9" fontId="20" fillId="0" borderId="0" xfId="2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8" borderId="24" xfId="0" applyFont="1" applyFill="1" applyBorder="1" applyAlignment="1">
      <alignment horizontal="left" vertical="center"/>
    </xf>
    <xf numFmtId="0" fontId="24" fillId="8" borderId="35" xfId="0" applyFont="1" applyFill="1" applyBorder="1" applyAlignment="1">
      <alignment horizontal="left" vertical="center"/>
    </xf>
    <xf numFmtId="10" fontId="24" fillId="8" borderId="3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vertical="center"/>
    </xf>
    <xf numFmtId="10" fontId="24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right" vertical="center"/>
    </xf>
    <xf numFmtId="0" fontId="20" fillId="3" borderId="0" xfId="0" applyFont="1" applyFill="1" applyAlignment="1">
      <alignment horizontal="left" vertical="center"/>
    </xf>
    <xf numFmtId="0" fontId="27" fillId="0" borderId="0" xfId="0" applyFont="1" applyAlignment="1">
      <alignment horizontal="justify" vertical="center"/>
    </xf>
    <xf numFmtId="0" fontId="9" fillId="0" borderId="0" xfId="1" applyBorder="1" applyAlignment="1" applyProtection="1">
      <alignment horizontal="left" vertical="center"/>
    </xf>
    <xf numFmtId="0" fontId="28" fillId="0" borderId="0" xfId="0" applyFont="1"/>
    <xf numFmtId="0" fontId="20" fillId="0" borderId="0" xfId="0" applyFont="1" applyAlignment="1">
      <alignment horizontal="right" vertical="center"/>
    </xf>
    <xf numFmtId="0" fontId="9" fillId="0" borderId="0" xfId="1" applyBorder="1" applyAlignment="1" applyProtection="1">
      <alignment vertical="center"/>
    </xf>
    <xf numFmtId="0" fontId="6" fillId="0" borderId="15" xfId="0" applyFont="1" applyBorder="1"/>
    <xf numFmtId="0" fontId="6" fillId="0" borderId="23" xfId="0" applyFont="1" applyBorder="1"/>
    <xf numFmtId="0" fontId="6" fillId="0" borderId="46" xfId="0" applyFont="1" applyBorder="1"/>
    <xf numFmtId="0" fontId="6" fillId="0" borderId="48" xfId="0" applyFont="1" applyBorder="1"/>
    <xf numFmtId="0" fontId="6" fillId="0" borderId="37" xfId="0" applyFont="1" applyBorder="1"/>
    <xf numFmtId="0" fontId="6" fillId="0" borderId="38" xfId="0" applyFont="1" applyBorder="1"/>
    <xf numFmtId="0" fontId="8" fillId="0" borderId="47" xfId="0" applyFont="1" applyBorder="1"/>
    <xf numFmtId="9" fontId="8" fillId="0" borderId="47" xfId="0" applyNumberFormat="1" applyFont="1" applyBorder="1"/>
    <xf numFmtId="0" fontId="8" fillId="0" borderId="37" xfId="0" applyFont="1" applyBorder="1" applyAlignment="1">
      <alignment horizontal="left" vertical="center"/>
    </xf>
    <xf numFmtId="9" fontId="6" fillId="0" borderId="23" xfId="2" applyFont="1" applyBorder="1"/>
    <xf numFmtId="9" fontId="6" fillId="0" borderId="1" xfId="2" applyFont="1" applyBorder="1" applyAlignment="1">
      <alignment horizontal="center"/>
    </xf>
    <xf numFmtId="9" fontId="6" fillId="0" borderId="20" xfId="2" applyFont="1" applyBorder="1"/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10" fontId="6" fillId="0" borderId="20" xfId="2" applyNumberFormat="1" applyFont="1" applyBorder="1"/>
    <xf numFmtId="0" fontId="6" fillId="0" borderId="2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0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/>
    <xf numFmtId="0" fontId="6" fillId="0" borderId="24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2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10" fontId="6" fillId="0" borderId="27" xfId="0" applyNumberFormat="1" applyFont="1" applyBorder="1" applyAlignment="1">
      <alignment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vertical="center"/>
    </xf>
    <xf numFmtId="0" fontId="8" fillId="4" borderId="5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/>
    </xf>
    <xf numFmtId="10" fontId="8" fillId="4" borderId="7" xfId="0" applyNumberFormat="1" applyFont="1" applyFill="1" applyBorder="1" applyAlignment="1">
      <alignment horizontal="center" vertical="center" wrapText="1"/>
    </xf>
    <xf numFmtId="10" fontId="6" fillId="0" borderId="23" xfId="2" applyNumberFormat="1" applyFont="1" applyBorder="1" applyAlignment="1">
      <alignment horizontal="right"/>
    </xf>
    <xf numFmtId="10" fontId="6" fillId="0" borderId="1" xfId="2" applyNumberFormat="1" applyFont="1" applyBorder="1" applyAlignment="1">
      <alignment horizontal="right"/>
    </xf>
    <xf numFmtId="10" fontId="6" fillId="0" borderId="20" xfId="2" applyNumberFormat="1" applyFont="1" applyBorder="1" applyAlignment="1">
      <alignment horizontal="right"/>
    </xf>
    <xf numFmtId="10" fontId="6" fillId="0" borderId="24" xfId="2" applyNumberFormat="1" applyFont="1" applyBorder="1" applyAlignment="1">
      <alignment horizontal="right"/>
    </xf>
    <xf numFmtId="10" fontId="6" fillId="0" borderId="35" xfId="2" applyNumberFormat="1" applyFont="1" applyBorder="1" applyAlignment="1">
      <alignment horizontal="right"/>
    </xf>
    <xf numFmtId="10" fontId="6" fillId="0" borderId="36" xfId="2" applyNumberFormat="1" applyFont="1" applyBorder="1" applyAlignment="1">
      <alignment horizontal="right"/>
    </xf>
    <xf numFmtId="0" fontId="7" fillId="0" borderId="53" xfId="0" applyFont="1" applyBorder="1"/>
    <xf numFmtId="0" fontId="21" fillId="0" borderId="53" xfId="0" applyFont="1" applyBorder="1" applyAlignment="1">
      <alignment horizontal="justify"/>
    </xf>
    <xf numFmtId="0" fontId="21" fillId="0" borderId="54" xfId="0" applyFont="1" applyBorder="1" applyAlignment="1">
      <alignment horizontal="justify"/>
    </xf>
    <xf numFmtId="0" fontId="18" fillId="9" borderId="52" xfId="0" applyFont="1" applyFill="1" applyBorder="1" applyAlignment="1">
      <alignment horizontal="center"/>
    </xf>
    <xf numFmtId="166" fontId="4" fillId="0" borderId="7" xfId="3" applyFont="1" applyBorder="1" applyAlignment="1">
      <alignment horizontal="right" vertical="center"/>
    </xf>
    <xf numFmtId="166" fontId="4" fillId="2" borderId="4" xfId="3" applyFont="1" applyFill="1" applyBorder="1" applyAlignment="1">
      <alignment horizontal="right" vertical="center"/>
    </xf>
    <xf numFmtId="166" fontId="4" fillId="0" borderId="11" xfId="3" applyFont="1" applyBorder="1" applyAlignment="1">
      <alignment vertical="center"/>
    </xf>
    <xf numFmtId="166" fontId="4" fillId="0" borderId="5" xfId="3" applyFont="1" applyBorder="1" applyAlignment="1">
      <alignment vertical="center"/>
    </xf>
    <xf numFmtId="0" fontId="5" fillId="0" borderId="3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 wrapText="1"/>
    </xf>
    <xf numFmtId="167" fontId="4" fillId="0" borderId="1" xfId="3" applyNumberFormat="1" applyFont="1" applyBorder="1" applyAlignment="1">
      <alignment horizontal="center" vertical="center"/>
    </xf>
    <xf numFmtId="168" fontId="4" fillId="0" borderId="1" xfId="3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/>
    <xf numFmtId="170" fontId="19" fillId="0" borderId="47" xfId="0" applyNumberFormat="1" applyFont="1" applyBorder="1"/>
    <xf numFmtId="170" fontId="8" fillId="0" borderId="47" xfId="0" applyNumberFormat="1" applyFont="1" applyBorder="1"/>
    <xf numFmtId="170" fontId="8" fillId="0" borderId="31" xfId="0" applyNumberFormat="1" applyFont="1" applyBorder="1"/>
    <xf numFmtId="0" fontId="4" fillId="0" borderId="55" xfId="0" applyFont="1" applyBorder="1" applyAlignment="1">
      <alignment vertical="center"/>
    </xf>
    <xf numFmtId="0" fontId="4" fillId="0" borderId="55" xfId="0" applyFont="1" applyBorder="1" applyAlignment="1">
      <alignment horizontal="center" vertical="center"/>
    </xf>
    <xf numFmtId="166" fontId="4" fillId="0" borderId="55" xfId="3" applyFont="1" applyBorder="1" applyAlignment="1">
      <alignment horizontal="center" vertical="center"/>
    </xf>
    <xf numFmtId="166" fontId="4" fillId="0" borderId="55" xfId="3" applyFont="1" applyFill="1" applyBorder="1" applyAlignment="1">
      <alignment horizontal="center" vertical="center"/>
    </xf>
    <xf numFmtId="0" fontId="6" fillId="0" borderId="23" xfId="0" applyFont="1" applyBorder="1" applyAlignment="1">
      <alignment horizontal="right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66" fontId="2" fillId="0" borderId="0" xfId="3" applyFont="1" applyAlignment="1">
      <alignment vertical="center"/>
    </xf>
    <xf numFmtId="164" fontId="7" fillId="0" borderId="0" xfId="4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" fontId="4" fillId="0" borderId="0" xfId="0" applyNumberFormat="1" applyFont="1" applyAlignment="1">
      <alignment horizontal="centerContinuous" vertical="center"/>
    </xf>
    <xf numFmtId="0" fontId="26" fillId="3" borderId="0" xfId="0" applyFont="1" applyFill="1" applyAlignment="1" applyProtection="1">
      <alignment horizontal="left" vertical="center"/>
      <protection locked="0"/>
    </xf>
    <xf numFmtId="0" fontId="19" fillId="10" borderId="20" xfId="0" applyFont="1" applyFill="1" applyBorder="1" applyProtection="1">
      <protection locked="0"/>
    </xf>
    <xf numFmtId="0" fontId="6" fillId="10" borderId="20" xfId="0" applyFont="1" applyFill="1" applyBorder="1" applyProtection="1">
      <protection locked="0"/>
    </xf>
    <xf numFmtId="0" fontId="6" fillId="10" borderId="47" xfId="0" applyFont="1" applyFill="1" applyBorder="1" applyProtection="1">
      <protection locked="0"/>
    </xf>
    <xf numFmtId="0" fontId="6" fillId="10" borderId="49" xfId="0" applyFont="1" applyFill="1" applyBorder="1" applyProtection="1">
      <protection locked="0"/>
    </xf>
    <xf numFmtId="10" fontId="6" fillId="10" borderId="12" xfId="0" applyNumberFormat="1" applyFont="1" applyFill="1" applyBorder="1" applyAlignment="1" applyProtection="1">
      <alignment horizontal="center" vertical="center"/>
      <protection locked="0"/>
    </xf>
    <xf numFmtId="10" fontId="6" fillId="10" borderId="20" xfId="0" applyNumberFormat="1" applyFont="1" applyFill="1" applyBorder="1" applyAlignment="1" applyProtection="1">
      <alignment horizontal="center" vertical="center"/>
      <protection locked="0"/>
    </xf>
    <xf numFmtId="10" fontId="6" fillId="10" borderId="36" xfId="0" applyNumberFormat="1" applyFont="1" applyFill="1" applyBorder="1" applyAlignment="1" applyProtection="1">
      <alignment horizontal="center" vertical="center"/>
      <protection locked="0"/>
    </xf>
    <xf numFmtId="0" fontId="6" fillId="10" borderId="1" xfId="0" applyFont="1" applyFill="1" applyBorder="1" applyAlignment="1" applyProtection="1">
      <alignment horizontal="center"/>
      <protection locked="0"/>
    </xf>
    <xf numFmtId="10" fontId="6" fillId="10" borderId="1" xfId="2" applyNumberFormat="1" applyFont="1" applyFill="1" applyBorder="1" applyAlignment="1" applyProtection="1">
      <alignment horizontal="center"/>
      <protection locked="0"/>
    </xf>
    <xf numFmtId="2" fontId="20" fillId="6" borderId="1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Protection="1">
      <protection locked="0"/>
    </xf>
    <xf numFmtId="166" fontId="13" fillId="3" borderId="1" xfId="3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66" fontId="1" fillId="0" borderId="0" xfId="3" applyFont="1" applyAlignment="1">
      <alignment vertical="center"/>
    </xf>
    <xf numFmtId="166" fontId="1" fillId="0" borderId="0" xfId="3" applyFont="1" applyFill="1" applyBorder="1" applyAlignment="1">
      <alignment vertical="center"/>
    </xf>
    <xf numFmtId="166" fontId="1" fillId="0" borderId="38" xfId="3" applyFont="1" applyFill="1" applyBorder="1" applyAlignment="1">
      <alignment vertical="center"/>
    </xf>
    <xf numFmtId="166" fontId="1" fillId="0" borderId="11" xfId="3" applyFont="1" applyBorder="1" applyAlignment="1">
      <alignment vertical="center"/>
    </xf>
    <xf numFmtId="166" fontId="2" fillId="0" borderId="19" xfId="3" applyFont="1" applyBorder="1" applyAlignment="1">
      <alignment vertical="center"/>
    </xf>
    <xf numFmtId="166" fontId="2" fillId="0" borderId="11" xfId="3" applyFont="1" applyBorder="1" applyAlignment="1">
      <alignment vertical="center"/>
    </xf>
    <xf numFmtId="1" fontId="2" fillId="0" borderId="12" xfId="3" applyNumberFormat="1" applyFont="1" applyBorder="1" applyAlignment="1">
      <alignment horizontal="center" vertical="center"/>
    </xf>
    <xf numFmtId="166" fontId="2" fillId="0" borderId="14" xfId="3" applyFont="1" applyBorder="1" applyAlignment="1">
      <alignment vertical="center"/>
    </xf>
    <xf numFmtId="166" fontId="2" fillId="0" borderId="9" xfId="3" applyFont="1" applyBorder="1" applyAlignment="1">
      <alignment vertical="center"/>
    </xf>
    <xf numFmtId="1" fontId="2" fillId="0" borderId="20" xfId="3" applyNumberFormat="1" applyFont="1" applyBorder="1" applyAlignment="1">
      <alignment horizontal="center" vertical="center"/>
    </xf>
    <xf numFmtId="166" fontId="2" fillId="0" borderId="0" xfId="3" applyFont="1" applyBorder="1" applyAlignment="1">
      <alignment vertical="center"/>
    </xf>
    <xf numFmtId="166" fontId="2" fillId="0" borderId="38" xfId="3" applyFont="1" applyBorder="1" applyAlignment="1">
      <alignment vertical="center"/>
    </xf>
    <xf numFmtId="166" fontId="2" fillId="0" borderId="39" xfId="3" applyFont="1" applyBorder="1" applyAlignment="1">
      <alignment vertical="center"/>
    </xf>
    <xf numFmtId="166" fontId="2" fillId="0" borderId="40" xfId="3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1" fontId="2" fillId="0" borderId="36" xfId="3" applyNumberFormat="1" applyFont="1" applyBorder="1" applyAlignment="1">
      <alignment horizontal="center" vertical="center"/>
    </xf>
    <xf numFmtId="166" fontId="2" fillId="0" borderId="2" xfId="3" applyFont="1" applyBorder="1" applyAlignment="1">
      <alignment horizontal="center" vertical="center"/>
    </xf>
    <xf numFmtId="166" fontId="2" fillId="0" borderId="1" xfId="3" applyFont="1" applyFill="1" applyBorder="1" applyAlignment="1">
      <alignment horizontal="center" vertical="center"/>
    </xf>
    <xf numFmtId="166" fontId="2" fillId="0" borderId="1" xfId="3" applyFont="1" applyBorder="1" applyAlignment="1">
      <alignment horizontal="center" vertical="center"/>
    </xf>
    <xf numFmtId="166" fontId="2" fillId="5" borderId="1" xfId="3" applyFont="1" applyFill="1" applyBorder="1" applyAlignment="1">
      <alignment horizontal="center" vertical="center"/>
    </xf>
    <xf numFmtId="166" fontId="2" fillId="0" borderId="0" xfId="3" applyFont="1" applyAlignment="1">
      <alignment horizontal="right" vertical="center"/>
    </xf>
    <xf numFmtId="166" fontId="2" fillId="0" borderId="1" xfId="3" applyFont="1" applyBorder="1" applyAlignment="1">
      <alignment vertical="center"/>
    </xf>
    <xf numFmtId="166" fontId="2" fillId="0" borderId="2" xfId="3" applyFont="1" applyFill="1" applyBorder="1" applyAlignment="1">
      <alignment horizontal="center" vertical="center"/>
    </xf>
    <xf numFmtId="166" fontId="4" fillId="0" borderId="0" xfId="3" applyFont="1" applyFill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66" fontId="14" fillId="0" borderId="17" xfId="3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6" fontId="4" fillId="0" borderId="9" xfId="3" applyFont="1" applyFill="1" applyBorder="1" applyAlignment="1">
      <alignment horizontal="center" vertical="center"/>
    </xf>
    <xf numFmtId="167" fontId="2" fillId="0" borderId="1" xfId="3" applyNumberFormat="1" applyFont="1" applyBorder="1" applyAlignment="1">
      <alignment horizontal="center" vertical="center"/>
    </xf>
    <xf numFmtId="166" fontId="2" fillId="0" borderId="0" xfId="3" applyFont="1" applyFill="1" applyAlignment="1">
      <alignment vertical="center"/>
    </xf>
    <xf numFmtId="0" fontId="2" fillId="0" borderId="1" xfId="0" applyFont="1" applyBorder="1" applyAlignment="1">
      <alignment horizontal="center"/>
    </xf>
    <xf numFmtId="166" fontId="2" fillId="0" borderId="0" xfId="3" applyFont="1"/>
    <xf numFmtId="0" fontId="2" fillId="0" borderId="6" xfId="0" applyFont="1" applyBorder="1" applyAlignment="1">
      <alignment vertical="center"/>
    </xf>
    <xf numFmtId="166" fontId="2" fillId="0" borderId="6" xfId="3" applyFont="1" applyBorder="1" applyAlignment="1">
      <alignment vertical="center"/>
    </xf>
    <xf numFmtId="166" fontId="2" fillId="0" borderId="7" xfId="3" applyFont="1" applyBorder="1" applyAlignment="1">
      <alignment vertical="center"/>
    </xf>
    <xf numFmtId="166" fontId="2" fillId="0" borderId="0" xfId="3" applyFont="1" applyAlignment="1">
      <alignment horizontal="center" vertical="center"/>
    </xf>
    <xf numFmtId="166" fontId="2" fillId="0" borderId="1" xfId="3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vertical="center"/>
    </xf>
    <xf numFmtId="3" fontId="2" fillId="3" borderId="1" xfId="0" applyNumberFormat="1" applyFont="1" applyFill="1" applyBorder="1" applyAlignment="1">
      <alignment vertical="center"/>
    </xf>
    <xf numFmtId="4" fontId="2" fillId="3" borderId="2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167" fontId="2" fillId="3" borderId="1" xfId="3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3" fontId="2" fillId="3" borderId="1" xfId="0" applyNumberFormat="1" applyFont="1" applyFill="1" applyBorder="1" applyAlignment="1">
      <alignment horizontal="center" vertical="center"/>
    </xf>
    <xf numFmtId="166" fontId="2" fillId="3" borderId="2" xfId="3" applyFont="1" applyFill="1" applyBorder="1" applyAlignment="1">
      <alignment horizontal="center" vertical="center"/>
    </xf>
    <xf numFmtId="166" fontId="2" fillId="0" borderId="0" xfId="3" applyFont="1" applyFill="1" applyBorder="1" applyAlignment="1">
      <alignment horizontal="center" vertical="center"/>
    </xf>
    <xf numFmtId="166" fontId="2" fillId="3" borderId="1" xfId="3" applyFont="1" applyFill="1" applyBorder="1" applyAlignment="1">
      <alignment horizontal="center" vertical="center"/>
    </xf>
    <xf numFmtId="166" fontId="2" fillId="3" borderId="9" xfId="3" applyFont="1" applyFill="1" applyBorder="1" applyAlignment="1">
      <alignment vertical="center"/>
    </xf>
    <xf numFmtId="166" fontId="2" fillId="3" borderId="0" xfId="3" applyFont="1" applyFill="1" applyBorder="1" applyAlignment="1">
      <alignment vertical="center"/>
    </xf>
    <xf numFmtId="13" fontId="2" fillId="3" borderId="1" xfId="0" applyNumberFormat="1" applyFont="1" applyFill="1" applyBorder="1" applyAlignment="1">
      <alignment vertical="center"/>
    </xf>
    <xf numFmtId="166" fontId="4" fillId="0" borderId="37" xfId="3" applyFont="1" applyBorder="1" applyAlignment="1">
      <alignment horizontal="left" vertical="center"/>
    </xf>
    <xf numFmtId="166" fontId="4" fillId="0" borderId="14" xfId="3" applyFont="1" applyBorder="1" applyAlignment="1">
      <alignment horizontal="left" vertical="center"/>
    </xf>
    <xf numFmtId="167" fontId="2" fillId="0" borderId="0" xfId="3" applyNumberFormat="1" applyFont="1" applyBorder="1" applyAlignment="1">
      <alignment horizontal="center" vertical="center"/>
    </xf>
    <xf numFmtId="166" fontId="2" fillId="0" borderId="0" xfId="3" applyFont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18" fillId="0" borderId="23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8" fillId="0" borderId="23" xfId="0" applyFont="1" applyBorder="1"/>
    <xf numFmtId="0" fontId="8" fillId="0" borderId="1" xfId="0" applyFont="1" applyBorder="1"/>
    <xf numFmtId="0" fontId="8" fillId="0" borderId="20" xfId="0" applyFont="1" applyBorder="1"/>
    <xf numFmtId="0" fontId="6" fillId="0" borderId="1" xfId="0" applyFont="1" applyBorder="1"/>
    <xf numFmtId="0" fontId="6" fillId="11" borderId="20" xfId="0" applyFont="1" applyFill="1" applyBorder="1"/>
    <xf numFmtId="171" fontId="25" fillId="0" borderId="20" xfId="3" applyNumberFormat="1" applyFont="1" applyBorder="1" applyAlignment="1">
      <alignment horizontal="center" vertical="center" wrapText="1"/>
    </xf>
    <xf numFmtId="172" fontId="6" fillId="0" borderId="20" xfId="0" applyNumberFormat="1" applyFont="1" applyBorder="1"/>
    <xf numFmtId="2" fontId="6" fillId="0" borderId="20" xfId="0" applyNumberFormat="1" applyFont="1" applyBorder="1"/>
    <xf numFmtId="172" fontId="6" fillId="11" borderId="20" xfId="0" applyNumberFormat="1" applyFont="1" applyFill="1" applyBorder="1"/>
    <xf numFmtId="173" fontId="6" fillId="11" borderId="20" xfId="0" applyNumberFormat="1" applyFont="1" applyFill="1" applyBorder="1"/>
    <xf numFmtId="0" fontId="6" fillId="0" borderId="24" xfId="0" applyFont="1" applyBorder="1"/>
    <xf numFmtId="0" fontId="6" fillId="0" borderId="35" xfId="0" applyFont="1" applyBorder="1"/>
    <xf numFmtId="172" fontId="6" fillId="0" borderId="36" xfId="0" applyNumberFormat="1" applyFont="1" applyBorder="1"/>
    <xf numFmtId="169" fontId="4" fillId="0" borderId="1" xfId="0" applyNumberFormat="1" applyFont="1" applyBorder="1" applyAlignment="1">
      <alignment horizontal="center" vertical="center"/>
    </xf>
    <xf numFmtId="10" fontId="4" fillId="0" borderId="15" xfId="2" applyNumberFormat="1" applyFont="1" applyBorder="1" applyAlignment="1">
      <alignment horizontal="center" vertical="center"/>
    </xf>
    <xf numFmtId="10" fontId="2" fillId="0" borderId="15" xfId="2" applyNumberFormat="1" applyFont="1" applyBorder="1" applyAlignment="1">
      <alignment horizontal="center" vertical="center"/>
    </xf>
    <xf numFmtId="10" fontId="4" fillId="0" borderId="1" xfId="2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9" fontId="4" fillId="0" borderId="18" xfId="2" applyFont="1" applyBorder="1" applyAlignment="1">
      <alignment horizontal="center" vertical="center"/>
    </xf>
    <xf numFmtId="166" fontId="2" fillId="0" borderId="9" xfId="0" applyNumberFormat="1" applyFont="1" applyBorder="1" applyAlignment="1">
      <alignment vertical="center"/>
    </xf>
    <xf numFmtId="169" fontId="2" fillId="0" borderId="1" xfId="0" applyNumberFormat="1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Continuous" vertical="center"/>
    </xf>
    <xf numFmtId="166" fontId="28" fillId="0" borderId="14" xfId="3" applyFont="1" applyBorder="1" applyAlignment="1">
      <alignment vertical="center"/>
    </xf>
    <xf numFmtId="166" fontId="28" fillId="0" borderId="9" xfId="3" applyFont="1" applyBorder="1" applyAlignment="1">
      <alignment vertical="center"/>
    </xf>
    <xf numFmtId="10" fontId="28" fillId="0" borderId="15" xfId="2" applyNumberFormat="1" applyFont="1" applyBorder="1" applyAlignment="1">
      <alignment horizontal="center" vertical="center"/>
    </xf>
    <xf numFmtId="166" fontId="4" fillId="2" borderId="0" xfId="3" applyFont="1" applyFill="1" applyBorder="1" applyAlignment="1">
      <alignment horizontal="center" vertical="center"/>
    </xf>
    <xf numFmtId="166" fontId="4" fillId="2" borderId="1" xfId="3" applyFont="1" applyFill="1" applyBorder="1" applyAlignment="1">
      <alignment horizontal="center" vertical="center"/>
    </xf>
    <xf numFmtId="3" fontId="2" fillId="0" borderId="1" xfId="3" applyNumberFormat="1" applyFont="1" applyBorder="1" applyAlignment="1">
      <alignment horizontal="center" vertical="center"/>
    </xf>
    <xf numFmtId="3" fontId="2" fillId="0" borderId="0" xfId="3" applyNumberFormat="1" applyFont="1" applyBorder="1" applyAlignment="1">
      <alignment horizontal="center" vertical="center"/>
    </xf>
    <xf numFmtId="166" fontId="4" fillId="2" borderId="0" xfId="3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3" fontId="2" fillId="0" borderId="3" xfId="3" applyNumberFormat="1" applyFont="1" applyBorder="1" applyAlignment="1">
      <alignment horizontal="center" vertical="center"/>
    </xf>
    <xf numFmtId="166" fontId="4" fillId="2" borderId="3" xfId="3" applyFont="1" applyFill="1" applyBorder="1" applyAlignment="1">
      <alignment horizontal="center" vertical="center"/>
    </xf>
    <xf numFmtId="3" fontId="2" fillId="0" borderId="6" xfId="3" applyNumberFormat="1" applyFont="1" applyBorder="1" applyAlignment="1">
      <alignment horizontal="center" vertical="center"/>
    </xf>
    <xf numFmtId="166" fontId="2" fillId="0" borderId="3" xfId="3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66" fontId="4" fillId="2" borderId="7" xfId="3" applyFont="1" applyFill="1" applyBorder="1" applyAlignment="1">
      <alignment vertical="center"/>
    </xf>
    <xf numFmtId="166" fontId="2" fillId="0" borderId="9" xfId="3" applyFont="1" applyBorder="1" applyAlignment="1">
      <alignment horizontal="left" vertical="center"/>
    </xf>
    <xf numFmtId="167" fontId="2" fillId="0" borderId="0" xfId="3" applyNumberFormat="1" applyFont="1" applyAlignment="1">
      <alignment vertical="center"/>
    </xf>
    <xf numFmtId="2" fontId="2" fillId="3" borderId="18" xfId="0" applyNumberFormat="1" applyFont="1" applyFill="1" applyBorder="1" applyAlignment="1">
      <alignment horizontal="center" vertical="center"/>
    </xf>
    <xf numFmtId="168" fontId="2" fillId="3" borderId="2" xfId="3" applyNumberFormat="1" applyFont="1" applyFill="1" applyBorder="1" applyAlignment="1">
      <alignment horizontal="center" vertical="center"/>
    </xf>
    <xf numFmtId="168" fontId="2" fillId="3" borderId="1" xfId="3" applyNumberFormat="1" applyFont="1" applyFill="1" applyBorder="1" applyAlignment="1">
      <alignment horizontal="center" vertical="center"/>
    </xf>
    <xf numFmtId="166" fontId="2" fillId="3" borderId="0" xfId="3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166" fontId="2" fillId="3" borderId="10" xfId="3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8" xfId="0" applyFont="1" applyBorder="1" applyAlignment="1">
      <alignment vertical="center"/>
    </xf>
    <xf numFmtId="166" fontId="2" fillId="0" borderId="10" xfId="3" applyFont="1" applyBorder="1" applyAlignment="1">
      <alignment horizontal="right" vertical="center"/>
    </xf>
    <xf numFmtId="168" fontId="2" fillId="12" borderId="2" xfId="3" applyNumberFormat="1" applyFont="1" applyFill="1" applyBorder="1" applyAlignment="1">
      <alignment horizontal="center" vertical="center"/>
    </xf>
    <xf numFmtId="168" fontId="2" fillId="0" borderId="0" xfId="3" applyNumberFormat="1" applyFont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6" fontId="2" fillId="0" borderId="0" xfId="3" applyFont="1" applyAlignment="1">
      <alignment horizontal="right" vertical="center"/>
    </xf>
    <xf numFmtId="0" fontId="2" fillId="0" borderId="4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66" fontId="4" fillId="0" borderId="14" xfId="3" applyFont="1" applyBorder="1" applyAlignment="1">
      <alignment horizontal="left" vertical="center"/>
    </xf>
    <xf numFmtId="166" fontId="4" fillId="0" borderId="9" xfId="3" applyFont="1" applyBorder="1" applyAlignment="1">
      <alignment horizontal="left" vertical="center"/>
    </xf>
    <xf numFmtId="0" fontId="18" fillId="7" borderId="25" xfId="0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4" xfId="0" applyFont="1" applyFill="1" applyBorder="1" applyAlignment="1">
      <alignment horizontal="center" vertical="center"/>
    </xf>
    <xf numFmtId="166" fontId="5" fillId="7" borderId="5" xfId="3" applyFont="1" applyFill="1" applyBorder="1" applyAlignment="1">
      <alignment horizontal="center" vertical="center"/>
    </xf>
    <xf numFmtId="166" fontId="5" fillId="7" borderId="6" xfId="3" applyFont="1" applyFill="1" applyBorder="1" applyAlignment="1">
      <alignment horizontal="center" vertical="center"/>
    </xf>
    <xf numFmtId="166" fontId="5" fillId="7" borderId="7" xfId="3" applyFont="1" applyFill="1" applyBorder="1" applyAlignment="1">
      <alignment horizontal="center" vertical="center"/>
    </xf>
    <xf numFmtId="166" fontId="4" fillId="0" borderId="5" xfId="3" applyFont="1" applyBorder="1" applyAlignment="1">
      <alignment horizontal="center" vertical="center"/>
    </xf>
    <xf numFmtId="166" fontId="4" fillId="0" borderId="6" xfId="3" applyFont="1" applyBorder="1" applyAlignment="1">
      <alignment horizontal="center" vertical="center"/>
    </xf>
    <xf numFmtId="166" fontId="4" fillId="0" borderId="42" xfId="3" applyFont="1" applyBorder="1" applyAlignment="1">
      <alignment horizontal="center" vertical="center"/>
    </xf>
    <xf numFmtId="166" fontId="2" fillId="0" borderId="8" xfId="3" applyFont="1" applyBorder="1" applyAlignment="1">
      <alignment horizontal="center" vertical="center"/>
    </xf>
    <xf numFmtId="166" fontId="2" fillId="0" borderId="10" xfId="3" applyFont="1" applyBorder="1" applyAlignment="1">
      <alignment horizontal="center" vertical="center"/>
    </xf>
    <xf numFmtId="0" fontId="18" fillId="7" borderId="21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/>
    </xf>
    <xf numFmtId="0" fontId="18" fillId="9" borderId="45" xfId="0" applyFont="1" applyFill="1" applyBorder="1" applyAlignment="1">
      <alignment horizontal="center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9" fontId="8" fillId="0" borderId="21" xfId="2" applyFont="1" applyBorder="1" applyAlignment="1">
      <alignment horizontal="center"/>
    </xf>
    <xf numFmtId="9" fontId="8" fillId="0" borderId="22" xfId="2" applyFont="1" applyBorder="1" applyAlignment="1">
      <alignment horizontal="center"/>
    </xf>
    <xf numFmtId="9" fontId="8" fillId="0" borderId="12" xfId="2" applyFont="1" applyBorder="1" applyAlignment="1">
      <alignment horizontal="center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18" fillId="9" borderId="21" xfId="0" applyFont="1" applyFill="1" applyBorder="1" applyAlignment="1">
      <alignment horizontal="center"/>
    </xf>
    <xf numFmtId="0" fontId="18" fillId="9" borderId="22" xfId="0" applyFont="1" applyFill="1" applyBorder="1" applyAlignment="1">
      <alignment horizontal="center"/>
    </xf>
    <xf numFmtId="0" fontId="18" fillId="9" borderId="12" xfId="0" applyFont="1" applyFill="1" applyBorder="1" applyAlignment="1">
      <alignment horizontal="center"/>
    </xf>
    <xf numFmtId="10" fontId="6" fillId="0" borderId="0" xfId="0" applyNumberFormat="1" applyFont="1"/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9"/>
  <sheetViews>
    <sheetView view="pageBreakPreview" topLeftCell="A13" zoomScaleNormal="100" zoomScaleSheetLayoutView="100" workbookViewId="0">
      <selection activeCell="C25" sqref="C25"/>
    </sheetView>
  </sheetViews>
  <sheetFormatPr defaultColWidth="9.109375" defaultRowHeight="13.2" x14ac:dyDescent="0.25"/>
  <cols>
    <col min="1" max="1" width="44.5546875" style="6" customWidth="1"/>
    <col min="2" max="2" width="16" style="6" bestFit="1" customWidth="1"/>
    <col min="3" max="3" width="11.88671875" style="6" customWidth="1"/>
    <col min="4" max="4" width="14.6640625" style="7" customWidth="1"/>
    <col min="5" max="5" width="15.44140625" style="7" customWidth="1"/>
    <col min="6" max="6" width="13.33203125" style="7" customWidth="1"/>
    <col min="7" max="7" width="28.109375" style="7" customWidth="1"/>
    <col min="8" max="8" width="9.109375" style="6"/>
    <col min="9" max="9" width="14.5546875" style="6" customWidth="1"/>
    <col min="10" max="10" width="13.44140625" style="6" customWidth="1"/>
    <col min="11" max="18" width="9.109375" style="6"/>
    <col min="19" max="19" width="10" style="6" bestFit="1" customWidth="1"/>
    <col min="20" max="16384" width="9.109375" style="6"/>
  </cols>
  <sheetData>
    <row r="1" spans="1:7" s="2" customFormat="1" ht="16.5" customHeight="1" thickBot="1" x14ac:dyDescent="0.3">
      <c r="A1" s="4"/>
      <c r="B1" s="3"/>
      <c r="C1" s="3"/>
      <c r="D1" s="194"/>
      <c r="E1" s="194"/>
      <c r="F1" s="194"/>
      <c r="G1" s="194"/>
    </row>
    <row r="2" spans="1:7" s="5" customFormat="1" ht="17.399999999999999" x14ac:dyDescent="0.25">
      <c r="A2" s="316" t="s">
        <v>244</v>
      </c>
      <c r="B2" s="317"/>
      <c r="C2" s="317"/>
      <c r="D2" s="317"/>
      <c r="E2" s="317"/>
      <c r="F2" s="318"/>
      <c r="G2" s="19"/>
    </row>
    <row r="3" spans="1:7" s="5" customFormat="1" ht="21.75" customHeight="1" x14ac:dyDescent="0.25">
      <c r="A3" s="319" t="s">
        <v>245</v>
      </c>
      <c r="B3" s="320"/>
      <c r="C3" s="320"/>
      <c r="D3" s="320"/>
      <c r="E3" s="320"/>
      <c r="F3" s="321"/>
      <c r="G3" s="19"/>
    </row>
    <row r="4" spans="1:7" s="2" customFormat="1" ht="10.95" customHeight="1" thickBot="1" x14ac:dyDescent="0.3">
      <c r="A4" s="69"/>
      <c r="B4" s="3"/>
      <c r="C4" s="3"/>
      <c r="D4" s="195"/>
      <c r="E4" s="195"/>
      <c r="F4" s="196"/>
      <c r="G4" s="194"/>
    </row>
    <row r="5" spans="1:7" s="2" customFormat="1" ht="15.75" customHeight="1" thickBot="1" x14ac:dyDescent="0.3">
      <c r="A5" s="322" t="s">
        <v>185</v>
      </c>
      <c r="B5" s="323"/>
      <c r="C5" s="323"/>
      <c r="D5" s="323"/>
      <c r="E5" s="323"/>
      <c r="F5" s="324"/>
      <c r="G5" s="194"/>
    </row>
    <row r="6" spans="1:7" s="2" customFormat="1" ht="15.75" customHeight="1" x14ac:dyDescent="0.25">
      <c r="A6" s="32" t="s">
        <v>184</v>
      </c>
      <c r="B6" s="197"/>
      <c r="C6" s="197"/>
      <c r="D6" s="151"/>
      <c r="E6" s="52" t="s">
        <v>34</v>
      </c>
      <c r="F6" s="20" t="s">
        <v>1</v>
      </c>
      <c r="G6" s="194"/>
    </row>
    <row r="7" spans="1:7" s="8" customFormat="1" ht="15.75" customHeight="1" x14ac:dyDescent="0.25">
      <c r="A7" s="59" t="str">
        <f>A40</f>
        <v>1. Mão-de-obra</v>
      </c>
      <c r="B7" s="60"/>
      <c r="C7" s="61"/>
      <c r="D7" s="61"/>
      <c r="E7" s="269">
        <f>F71</f>
        <v>10150.6701402</v>
      </c>
      <c r="F7" s="270">
        <f>IFERROR(E7/$E$26,0)</f>
        <v>0.30681133176375786</v>
      </c>
      <c r="G7" s="23"/>
    </row>
    <row r="8" spans="1:7" s="2" customFormat="1" ht="15.75" customHeight="1" x14ac:dyDescent="0.25">
      <c r="A8" s="279" t="str">
        <f>A42</f>
        <v>1.1. Coletor Turno Dia</v>
      </c>
      <c r="B8" s="276"/>
      <c r="C8" s="280"/>
      <c r="D8" s="280"/>
      <c r="E8" s="277">
        <f>F50</f>
        <v>7086.8893976999998</v>
      </c>
      <c r="F8" s="281">
        <f t="shared" ref="F8:F25" si="0">IFERROR(E8/$E$26,0)</f>
        <v>0.21420634737796251</v>
      </c>
      <c r="G8" s="194"/>
    </row>
    <row r="9" spans="1:7" s="2" customFormat="1" ht="15.75" customHeight="1" x14ac:dyDescent="0.25">
      <c r="A9" s="279" t="str">
        <f>A52</f>
        <v>1.2. Motorista Turno do Dia</v>
      </c>
      <c r="B9" s="276"/>
      <c r="C9" s="280"/>
      <c r="D9" s="280"/>
      <c r="E9" s="277">
        <f>F60</f>
        <v>2395.7647425</v>
      </c>
      <c r="F9" s="281">
        <f t="shared" si="0"/>
        <v>7.2413718610365427E-2</v>
      </c>
      <c r="G9" s="194"/>
    </row>
    <row r="10" spans="1:7" s="2" customFormat="1" ht="15.75" customHeight="1" x14ac:dyDescent="0.25">
      <c r="A10" s="279" t="str">
        <f>A62</f>
        <v>1.3. Auxilio Alimentação</v>
      </c>
      <c r="B10" s="276"/>
      <c r="C10" s="280"/>
      <c r="D10" s="280"/>
      <c r="E10" s="277">
        <f>F66</f>
        <v>668.01600000000008</v>
      </c>
      <c r="F10" s="281">
        <f t="shared" si="0"/>
        <v>2.0191265775429901E-2</v>
      </c>
      <c r="G10" s="194"/>
    </row>
    <row r="11" spans="1:7" s="2" customFormat="1" ht="15.75" customHeight="1" x14ac:dyDescent="0.25">
      <c r="A11" s="279" t="str">
        <f>A70</f>
        <v>Reserva técnica</v>
      </c>
      <c r="B11" s="276"/>
      <c r="C11" s="280"/>
      <c r="D11" s="280"/>
      <c r="E11" s="277">
        <f>F70</f>
        <v>0</v>
      </c>
      <c r="F11" s="281">
        <f t="shared" si="0"/>
        <v>0</v>
      </c>
      <c r="G11" s="194"/>
    </row>
    <row r="12" spans="1:7" s="8" customFormat="1" ht="15.75" customHeight="1" x14ac:dyDescent="0.25">
      <c r="A12" s="314" t="str">
        <f>A75</f>
        <v>2. Uniformes e Equipamentos de Proteção Individual</v>
      </c>
      <c r="B12" s="315"/>
      <c r="C12" s="315"/>
      <c r="D12" s="61"/>
      <c r="E12" s="269">
        <f>F110</f>
        <v>478.95041666666668</v>
      </c>
      <c r="F12" s="270">
        <f t="shared" si="0"/>
        <v>1.447662205122266E-2</v>
      </c>
      <c r="G12" s="23"/>
    </row>
    <row r="13" spans="1:7" s="8" customFormat="1" ht="15.75" customHeight="1" x14ac:dyDescent="0.25">
      <c r="A13" s="33" t="str">
        <f>A109</f>
        <v>Reserva técnica</v>
      </c>
      <c r="B13" s="294"/>
      <c r="C13" s="294"/>
      <c r="D13" s="202"/>
      <c r="E13" s="277">
        <f>F109</f>
        <v>4.7420833333333334</v>
      </c>
      <c r="F13" s="271">
        <f t="shared" si="0"/>
        <v>1.4333289159626397E-4</v>
      </c>
      <c r="G13" s="23"/>
    </row>
    <row r="14" spans="1:7" s="8" customFormat="1" ht="15.75" customHeight="1" x14ac:dyDescent="0.25">
      <c r="A14" s="249" t="str">
        <f>A112</f>
        <v>3. Veículos e Equipamentos</v>
      </c>
      <c r="B14" s="64"/>
      <c r="C14" s="61"/>
      <c r="D14" s="61"/>
      <c r="E14" s="269">
        <f>E15</f>
        <v>14820.557497499998</v>
      </c>
      <c r="F14" s="270">
        <f t="shared" si="0"/>
        <v>0.44796204787319871</v>
      </c>
      <c r="G14" s="23"/>
    </row>
    <row r="15" spans="1:7" s="2" customFormat="1" ht="15.75" customHeight="1" x14ac:dyDescent="0.25">
      <c r="A15" s="33" t="str">
        <f>A114</f>
        <v>3.1. Veículo Coletor 19 M³</v>
      </c>
      <c r="B15" s="278"/>
      <c r="C15" s="280"/>
      <c r="D15" s="280"/>
      <c r="E15" s="277">
        <f>SUM(E16:E21)</f>
        <v>14820.557497499998</v>
      </c>
      <c r="F15" s="271">
        <f t="shared" si="0"/>
        <v>0.44796204787319871</v>
      </c>
      <c r="G15" s="194"/>
    </row>
    <row r="16" spans="1:7" s="2" customFormat="1" ht="15.75" customHeight="1" x14ac:dyDescent="0.25">
      <c r="A16" s="33" t="str">
        <f>A116</f>
        <v>3.1.1. Depreciação</v>
      </c>
      <c r="B16" s="278"/>
      <c r="C16" s="280"/>
      <c r="D16" s="280"/>
      <c r="E16" s="277">
        <f>F130</f>
        <v>2099.75</v>
      </c>
      <c r="F16" s="271">
        <f t="shared" si="0"/>
        <v>6.3466459354205487E-2</v>
      </c>
      <c r="G16" s="194"/>
    </row>
    <row r="17" spans="1:7" s="2" customFormat="1" ht="15.75" customHeight="1" x14ac:dyDescent="0.25">
      <c r="A17" s="33" t="str">
        <f>A132</f>
        <v>3.1.2. Remuneração do Capital</v>
      </c>
      <c r="B17" s="278"/>
      <c r="C17" s="280"/>
      <c r="D17" s="280"/>
      <c r="E17" s="277">
        <f>F146</f>
        <v>2918.1461458333333</v>
      </c>
      <c r="F17" s="271">
        <f t="shared" si="0"/>
        <v>8.8203073582170555E-2</v>
      </c>
      <c r="G17" s="194"/>
    </row>
    <row r="18" spans="1:7" s="2" customFormat="1" ht="15.75" customHeight="1" x14ac:dyDescent="0.25">
      <c r="A18" s="33" t="str">
        <f>A148</f>
        <v>3.1.3. Impostos e Seguros</v>
      </c>
      <c r="B18" s="278"/>
      <c r="C18" s="280"/>
      <c r="D18" s="280"/>
      <c r="E18" s="277">
        <f>F154</f>
        <v>512.40166666666664</v>
      </c>
      <c r="F18" s="271">
        <f t="shared" si="0"/>
        <v>1.5487710227659076E-2</v>
      </c>
      <c r="G18" s="194"/>
    </row>
    <row r="19" spans="1:7" s="2" customFormat="1" ht="15.75" customHeight="1" x14ac:dyDescent="0.25">
      <c r="A19" s="33" t="str">
        <f>A156</f>
        <v>3.1.4. Consumos</v>
      </c>
      <c r="B19" s="278"/>
      <c r="C19" s="280"/>
      <c r="D19" s="280"/>
      <c r="E19" s="277">
        <f>F172</f>
        <v>6979.0286849999984</v>
      </c>
      <c r="F19" s="271">
        <f t="shared" si="0"/>
        <v>0.21094617948250341</v>
      </c>
      <c r="G19" s="194"/>
    </row>
    <row r="20" spans="1:7" s="2" customFormat="1" ht="15.75" customHeight="1" x14ac:dyDescent="0.25">
      <c r="A20" s="33" t="str">
        <f>A174</f>
        <v>3.1.5. Manutenção</v>
      </c>
      <c r="B20" s="278"/>
      <c r="C20" s="280"/>
      <c r="D20" s="280"/>
      <c r="E20" s="277">
        <f>F177</f>
        <v>1244.5089999999998</v>
      </c>
      <c r="F20" s="271">
        <f t="shared" si="0"/>
        <v>3.761618281435547E-2</v>
      </c>
      <c r="G20" s="194"/>
    </row>
    <row r="21" spans="1:7" s="2" customFormat="1" ht="15.75" customHeight="1" x14ac:dyDescent="0.25">
      <c r="A21" s="33" t="str">
        <f>A179</f>
        <v>3.1.6. Pneus</v>
      </c>
      <c r="B21" s="278"/>
      <c r="C21" s="280"/>
      <c r="D21" s="280"/>
      <c r="E21" s="277">
        <f>F186</f>
        <v>1066.722</v>
      </c>
      <c r="F21" s="271">
        <f t="shared" si="0"/>
        <v>3.2242442412304693E-2</v>
      </c>
      <c r="G21" s="194"/>
    </row>
    <row r="22" spans="1:7" x14ac:dyDescent="0.25">
      <c r="A22" s="249" t="str">
        <f>A190</f>
        <v>4. Ferramentas e Materiais de Consumo</v>
      </c>
      <c r="B22" s="64"/>
      <c r="C22" s="61"/>
      <c r="D22" s="61"/>
      <c r="E22" s="269">
        <f>+F200</f>
        <v>71.75</v>
      </c>
      <c r="F22" s="270">
        <f t="shared" si="0"/>
        <v>2.1686955393090813E-3</v>
      </c>
      <c r="G22" s="23"/>
    </row>
    <row r="23" spans="1:7" x14ac:dyDescent="0.25">
      <c r="A23" s="249" t="str">
        <f>A202</f>
        <v>5. Monitoramento da Frota</v>
      </c>
      <c r="B23" s="64"/>
      <c r="C23" s="61"/>
      <c r="D23" s="61"/>
      <c r="E23" s="269">
        <f>+F211</f>
        <v>41.666666666666664</v>
      </c>
      <c r="F23" s="270">
        <f t="shared" si="0"/>
        <v>1.2594050750923816E-3</v>
      </c>
      <c r="G23" s="23"/>
    </row>
    <row r="24" spans="1:7" s="2" customFormat="1" ht="15" customHeight="1" x14ac:dyDescent="0.25">
      <c r="A24" s="249" t="str">
        <f>A215</f>
        <v>6. Benefícios e Despesas Indiretas - BDI</v>
      </c>
      <c r="B24" s="64"/>
      <c r="C24" s="61"/>
      <c r="D24" s="61"/>
      <c r="E24" s="269">
        <f>+F221</f>
        <v>7520.8095669280074</v>
      </c>
      <c r="F24" s="272">
        <f t="shared" si="0"/>
        <v>0.22732189769741928</v>
      </c>
      <c r="G24" s="23"/>
    </row>
    <row r="25" spans="1:7" s="2" customFormat="1" ht="15" customHeight="1" thickBot="1" x14ac:dyDescent="0.3">
      <c r="A25" s="248" t="s">
        <v>259</v>
      </c>
      <c r="B25" s="179"/>
      <c r="C25" s="18"/>
      <c r="D25" s="18"/>
      <c r="E25" s="273">
        <f>F231</f>
        <v>0</v>
      </c>
      <c r="F25" s="272">
        <f t="shared" si="0"/>
        <v>0</v>
      </c>
      <c r="G25" s="23"/>
    </row>
    <row r="26" spans="1:7" s="2" customFormat="1" ht="15" customHeight="1" thickBot="1" x14ac:dyDescent="0.3">
      <c r="A26" s="21" t="s">
        <v>219</v>
      </c>
      <c r="B26" s="22"/>
      <c r="C26" s="14"/>
      <c r="D26" s="14"/>
      <c r="E26" s="274">
        <f>E7+E12+E14+E22+E23+E24+E25</f>
        <v>33084.404287961341</v>
      </c>
      <c r="F26" s="275">
        <f>F7+F12+F14+F22+F23+F24+F25</f>
        <v>1</v>
      </c>
      <c r="G26" s="194"/>
    </row>
    <row r="27" spans="1:7" s="2" customFormat="1" ht="15" customHeight="1" x14ac:dyDescent="0.25">
      <c r="A27" s="4"/>
      <c r="B27" s="4"/>
      <c r="C27" s="4"/>
      <c r="D27" s="174"/>
      <c r="E27" s="174"/>
      <c r="F27" s="174"/>
      <c r="G27" s="174"/>
    </row>
    <row r="28" spans="1:7" s="2" customFormat="1" ht="15" customHeight="1" thickBot="1" x14ac:dyDescent="0.3">
      <c r="A28" s="4"/>
      <c r="B28" s="4"/>
      <c r="C28" s="4"/>
      <c r="D28" s="174"/>
      <c r="E28" s="174"/>
      <c r="F28" s="174"/>
      <c r="G28" s="174"/>
    </row>
    <row r="29" spans="1:7" s="2" customFormat="1" ht="15" customHeight="1" thickBot="1" x14ac:dyDescent="0.3">
      <c r="A29" s="322" t="s">
        <v>86</v>
      </c>
      <c r="B29" s="323"/>
      <c r="C29" s="323"/>
      <c r="D29" s="323"/>
      <c r="E29" s="324"/>
      <c r="F29" s="174"/>
      <c r="G29" s="194"/>
    </row>
    <row r="30" spans="1:7" s="2" customFormat="1" ht="15" customHeight="1" thickBot="1" x14ac:dyDescent="0.3">
      <c r="A30" s="325" t="s">
        <v>35</v>
      </c>
      <c r="B30" s="326"/>
      <c r="C30" s="326"/>
      <c r="D30" s="327"/>
      <c r="E30" s="24" t="s">
        <v>36</v>
      </c>
      <c r="F30" s="174"/>
      <c r="G30" s="194"/>
    </row>
    <row r="31" spans="1:7" s="2" customFormat="1" ht="15" customHeight="1" x14ac:dyDescent="0.25">
      <c r="A31" s="198" t="str">
        <f>+A42</f>
        <v>1.1. Coletor Turno Dia</v>
      </c>
      <c r="B31" s="199"/>
      <c r="C31" s="199"/>
      <c r="D31" s="36"/>
      <c r="E31" s="200">
        <v>3</v>
      </c>
      <c r="F31" s="174"/>
      <c r="G31" s="194"/>
    </row>
    <row r="32" spans="1:7" s="2" customFormat="1" ht="15" customHeight="1" x14ac:dyDescent="0.25">
      <c r="A32" s="201" t="str">
        <f>+A52</f>
        <v>1.2. Motorista Turno do Dia</v>
      </c>
      <c r="B32" s="202"/>
      <c r="C32" s="202"/>
      <c r="D32" s="37"/>
      <c r="E32" s="203">
        <f>C59</f>
        <v>1</v>
      </c>
      <c r="F32" s="174"/>
      <c r="G32" s="194"/>
    </row>
    <row r="33" spans="1:7" s="2" customFormat="1" ht="15" customHeight="1" thickBot="1" x14ac:dyDescent="0.3">
      <c r="A33" s="34" t="s">
        <v>53</v>
      </c>
      <c r="B33" s="35"/>
      <c r="C33" s="35"/>
      <c r="D33" s="38"/>
      <c r="E33" s="39">
        <f>SUM(E31:E32)</f>
        <v>4</v>
      </c>
      <c r="F33" s="174"/>
      <c r="G33" s="194"/>
    </row>
    <row r="34" spans="1:7" s="2" customFormat="1" ht="15" thickBot="1" x14ac:dyDescent="0.3">
      <c r="A34" s="62"/>
      <c r="B34" s="63"/>
      <c r="C34" s="204"/>
      <c r="D34" s="204"/>
      <c r="E34" s="205"/>
      <c r="F34" s="174"/>
      <c r="G34" s="194"/>
    </row>
    <row r="35" spans="1:7" s="8" customFormat="1" ht="15.75" customHeight="1" x14ac:dyDescent="0.25">
      <c r="A35" s="312" t="s">
        <v>50</v>
      </c>
      <c r="B35" s="313"/>
      <c r="C35" s="313"/>
      <c r="D35" s="313"/>
      <c r="E35" s="24" t="s">
        <v>36</v>
      </c>
      <c r="F35" s="4"/>
      <c r="G35" s="194"/>
    </row>
    <row r="36" spans="1:7" s="2" customFormat="1" ht="15.75" customHeight="1" thickBot="1" x14ac:dyDescent="0.3">
      <c r="A36" s="206" t="str">
        <f>+A114</f>
        <v>3.1. Veículo Coletor 19 M³</v>
      </c>
      <c r="B36" s="207"/>
      <c r="C36" s="207"/>
      <c r="D36" s="208"/>
      <c r="E36" s="209">
        <f>C129</f>
        <v>1</v>
      </c>
      <c r="F36" s="4"/>
      <c r="G36" s="194"/>
    </row>
    <row r="37" spans="1:7" ht="11.25" customHeight="1" thickBot="1" x14ac:dyDescent="0.3">
      <c r="A37" s="204"/>
      <c r="B37" s="204"/>
      <c r="C37" s="204"/>
      <c r="D37" s="4"/>
      <c r="E37" s="4"/>
      <c r="F37" s="194"/>
      <c r="G37" s="2"/>
    </row>
    <row r="38" spans="1:7" ht="13.95" customHeight="1" thickBot="1" x14ac:dyDescent="0.3">
      <c r="A38" s="152" t="s">
        <v>179</v>
      </c>
      <c r="B38" s="296">
        <v>0.5</v>
      </c>
      <c r="C38" s="18"/>
      <c r="D38" s="8"/>
      <c r="E38" s="8"/>
      <c r="F38" s="23"/>
      <c r="G38" s="8"/>
    </row>
    <row r="39" spans="1:7" ht="13.95" customHeight="1" x14ac:dyDescent="0.25">
      <c r="A39" s="204"/>
      <c r="B39" s="204"/>
      <c r="C39" s="204"/>
      <c r="D39" s="4"/>
      <c r="E39" s="4"/>
      <c r="F39" s="194"/>
      <c r="G39" s="2"/>
    </row>
    <row r="40" spans="1:7" ht="13.2" customHeight="1" x14ac:dyDescent="0.25">
      <c r="A40" s="8" t="s">
        <v>41</v>
      </c>
      <c r="B40" s="4"/>
      <c r="C40" s="4"/>
      <c r="D40" s="174"/>
      <c r="E40" s="174"/>
      <c r="F40" s="174"/>
      <c r="G40" s="4"/>
    </row>
    <row r="41" spans="1:7" x14ac:dyDescent="0.25">
      <c r="A41" s="4"/>
      <c r="B41" s="4"/>
      <c r="C41" s="4"/>
      <c r="D41" s="174"/>
      <c r="E41" s="174"/>
      <c r="F41" s="174"/>
      <c r="G41" s="4"/>
    </row>
    <row r="42" spans="1:7" ht="13.2" customHeight="1" thickBot="1" x14ac:dyDescent="0.3">
      <c r="A42" s="4" t="s">
        <v>87</v>
      </c>
      <c r="B42" s="4"/>
      <c r="C42" s="4"/>
      <c r="D42" s="174"/>
      <c r="E42" s="174"/>
      <c r="F42" s="174"/>
      <c r="G42" s="4"/>
    </row>
    <row r="43" spans="1:7" ht="13.2" customHeight="1" thickBot="1" x14ac:dyDescent="0.3">
      <c r="A43" s="28" t="s">
        <v>58</v>
      </c>
      <c r="B43" s="29" t="s">
        <v>59</v>
      </c>
      <c r="C43" s="29" t="s">
        <v>36</v>
      </c>
      <c r="D43" s="30" t="s">
        <v>215</v>
      </c>
      <c r="E43" s="30" t="s">
        <v>60</v>
      </c>
      <c r="F43" s="31" t="s">
        <v>61</v>
      </c>
      <c r="G43" s="4"/>
    </row>
    <row r="44" spans="1:7" ht="39.6" x14ac:dyDescent="0.25">
      <c r="A44" s="308" t="s">
        <v>297</v>
      </c>
      <c r="B44" s="173" t="s">
        <v>6</v>
      </c>
      <c r="C44" s="173">
        <v>1</v>
      </c>
      <c r="D44" s="242">
        <v>1949.91</v>
      </c>
      <c r="E44" s="210">
        <f>C44*D44</f>
        <v>1949.91</v>
      </c>
      <c r="F44" s="174">
        <f>IF(D44&lt;1221.88,"O valor informado é menor do que o piso da categoria",)</f>
        <v>0</v>
      </c>
      <c r="G44" s="4"/>
    </row>
    <row r="45" spans="1:7" x14ac:dyDescent="0.25">
      <c r="A45" s="176" t="s">
        <v>0</v>
      </c>
      <c r="B45" s="178" t="s">
        <v>1</v>
      </c>
      <c r="C45" s="178">
        <v>40</v>
      </c>
      <c r="D45" s="211">
        <f>SUM(E44:E44)</f>
        <v>1949.91</v>
      </c>
      <c r="E45" s="212">
        <f>C45*D45/100</f>
        <v>779.96400000000006</v>
      </c>
      <c r="F45" s="174"/>
      <c r="G45" s="4"/>
    </row>
    <row r="46" spans="1:7" ht="13.95" customHeight="1" x14ac:dyDescent="0.25">
      <c r="A46" s="53" t="s">
        <v>2</v>
      </c>
      <c r="B46" s="54"/>
      <c r="C46" s="54"/>
      <c r="D46" s="55"/>
      <c r="E46" s="56">
        <f>SUM(E44:E45)</f>
        <v>2729.8740000000003</v>
      </c>
      <c r="F46" s="174"/>
      <c r="G46" s="4"/>
    </row>
    <row r="47" spans="1:7" ht="11.25" customHeight="1" x14ac:dyDescent="0.25">
      <c r="A47" s="176" t="s">
        <v>3</v>
      </c>
      <c r="B47" s="178" t="s">
        <v>1</v>
      </c>
      <c r="C47" s="213">
        <v>73.069999999999993</v>
      </c>
      <c r="D47" s="212">
        <f>E46</f>
        <v>2729.8740000000003</v>
      </c>
      <c r="E47" s="212">
        <f>D47*C47/100</f>
        <v>1994.7189318000001</v>
      </c>
      <c r="F47" s="174"/>
      <c r="G47" s="4"/>
    </row>
    <row r="48" spans="1:7" ht="13.5" customHeight="1" x14ac:dyDescent="0.25">
      <c r="A48" s="53" t="s">
        <v>67</v>
      </c>
      <c r="B48" s="54"/>
      <c r="C48" s="54"/>
      <c r="D48" s="55"/>
      <c r="E48" s="56">
        <f>E46+E47</f>
        <v>4724.5929317999999</v>
      </c>
      <c r="F48" s="174"/>
      <c r="G48" s="4"/>
    </row>
    <row r="49" spans="1:7" ht="13.5" customHeight="1" thickBot="1" x14ac:dyDescent="0.3">
      <c r="A49" s="176" t="s">
        <v>4</v>
      </c>
      <c r="B49" s="178" t="s">
        <v>5</v>
      </c>
      <c r="C49" s="178">
        <v>3</v>
      </c>
      <c r="D49" s="212">
        <f>E48</f>
        <v>4724.5929317999999</v>
      </c>
      <c r="E49" s="212">
        <f>C49*D49</f>
        <v>14173.7787954</v>
      </c>
      <c r="F49" s="174"/>
      <c r="G49" s="4"/>
    </row>
    <row r="50" spans="1:7" ht="12.75" customHeight="1" thickBot="1" x14ac:dyDescent="0.3">
      <c r="A50" s="4"/>
      <c r="B50" s="4"/>
      <c r="C50" s="304"/>
      <c r="D50" s="305" t="s">
        <v>178</v>
      </c>
      <c r="E50" s="215">
        <v>0.5</v>
      </c>
      <c r="F50" s="58">
        <f>E49*E50</f>
        <v>7086.8893976999998</v>
      </c>
      <c r="G50" s="4"/>
    </row>
    <row r="51" spans="1:7" x14ac:dyDescent="0.25">
      <c r="A51" s="4"/>
      <c r="B51" s="4"/>
      <c r="C51" s="4"/>
      <c r="D51" s="174"/>
      <c r="E51" s="174"/>
      <c r="F51" s="174"/>
      <c r="G51" s="4"/>
    </row>
    <row r="52" spans="1:7" ht="13.8" thickBot="1" x14ac:dyDescent="0.3">
      <c r="A52" s="4" t="s">
        <v>243</v>
      </c>
      <c r="B52" s="4"/>
      <c r="C52" s="4"/>
      <c r="D52" s="174"/>
      <c r="E52" s="174"/>
      <c r="F52" s="174"/>
      <c r="G52" s="4"/>
    </row>
    <row r="53" spans="1:7" ht="13.8" thickBot="1" x14ac:dyDescent="0.3">
      <c r="A53" s="28" t="s">
        <v>58</v>
      </c>
      <c r="B53" s="29" t="s">
        <v>59</v>
      </c>
      <c r="C53" s="218" t="s">
        <v>36</v>
      </c>
      <c r="D53" s="219" t="s">
        <v>215</v>
      </c>
      <c r="E53" s="30" t="s">
        <v>60</v>
      </c>
      <c r="F53" s="31" t="s">
        <v>61</v>
      </c>
      <c r="G53" s="9"/>
    </row>
    <row r="54" spans="1:7" ht="27" customHeight="1" x14ac:dyDescent="0.25">
      <c r="A54" s="308" t="s">
        <v>299</v>
      </c>
      <c r="B54" s="173" t="s">
        <v>6</v>
      </c>
      <c r="C54" s="173">
        <v>1</v>
      </c>
      <c r="D54" s="242">
        <v>2350.5500000000002</v>
      </c>
      <c r="E54" s="210">
        <f>C54*D54</f>
        <v>2350.5500000000002</v>
      </c>
      <c r="F54" s="174">
        <f>IF(D54&lt;1552.22,"O valor informado é menor do que o piso da categoria",)</f>
        <v>0</v>
      </c>
      <c r="G54" s="4"/>
    </row>
    <row r="55" spans="1:7" x14ac:dyDescent="0.25">
      <c r="A55" s="176" t="s">
        <v>0</v>
      </c>
      <c r="B55" s="178" t="s">
        <v>1</v>
      </c>
      <c r="C55" s="178">
        <v>40</v>
      </c>
      <c r="D55" s="211">
        <v>1045</v>
      </c>
      <c r="E55" s="212">
        <f>C55*D55/100</f>
        <v>418</v>
      </c>
      <c r="F55" s="174"/>
      <c r="G55" s="4"/>
    </row>
    <row r="56" spans="1:7" x14ac:dyDescent="0.25">
      <c r="A56" s="43" t="s">
        <v>2</v>
      </c>
      <c r="B56" s="54"/>
      <c r="C56" s="54"/>
      <c r="D56" s="217"/>
      <c r="E56" s="45">
        <f>SUM(E54:E55)</f>
        <v>2768.55</v>
      </c>
      <c r="F56" s="23"/>
      <c r="G56" s="8"/>
    </row>
    <row r="57" spans="1:7" ht="11.25" customHeight="1" x14ac:dyDescent="0.25">
      <c r="A57" s="176" t="s">
        <v>3</v>
      </c>
      <c r="B57" s="178" t="s">
        <v>1</v>
      </c>
      <c r="C57" s="213">
        <v>73.069999999999993</v>
      </c>
      <c r="D57" s="211">
        <f>E56</f>
        <v>2768.55</v>
      </c>
      <c r="E57" s="212">
        <f>D57*C57/100</f>
        <v>2022.9794850000001</v>
      </c>
      <c r="F57" s="174"/>
      <c r="G57" s="4"/>
    </row>
    <row r="58" spans="1:7" ht="13.5" customHeight="1" x14ac:dyDescent="0.25">
      <c r="A58" s="43" t="s">
        <v>231</v>
      </c>
      <c r="B58" s="158"/>
      <c r="C58" s="158"/>
      <c r="D58" s="221"/>
      <c r="E58" s="45">
        <f>E56+E57</f>
        <v>4791.529485</v>
      </c>
      <c r="F58" s="23"/>
      <c r="G58" s="8"/>
    </row>
    <row r="59" spans="1:7" ht="13.5" customHeight="1" thickBot="1" x14ac:dyDescent="0.3">
      <c r="A59" s="176" t="s">
        <v>4</v>
      </c>
      <c r="B59" s="178" t="s">
        <v>5</v>
      </c>
      <c r="C59" s="178">
        <v>1</v>
      </c>
      <c r="D59" s="211">
        <f>E58</f>
        <v>4791.529485</v>
      </c>
      <c r="E59" s="212">
        <f>C59*D59</f>
        <v>4791.529485</v>
      </c>
      <c r="F59" s="174"/>
      <c r="G59" s="4"/>
    </row>
    <row r="60" spans="1:7" ht="12.75" customHeight="1" thickBot="1" x14ac:dyDescent="0.3">
      <c r="A60" s="4"/>
      <c r="B60" s="4"/>
      <c r="C60" s="304"/>
      <c r="D60" s="305" t="s">
        <v>178</v>
      </c>
      <c r="E60" s="215">
        <v>0.5</v>
      </c>
      <c r="F60" s="58">
        <f>E59*E60</f>
        <v>2395.7647425</v>
      </c>
      <c r="G60" s="4"/>
    </row>
    <row r="61" spans="1:7" ht="12.75" customHeight="1" x14ac:dyDescent="0.25">
      <c r="A61" s="4"/>
      <c r="B61" s="4"/>
      <c r="C61" s="4"/>
      <c r="D61" s="174"/>
      <c r="E61" s="174"/>
      <c r="F61" s="174"/>
      <c r="G61" s="4"/>
    </row>
    <row r="62" spans="1:7" ht="13.5" customHeight="1" thickBot="1" x14ac:dyDescent="0.3">
      <c r="A62" s="4" t="s">
        <v>291</v>
      </c>
      <c r="B62" s="292"/>
      <c r="C62" s="4"/>
      <c r="D62" s="4"/>
      <c r="E62" s="4"/>
      <c r="F62" s="174"/>
      <c r="G62" s="4"/>
    </row>
    <row r="63" spans="1:7" ht="13.5" customHeight="1" thickBot="1" x14ac:dyDescent="0.3">
      <c r="A63" s="28" t="s">
        <v>58</v>
      </c>
      <c r="B63" s="29" t="s">
        <v>59</v>
      </c>
      <c r="C63" s="29" t="s">
        <v>36</v>
      </c>
      <c r="D63" s="30" t="s">
        <v>215</v>
      </c>
      <c r="E63" s="30" t="s">
        <v>60</v>
      </c>
      <c r="F63" s="31" t="s">
        <v>61</v>
      </c>
      <c r="G63" s="4"/>
    </row>
    <row r="64" spans="1:7" ht="30" customHeight="1" x14ac:dyDescent="0.25">
      <c r="A64" s="309" t="s">
        <v>298</v>
      </c>
      <c r="B64" s="178" t="s">
        <v>59</v>
      </c>
      <c r="C64" s="239">
        <v>3</v>
      </c>
      <c r="D64" s="242">
        <v>610.08000000000004</v>
      </c>
      <c r="E64" s="212">
        <f>IFERROR(C64*D64,"-")</f>
        <v>1830.2400000000002</v>
      </c>
      <c r="F64" s="174"/>
      <c r="G64" s="4"/>
    </row>
    <row r="65" spans="1:7" ht="26.25" customHeight="1" thickBot="1" x14ac:dyDescent="0.3">
      <c r="A65" s="308" t="s">
        <v>300</v>
      </c>
      <c r="B65" s="173" t="s">
        <v>59</v>
      </c>
      <c r="C65" s="222">
        <v>1</v>
      </c>
      <c r="D65" s="210">
        <v>396.48</v>
      </c>
      <c r="E65" s="210">
        <f>IFERROR(C65*D65,"-")</f>
        <v>396.48</v>
      </c>
      <c r="F65" s="174"/>
      <c r="G65" s="4"/>
    </row>
    <row r="66" spans="1:7" ht="13.5" customHeight="1" thickBot="1" x14ac:dyDescent="0.3">
      <c r="A66" s="4"/>
      <c r="B66" s="4"/>
      <c r="C66" s="328" t="str">
        <f>D60</f>
        <v>Fator de utilização</v>
      </c>
      <c r="D66" s="329"/>
      <c r="E66" s="215">
        <v>4</v>
      </c>
      <c r="F66" s="293">
        <f>(E64+E65)*0.3</f>
        <v>668.01600000000008</v>
      </c>
      <c r="G66" s="4"/>
    </row>
    <row r="67" spans="1:7" ht="13.5" customHeight="1" thickBot="1" x14ac:dyDescent="0.3">
      <c r="A67" s="4"/>
      <c r="B67" s="4"/>
      <c r="C67" s="4"/>
      <c r="D67" s="174"/>
      <c r="E67" s="174"/>
      <c r="F67" s="174"/>
      <c r="G67" s="4"/>
    </row>
    <row r="68" spans="1:7" ht="13.5" customHeight="1" thickBot="1" x14ac:dyDescent="0.3">
      <c r="A68" s="12" t="s">
        <v>288</v>
      </c>
      <c r="B68" s="13"/>
      <c r="C68" s="13"/>
      <c r="D68" s="14"/>
      <c r="E68" s="15"/>
      <c r="F68" s="11">
        <f>F60+F50+F66</f>
        <v>10150.6701402</v>
      </c>
      <c r="G68" s="4"/>
    </row>
    <row r="69" spans="1:7" ht="13.5" customHeight="1" x14ac:dyDescent="0.25">
      <c r="A69" s="8"/>
      <c r="B69" s="4"/>
      <c r="C69" s="4"/>
      <c r="D69" s="49" t="s">
        <v>59</v>
      </c>
      <c r="E69" s="49" t="s">
        <v>36</v>
      </c>
      <c r="F69" s="282"/>
      <c r="G69" s="4"/>
    </row>
    <row r="70" spans="1:7" ht="13.5" customHeight="1" thickBot="1" x14ac:dyDescent="0.3">
      <c r="A70" s="53" t="s">
        <v>289</v>
      </c>
      <c r="B70" s="287"/>
      <c r="C70" s="287"/>
      <c r="D70" s="291" t="s">
        <v>1</v>
      </c>
      <c r="E70" s="288">
        <v>0</v>
      </c>
      <c r="F70" s="289"/>
      <c r="G70" s="4"/>
    </row>
    <row r="71" spans="1:7" ht="13.5" customHeight="1" thickBot="1" x14ac:dyDescent="0.3">
      <c r="A71" s="12" t="s">
        <v>290</v>
      </c>
      <c r="B71" s="226"/>
      <c r="C71" s="226"/>
      <c r="D71" s="227"/>
      <c r="E71" s="290"/>
      <c r="F71" s="58">
        <f>F68+F70</f>
        <v>10150.6701402</v>
      </c>
      <c r="G71" s="4"/>
    </row>
    <row r="72" spans="1:7" ht="13.5" customHeight="1" x14ac:dyDescent="0.25">
      <c r="A72" s="8"/>
      <c r="B72" s="8"/>
      <c r="C72" s="8"/>
      <c r="D72" s="18"/>
      <c r="E72" s="18"/>
      <c r="F72" s="286"/>
      <c r="G72" s="4"/>
    </row>
    <row r="73" spans="1:7" ht="13.5" customHeight="1" x14ac:dyDescent="0.25">
      <c r="A73" s="8"/>
      <c r="B73" s="8"/>
      <c r="C73" s="8"/>
      <c r="D73" s="18"/>
      <c r="E73" s="18"/>
      <c r="F73" s="286"/>
      <c r="G73" s="4"/>
    </row>
    <row r="74" spans="1:7" ht="13.5" customHeight="1" x14ac:dyDescent="0.25">
      <c r="A74" s="4"/>
      <c r="B74" s="4"/>
      <c r="C74" s="4"/>
      <c r="D74" s="174"/>
      <c r="E74" s="174"/>
      <c r="F74" s="174"/>
      <c r="G74" s="174"/>
    </row>
    <row r="75" spans="1:7" ht="13.5" customHeight="1" x14ac:dyDescent="0.25">
      <c r="A75" s="8" t="s">
        <v>39</v>
      </c>
      <c r="B75" s="4"/>
      <c r="C75" s="4"/>
      <c r="D75" s="174"/>
      <c r="E75" s="174"/>
      <c r="F75" s="174"/>
      <c r="G75" s="4"/>
    </row>
    <row r="76" spans="1:7" x14ac:dyDescent="0.25">
      <c r="A76" s="4"/>
      <c r="B76" s="4"/>
      <c r="C76" s="4"/>
      <c r="D76" s="174"/>
      <c r="E76" s="174"/>
      <c r="F76" s="174"/>
      <c r="G76" s="4"/>
    </row>
    <row r="77" spans="1:7" x14ac:dyDescent="0.25">
      <c r="A77" s="4" t="s">
        <v>180</v>
      </c>
      <c r="B77" s="4"/>
      <c r="C77" s="4"/>
      <c r="D77" s="174"/>
      <c r="E77" s="174"/>
      <c r="F77" s="174"/>
      <c r="G77" s="4"/>
    </row>
    <row r="78" spans="1:7" ht="13.8" thickBot="1" x14ac:dyDescent="0.3">
      <c r="A78" s="4"/>
      <c r="B78" s="4"/>
      <c r="C78" s="4"/>
      <c r="D78" s="174"/>
      <c r="E78" s="174"/>
      <c r="F78" s="174"/>
      <c r="G78" s="4"/>
    </row>
    <row r="79" spans="1:7" ht="24.6" thickBot="1" x14ac:dyDescent="0.3">
      <c r="A79" s="28" t="s">
        <v>58</v>
      </c>
      <c r="B79" s="29" t="s">
        <v>59</v>
      </c>
      <c r="C79" s="159" t="s">
        <v>233</v>
      </c>
      <c r="D79" s="30" t="s">
        <v>215</v>
      </c>
      <c r="E79" s="30" t="s">
        <v>60</v>
      </c>
      <c r="F79" s="31" t="s">
        <v>61</v>
      </c>
      <c r="G79" s="4"/>
    </row>
    <row r="80" spans="1:7" x14ac:dyDescent="0.25">
      <c r="A80" s="172" t="s">
        <v>62</v>
      </c>
      <c r="B80" s="173" t="s">
        <v>7</v>
      </c>
      <c r="C80" s="220">
        <v>12</v>
      </c>
      <c r="D80" s="242">
        <v>200</v>
      </c>
      <c r="E80" s="210">
        <f>IFERROR(D80/C80,0)</f>
        <v>16.666666666666668</v>
      </c>
      <c r="F80" s="174"/>
      <c r="G80" s="4"/>
    </row>
    <row r="81" spans="1:7" x14ac:dyDescent="0.25">
      <c r="A81" s="176" t="s">
        <v>27</v>
      </c>
      <c r="B81" s="178" t="s">
        <v>7</v>
      </c>
      <c r="C81" s="220">
        <v>3</v>
      </c>
      <c r="D81" s="242">
        <v>120</v>
      </c>
      <c r="E81" s="210">
        <f t="shared" ref="E81:E89" si="1">IFERROR(D81/C81,0)</f>
        <v>40</v>
      </c>
      <c r="F81" s="174"/>
      <c r="G81" s="4"/>
    </row>
    <row r="82" spans="1:7" x14ac:dyDescent="0.25">
      <c r="A82" s="176" t="s">
        <v>28</v>
      </c>
      <c r="B82" s="178" t="s">
        <v>7</v>
      </c>
      <c r="C82" s="220">
        <v>3</v>
      </c>
      <c r="D82" s="242">
        <v>30</v>
      </c>
      <c r="E82" s="210">
        <f t="shared" si="1"/>
        <v>10</v>
      </c>
      <c r="F82" s="174"/>
      <c r="G82" s="4"/>
    </row>
    <row r="83" spans="1:7" ht="11.25" customHeight="1" x14ac:dyDescent="0.25">
      <c r="A83" s="176" t="s">
        <v>29</v>
      </c>
      <c r="B83" s="178" t="s">
        <v>7</v>
      </c>
      <c r="C83" s="220">
        <v>6</v>
      </c>
      <c r="D83" s="242">
        <v>15</v>
      </c>
      <c r="E83" s="210">
        <f t="shared" si="1"/>
        <v>2.5</v>
      </c>
      <c r="F83" s="174"/>
      <c r="G83" s="4"/>
    </row>
    <row r="84" spans="1:7" x14ac:dyDescent="0.25">
      <c r="A84" s="176" t="s">
        <v>64</v>
      </c>
      <c r="B84" s="178" t="s">
        <v>42</v>
      </c>
      <c r="C84" s="220">
        <v>6</v>
      </c>
      <c r="D84" s="242">
        <v>129</v>
      </c>
      <c r="E84" s="210">
        <f t="shared" si="1"/>
        <v>21.5</v>
      </c>
      <c r="F84" s="174"/>
      <c r="G84" s="4"/>
    </row>
    <row r="85" spans="1:7" x14ac:dyDescent="0.25">
      <c r="A85" s="176" t="s">
        <v>85</v>
      </c>
      <c r="B85" s="178" t="s">
        <v>42</v>
      </c>
      <c r="C85" s="220">
        <v>2</v>
      </c>
      <c r="D85" s="242">
        <v>20</v>
      </c>
      <c r="E85" s="210">
        <f t="shared" si="1"/>
        <v>10</v>
      </c>
      <c r="F85" s="174"/>
      <c r="G85" s="174"/>
    </row>
    <row r="86" spans="1:7" x14ac:dyDescent="0.25">
      <c r="A86" s="176" t="s">
        <v>63</v>
      </c>
      <c r="B86" s="178" t="s">
        <v>7</v>
      </c>
      <c r="C86" s="220">
        <v>6</v>
      </c>
      <c r="D86" s="242">
        <v>60</v>
      </c>
      <c r="E86" s="210">
        <f t="shared" si="1"/>
        <v>10</v>
      </c>
      <c r="F86" s="174"/>
      <c r="G86" s="174"/>
    </row>
    <row r="87" spans="1:7" x14ac:dyDescent="0.25">
      <c r="A87" s="177" t="s">
        <v>8</v>
      </c>
      <c r="B87" s="224" t="s">
        <v>7</v>
      </c>
      <c r="C87" s="220">
        <v>12</v>
      </c>
      <c r="D87" s="242">
        <v>45</v>
      </c>
      <c r="E87" s="210">
        <f t="shared" si="1"/>
        <v>3.75</v>
      </c>
      <c r="F87" s="225"/>
      <c r="G87" s="225"/>
    </row>
    <row r="88" spans="1:7" x14ac:dyDescent="0.25">
      <c r="A88" s="176" t="s">
        <v>30</v>
      </c>
      <c r="B88" s="178" t="s">
        <v>42</v>
      </c>
      <c r="C88" s="220">
        <v>1</v>
      </c>
      <c r="D88" s="242">
        <v>14</v>
      </c>
      <c r="E88" s="210">
        <f t="shared" si="1"/>
        <v>14</v>
      </c>
      <c r="F88" s="174"/>
      <c r="G88" s="174"/>
    </row>
    <row r="89" spans="1:7" x14ac:dyDescent="0.25">
      <c r="A89" s="176" t="s">
        <v>57</v>
      </c>
      <c r="B89" s="178" t="s">
        <v>43</v>
      </c>
      <c r="C89" s="220">
        <v>3</v>
      </c>
      <c r="D89" s="242">
        <v>30</v>
      </c>
      <c r="E89" s="210">
        <f t="shared" si="1"/>
        <v>10</v>
      </c>
      <c r="F89" s="174"/>
      <c r="G89" s="174"/>
    </row>
    <row r="90" spans="1:7" ht="13.5" customHeight="1" x14ac:dyDescent="0.25">
      <c r="A90" s="176" t="s">
        <v>181</v>
      </c>
      <c r="B90" s="178" t="s">
        <v>103</v>
      </c>
      <c r="C90" s="220">
        <v>1</v>
      </c>
      <c r="D90" s="242">
        <v>100</v>
      </c>
      <c r="E90" s="212">
        <f>C90*D90</f>
        <v>100</v>
      </c>
      <c r="F90" s="174"/>
      <c r="G90" s="174"/>
    </row>
    <row r="91" spans="1:7" ht="13.5" customHeight="1" thickBot="1" x14ac:dyDescent="0.3">
      <c r="A91" s="176" t="s">
        <v>4</v>
      </c>
      <c r="B91" s="178" t="s">
        <v>5</v>
      </c>
      <c r="C91" s="220">
        <v>3</v>
      </c>
      <c r="D91" s="244">
        <f>SUM(E80:E90)</f>
        <v>238.41666666666669</v>
      </c>
      <c r="E91" s="212">
        <f>C91*D91</f>
        <v>715.25</v>
      </c>
      <c r="F91" s="174"/>
      <c r="G91" s="174"/>
    </row>
    <row r="92" spans="1:7" ht="12.75" customHeight="1" thickBot="1" x14ac:dyDescent="0.3">
      <c r="A92" s="4"/>
      <c r="B92" s="4"/>
      <c r="C92" s="304"/>
      <c r="D92" s="305" t="s">
        <v>178</v>
      </c>
      <c r="E92" s="215">
        <f>B38</f>
        <v>0.5</v>
      </c>
      <c r="F92" s="58">
        <f>E91*E92</f>
        <v>357.625</v>
      </c>
      <c r="G92" s="174"/>
    </row>
    <row r="93" spans="1:7" ht="13.5" customHeight="1" x14ac:dyDescent="0.25">
      <c r="A93" s="4"/>
      <c r="B93" s="4"/>
      <c r="C93" s="4"/>
      <c r="D93" s="174"/>
      <c r="E93" s="174"/>
      <c r="F93" s="174"/>
      <c r="G93" s="174"/>
    </row>
    <row r="94" spans="1:7" ht="13.5" customHeight="1" x14ac:dyDescent="0.25">
      <c r="A94" s="4" t="s">
        <v>182</v>
      </c>
      <c r="B94" s="4"/>
      <c r="C94" s="4"/>
      <c r="D94" s="174"/>
      <c r="E94" s="174"/>
      <c r="F94" s="174"/>
      <c r="G94" s="174"/>
    </row>
    <row r="95" spans="1:7" ht="13.5" customHeight="1" thickBot="1" x14ac:dyDescent="0.3">
      <c r="A95" s="4"/>
      <c r="B95" s="4"/>
      <c r="C95" s="4"/>
      <c r="D95" s="174"/>
      <c r="E95" s="174"/>
      <c r="F95" s="174"/>
      <c r="G95" s="174"/>
    </row>
    <row r="96" spans="1:7" ht="24.6" thickBot="1" x14ac:dyDescent="0.3">
      <c r="A96" s="28" t="s">
        <v>58</v>
      </c>
      <c r="B96" s="29" t="s">
        <v>59</v>
      </c>
      <c r="C96" s="159" t="s">
        <v>233</v>
      </c>
      <c r="D96" s="30" t="s">
        <v>215</v>
      </c>
      <c r="E96" s="30" t="s">
        <v>60</v>
      </c>
      <c r="F96" s="31" t="s">
        <v>61</v>
      </c>
      <c r="G96" s="174"/>
    </row>
    <row r="97" spans="1:7" x14ac:dyDescent="0.25">
      <c r="A97" s="172" t="s">
        <v>62</v>
      </c>
      <c r="B97" s="173" t="s">
        <v>7</v>
      </c>
      <c r="C97" s="220">
        <v>12</v>
      </c>
      <c r="D97" s="242">
        <f>+D80</f>
        <v>200</v>
      </c>
      <c r="E97" s="210">
        <f t="shared" ref="E97:E102" si="2">IFERROR(D97/C97,0)</f>
        <v>16.666666666666668</v>
      </c>
      <c r="F97" s="174"/>
      <c r="G97" s="174"/>
    </row>
    <row r="98" spans="1:7" x14ac:dyDescent="0.25">
      <c r="A98" s="176" t="s">
        <v>27</v>
      </c>
      <c r="B98" s="178" t="s">
        <v>7</v>
      </c>
      <c r="C98" s="220">
        <v>2</v>
      </c>
      <c r="D98" s="244">
        <f>+D81</f>
        <v>120</v>
      </c>
      <c r="E98" s="210">
        <f t="shared" si="2"/>
        <v>60</v>
      </c>
      <c r="F98" s="174"/>
      <c r="G98" s="174"/>
    </row>
    <row r="99" spans="1:7" ht="11.25" customHeight="1" x14ac:dyDescent="0.25">
      <c r="A99" s="176" t="s">
        <v>28</v>
      </c>
      <c r="B99" s="178" t="s">
        <v>7</v>
      </c>
      <c r="C99" s="220">
        <v>2</v>
      </c>
      <c r="D99" s="244">
        <f>+D82</f>
        <v>30</v>
      </c>
      <c r="E99" s="210">
        <f t="shared" si="2"/>
        <v>15</v>
      </c>
      <c r="F99" s="174"/>
      <c r="G99" s="174"/>
    </row>
    <row r="100" spans="1:7" ht="13.95" customHeight="1" x14ac:dyDescent="0.25">
      <c r="A100" s="176" t="s">
        <v>64</v>
      </c>
      <c r="B100" s="178" t="s">
        <v>42</v>
      </c>
      <c r="C100" s="220">
        <v>6</v>
      </c>
      <c r="D100" s="244">
        <f>+D84</f>
        <v>129</v>
      </c>
      <c r="E100" s="210">
        <f t="shared" si="2"/>
        <v>21.5</v>
      </c>
      <c r="F100" s="174"/>
      <c r="G100" s="174"/>
    </row>
    <row r="101" spans="1:7" ht="11.25" customHeight="1" x14ac:dyDescent="0.25">
      <c r="A101" s="176" t="s">
        <v>63</v>
      </c>
      <c r="B101" s="178" t="s">
        <v>7</v>
      </c>
      <c r="C101" s="220">
        <v>6</v>
      </c>
      <c r="D101" s="244">
        <f>+D86</f>
        <v>60</v>
      </c>
      <c r="E101" s="210">
        <f t="shared" si="2"/>
        <v>10</v>
      </c>
      <c r="F101" s="174"/>
      <c r="G101" s="4"/>
    </row>
    <row r="102" spans="1:7" ht="12.75" customHeight="1" x14ac:dyDescent="0.25">
      <c r="A102" s="176" t="s">
        <v>57</v>
      </c>
      <c r="B102" s="178" t="s">
        <v>43</v>
      </c>
      <c r="C102" s="220">
        <v>3</v>
      </c>
      <c r="D102" s="244">
        <f>+D89</f>
        <v>30</v>
      </c>
      <c r="E102" s="210">
        <f t="shared" si="2"/>
        <v>10</v>
      </c>
      <c r="F102" s="174"/>
      <c r="G102" s="4"/>
    </row>
    <row r="103" spans="1:7" x14ac:dyDescent="0.25">
      <c r="A103" s="176" t="s">
        <v>181</v>
      </c>
      <c r="B103" s="178" t="s">
        <v>103</v>
      </c>
      <c r="C103" s="220">
        <v>1</v>
      </c>
      <c r="D103" s="242">
        <v>100</v>
      </c>
      <c r="E103" s="212">
        <f>C103*D103</f>
        <v>100</v>
      </c>
      <c r="F103" s="174"/>
      <c r="G103" s="4"/>
    </row>
    <row r="104" spans="1:7" ht="13.2" customHeight="1" thickBot="1" x14ac:dyDescent="0.3">
      <c r="A104" s="176" t="s">
        <v>4</v>
      </c>
      <c r="B104" s="178" t="s">
        <v>5</v>
      </c>
      <c r="C104" s="220">
        <f>E32</f>
        <v>1</v>
      </c>
      <c r="D104" s="244">
        <f>+SUM(E97:E103)</f>
        <v>233.16666666666669</v>
      </c>
      <c r="E104" s="212">
        <f>C104*D104</f>
        <v>233.16666666666669</v>
      </c>
      <c r="F104" s="174"/>
      <c r="G104" s="4"/>
    </row>
    <row r="105" spans="1:7" ht="13.8" thickBot="1" x14ac:dyDescent="0.3">
      <c r="A105" s="4"/>
      <c r="B105" s="4"/>
      <c r="C105" s="304"/>
      <c r="D105" s="305" t="s">
        <v>178</v>
      </c>
      <c r="E105" s="215">
        <f>B38</f>
        <v>0.5</v>
      </c>
      <c r="F105" s="58">
        <f>E104*E105</f>
        <v>116.58333333333334</v>
      </c>
      <c r="G105" s="4"/>
    </row>
    <row r="106" spans="1:7" ht="13.2" customHeight="1" thickBot="1" x14ac:dyDescent="0.3">
      <c r="A106" s="4"/>
      <c r="B106" s="4"/>
      <c r="C106" s="4"/>
      <c r="D106" s="174"/>
      <c r="E106" s="174"/>
      <c r="F106" s="174"/>
      <c r="G106" s="4"/>
    </row>
    <row r="107" spans="1:7" ht="13.95" customHeight="1" thickBot="1" x14ac:dyDescent="0.3">
      <c r="A107" s="12" t="s">
        <v>183</v>
      </c>
      <c r="B107" s="226"/>
      <c r="C107" s="226"/>
      <c r="D107" s="227"/>
      <c r="E107" s="228"/>
      <c r="F107" s="10">
        <f>+F92+F105</f>
        <v>474.20833333333337</v>
      </c>
      <c r="G107" s="4"/>
    </row>
    <row r="108" spans="1:7" ht="13.95" customHeight="1" x14ac:dyDescent="0.25">
      <c r="A108" s="8"/>
      <c r="B108" s="4"/>
      <c r="C108" s="4"/>
      <c r="D108" s="49" t="s">
        <v>59</v>
      </c>
      <c r="E108" s="49" t="s">
        <v>36</v>
      </c>
      <c r="F108" s="282"/>
      <c r="G108" s="4"/>
    </row>
    <row r="109" spans="1:7" ht="13.95" customHeight="1" thickBot="1" x14ac:dyDescent="0.3">
      <c r="A109" s="43" t="s">
        <v>289</v>
      </c>
      <c r="B109" s="176"/>
      <c r="C109" s="176"/>
      <c r="D109" s="215" t="s">
        <v>1</v>
      </c>
      <c r="E109" s="284">
        <v>1</v>
      </c>
      <c r="F109" s="283">
        <f>F107*0.01</f>
        <v>4.7420833333333334</v>
      </c>
      <c r="G109" s="4"/>
    </row>
    <row r="110" spans="1:7" ht="13.95" customHeight="1" thickBot="1" x14ac:dyDescent="0.3">
      <c r="A110" s="12" t="s">
        <v>290</v>
      </c>
      <c r="B110" s="4"/>
      <c r="C110" s="4"/>
      <c r="D110" s="204"/>
      <c r="E110" s="285"/>
      <c r="F110" s="282">
        <f>F107+F109</f>
        <v>478.95041666666668</v>
      </c>
      <c r="G110" s="4"/>
    </row>
    <row r="111" spans="1:7" ht="13.2" customHeight="1" x14ac:dyDescent="0.25">
      <c r="A111" s="4"/>
      <c r="B111" s="4"/>
      <c r="C111" s="4"/>
      <c r="D111" s="174"/>
      <c r="E111" s="174"/>
      <c r="F111" s="174"/>
      <c r="G111" s="4"/>
    </row>
    <row r="112" spans="1:7" x14ac:dyDescent="0.25">
      <c r="A112" s="8" t="s">
        <v>48</v>
      </c>
      <c r="B112" s="4"/>
      <c r="C112" s="4"/>
      <c r="D112" s="174"/>
      <c r="E112" s="174"/>
      <c r="F112" s="174"/>
      <c r="G112" s="4"/>
    </row>
    <row r="113" spans="1:7" s="1" customFormat="1" x14ac:dyDescent="0.25">
      <c r="A113" s="4"/>
      <c r="B113" s="46"/>
      <c r="C113" s="4"/>
      <c r="D113" s="174"/>
      <c r="E113" s="174"/>
      <c r="F113" s="174"/>
      <c r="G113" s="4"/>
    </row>
    <row r="114" spans="1:7" ht="13.8" x14ac:dyDescent="0.25">
      <c r="A114" s="4" t="s">
        <v>295</v>
      </c>
      <c r="B114" s="4"/>
      <c r="C114" s="4"/>
      <c r="D114" s="174"/>
      <c r="E114" s="174"/>
      <c r="F114" s="174"/>
      <c r="G114" s="4"/>
    </row>
    <row r="115" spans="1:7" ht="13.2" customHeight="1" x14ac:dyDescent="0.25">
      <c r="A115" s="4"/>
      <c r="B115" s="4"/>
      <c r="C115" s="4"/>
      <c r="D115" s="174"/>
      <c r="E115" s="174"/>
      <c r="F115" s="174"/>
      <c r="G115" s="4"/>
    </row>
    <row r="116" spans="1:7" ht="13.8" thickBot="1" x14ac:dyDescent="0.3">
      <c r="A116" s="46" t="s">
        <v>40</v>
      </c>
      <c r="B116" s="4"/>
      <c r="C116" s="4"/>
      <c r="D116" s="174"/>
      <c r="E116" s="174"/>
      <c r="F116" s="174"/>
      <c r="G116" s="4"/>
    </row>
    <row r="117" spans="1:7" ht="13.8" thickBot="1" x14ac:dyDescent="0.3">
      <c r="A117" s="28" t="s">
        <v>58</v>
      </c>
      <c r="B117" s="29" t="s">
        <v>59</v>
      </c>
      <c r="C117" s="29" t="s">
        <v>36</v>
      </c>
      <c r="D117" s="30" t="s">
        <v>215</v>
      </c>
      <c r="E117" s="30" t="s">
        <v>60</v>
      </c>
      <c r="F117" s="31" t="s">
        <v>61</v>
      </c>
      <c r="G117" s="4"/>
    </row>
    <row r="118" spans="1:7" x14ac:dyDescent="0.25">
      <c r="A118" s="172" t="s">
        <v>91</v>
      </c>
      <c r="B118" s="173" t="s">
        <v>7</v>
      </c>
      <c r="C118" s="173">
        <v>1</v>
      </c>
      <c r="D118" s="242">
        <v>550000</v>
      </c>
      <c r="E118" s="210">
        <f>C118*D118</f>
        <v>550000</v>
      </c>
      <c r="F118" s="174"/>
      <c r="G118" s="4"/>
    </row>
    <row r="119" spans="1:7" ht="11.25" customHeight="1" x14ac:dyDescent="0.25">
      <c r="A119" s="176" t="s">
        <v>88</v>
      </c>
      <c r="B119" s="178" t="s">
        <v>89</v>
      </c>
      <c r="C119" s="178">
        <v>10</v>
      </c>
      <c r="D119" s="211"/>
      <c r="E119" s="212"/>
      <c r="F119" s="174"/>
      <c r="G119" s="4"/>
    </row>
    <row r="120" spans="1:7" ht="13.95" customHeight="1" x14ac:dyDescent="0.25">
      <c r="A120" s="176" t="s">
        <v>195</v>
      </c>
      <c r="B120" s="178" t="s">
        <v>89</v>
      </c>
      <c r="C120" s="178">
        <v>0</v>
      </c>
      <c r="D120" s="211"/>
      <c r="E120" s="212"/>
      <c r="F120" s="229"/>
      <c r="G120" s="174"/>
    </row>
    <row r="121" spans="1:7" ht="11.25" customHeight="1" x14ac:dyDescent="0.25">
      <c r="A121" s="176" t="s">
        <v>90</v>
      </c>
      <c r="B121" s="178" t="s">
        <v>1</v>
      </c>
      <c r="C121" s="211">
        <v>65.180000000000007</v>
      </c>
      <c r="D121" s="212">
        <f>E118</f>
        <v>550000</v>
      </c>
      <c r="E121" s="212">
        <f>C121*D121/100</f>
        <v>358490.00000000006</v>
      </c>
      <c r="F121" s="174"/>
      <c r="G121" s="174"/>
    </row>
    <row r="122" spans="1:7" ht="13.8" thickBot="1" x14ac:dyDescent="0.3">
      <c r="A122" s="167" t="s">
        <v>44</v>
      </c>
      <c r="B122" s="168" t="s">
        <v>6</v>
      </c>
      <c r="C122" s="168">
        <f>C119*12</f>
        <v>120</v>
      </c>
      <c r="D122" s="169">
        <f>IF(C120&lt;=C119,E121,0)</f>
        <v>358490.00000000006</v>
      </c>
      <c r="E122" s="169">
        <f>IFERROR(D122/C122,0)</f>
        <v>2987.416666666667</v>
      </c>
      <c r="F122" s="174"/>
      <c r="G122" s="174"/>
    </row>
    <row r="123" spans="1:7" ht="13.8" thickTop="1" x14ac:dyDescent="0.25">
      <c r="A123" s="172" t="s">
        <v>246</v>
      </c>
      <c r="B123" s="173" t="s">
        <v>7</v>
      </c>
      <c r="C123" s="173">
        <f>C118</f>
        <v>1</v>
      </c>
      <c r="D123" s="242">
        <v>150000</v>
      </c>
      <c r="E123" s="210">
        <f>C123*D123</f>
        <v>150000</v>
      </c>
      <c r="F123" s="174"/>
      <c r="G123" s="4"/>
    </row>
    <row r="124" spans="1:7" x14ac:dyDescent="0.25">
      <c r="A124" s="176" t="s">
        <v>247</v>
      </c>
      <c r="B124" s="178" t="s">
        <v>89</v>
      </c>
      <c r="C124" s="178">
        <v>6</v>
      </c>
      <c r="D124" s="211"/>
      <c r="E124" s="212"/>
      <c r="F124" s="174"/>
      <c r="G124" s="174"/>
    </row>
    <row r="125" spans="1:7" x14ac:dyDescent="0.25">
      <c r="A125" s="176" t="s">
        <v>248</v>
      </c>
      <c r="B125" s="178" t="s">
        <v>89</v>
      </c>
      <c r="C125" s="178">
        <v>0</v>
      </c>
      <c r="D125" s="211"/>
      <c r="E125" s="212"/>
      <c r="F125" s="229"/>
      <c r="G125" s="174"/>
    </row>
    <row r="126" spans="1:7" x14ac:dyDescent="0.25">
      <c r="A126" s="176" t="s">
        <v>249</v>
      </c>
      <c r="B126" s="178" t="s">
        <v>1</v>
      </c>
      <c r="C126" s="230">
        <v>58.18</v>
      </c>
      <c r="D126" s="212">
        <f>E123</f>
        <v>150000</v>
      </c>
      <c r="E126" s="212">
        <f>C126*D126/100</f>
        <v>87270</v>
      </c>
      <c r="F126" s="174"/>
      <c r="G126" s="174"/>
    </row>
    <row r="127" spans="1:7" x14ac:dyDescent="0.25">
      <c r="A127" s="43" t="s">
        <v>250</v>
      </c>
      <c r="B127" s="44" t="s">
        <v>6</v>
      </c>
      <c r="C127" s="44">
        <f>C124*12</f>
        <v>72</v>
      </c>
      <c r="D127" s="45">
        <f>IF(C125&lt;=C124,E126,0)</f>
        <v>87270</v>
      </c>
      <c r="E127" s="45">
        <f>IFERROR(D127/C127,0)</f>
        <v>1212.0833333333333</v>
      </c>
      <c r="F127" s="174"/>
      <c r="G127" s="174"/>
    </row>
    <row r="128" spans="1:7" x14ac:dyDescent="0.25">
      <c r="A128" s="53" t="s">
        <v>236</v>
      </c>
      <c r="B128" s="54"/>
      <c r="C128" s="54"/>
      <c r="D128" s="55"/>
      <c r="E128" s="56">
        <f>E122+E127</f>
        <v>4199.5</v>
      </c>
      <c r="F128" s="174"/>
      <c r="G128" s="174"/>
    </row>
    <row r="129" spans="1:10" ht="13.8" thickBot="1" x14ac:dyDescent="0.3">
      <c r="A129" s="43" t="s">
        <v>237</v>
      </c>
      <c r="B129" s="44" t="s">
        <v>7</v>
      </c>
      <c r="C129" s="231">
        <v>1</v>
      </c>
      <c r="D129" s="45">
        <f>E128</f>
        <v>4199.5</v>
      </c>
      <c r="E129" s="56">
        <f>C129*D129</f>
        <v>4199.5</v>
      </c>
      <c r="F129" s="174"/>
      <c r="G129" s="174"/>
    </row>
    <row r="130" spans="1:10" ht="13.8" thickBot="1" x14ac:dyDescent="0.3">
      <c r="A130" s="162"/>
      <c r="B130" s="162"/>
      <c r="C130" s="162"/>
      <c r="D130" s="214" t="s">
        <v>178</v>
      </c>
      <c r="E130" s="215">
        <f>B38</f>
        <v>0.5</v>
      </c>
      <c r="F130" s="10">
        <f>E129*E130</f>
        <v>2099.75</v>
      </c>
      <c r="G130" s="174"/>
    </row>
    <row r="131" spans="1:10" x14ac:dyDescent="0.25">
      <c r="A131" s="4"/>
      <c r="B131" s="4"/>
      <c r="C131" s="4"/>
      <c r="D131" s="174"/>
      <c r="E131" s="174"/>
      <c r="F131" s="174"/>
      <c r="G131" s="174"/>
    </row>
    <row r="132" spans="1:10" ht="11.25" customHeight="1" thickBot="1" x14ac:dyDescent="0.3">
      <c r="A132" s="46" t="s">
        <v>95</v>
      </c>
      <c r="B132" s="4"/>
      <c r="C132" s="4"/>
      <c r="D132" s="174"/>
      <c r="E132" s="174"/>
      <c r="F132" s="174"/>
      <c r="G132" s="174"/>
    </row>
    <row r="133" spans="1:10" ht="13.8" thickBot="1" x14ac:dyDescent="0.3">
      <c r="A133" s="48" t="s">
        <v>58</v>
      </c>
      <c r="B133" s="49" t="s">
        <v>59</v>
      </c>
      <c r="C133" s="232" t="s">
        <v>36</v>
      </c>
      <c r="D133" s="49" t="s">
        <v>215</v>
      </c>
      <c r="E133" s="50" t="s">
        <v>60</v>
      </c>
      <c r="F133" s="31" t="s">
        <v>61</v>
      </c>
      <c r="G133" s="174"/>
    </row>
    <row r="134" spans="1:10" ht="11.25" customHeight="1" x14ac:dyDescent="0.25">
      <c r="A134" s="176" t="s">
        <v>94</v>
      </c>
      <c r="B134" s="178" t="s">
        <v>7</v>
      </c>
      <c r="C134" s="173">
        <v>1</v>
      </c>
      <c r="D134" s="212">
        <v>550000</v>
      </c>
      <c r="E134" s="212">
        <f>C134*D134</f>
        <v>550000</v>
      </c>
      <c r="F134" s="229"/>
      <c r="G134" s="174"/>
    </row>
    <row r="135" spans="1:10" x14ac:dyDescent="0.25">
      <c r="A135" s="176" t="s">
        <v>197</v>
      </c>
      <c r="B135" s="178" t="s">
        <v>1</v>
      </c>
      <c r="C135" s="231">
        <v>14.75</v>
      </c>
      <c r="D135" s="212"/>
      <c r="E135" s="212"/>
      <c r="F135" s="229"/>
      <c r="G135" s="174"/>
    </row>
    <row r="136" spans="1:10" ht="11.25" customHeight="1" x14ac:dyDescent="0.25">
      <c r="A136" s="176" t="s">
        <v>196</v>
      </c>
      <c r="B136" s="178" t="s">
        <v>31</v>
      </c>
      <c r="C136" s="233">
        <v>500000</v>
      </c>
      <c r="D136" s="212"/>
      <c r="E136" s="212"/>
      <c r="F136" s="229"/>
      <c r="G136" s="174"/>
    </row>
    <row r="137" spans="1:10" x14ac:dyDescent="0.25">
      <c r="A137" s="176" t="s">
        <v>97</v>
      </c>
      <c r="B137" s="178" t="s">
        <v>31</v>
      </c>
      <c r="C137" s="211">
        <f>IFERROR(IF(C120&gt;=C119,C136,((((C136)-(E118-E121))*(((C119-C120)+1)/(2*(C119-C120))))+(E118-E121))),0)</f>
        <v>361179.5</v>
      </c>
      <c r="D137" s="212"/>
      <c r="E137" s="212"/>
      <c r="F137" s="229"/>
      <c r="G137" s="174"/>
    </row>
    <row r="138" spans="1:10" ht="11.25" customHeight="1" thickBot="1" x14ac:dyDescent="0.3">
      <c r="A138" s="167" t="s">
        <v>98</v>
      </c>
      <c r="B138" s="168" t="s">
        <v>31</v>
      </c>
      <c r="C138" s="168"/>
      <c r="D138" s="170">
        <f>C135*C137/12/100</f>
        <v>4439.4980208333327</v>
      </c>
      <c r="E138" s="169">
        <f>D138</f>
        <v>4439.4980208333327</v>
      </c>
      <c r="F138" s="229"/>
      <c r="G138" s="174"/>
    </row>
    <row r="139" spans="1:10" ht="13.8" thickTop="1" x14ac:dyDescent="0.25">
      <c r="A139" s="172" t="s">
        <v>251</v>
      </c>
      <c r="B139" s="173" t="s">
        <v>7</v>
      </c>
      <c r="C139" s="173">
        <f>C123</f>
        <v>1</v>
      </c>
      <c r="D139" s="210">
        <v>150000</v>
      </c>
      <c r="E139" s="210">
        <f>C139*D139</f>
        <v>150000</v>
      </c>
      <c r="F139" s="229"/>
      <c r="G139" s="174"/>
    </row>
    <row r="140" spans="1:10" x14ac:dyDescent="0.25">
      <c r="A140" s="176" t="s">
        <v>197</v>
      </c>
      <c r="B140" s="178" t="s">
        <v>1</v>
      </c>
      <c r="C140" s="178">
        <f>C135</f>
        <v>14.75</v>
      </c>
      <c r="D140" s="212"/>
      <c r="E140" s="212"/>
      <c r="F140" s="229"/>
      <c r="G140" s="174"/>
    </row>
    <row r="141" spans="1:10" x14ac:dyDescent="0.25">
      <c r="A141" s="176" t="s">
        <v>252</v>
      </c>
      <c r="B141" s="178" t="s">
        <v>31</v>
      </c>
      <c r="C141" s="233">
        <f>IFERROR(IF(C125&lt;=C124,E123-(C126/(100*C124)*C125)*E123,E123-E126),0)</f>
        <v>150000</v>
      </c>
      <c r="D141" s="212"/>
      <c r="E141" s="212"/>
      <c r="F141" s="229"/>
      <c r="G141" s="174"/>
    </row>
    <row r="142" spans="1:10" x14ac:dyDescent="0.25">
      <c r="A142" s="176" t="s">
        <v>253</v>
      </c>
      <c r="B142" s="178" t="s">
        <v>31</v>
      </c>
      <c r="C142" s="211">
        <f>IFERROR(IF(C125&gt;=C124,C141,((((C141)-(E123-E126))*(((C124-C125)+1)/(2*(C124-C125))))+(E123-E126))),0)</f>
        <v>113637.5</v>
      </c>
      <c r="D142" s="212"/>
      <c r="E142" s="212"/>
      <c r="F142" s="229"/>
      <c r="G142" s="174"/>
    </row>
    <row r="143" spans="1:10" x14ac:dyDescent="0.25">
      <c r="A143" s="43" t="s">
        <v>254</v>
      </c>
      <c r="B143" s="44" t="s">
        <v>31</v>
      </c>
      <c r="C143" s="44"/>
      <c r="D143" s="51">
        <f>C140*C142/12/100</f>
        <v>1396.7942708333335</v>
      </c>
      <c r="E143" s="45">
        <f>D143</f>
        <v>1396.7942708333335</v>
      </c>
      <c r="F143" s="229"/>
      <c r="G143" s="174"/>
      <c r="I143" s="42"/>
      <c r="J143" s="42"/>
    </row>
    <row r="144" spans="1:10" x14ac:dyDescent="0.25">
      <c r="A144" s="53" t="s">
        <v>236</v>
      </c>
      <c r="B144" s="54"/>
      <c r="C144" s="54"/>
      <c r="D144" s="55"/>
      <c r="E144" s="56">
        <f>E138+E143</f>
        <v>5836.2922916666666</v>
      </c>
      <c r="F144" s="229"/>
      <c r="G144" s="174"/>
    </row>
    <row r="145" spans="1:10" ht="13.8" thickBot="1" x14ac:dyDescent="0.3">
      <c r="A145" s="43" t="s">
        <v>237</v>
      </c>
      <c r="B145" s="44" t="s">
        <v>7</v>
      </c>
      <c r="C145" s="178">
        <f>C129</f>
        <v>1</v>
      </c>
      <c r="D145" s="45">
        <f>E144</f>
        <v>5836.2922916666666</v>
      </c>
      <c r="E145" s="56">
        <f>C145*D145</f>
        <v>5836.2922916666666</v>
      </c>
      <c r="F145" s="229"/>
      <c r="G145" s="174"/>
    </row>
    <row r="146" spans="1:10" ht="13.8" thickBot="1" x14ac:dyDescent="0.3">
      <c r="A146" s="4"/>
      <c r="B146" s="4"/>
      <c r="C146" s="234"/>
      <c r="D146" s="214" t="s">
        <v>178</v>
      </c>
      <c r="E146" s="215">
        <f>B38</f>
        <v>0.5</v>
      </c>
      <c r="F146" s="10">
        <f>E145*E146</f>
        <v>2918.1461458333333</v>
      </c>
      <c r="G146" s="174"/>
    </row>
    <row r="147" spans="1:10" x14ac:dyDescent="0.25">
      <c r="A147" s="4"/>
      <c r="B147" s="4"/>
      <c r="C147" s="4"/>
      <c r="D147" s="174"/>
      <c r="E147" s="174"/>
      <c r="F147" s="174"/>
      <c r="G147" s="174"/>
    </row>
    <row r="148" spans="1:10" ht="13.8" thickBot="1" x14ac:dyDescent="0.3">
      <c r="A148" s="4" t="s">
        <v>45</v>
      </c>
      <c r="B148" s="4"/>
      <c r="C148" s="4"/>
      <c r="D148" s="174"/>
      <c r="E148" s="174"/>
      <c r="F148" s="174"/>
      <c r="G148" s="174"/>
      <c r="I148" s="42"/>
      <c r="J148" s="42"/>
    </row>
    <row r="149" spans="1:10" ht="13.8" thickBot="1" x14ac:dyDescent="0.3">
      <c r="A149" s="28" t="s">
        <v>58</v>
      </c>
      <c r="B149" s="29" t="s">
        <v>59</v>
      </c>
      <c r="C149" s="29" t="s">
        <v>36</v>
      </c>
      <c r="D149" s="30" t="s">
        <v>215</v>
      </c>
      <c r="E149" s="30" t="s">
        <v>60</v>
      </c>
      <c r="F149" s="31" t="s">
        <v>61</v>
      </c>
      <c r="G149" s="174"/>
    </row>
    <row r="150" spans="1:10" x14ac:dyDescent="0.25">
      <c r="A150" s="172" t="s">
        <v>9</v>
      </c>
      <c r="B150" s="173" t="s">
        <v>7</v>
      </c>
      <c r="C150" s="210">
        <f>C129</f>
        <v>1</v>
      </c>
      <c r="D150" s="242">
        <v>5500</v>
      </c>
      <c r="E150" s="210">
        <f>C150*D150</f>
        <v>5500</v>
      </c>
      <c r="F150" s="174"/>
      <c r="G150" s="174"/>
    </row>
    <row r="151" spans="1:10" x14ac:dyDescent="0.25">
      <c r="A151" s="176" t="s">
        <v>177</v>
      </c>
      <c r="B151" s="178" t="s">
        <v>7</v>
      </c>
      <c r="C151" s="210">
        <f>C129</f>
        <v>1</v>
      </c>
      <c r="D151" s="244">
        <v>297.64</v>
      </c>
      <c r="E151" s="212">
        <f>C151*D151</f>
        <v>297.64</v>
      </c>
      <c r="F151" s="174"/>
      <c r="G151" s="174"/>
    </row>
    <row r="152" spans="1:10" x14ac:dyDescent="0.25">
      <c r="A152" s="176" t="s">
        <v>10</v>
      </c>
      <c r="B152" s="178" t="s">
        <v>7</v>
      </c>
      <c r="C152" s="210">
        <f>C129</f>
        <v>1</v>
      </c>
      <c r="D152" s="244">
        <v>6500</v>
      </c>
      <c r="E152" s="212">
        <f>C152*D152</f>
        <v>6500</v>
      </c>
      <c r="F152" s="16"/>
      <c r="G152" s="174"/>
    </row>
    <row r="153" spans="1:10" ht="13.8" thickBot="1" x14ac:dyDescent="0.3">
      <c r="A153" s="43" t="s">
        <v>11</v>
      </c>
      <c r="B153" s="44" t="s">
        <v>6</v>
      </c>
      <c r="C153" s="44">
        <v>12</v>
      </c>
      <c r="D153" s="45">
        <f>SUM(E150:E152)</f>
        <v>12297.64</v>
      </c>
      <c r="E153" s="45">
        <f>D153/C153</f>
        <v>1024.8033333333333</v>
      </c>
      <c r="F153" s="174"/>
      <c r="G153" s="174"/>
    </row>
    <row r="154" spans="1:10" ht="11.25" customHeight="1" thickBot="1" x14ac:dyDescent="0.3">
      <c r="A154" s="4"/>
      <c r="B154" s="4"/>
      <c r="C154" s="4"/>
      <c r="D154" s="214" t="s">
        <v>178</v>
      </c>
      <c r="E154" s="215">
        <f>B38</f>
        <v>0.5</v>
      </c>
      <c r="F154" s="58">
        <f>E153*E154</f>
        <v>512.40166666666664</v>
      </c>
      <c r="G154" s="174"/>
    </row>
    <row r="155" spans="1:10" x14ac:dyDescent="0.25">
      <c r="A155" s="4"/>
      <c r="B155" s="4"/>
      <c r="C155" s="4"/>
      <c r="D155" s="174"/>
      <c r="E155" s="174"/>
      <c r="F155" s="174"/>
      <c r="G155" s="174"/>
    </row>
    <row r="156" spans="1:10" x14ac:dyDescent="0.25">
      <c r="A156" s="4" t="s">
        <v>46</v>
      </c>
      <c r="B156" s="311" t="s">
        <v>260</v>
      </c>
      <c r="C156" s="311"/>
      <c r="D156" s="311"/>
      <c r="E156" s="311"/>
      <c r="F156" s="311"/>
      <c r="G156" s="174"/>
      <c r="I156" s="42"/>
      <c r="J156" s="42"/>
    </row>
    <row r="157" spans="1:10" x14ac:dyDescent="0.25">
      <c r="A157" s="4"/>
      <c r="B157" s="235"/>
      <c r="C157" s="234" t="s">
        <v>292</v>
      </c>
      <c r="D157" s="295"/>
      <c r="E157" s="174"/>
      <c r="F157" s="174"/>
      <c r="G157" s="174"/>
      <c r="I157" s="42"/>
      <c r="J157" s="42"/>
    </row>
    <row r="158" spans="1:10" x14ac:dyDescent="0.25">
      <c r="A158" s="43" t="s">
        <v>100</v>
      </c>
      <c r="B158" s="236">
        <v>1777.87</v>
      </c>
      <c r="C158" s="234" t="s">
        <v>293</v>
      </c>
      <c r="D158" s="295"/>
      <c r="E158" s="174"/>
      <c r="F158" s="174"/>
      <c r="G158" s="174"/>
      <c r="I158" s="42"/>
      <c r="J158" s="42"/>
    </row>
    <row r="159" spans="1:10" ht="13.8" thickBot="1" x14ac:dyDescent="0.3">
      <c r="A159" s="4"/>
      <c r="B159" s="235"/>
      <c r="C159" s="4"/>
      <c r="D159" s="174"/>
      <c r="E159" s="174"/>
      <c r="F159" s="174"/>
      <c r="G159" s="174"/>
      <c r="I159" s="42"/>
      <c r="J159" s="42"/>
    </row>
    <row r="160" spans="1:10" ht="13.8" thickBot="1" x14ac:dyDescent="0.3">
      <c r="A160" s="28" t="s">
        <v>58</v>
      </c>
      <c r="B160" s="29" t="s">
        <v>59</v>
      </c>
      <c r="C160" s="29" t="s">
        <v>235</v>
      </c>
      <c r="D160" s="30" t="s">
        <v>215</v>
      </c>
      <c r="E160" s="30" t="s">
        <v>60</v>
      </c>
      <c r="F160" s="31" t="s">
        <v>61</v>
      </c>
      <c r="G160" s="174"/>
      <c r="I160" s="42"/>
      <c r="J160" s="42"/>
    </row>
    <row r="161" spans="1:19" x14ac:dyDescent="0.25">
      <c r="A161" s="172" t="s">
        <v>12</v>
      </c>
      <c r="B161" s="173" t="s">
        <v>13</v>
      </c>
      <c r="C161" s="237">
        <v>1.6</v>
      </c>
      <c r="D161" s="297">
        <v>6.1</v>
      </c>
      <c r="E161" s="216">
        <f>D161/C161</f>
        <v>3.8124999999999996</v>
      </c>
      <c r="F161" s="174"/>
      <c r="G161" s="174"/>
      <c r="I161" s="42"/>
      <c r="J161" s="42"/>
    </row>
    <row r="162" spans="1:19" x14ac:dyDescent="0.25">
      <c r="A162" s="176" t="s">
        <v>14</v>
      </c>
      <c r="B162" s="178" t="s">
        <v>15</v>
      </c>
      <c r="C162" s="222">
        <f>B158</f>
        <v>1777.87</v>
      </c>
      <c r="D162" s="306">
        <f>E161</f>
        <v>3.8124999999999996</v>
      </c>
      <c r="E162" s="211">
        <f>IFERROR(C162*D162,"-")</f>
        <v>6778.1293749999986</v>
      </c>
      <c r="F162" s="174"/>
      <c r="G162" s="174"/>
      <c r="I162" s="42"/>
      <c r="J162" s="42"/>
    </row>
    <row r="163" spans="1:19" x14ac:dyDescent="0.25">
      <c r="A163" s="176" t="s">
        <v>216</v>
      </c>
      <c r="B163" s="178" t="s">
        <v>16</v>
      </c>
      <c r="C163" s="238">
        <v>1</v>
      </c>
      <c r="D163" s="244">
        <v>29</v>
      </c>
      <c r="E163" s="211">
        <f>D163/1000</f>
        <v>2.9000000000000001E-2</v>
      </c>
      <c r="F163" s="174"/>
      <c r="G163" s="223"/>
      <c r="I163" s="42"/>
      <c r="J163" s="42"/>
    </row>
    <row r="164" spans="1:19" x14ac:dyDescent="0.25">
      <c r="A164" s="176" t="s">
        <v>17</v>
      </c>
      <c r="B164" s="178" t="s">
        <v>15</v>
      </c>
      <c r="C164" s="239">
        <f>C162</f>
        <v>1777.87</v>
      </c>
      <c r="D164" s="298">
        <f>E163</f>
        <v>2.9000000000000001E-2</v>
      </c>
      <c r="E164" s="211">
        <f>C164*D164</f>
        <v>51.558230000000002</v>
      </c>
      <c r="F164" s="174"/>
      <c r="G164" s="223"/>
      <c r="I164" s="42"/>
      <c r="J164" s="42"/>
    </row>
    <row r="165" spans="1:19" x14ac:dyDescent="0.25">
      <c r="A165" s="176" t="s">
        <v>217</v>
      </c>
      <c r="B165" s="178" t="s">
        <v>16</v>
      </c>
      <c r="C165" s="238">
        <v>1</v>
      </c>
      <c r="D165" s="244">
        <v>19.600000000000001</v>
      </c>
      <c r="E165" s="211">
        <f>D165/1000</f>
        <v>1.9600000000000003E-2</v>
      </c>
      <c r="F165" s="174"/>
      <c r="G165" s="223"/>
      <c r="I165" s="42"/>
      <c r="J165" s="42"/>
    </row>
    <row r="166" spans="1:19" x14ac:dyDescent="0.25">
      <c r="A166" s="176" t="s">
        <v>18</v>
      </c>
      <c r="B166" s="178" t="s">
        <v>15</v>
      </c>
      <c r="C166" s="239">
        <f>C162</f>
        <v>1777.87</v>
      </c>
      <c r="D166" s="298">
        <f>E165</f>
        <v>1.9600000000000003E-2</v>
      </c>
      <c r="E166" s="211">
        <f>C166*D166</f>
        <v>34.846252</v>
      </c>
      <c r="F166" s="174"/>
      <c r="G166" s="223"/>
      <c r="I166" s="42"/>
      <c r="J166" s="42"/>
    </row>
    <row r="167" spans="1:19" x14ac:dyDescent="0.25">
      <c r="A167" s="176" t="s">
        <v>218</v>
      </c>
      <c r="B167" s="178" t="s">
        <v>16</v>
      </c>
      <c r="C167" s="238">
        <v>1</v>
      </c>
      <c r="D167" s="244">
        <v>32</v>
      </c>
      <c r="E167" s="211">
        <f>D167/1000</f>
        <v>3.2000000000000001E-2</v>
      </c>
      <c r="F167" s="174"/>
      <c r="G167" s="223"/>
      <c r="I167" s="42"/>
      <c r="J167" s="42"/>
    </row>
    <row r="168" spans="1:19" x14ac:dyDescent="0.25">
      <c r="A168" s="176" t="s">
        <v>19</v>
      </c>
      <c r="B168" s="178" t="s">
        <v>15</v>
      </c>
      <c r="C168" s="239">
        <f>C162</f>
        <v>1777.87</v>
      </c>
      <c r="D168" s="298">
        <f>E167</f>
        <v>3.2000000000000001E-2</v>
      </c>
      <c r="E168" s="211">
        <f>C168*D168</f>
        <v>56.891839999999995</v>
      </c>
      <c r="F168" s="174"/>
      <c r="G168" s="223"/>
      <c r="I168" s="42"/>
      <c r="J168" s="42"/>
    </row>
    <row r="169" spans="1:19" x14ac:dyDescent="0.25">
      <c r="A169" s="176" t="s">
        <v>20</v>
      </c>
      <c r="B169" s="178" t="s">
        <v>21</v>
      </c>
      <c r="C169" s="238">
        <v>2</v>
      </c>
      <c r="D169" s="244">
        <v>16.2</v>
      </c>
      <c r="E169" s="211">
        <f>D169*C169/1000</f>
        <v>3.2399999999999998E-2</v>
      </c>
      <c r="F169" s="174"/>
      <c r="G169" s="223"/>
      <c r="I169" s="42"/>
      <c r="J169" s="42"/>
    </row>
    <row r="170" spans="1:19" ht="11.25" customHeight="1" x14ac:dyDescent="0.25">
      <c r="A170" s="176" t="s">
        <v>22</v>
      </c>
      <c r="B170" s="178" t="s">
        <v>15</v>
      </c>
      <c r="C170" s="239">
        <f>C162</f>
        <v>1777.87</v>
      </c>
      <c r="D170" s="298">
        <f>E169</f>
        <v>3.2399999999999998E-2</v>
      </c>
      <c r="E170" s="212">
        <f>C170*D170</f>
        <v>57.602987999999996</v>
      </c>
      <c r="F170" s="174"/>
      <c r="G170" s="223"/>
      <c r="I170" s="42"/>
      <c r="J170" s="42"/>
    </row>
    <row r="171" spans="1:19" ht="13.8" thickBot="1" x14ac:dyDescent="0.3">
      <c r="A171" s="43" t="s">
        <v>234</v>
      </c>
      <c r="B171" s="44" t="s">
        <v>101</v>
      </c>
      <c r="C171" s="160">
        <f>B158</f>
        <v>1777.87</v>
      </c>
      <c r="D171" s="161">
        <f>IFERROR(D162+D164+D166+D168+D170,0)</f>
        <v>3.9254999999999995</v>
      </c>
      <c r="E171" s="212">
        <f>C171*D171</f>
        <v>6979.0286849999984</v>
      </c>
      <c r="F171" s="174"/>
      <c r="G171" s="223"/>
      <c r="I171" s="42"/>
      <c r="J171" s="42"/>
    </row>
    <row r="172" spans="1:19" ht="13.8" thickBot="1" x14ac:dyDescent="0.3">
      <c r="A172" s="4"/>
      <c r="B172" s="4"/>
      <c r="C172" s="4"/>
      <c r="D172" s="307"/>
      <c r="E172" s="174"/>
      <c r="F172" s="10">
        <f>E171</f>
        <v>6979.0286849999984</v>
      </c>
      <c r="G172" s="174"/>
      <c r="I172" s="42"/>
      <c r="J172" s="42"/>
    </row>
    <row r="173" spans="1:19" x14ac:dyDescent="0.25">
      <c r="A173" s="4"/>
      <c r="B173" s="4"/>
      <c r="C173" s="4"/>
      <c r="D173" s="174"/>
      <c r="E173" s="174"/>
      <c r="F173" s="174"/>
      <c r="G173" s="174"/>
      <c r="I173" s="42"/>
      <c r="J173" s="42"/>
    </row>
    <row r="174" spans="1:19" ht="13.8" thickBot="1" x14ac:dyDescent="0.3">
      <c r="A174" s="4" t="s">
        <v>47</v>
      </c>
      <c r="B174" s="4"/>
      <c r="C174" s="4"/>
      <c r="D174" s="174"/>
      <c r="E174" s="174"/>
      <c r="F174" s="174"/>
      <c r="G174" s="174"/>
      <c r="I174" s="42"/>
      <c r="J174" s="42"/>
      <c r="K174" s="175"/>
      <c r="S174" s="175"/>
    </row>
    <row r="175" spans="1:19" ht="13.8" thickBot="1" x14ac:dyDescent="0.3">
      <c r="A175" s="28" t="s">
        <v>58</v>
      </c>
      <c r="B175" s="29" t="s">
        <v>59</v>
      </c>
      <c r="C175" s="29" t="s">
        <v>36</v>
      </c>
      <c r="D175" s="30" t="s">
        <v>215</v>
      </c>
      <c r="E175" s="30" t="s">
        <v>60</v>
      </c>
      <c r="F175" s="31" t="s">
        <v>61</v>
      </c>
      <c r="G175" s="174"/>
      <c r="I175" s="42"/>
      <c r="J175" s="42"/>
    </row>
    <row r="176" spans="1:19" ht="13.8" thickBot="1" x14ac:dyDescent="0.3">
      <c r="A176" s="172" t="s">
        <v>99</v>
      </c>
      <c r="B176" s="173" t="s">
        <v>101</v>
      </c>
      <c r="C176" s="222">
        <f>B158</f>
        <v>1777.87</v>
      </c>
      <c r="D176" s="242">
        <v>0.7</v>
      </c>
      <c r="E176" s="210">
        <f>C176*D176</f>
        <v>1244.5089999999998</v>
      </c>
      <c r="F176" s="174"/>
      <c r="G176" s="174"/>
      <c r="I176" s="42"/>
      <c r="J176" s="42"/>
    </row>
    <row r="177" spans="1:10" ht="13.8" thickBot="1" x14ac:dyDescent="0.3">
      <c r="A177" s="4"/>
      <c r="B177" s="4"/>
      <c r="C177" s="4"/>
      <c r="D177" s="174"/>
      <c r="E177" s="174"/>
      <c r="F177" s="10">
        <f>E176</f>
        <v>1244.5089999999998</v>
      </c>
      <c r="G177" s="174"/>
      <c r="I177" s="42"/>
      <c r="J177" s="42"/>
    </row>
    <row r="178" spans="1:10" ht="11.25" customHeight="1" x14ac:dyDescent="0.25">
      <c r="A178" s="4"/>
      <c r="B178" s="4"/>
      <c r="C178" s="4"/>
      <c r="D178" s="174"/>
      <c r="E178" s="174"/>
      <c r="F178" s="174"/>
      <c r="G178" s="174"/>
      <c r="I178" s="42"/>
      <c r="J178" s="42"/>
    </row>
    <row r="179" spans="1:10" ht="13.8" thickBot="1" x14ac:dyDescent="0.3">
      <c r="A179" s="4" t="s">
        <v>56</v>
      </c>
      <c r="B179" s="4"/>
      <c r="C179" s="4"/>
      <c r="D179" s="174"/>
      <c r="E179" s="174"/>
      <c r="F179" s="174"/>
      <c r="G179" s="174"/>
      <c r="I179" s="42"/>
      <c r="J179" s="42"/>
    </row>
    <row r="180" spans="1:10" ht="13.8" thickBot="1" x14ac:dyDescent="0.3">
      <c r="A180" s="28" t="s">
        <v>58</v>
      </c>
      <c r="B180" s="29" t="s">
        <v>59</v>
      </c>
      <c r="C180" s="29" t="s">
        <v>36</v>
      </c>
      <c r="D180" s="30" t="s">
        <v>215</v>
      </c>
      <c r="E180" s="30" t="s">
        <v>60</v>
      </c>
      <c r="F180" s="31" t="s">
        <v>61</v>
      </c>
      <c r="G180" s="174"/>
      <c r="I180" s="42"/>
      <c r="J180" s="42"/>
    </row>
    <row r="181" spans="1:10" x14ac:dyDescent="0.25">
      <c r="A181" s="172" t="s">
        <v>294</v>
      </c>
      <c r="B181" s="173" t="s">
        <v>7</v>
      </c>
      <c r="C181" s="173">
        <v>6</v>
      </c>
      <c r="D181" s="242">
        <v>4000</v>
      </c>
      <c r="E181" s="210">
        <f>C181*D181</f>
        <v>24000</v>
      </c>
      <c r="F181" s="174"/>
      <c r="G181" s="174"/>
      <c r="I181" s="42"/>
      <c r="J181" s="42"/>
    </row>
    <row r="182" spans="1:10" x14ac:dyDescent="0.25">
      <c r="A182" s="172" t="s">
        <v>102</v>
      </c>
      <c r="B182" s="173" t="s">
        <v>7</v>
      </c>
      <c r="C182" s="173">
        <v>2</v>
      </c>
      <c r="D182" s="242"/>
      <c r="E182" s="210"/>
      <c r="F182" s="174"/>
      <c r="G182" s="174"/>
      <c r="I182" s="42"/>
      <c r="J182" s="42"/>
    </row>
    <row r="183" spans="1:10" x14ac:dyDescent="0.25">
      <c r="A183" s="172" t="s">
        <v>65</v>
      </c>
      <c r="B183" s="173" t="s">
        <v>7</v>
      </c>
      <c r="C183" s="216">
        <f>C181*C182</f>
        <v>12</v>
      </c>
      <c r="D183" s="242">
        <v>500</v>
      </c>
      <c r="E183" s="210">
        <f>C183*D183</f>
        <v>6000</v>
      </c>
      <c r="F183" s="174"/>
      <c r="G183" s="174"/>
      <c r="I183" s="42"/>
      <c r="J183" s="42"/>
    </row>
    <row r="184" spans="1:10" x14ac:dyDescent="0.25">
      <c r="A184" s="176" t="s">
        <v>255</v>
      </c>
      <c r="B184" s="178" t="s">
        <v>23</v>
      </c>
      <c r="C184" s="240">
        <v>50000</v>
      </c>
      <c r="D184" s="244">
        <f>E181+E183</f>
        <v>30000</v>
      </c>
      <c r="E184" s="212">
        <f>IFERROR(D184/C184,"-")</f>
        <v>0.6</v>
      </c>
      <c r="F184" s="174"/>
      <c r="G184" s="174"/>
      <c r="I184" s="42"/>
      <c r="J184" s="42"/>
    </row>
    <row r="185" spans="1:10" ht="13.8" thickBot="1" x14ac:dyDescent="0.3">
      <c r="A185" s="176" t="s">
        <v>49</v>
      </c>
      <c r="B185" s="178" t="s">
        <v>15</v>
      </c>
      <c r="C185" s="222">
        <f>B158</f>
        <v>1777.87</v>
      </c>
      <c r="D185" s="244">
        <f>E184</f>
        <v>0.6</v>
      </c>
      <c r="E185" s="212">
        <f>IFERROR(C185*D185,0)</f>
        <v>1066.722</v>
      </c>
      <c r="F185" s="174"/>
      <c r="G185" s="174"/>
      <c r="I185" s="42"/>
      <c r="J185" s="42"/>
    </row>
    <row r="186" spans="1:10" ht="13.8" thickBot="1" x14ac:dyDescent="0.3">
      <c r="A186" s="4"/>
      <c r="B186" s="234"/>
      <c r="C186" s="250"/>
      <c r="D186" s="299"/>
      <c r="E186" s="251"/>
      <c r="F186" s="10">
        <f>E185</f>
        <v>1066.722</v>
      </c>
      <c r="G186" s="174"/>
      <c r="I186" s="42"/>
      <c r="J186" s="42"/>
    </row>
    <row r="187" spans="1:10" ht="13.8" thickBot="1" x14ac:dyDescent="0.3">
      <c r="A187" s="4"/>
      <c r="B187" s="4"/>
      <c r="C187" s="4"/>
      <c r="D187" s="174"/>
      <c r="E187" s="174"/>
      <c r="F187" s="6"/>
      <c r="G187" s="174"/>
      <c r="I187" s="42"/>
      <c r="J187" s="42"/>
    </row>
    <row r="188" spans="1:10" ht="13.8" thickBot="1" x14ac:dyDescent="0.3">
      <c r="A188" s="12" t="s">
        <v>261</v>
      </c>
      <c r="B188" s="226"/>
      <c r="C188" s="226"/>
      <c r="D188" s="227"/>
      <c r="E188" s="228"/>
      <c r="F188" s="11">
        <f>F186+F177+F154+F146+F130+F172</f>
        <v>14820.557497499998</v>
      </c>
      <c r="G188" s="174"/>
      <c r="I188" s="42"/>
      <c r="J188" s="42"/>
    </row>
    <row r="189" spans="1:10" ht="13.5" customHeight="1" x14ac:dyDescent="0.25">
      <c r="A189" s="4"/>
      <c r="B189" s="4"/>
      <c r="C189" s="4"/>
      <c r="D189" s="174"/>
      <c r="E189" s="174"/>
      <c r="F189" s="174"/>
      <c r="G189" s="4"/>
    </row>
    <row r="190" spans="1:10" ht="13.5" customHeight="1" x14ac:dyDescent="0.25">
      <c r="A190" s="8" t="s">
        <v>68</v>
      </c>
      <c r="B190" s="8"/>
      <c r="C190" s="8"/>
      <c r="D190" s="18"/>
      <c r="E190" s="18"/>
      <c r="F190" s="17"/>
      <c r="G190" s="4"/>
    </row>
    <row r="191" spans="1:10" ht="13.5" customHeight="1" thickBot="1" x14ac:dyDescent="0.3">
      <c r="A191" s="4"/>
      <c r="B191" s="4"/>
      <c r="C191" s="4"/>
      <c r="D191" s="174"/>
      <c r="E191" s="174"/>
      <c r="F191" s="174"/>
      <c r="G191" s="4"/>
    </row>
    <row r="192" spans="1:10" ht="13.5" customHeight="1" thickBot="1" x14ac:dyDescent="0.3">
      <c r="A192" s="28" t="s">
        <v>58</v>
      </c>
      <c r="B192" s="29" t="s">
        <v>59</v>
      </c>
      <c r="C192" s="29" t="s">
        <v>36</v>
      </c>
      <c r="D192" s="30" t="s">
        <v>215</v>
      </c>
      <c r="E192" s="30" t="s">
        <v>60</v>
      </c>
      <c r="F192" s="31" t="s">
        <v>61</v>
      </c>
      <c r="G192" s="4"/>
    </row>
    <row r="193" spans="1:7" ht="13.5" customHeight="1" x14ac:dyDescent="0.25">
      <c r="A193" s="176" t="s">
        <v>66</v>
      </c>
      <c r="B193" s="178" t="s">
        <v>7</v>
      </c>
      <c r="C193" s="247">
        <v>1</v>
      </c>
      <c r="D193" s="242">
        <v>100</v>
      </c>
      <c r="E193" s="212">
        <f>C193*D193</f>
        <v>100</v>
      </c>
      <c r="F193" s="243"/>
      <c r="G193" s="4"/>
    </row>
    <row r="194" spans="1:7" ht="13.5" customHeight="1" x14ac:dyDescent="0.25">
      <c r="A194" s="176" t="s">
        <v>25</v>
      </c>
      <c r="B194" s="178" t="s">
        <v>7</v>
      </c>
      <c r="C194" s="241">
        <v>0.25</v>
      </c>
      <c r="D194" s="242">
        <v>70</v>
      </c>
      <c r="E194" s="212">
        <f>C194*D194</f>
        <v>17.5</v>
      </c>
      <c r="F194" s="243"/>
      <c r="G194" s="4"/>
    </row>
    <row r="195" spans="1:7" ht="13.5" customHeight="1" x14ac:dyDescent="0.25">
      <c r="A195" s="176" t="s">
        <v>26</v>
      </c>
      <c r="B195" s="178" t="s">
        <v>7</v>
      </c>
      <c r="C195" s="241">
        <v>0.25</v>
      </c>
      <c r="D195" s="242">
        <v>40</v>
      </c>
      <c r="E195" s="212">
        <f>C195*D195</f>
        <v>10</v>
      </c>
      <c r="F195" s="243"/>
      <c r="G195" s="4"/>
    </row>
    <row r="196" spans="1:7" ht="13.5" customHeight="1" x14ac:dyDescent="0.25">
      <c r="A196" s="176" t="s">
        <v>51</v>
      </c>
      <c r="B196" s="178" t="s">
        <v>52</v>
      </c>
      <c r="C196" s="241">
        <v>0.08</v>
      </c>
      <c r="D196" s="242">
        <v>100</v>
      </c>
      <c r="E196" s="212">
        <f>C196*D196</f>
        <v>8</v>
      </c>
      <c r="F196" s="243"/>
      <c r="G196" s="4"/>
    </row>
    <row r="197" spans="1:7" ht="13.5" customHeight="1" thickBot="1" x14ac:dyDescent="0.3">
      <c r="A197" s="176" t="s">
        <v>54</v>
      </c>
      <c r="B197" s="178" t="s">
        <v>52</v>
      </c>
      <c r="C197" s="241">
        <v>0.08</v>
      </c>
      <c r="D197" s="242">
        <v>100</v>
      </c>
      <c r="E197" s="212">
        <f>C197*D197</f>
        <v>8</v>
      </c>
      <c r="F197" s="243"/>
      <c r="G197" s="4"/>
    </row>
    <row r="198" spans="1:7" ht="13.5" customHeight="1" thickBot="1" x14ac:dyDescent="0.3">
      <c r="A198" s="8"/>
      <c r="B198" s="8"/>
      <c r="C198" s="8"/>
      <c r="D198" s="214" t="s">
        <v>178</v>
      </c>
      <c r="E198" s="215">
        <f>E154</f>
        <v>0.5</v>
      </c>
      <c r="F198" s="10">
        <f>SUM(E193:E197)*E198</f>
        <v>71.75</v>
      </c>
      <c r="G198" s="4"/>
    </row>
    <row r="199" spans="1:7" ht="13.5" customHeight="1" thickBot="1" x14ac:dyDescent="0.3">
      <c r="A199" s="4"/>
      <c r="B199" s="4"/>
      <c r="C199" s="4"/>
      <c r="D199" s="174"/>
      <c r="E199" s="174"/>
      <c r="F199" s="174"/>
      <c r="G199" s="4"/>
    </row>
    <row r="200" spans="1:7" ht="13.5" customHeight="1" thickBot="1" x14ac:dyDescent="0.3">
      <c r="A200" s="12" t="s">
        <v>204</v>
      </c>
      <c r="B200" s="13"/>
      <c r="C200" s="13"/>
      <c r="D200" s="14"/>
      <c r="E200" s="15"/>
      <c r="F200" s="10">
        <f>+F198</f>
        <v>71.75</v>
      </c>
      <c r="G200" s="4"/>
    </row>
    <row r="201" spans="1:7" ht="13.5" customHeight="1" x14ac:dyDescent="0.25">
      <c r="A201" s="4"/>
      <c r="B201" s="4"/>
      <c r="C201" s="4"/>
      <c r="D201" s="174"/>
      <c r="E201" s="174"/>
      <c r="F201" s="174"/>
      <c r="G201" s="4"/>
    </row>
    <row r="202" spans="1:7" ht="13.5" customHeight="1" x14ac:dyDescent="0.25">
      <c r="A202" s="8" t="s">
        <v>69</v>
      </c>
      <c r="B202" s="8"/>
      <c r="C202" s="8"/>
      <c r="D202" s="18"/>
      <c r="E202" s="18"/>
      <c r="F202" s="17"/>
      <c r="G202" s="174"/>
    </row>
    <row r="203" spans="1:7" ht="13.5" customHeight="1" thickBot="1" x14ac:dyDescent="0.3">
      <c r="A203" s="4"/>
      <c r="B203" s="4"/>
      <c r="C203" s="4"/>
      <c r="D203" s="174"/>
      <c r="E203" s="174"/>
      <c r="F203" s="174"/>
      <c r="G203" s="174"/>
    </row>
    <row r="204" spans="1:7" ht="13.5" customHeight="1" thickBot="1" x14ac:dyDescent="0.3">
      <c r="A204" s="28" t="s">
        <v>58</v>
      </c>
      <c r="B204" s="29" t="s">
        <v>59</v>
      </c>
      <c r="C204" s="29" t="s">
        <v>36</v>
      </c>
      <c r="D204" s="30" t="s">
        <v>215</v>
      </c>
      <c r="E204" s="30" t="s">
        <v>60</v>
      </c>
      <c r="F204" s="31" t="s">
        <v>61</v>
      </c>
      <c r="G204" s="174"/>
    </row>
    <row r="205" spans="1:7" ht="13.5" customHeight="1" x14ac:dyDescent="0.25">
      <c r="A205" s="176" t="s">
        <v>202</v>
      </c>
      <c r="B205" s="25" t="s">
        <v>52</v>
      </c>
      <c r="C205" s="220">
        <f>C118</f>
        <v>1</v>
      </c>
      <c r="D205" s="244">
        <v>250</v>
      </c>
      <c r="E205" s="212">
        <f>+D205*C205</f>
        <v>250</v>
      </c>
      <c r="F205" s="243"/>
      <c r="G205" s="174"/>
    </row>
    <row r="206" spans="1:7" ht="13.5" customHeight="1" x14ac:dyDescent="0.25">
      <c r="A206" s="176" t="s">
        <v>55</v>
      </c>
      <c r="B206" s="25" t="s">
        <v>6</v>
      </c>
      <c r="C206" s="178">
        <v>24</v>
      </c>
      <c r="D206" s="192">
        <v>80</v>
      </c>
      <c r="E206" s="40">
        <f>+D206/C206</f>
        <v>3.3333333333333335</v>
      </c>
      <c r="F206" s="243"/>
      <c r="G206" s="174"/>
    </row>
    <row r="207" spans="1:7" ht="13.5" customHeight="1" x14ac:dyDescent="0.25">
      <c r="A207" s="176" t="s">
        <v>203</v>
      </c>
      <c r="B207" s="178" t="s">
        <v>7</v>
      </c>
      <c r="C207" s="220">
        <f>+C205</f>
        <v>1</v>
      </c>
      <c r="D207" s="244">
        <v>54.99</v>
      </c>
      <c r="E207" s="212">
        <f>C207*D207</f>
        <v>54.99</v>
      </c>
      <c r="F207" s="243"/>
      <c r="G207" s="174"/>
    </row>
    <row r="208" spans="1:7" ht="13.5" customHeight="1" thickBot="1" x14ac:dyDescent="0.3">
      <c r="A208" s="176" t="s">
        <v>33</v>
      </c>
      <c r="B208" s="25" t="s">
        <v>6</v>
      </c>
      <c r="C208" s="178">
        <v>1</v>
      </c>
      <c r="D208" s="192">
        <v>80</v>
      </c>
      <c r="E208" s="40">
        <f>+D208/C208</f>
        <v>80</v>
      </c>
      <c r="F208" s="243"/>
      <c r="G208" s="174"/>
    </row>
    <row r="209" spans="1:7" ht="13.5" customHeight="1" thickBot="1" x14ac:dyDescent="0.3">
      <c r="A209" s="9"/>
      <c r="B209" s="9"/>
      <c r="C209" s="9"/>
      <c r="D209" s="214" t="s">
        <v>178</v>
      </c>
      <c r="E209" s="215">
        <f>E154</f>
        <v>0.5</v>
      </c>
      <c r="F209" s="10">
        <f>(E206+E208)*E209</f>
        <v>41.666666666666664</v>
      </c>
      <c r="G209" s="174"/>
    </row>
    <row r="210" spans="1:7" ht="13.5" customHeight="1" thickBot="1" x14ac:dyDescent="0.3">
      <c r="A210" s="4"/>
      <c r="B210" s="4"/>
      <c r="C210" s="4"/>
      <c r="D210" s="174"/>
      <c r="E210" s="174"/>
      <c r="F210" s="174"/>
      <c r="G210" s="41"/>
    </row>
    <row r="211" spans="1:7" ht="13.5" customHeight="1" thickBot="1" x14ac:dyDescent="0.3">
      <c r="A211" s="12" t="s">
        <v>201</v>
      </c>
      <c r="B211" s="13"/>
      <c r="C211" s="13"/>
      <c r="D211" s="14"/>
      <c r="E211" s="15"/>
      <c r="F211" s="10">
        <f>+F209</f>
        <v>41.666666666666664</v>
      </c>
      <c r="G211" s="174"/>
    </row>
    <row r="212" spans="1:7" ht="13.5" customHeight="1" thickBot="1" x14ac:dyDescent="0.3">
      <c r="A212" s="4"/>
      <c r="B212" s="4"/>
      <c r="C212" s="4"/>
      <c r="D212" s="174"/>
      <c r="E212" s="174"/>
      <c r="F212" s="174"/>
      <c r="G212" s="174"/>
    </row>
    <row r="213" spans="1:7" ht="13.5" customHeight="1" thickBot="1" x14ac:dyDescent="0.3">
      <c r="A213" s="12" t="s">
        <v>205</v>
      </c>
      <c r="B213" s="226"/>
      <c r="C213" s="226"/>
      <c r="D213" s="227"/>
      <c r="E213" s="228"/>
      <c r="F213" s="11">
        <f>F211+F200+F110+F71+F188</f>
        <v>25563.594721033332</v>
      </c>
      <c r="G213" s="174"/>
    </row>
    <row r="214" spans="1:7" ht="13.5" customHeight="1" x14ac:dyDescent="0.25">
      <c r="A214" s="4"/>
      <c r="B214" s="4"/>
      <c r="C214" s="4"/>
      <c r="D214" s="174"/>
      <c r="E214" s="174"/>
      <c r="F214" s="174"/>
      <c r="G214" s="174"/>
    </row>
    <row r="215" spans="1:7" ht="13.5" customHeight="1" x14ac:dyDescent="0.25">
      <c r="A215" s="8" t="s">
        <v>84</v>
      </c>
      <c r="B215" s="4"/>
      <c r="C215" s="4"/>
      <c r="D215" s="174"/>
      <c r="E215" s="174"/>
      <c r="F215" s="174"/>
      <c r="G215" s="174"/>
    </row>
    <row r="216" spans="1:7" ht="13.5" customHeight="1" thickBot="1" x14ac:dyDescent="0.3">
      <c r="A216" s="4"/>
      <c r="B216" s="4"/>
      <c r="C216" s="4"/>
      <c r="D216" s="174"/>
      <c r="E216" s="174"/>
      <c r="F216" s="174"/>
      <c r="G216" s="174"/>
    </row>
    <row r="217" spans="1:7" ht="13.5" customHeight="1" thickBot="1" x14ac:dyDescent="0.3">
      <c r="A217" s="28" t="s">
        <v>58</v>
      </c>
      <c r="B217" s="29" t="s">
        <v>59</v>
      </c>
      <c r="C217" s="29" t="s">
        <v>36</v>
      </c>
      <c r="D217" s="30" t="s">
        <v>215</v>
      </c>
      <c r="E217" s="30" t="s">
        <v>60</v>
      </c>
      <c r="F217" s="31" t="s">
        <v>61</v>
      </c>
      <c r="G217" s="174"/>
    </row>
    <row r="218" spans="1:7" ht="13.5" customHeight="1" thickBot="1" x14ac:dyDescent="0.3">
      <c r="A218" s="172" t="s">
        <v>32</v>
      </c>
      <c r="B218" s="173" t="s">
        <v>1</v>
      </c>
      <c r="C218" s="213">
        <v>29.42</v>
      </c>
      <c r="D218" s="210">
        <f>+F213</f>
        <v>25563.594721033332</v>
      </c>
      <c r="E218" s="210">
        <f>C218*D218/100</f>
        <v>7520.8095669280074</v>
      </c>
      <c r="F218" s="174"/>
      <c r="G218" s="174"/>
    </row>
    <row r="219" spans="1:7" ht="13.5" customHeight="1" thickBot="1" x14ac:dyDescent="0.3">
      <c r="A219" s="4"/>
      <c r="B219" s="4"/>
      <c r="C219" s="4"/>
      <c r="D219" s="174"/>
      <c r="E219" s="174"/>
      <c r="F219" s="10">
        <f>+E218</f>
        <v>7520.8095669280074</v>
      </c>
      <c r="G219" s="174"/>
    </row>
    <row r="220" spans="1:7" ht="13.5" customHeight="1" thickBot="1" x14ac:dyDescent="0.3">
      <c r="A220" s="4"/>
      <c r="B220" s="4"/>
      <c r="C220" s="4"/>
      <c r="D220" s="174"/>
      <c r="E220" s="174"/>
      <c r="F220" s="174"/>
      <c r="G220" s="174"/>
    </row>
    <row r="221" spans="1:7" ht="13.5" customHeight="1" thickBot="1" x14ac:dyDescent="0.3">
      <c r="A221" s="12" t="s">
        <v>220</v>
      </c>
      <c r="B221" s="226"/>
      <c r="C221" s="226"/>
      <c r="D221" s="227"/>
      <c r="E221" s="228"/>
      <c r="F221" s="11">
        <f>F219</f>
        <v>7520.8095669280074</v>
      </c>
      <c r="G221" s="174"/>
    </row>
    <row r="222" spans="1:7" ht="25.5" customHeight="1" x14ac:dyDescent="0.25">
      <c r="A222" s="8"/>
      <c r="B222" s="8"/>
      <c r="C222" s="8"/>
      <c r="D222" s="18"/>
      <c r="E222" s="18"/>
      <c r="F222" s="17"/>
      <c r="G222" s="174"/>
    </row>
    <row r="223" spans="1:7" ht="13.5" customHeight="1" thickBot="1" x14ac:dyDescent="0.3">
      <c r="A223" s="4"/>
      <c r="B223" s="4"/>
      <c r="C223" s="4"/>
      <c r="D223" s="174"/>
      <c r="E223" s="174"/>
      <c r="F223" s="174"/>
      <c r="G223" s="174"/>
    </row>
    <row r="224" spans="1:7" ht="13.5" customHeight="1" thickBot="1" x14ac:dyDescent="0.3">
      <c r="A224" s="12" t="s">
        <v>206</v>
      </c>
      <c r="B224" s="226"/>
      <c r="C224" s="226"/>
      <c r="D224" s="227"/>
      <c r="E224" s="228"/>
      <c r="F224" s="11">
        <f>F213+F221</f>
        <v>33084.404287961341</v>
      </c>
      <c r="G224" s="174"/>
    </row>
    <row r="225" spans="1:7" ht="13.5" customHeight="1" x14ac:dyDescent="0.25">
      <c r="A225" s="26"/>
      <c r="B225" s="26"/>
      <c r="C225" s="26"/>
      <c r="D225" s="27"/>
      <c r="E225" s="27"/>
      <c r="F225" s="27"/>
      <c r="G225" s="174"/>
    </row>
    <row r="226" spans="1:7" ht="13.5" customHeight="1" x14ac:dyDescent="0.25">
      <c r="A226" s="300" t="s">
        <v>200</v>
      </c>
      <c r="B226" s="301"/>
      <c r="C226" s="301"/>
      <c r="D226" s="245">
        <v>135</v>
      </c>
      <c r="E226" s="302" t="s">
        <v>24</v>
      </c>
      <c r="F226" s="174"/>
      <c r="G226" s="4"/>
    </row>
    <row r="227" spans="1:7" ht="13.5" customHeight="1" x14ac:dyDescent="0.25">
      <c r="A227" s="303"/>
      <c r="B227" s="303"/>
      <c r="C227" s="303"/>
      <c r="D227" s="246"/>
      <c r="E227" s="246"/>
      <c r="F227" s="174"/>
      <c r="G227" s="4"/>
    </row>
    <row r="228" spans="1:7" ht="13.5" customHeight="1" thickBot="1" x14ac:dyDescent="0.3">
      <c r="A228" s="8" t="s">
        <v>256</v>
      </c>
      <c r="B228" s="4"/>
      <c r="C228" s="4"/>
      <c r="D228" s="246"/>
      <c r="E228" s="204"/>
      <c r="F228" s="174"/>
      <c r="G228" s="4"/>
    </row>
    <row r="229" spans="1:7" ht="13.5" customHeight="1" thickBot="1" x14ac:dyDescent="0.3">
      <c r="A229" s="28" t="s">
        <v>58</v>
      </c>
      <c r="B229" s="29" t="s">
        <v>59</v>
      </c>
      <c r="C229" s="29" t="s">
        <v>36</v>
      </c>
      <c r="D229" s="30" t="s">
        <v>215</v>
      </c>
      <c r="E229" s="30" t="s">
        <v>60</v>
      </c>
      <c r="F229" s="31" t="s">
        <v>61</v>
      </c>
      <c r="G229" s="4"/>
    </row>
    <row r="230" spans="1:7" ht="13.5" customHeight="1" thickBot="1" x14ac:dyDescent="0.3">
      <c r="A230" s="172" t="s">
        <v>287</v>
      </c>
      <c r="B230" s="173" t="s">
        <v>258</v>
      </c>
      <c r="C230" s="213">
        <v>151.43</v>
      </c>
      <c r="D230" s="210">
        <v>0</v>
      </c>
      <c r="E230" s="210">
        <f>C230*D230</f>
        <v>0</v>
      </c>
      <c r="F230" s="174"/>
      <c r="G230" s="4"/>
    </row>
    <row r="231" spans="1:7" ht="13.5" customHeight="1" thickBot="1" x14ac:dyDescent="0.3">
      <c r="A231" s="4"/>
      <c r="B231" s="4"/>
      <c r="C231" s="4"/>
      <c r="D231" s="174"/>
      <c r="E231" s="174"/>
      <c r="F231" s="10">
        <f>+E230</f>
        <v>0</v>
      </c>
      <c r="G231" s="4"/>
    </row>
    <row r="232" spans="1:7" ht="13.5" customHeight="1" thickBot="1" x14ac:dyDescent="0.3">
      <c r="A232" s="4"/>
      <c r="B232" s="4"/>
      <c r="C232" s="4"/>
      <c r="D232" s="174"/>
      <c r="E232" s="174"/>
      <c r="F232" s="174"/>
      <c r="G232" s="4"/>
    </row>
    <row r="233" spans="1:7" ht="25.5" customHeight="1" thickBot="1" x14ac:dyDescent="0.3">
      <c r="A233" s="12" t="s">
        <v>257</v>
      </c>
      <c r="B233" s="13"/>
      <c r="C233" s="13"/>
      <c r="D233" s="14"/>
      <c r="E233" s="149" t="s">
        <v>31</v>
      </c>
      <c r="F233" s="150">
        <f>F224+F231</f>
        <v>33084.404287961341</v>
      </c>
      <c r="G233" s="4"/>
    </row>
    <row r="234" spans="1:7" ht="13.5" customHeight="1" x14ac:dyDescent="0.25">
      <c r="A234" s="4"/>
    </row>
    <row r="235" spans="1:7" ht="13.5" customHeight="1" x14ac:dyDescent="0.25">
      <c r="A235" s="4"/>
      <c r="D235" s="310"/>
      <c r="E235" s="310"/>
      <c r="F235" s="310"/>
    </row>
    <row r="236" spans="1:7" ht="13.5" customHeight="1" x14ac:dyDescent="0.25">
      <c r="A236" s="4"/>
      <c r="F236" s="174"/>
    </row>
    <row r="237" spans="1:7" ht="13.5" customHeight="1" x14ac:dyDescent="0.25">
      <c r="A237" s="4"/>
      <c r="B237" s="174"/>
      <c r="C237" s="193"/>
      <c r="D237" s="174"/>
      <c r="E237" s="6"/>
      <c r="F237" s="6"/>
    </row>
    <row r="238" spans="1:7" ht="15.6" x14ac:dyDescent="0.25">
      <c r="A238" s="4"/>
      <c r="B238" s="174"/>
      <c r="C238" s="193"/>
      <c r="D238" s="174"/>
      <c r="E238" s="6"/>
      <c r="F238" s="6"/>
    </row>
    <row r="239" spans="1:7" ht="15.6" x14ac:dyDescent="0.25">
      <c r="B239" s="174"/>
      <c r="C239" s="193"/>
      <c r="E239" s="6"/>
      <c r="F239" s="6"/>
    </row>
  </sheetData>
  <protectedRanges>
    <protectedRange sqref="B38" name="Intervalo3"/>
    <protectedRange sqref="D44 D54" name="Intervalo1"/>
    <protectedRange sqref="D176 D181:D186 D80:D91 D97:D104 D118 D123 D150:D152 D161:D170" name="Intervalo2"/>
  </protectedRanges>
  <mergeCells count="10">
    <mergeCell ref="D235:F235"/>
    <mergeCell ref="B156:F156"/>
    <mergeCell ref="A35:D35"/>
    <mergeCell ref="A12:C12"/>
    <mergeCell ref="A2:F2"/>
    <mergeCell ref="A3:F3"/>
    <mergeCell ref="A5:F5"/>
    <mergeCell ref="A29:E29"/>
    <mergeCell ref="A30:D30"/>
    <mergeCell ref="C66:D66"/>
  </mergeCells>
  <phoneticPr fontId="10" type="noConversion"/>
  <conditionalFormatting sqref="F44">
    <cfRule type="containsText" dxfId="1" priority="6" operator="containsText" text="O valor informado é menor do que o piso da categoria">
      <formula>NOT(ISERROR(SEARCH("O valor informado é menor do que o piso da categoria",F44)))</formula>
    </cfRule>
  </conditionalFormatting>
  <conditionalFormatting sqref="F54">
    <cfRule type="containsText" dxfId="0" priority="5" operator="containsText" text="O valor informado é menor do que o piso da categoria">
      <formula>NOT(ISERROR(SEARCH("O valor informado é menor do que o piso da categoria",F54)))</formula>
    </cfRule>
  </conditionalFormatting>
  <hyperlinks>
    <hyperlink ref="A132" location="AbaRemun" display="3.1.2. Remuneração do Capital" xr:uid="{00000000-0004-0000-0000-000000000000}"/>
    <hyperlink ref="A116" location="AbaDeprec" display="3.1.1. Depreciação" xr:uid="{00000000-0004-0000-0000-000001000000}"/>
  </hyperlinks>
  <printOptions horizontalCentered="1"/>
  <pageMargins left="0.59055118110236227" right="0.39370078740157483" top="1.5354330708661419" bottom="0.74803149606299213" header="0.31496062992125984" footer="0.31496062992125984"/>
  <pageSetup paperSize="9" scale="81" fitToHeight="0" orientation="portrait" r:id="rId1"/>
  <headerFooter alignWithMargins="0">
    <oddFooter>&amp;R&amp;P de &amp;N</oddFooter>
  </headerFooter>
  <rowBreaks count="3" manualBreakCount="3">
    <brk id="38" max="16383" man="1"/>
    <brk id="73" max="16383" man="1"/>
    <brk id="11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6"/>
  <sheetViews>
    <sheetView topLeftCell="A21" zoomScaleNormal="100" workbookViewId="0">
      <selection activeCell="C25" sqref="C25"/>
    </sheetView>
  </sheetViews>
  <sheetFormatPr defaultColWidth="9.109375" defaultRowHeight="13.2" x14ac:dyDescent="0.25"/>
  <cols>
    <col min="1" max="1" width="13.5546875" style="1" customWidth="1"/>
    <col min="2" max="2" width="36.6640625" style="1" bestFit="1" customWidth="1"/>
    <col min="3" max="3" width="14.5546875" style="1" customWidth="1"/>
    <col min="4" max="4" width="37.33203125" style="1" customWidth="1"/>
    <col min="5" max="10" width="9.109375" style="1"/>
    <col min="11" max="11" width="11" style="1" bestFit="1" customWidth="1"/>
    <col min="12" max="16384" width="9.109375" style="1"/>
  </cols>
  <sheetData>
    <row r="1" spans="1:6" x14ac:dyDescent="0.25">
      <c r="A1" s="8" t="s">
        <v>186</v>
      </c>
    </row>
    <row r="2" spans="1:6" x14ac:dyDescent="0.25">
      <c r="A2" s="65" t="s">
        <v>227</v>
      </c>
    </row>
    <row r="3" spans="1:6" ht="13.8" thickBot="1" x14ac:dyDescent="0.3"/>
    <row r="4" spans="1:6" ht="17.399999999999999" x14ac:dyDescent="0.25">
      <c r="A4" s="330" t="s">
        <v>209</v>
      </c>
      <c r="B4" s="331"/>
      <c r="C4" s="332"/>
      <c r="D4" s="68"/>
      <c r="E4" s="68"/>
      <c r="F4" s="68"/>
    </row>
    <row r="5" spans="1:6" ht="13.8" x14ac:dyDescent="0.25">
      <c r="A5" s="82" t="s">
        <v>123</v>
      </c>
      <c r="B5" s="83" t="s">
        <v>124</v>
      </c>
      <c r="C5" s="84" t="s">
        <v>125</v>
      </c>
      <c r="D5" s="85"/>
    </row>
    <row r="6" spans="1:6" ht="13.8" x14ac:dyDescent="0.25">
      <c r="A6" s="82" t="s">
        <v>126</v>
      </c>
      <c r="B6" s="83" t="s">
        <v>37</v>
      </c>
      <c r="C6" s="86">
        <v>0.2</v>
      </c>
      <c r="D6" s="85"/>
    </row>
    <row r="7" spans="1:6" ht="13.8" x14ac:dyDescent="0.25">
      <c r="A7" s="82" t="s">
        <v>127</v>
      </c>
      <c r="B7" s="83" t="s">
        <v>128</v>
      </c>
      <c r="C7" s="86">
        <v>1.4999999999999999E-2</v>
      </c>
      <c r="D7" s="85"/>
    </row>
    <row r="8" spans="1:6" ht="13.8" x14ac:dyDescent="0.25">
      <c r="A8" s="82" t="s">
        <v>129</v>
      </c>
      <c r="B8" s="83" t="s">
        <v>130</v>
      </c>
      <c r="C8" s="86">
        <v>0.01</v>
      </c>
      <c r="D8" s="85"/>
    </row>
    <row r="9" spans="1:6" ht="13.8" x14ac:dyDescent="0.25">
      <c r="A9" s="82" t="s">
        <v>131</v>
      </c>
      <c r="B9" s="83" t="s">
        <v>132</v>
      </c>
      <c r="C9" s="86">
        <v>2E-3</v>
      </c>
      <c r="D9" s="85"/>
    </row>
    <row r="10" spans="1:6" ht="13.8" x14ac:dyDescent="0.25">
      <c r="A10" s="82" t="s">
        <v>133</v>
      </c>
      <c r="B10" s="83" t="s">
        <v>134</v>
      </c>
      <c r="C10" s="86">
        <v>6.0000000000000001E-3</v>
      </c>
      <c r="D10" s="85"/>
    </row>
    <row r="11" spans="1:6" ht="13.8" x14ac:dyDescent="0.25">
      <c r="A11" s="82" t="s">
        <v>135</v>
      </c>
      <c r="B11" s="83" t="s">
        <v>136</v>
      </c>
      <c r="C11" s="86">
        <v>2.5000000000000001E-2</v>
      </c>
      <c r="D11" s="85"/>
    </row>
    <row r="12" spans="1:6" ht="13.8" x14ac:dyDescent="0.25">
      <c r="A12" s="82" t="s">
        <v>137</v>
      </c>
      <c r="B12" s="83" t="s">
        <v>138</v>
      </c>
      <c r="C12" s="86">
        <v>0.03</v>
      </c>
      <c r="D12" s="85"/>
    </row>
    <row r="13" spans="1:6" ht="13.8" x14ac:dyDescent="0.25">
      <c r="A13" s="82" t="s">
        <v>139</v>
      </c>
      <c r="B13" s="83" t="s">
        <v>38</v>
      </c>
      <c r="C13" s="86">
        <v>0.08</v>
      </c>
      <c r="D13" s="85"/>
    </row>
    <row r="14" spans="1:6" ht="13.8" x14ac:dyDescent="0.25">
      <c r="A14" s="82" t="s">
        <v>140</v>
      </c>
      <c r="B14" s="87" t="s">
        <v>141</v>
      </c>
      <c r="C14" s="88">
        <f>SUM(C6:C13)</f>
        <v>0.36800000000000005</v>
      </c>
      <c r="D14" s="85"/>
    </row>
    <row r="15" spans="1:6" ht="13.8" x14ac:dyDescent="0.25">
      <c r="A15" s="89"/>
      <c r="B15" s="90"/>
      <c r="C15" s="91"/>
      <c r="D15" s="85"/>
    </row>
    <row r="16" spans="1:6" ht="13.8" x14ac:dyDescent="0.25">
      <c r="A16" s="82" t="s">
        <v>142</v>
      </c>
      <c r="B16" s="92" t="s">
        <v>143</v>
      </c>
      <c r="C16" s="86">
        <v>6.5699999999999995E-2</v>
      </c>
      <c r="D16" s="85"/>
    </row>
    <row r="17" spans="1:8" ht="13.8" x14ac:dyDescent="0.25">
      <c r="A17" s="82" t="s">
        <v>144</v>
      </c>
      <c r="B17" s="92" t="s">
        <v>145</v>
      </c>
      <c r="C17" s="86">
        <v>8.3299999999999999E-2</v>
      </c>
      <c r="D17" s="85"/>
    </row>
    <row r="18" spans="1:8" ht="13.8" x14ac:dyDescent="0.25">
      <c r="A18" s="82" t="s">
        <v>199</v>
      </c>
      <c r="B18" s="92" t="s">
        <v>147</v>
      </c>
      <c r="C18" s="86">
        <v>5.9999999999999995E-4</v>
      </c>
      <c r="D18" s="85"/>
    </row>
    <row r="19" spans="1:8" ht="13.8" x14ac:dyDescent="0.25">
      <c r="A19" s="82" t="s">
        <v>146</v>
      </c>
      <c r="B19" s="92" t="s">
        <v>149</v>
      </c>
      <c r="C19" s="86">
        <v>8.2000000000000007E-3</v>
      </c>
      <c r="D19" s="85"/>
    </row>
    <row r="20" spans="1:8" ht="13.8" x14ac:dyDescent="0.25">
      <c r="A20" s="82" t="s">
        <v>148</v>
      </c>
      <c r="B20" s="92" t="s">
        <v>151</v>
      </c>
      <c r="C20" s="86">
        <v>3.0999999999999999E-3</v>
      </c>
      <c r="D20" s="85"/>
    </row>
    <row r="21" spans="1:8" ht="13.8" x14ac:dyDescent="0.25">
      <c r="A21" s="82" t="s">
        <v>150</v>
      </c>
      <c r="B21" s="92" t="s">
        <v>152</v>
      </c>
      <c r="C21" s="86">
        <v>1.66E-2</v>
      </c>
      <c r="D21" s="85"/>
    </row>
    <row r="22" spans="1:8" ht="13.8" x14ac:dyDescent="0.25">
      <c r="A22" s="82" t="s">
        <v>153</v>
      </c>
      <c r="B22" s="87" t="s">
        <v>154</v>
      </c>
      <c r="C22" s="88">
        <f>SUM(C16:C21)</f>
        <v>0.17749999999999999</v>
      </c>
      <c r="D22" s="93"/>
    </row>
    <row r="23" spans="1:8" ht="13.8" x14ac:dyDescent="0.25">
      <c r="A23" s="89"/>
      <c r="B23" s="90"/>
      <c r="C23" s="91"/>
      <c r="D23" s="93"/>
    </row>
    <row r="24" spans="1:8" ht="13.8" x14ac:dyDescent="0.25">
      <c r="A24" s="82" t="s">
        <v>155</v>
      </c>
      <c r="B24" s="83" t="s">
        <v>156</v>
      </c>
      <c r="C24" s="86">
        <v>2.9000000000000001E-2</v>
      </c>
      <c r="D24" s="85"/>
      <c r="E24" s="94"/>
    </row>
    <row r="25" spans="1:8" ht="13.8" x14ac:dyDescent="0.25">
      <c r="A25" s="82" t="s">
        <v>198</v>
      </c>
      <c r="B25" s="83" t="s">
        <v>158</v>
      </c>
      <c r="C25" s="86">
        <v>4.5400000000000003E-2</v>
      </c>
      <c r="D25" s="85"/>
      <c r="H25" s="95"/>
    </row>
    <row r="26" spans="1:8" ht="13.8" x14ac:dyDescent="0.25">
      <c r="A26" s="82" t="s">
        <v>157</v>
      </c>
      <c r="B26" s="83" t="s">
        <v>160</v>
      </c>
      <c r="C26" s="86">
        <v>1.2999999999999999E-3</v>
      </c>
      <c r="D26" s="85"/>
    </row>
    <row r="27" spans="1:8" ht="13.8" x14ac:dyDescent="0.25">
      <c r="A27" s="82" t="s">
        <v>159</v>
      </c>
      <c r="B27" s="83" t="s">
        <v>162</v>
      </c>
      <c r="C27" s="86">
        <v>3.15E-2</v>
      </c>
      <c r="D27" s="85"/>
      <c r="G27" s="94"/>
    </row>
    <row r="28" spans="1:8" ht="13.8" x14ac:dyDescent="0.25">
      <c r="A28" s="82" t="s">
        <v>161</v>
      </c>
      <c r="B28" s="83" t="s">
        <v>163</v>
      </c>
      <c r="C28" s="86">
        <v>2E-3</v>
      </c>
      <c r="D28" s="85"/>
    </row>
    <row r="29" spans="1:8" ht="13.8" x14ac:dyDescent="0.25">
      <c r="A29" s="82" t="s">
        <v>164</v>
      </c>
      <c r="B29" s="87" t="s">
        <v>165</v>
      </c>
      <c r="C29" s="88">
        <f>SUM(C24:C28)</f>
        <v>0.10920000000000001</v>
      </c>
      <c r="D29" s="93"/>
    </row>
    <row r="30" spans="1:8" ht="13.8" x14ac:dyDescent="0.25">
      <c r="A30" s="89"/>
      <c r="B30" s="90"/>
      <c r="C30" s="91"/>
      <c r="D30" s="93"/>
    </row>
    <row r="31" spans="1:8" ht="13.8" x14ac:dyDescent="0.25">
      <c r="A31" s="82" t="s">
        <v>166</v>
      </c>
      <c r="B31" s="83" t="s">
        <v>167</v>
      </c>
      <c r="C31" s="86">
        <f>ROUND(C14*C22,4)</f>
        <v>6.5299999999999997E-2</v>
      </c>
      <c r="D31" s="85"/>
    </row>
    <row r="32" spans="1:8" ht="27.6" x14ac:dyDescent="0.25">
      <c r="A32" s="82" t="s">
        <v>168</v>
      </c>
      <c r="B32" s="96" t="s">
        <v>169</v>
      </c>
      <c r="C32" s="86">
        <f>ROUND((C24*C14),4)</f>
        <v>1.0699999999999999E-2</v>
      </c>
      <c r="D32" s="85"/>
    </row>
    <row r="33" spans="1:4" ht="13.8" x14ac:dyDescent="0.25">
      <c r="A33" s="82" t="s">
        <v>170</v>
      </c>
      <c r="B33" s="87" t="s">
        <v>171</v>
      </c>
      <c r="C33" s="88">
        <f>SUM(C31:C32)</f>
        <v>7.5999999999999998E-2</v>
      </c>
      <c r="D33" s="93"/>
    </row>
    <row r="34" spans="1:4" ht="14.4" thickBot="1" x14ac:dyDescent="0.3">
      <c r="A34" s="97"/>
      <c r="B34" s="98" t="s">
        <v>172</v>
      </c>
      <c r="C34" s="99">
        <f>C33+C29+C22+C14</f>
        <v>0.73070000000000013</v>
      </c>
      <c r="D34" s="93"/>
    </row>
    <row r="35" spans="1:4" ht="13.8" x14ac:dyDescent="0.25">
      <c r="A35" s="85"/>
      <c r="B35" s="100"/>
      <c r="C35" s="101"/>
      <c r="D35" s="180"/>
    </row>
    <row r="36" spans="1:4" ht="13.8" x14ac:dyDescent="0.25">
      <c r="A36" s="85"/>
      <c r="B36" s="85"/>
      <c r="C36" s="102"/>
      <c r="D36" s="103"/>
    </row>
    <row r="37" spans="1:4" ht="13.8" x14ac:dyDescent="0.25">
      <c r="A37" s="85"/>
      <c r="B37" s="85"/>
      <c r="C37" s="102"/>
      <c r="D37" s="85"/>
    </row>
    <row r="38" spans="1:4" ht="13.8" x14ac:dyDescent="0.25">
      <c r="A38" s="85"/>
      <c r="B38" s="85"/>
      <c r="C38" s="102"/>
      <c r="D38" s="85"/>
    </row>
    <row r="39" spans="1:4" ht="13.8" x14ac:dyDescent="0.25">
      <c r="A39" s="85"/>
      <c r="B39" s="85"/>
      <c r="C39" s="102"/>
      <c r="D39" s="85"/>
    </row>
    <row r="40" spans="1:4" ht="13.8" x14ac:dyDescent="0.25">
      <c r="A40" s="85"/>
      <c r="B40" s="100"/>
      <c r="C40" s="101"/>
      <c r="D40" s="85"/>
    </row>
    <row r="41" spans="1:4" ht="13.8" x14ac:dyDescent="0.25">
      <c r="A41" s="93"/>
      <c r="B41" s="100"/>
      <c r="C41" s="101"/>
      <c r="D41" s="93"/>
    </row>
    <row r="42" spans="1:4" ht="16.8" x14ac:dyDescent="0.25">
      <c r="A42" s="104"/>
    </row>
    <row r="43" spans="1:4" x14ac:dyDescent="0.25">
      <c r="A43" s="105"/>
      <c r="B43" s="106"/>
      <c r="C43" s="106"/>
    </row>
    <row r="44" spans="1:4" ht="13.8" x14ac:dyDescent="0.25">
      <c r="A44" s="85"/>
      <c r="B44" s="107"/>
      <c r="C44" s="106"/>
    </row>
    <row r="45" spans="1:4" ht="13.8" x14ac:dyDescent="0.25">
      <c r="A45" s="85"/>
      <c r="B45" s="107"/>
      <c r="C45" s="85"/>
    </row>
    <row r="46" spans="1:4" ht="13.8" x14ac:dyDescent="0.25">
      <c r="A46" s="85"/>
      <c r="B46" s="102"/>
      <c r="C46" s="106"/>
    </row>
    <row r="47" spans="1:4" ht="13.8" x14ac:dyDescent="0.25">
      <c r="A47" s="85"/>
      <c r="B47" s="107"/>
      <c r="C47" s="85"/>
    </row>
    <row r="48" spans="1:4" ht="13.8" x14ac:dyDescent="0.25">
      <c r="A48" s="85"/>
      <c r="B48" s="102"/>
      <c r="C48" s="106"/>
    </row>
    <row r="49" spans="1:3" ht="13.8" x14ac:dyDescent="0.25">
      <c r="A49" s="85"/>
      <c r="B49" s="107"/>
      <c r="C49" s="85"/>
    </row>
    <row r="50" spans="1:3" ht="13.8" x14ac:dyDescent="0.25">
      <c r="A50" s="85"/>
      <c r="B50" s="102"/>
      <c r="C50" s="106"/>
    </row>
    <row r="51" spans="1:3" ht="13.8" x14ac:dyDescent="0.25">
      <c r="A51" s="85"/>
      <c r="B51" s="107"/>
      <c r="C51" s="85"/>
    </row>
    <row r="52" spans="1:3" ht="13.8" x14ac:dyDescent="0.25">
      <c r="A52" s="85"/>
      <c r="B52" s="102"/>
      <c r="C52" s="106"/>
    </row>
    <row r="53" spans="1:3" ht="16.8" x14ac:dyDescent="0.25">
      <c r="A53" s="104"/>
    </row>
    <row r="56" spans="1:3" x14ac:dyDescent="0.25">
      <c r="A56" s="108"/>
    </row>
  </sheetData>
  <mergeCells count="1">
    <mergeCell ref="A4:C4"/>
  </mergeCells>
  <printOptions horizontalCentered="1"/>
  <pageMargins left="0.9055118110236221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1"/>
  <sheetViews>
    <sheetView view="pageBreakPreview" zoomScaleNormal="100" zoomScaleSheetLayoutView="100" workbookViewId="0">
      <selection activeCell="C25" sqref="C25"/>
    </sheetView>
  </sheetViews>
  <sheetFormatPr defaultColWidth="9.109375" defaultRowHeight="13.2" x14ac:dyDescent="0.25"/>
  <cols>
    <col min="1" max="1" width="8.5546875" style="1" customWidth="1"/>
    <col min="2" max="2" width="67.109375" style="1" customWidth="1"/>
    <col min="3" max="3" width="13.6640625" style="1" customWidth="1"/>
    <col min="4" max="4" width="10.33203125" style="1" hidden="1" customWidth="1"/>
    <col min="5" max="5" width="13.6640625" style="1" hidden="1" customWidth="1"/>
    <col min="6" max="6" width="14.44140625" style="1" hidden="1" customWidth="1"/>
    <col min="7" max="7" width="12.6640625" style="1" hidden="1" customWidth="1"/>
    <col min="8" max="8" width="4.44140625" style="1" hidden="1" customWidth="1"/>
    <col min="9" max="9" width="6.88671875" style="1" hidden="1" customWidth="1"/>
    <col min="10" max="10" width="3.33203125" style="1" hidden="1" customWidth="1"/>
    <col min="11" max="11" width="0" style="1" hidden="1" customWidth="1"/>
    <col min="12" max="16384" width="9.109375" style="1"/>
  </cols>
  <sheetData>
    <row r="1" spans="1:3" x14ac:dyDescent="0.25">
      <c r="A1" s="47" t="s">
        <v>221</v>
      </c>
    </row>
    <row r="3" spans="1:3" x14ac:dyDescent="0.25">
      <c r="A3" s="1" t="s">
        <v>193</v>
      </c>
    </row>
    <row r="4" spans="1:3" x14ac:dyDescent="0.25">
      <c r="A4" s="163" t="s">
        <v>189</v>
      </c>
    </row>
    <row r="5" spans="1:3" ht="25.5" customHeight="1" x14ac:dyDescent="0.25">
      <c r="A5" s="336" t="s">
        <v>232</v>
      </c>
      <c r="B5" s="335"/>
      <c r="C5" s="335"/>
    </row>
    <row r="6" spans="1:3" x14ac:dyDescent="0.25">
      <c r="A6" s="1" t="s">
        <v>190</v>
      </c>
    </row>
    <row r="7" spans="1:3" ht="26.25" customHeight="1" x14ac:dyDescent="0.25">
      <c r="A7" s="335" t="s">
        <v>191</v>
      </c>
      <c r="B7" s="335"/>
      <c r="C7" s="335"/>
    </row>
    <row r="8" spans="1:3" x14ac:dyDescent="0.25">
      <c r="A8" s="1" t="s">
        <v>192</v>
      </c>
    </row>
    <row r="9" spans="1:3" x14ac:dyDescent="0.25">
      <c r="A9" s="1" t="s">
        <v>222</v>
      </c>
    </row>
    <row r="10" spans="1:3" ht="13.8" thickBot="1" x14ac:dyDescent="0.3"/>
    <row r="11" spans="1:3" ht="17.399999999999999" x14ac:dyDescent="0.3">
      <c r="B11" s="333" t="s">
        <v>207</v>
      </c>
      <c r="C11" s="334"/>
    </row>
    <row r="12" spans="1:3" ht="13.8" x14ac:dyDescent="0.25">
      <c r="B12" s="70" t="s">
        <v>188</v>
      </c>
      <c r="C12" s="109"/>
    </row>
    <row r="13" spans="1:3" ht="13.8" x14ac:dyDescent="0.25">
      <c r="B13" s="71" t="s">
        <v>104</v>
      </c>
      <c r="C13" s="181">
        <v>2602</v>
      </c>
    </row>
    <row r="14" spans="1:3" ht="13.8" x14ac:dyDescent="0.25">
      <c r="B14" s="72" t="s">
        <v>105</v>
      </c>
      <c r="C14" s="181">
        <v>3844</v>
      </c>
    </row>
    <row r="15" spans="1:3" ht="13.8" x14ac:dyDescent="0.25">
      <c r="B15" s="110" t="s">
        <v>106</v>
      </c>
      <c r="C15" s="182">
        <v>165</v>
      </c>
    </row>
    <row r="16" spans="1:3" ht="13.8" x14ac:dyDescent="0.25">
      <c r="B16" s="110" t="s">
        <v>107</v>
      </c>
      <c r="C16" s="182">
        <v>2821</v>
      </c>
    </row>
    <row r="17" spans="1:7" ht="13.8" x14ac:dyDescent="0.25">
      <c r="B17" s="110" t="s">
        <v>108</v>
      </c>
      <c r="C17" s="182">
        <v>338</v>
      </c>
    </row>
    <row r="18" spans="1:7" ht="13.8" x14ac:dyDescent="0.25">
      <c r="B18" s="110" t="s">
        <v>109</v>
      </c>
      <c r="C18" s="182">
        <v>22</v>
      </c>
    </row>
    <row r="19" spans="1:7" ht="13.8" x14ac:dyDescent="0.25">
      <c r="B19" s="110" t="s">
        <v>110</v>
      </c>
      <c r="C19" s="182">
        <v>470</v>
      </c>
    </row>
    <row r="20" spans="1:7" ht="13.8" x14ac:dyDescent="0.25">
      <c r="B20" s="110" t="s">
        <v>111</v>
      </c>
      <c r="C20" s="182">
        <v>1</v>
      </c>
    </row>
    <row r="21" spans="1:7" ht="13.8" x14ac:dyDescent="0.25">
      <c r="B21" s="110" t="s">
        <v>112</v>
      </c>
      <c r="C21" s="182">
        <v>26</v>
      </c>
    </row>
    <row r="22" spans="1:7" ht="13.8" x14ac:dyDescent="0.25">
      <c r="B22" s="111" t="s">
        <v>113</v>
      </c>
      <c r="C22" s="183">
        <v>0</v>
      </c>
    </row>
    <row r="23" spans="1:7" ht="13.8" x14ac:dyDescent="0.25">
      <c r="A23" s="1" t="s">
        <v>114</v>
      </c>
      <c r="B23" s="70" t="s">
        <v>115</v>
      </c>
      <c r="C23" s="109"/>
    </row>
    <row r="24" spans="1:7" ht="13.8" x14ac:dyDescent="0.25">
      <c r="B24" s="112" t="s">
        <v>238</v>
      </c>
      <c r="C24" s="184">
        <v>6389</v>
      </c>
    </row>
    <row r="25" spans="1:7" ht="13.8" x14ac:dyDescent="0.25">
      <c r="B25" s="110" t="s">
        <v>239</v>
      </c>
      <c r="C25" s="182">
        <v>5147</v>
      </c>
    </row>
    <row r="26" spans="1:7" ht="13.8" x14ac:dyDescent="0.25">
      <c r="B26" s="110" t="s">
        <v>240</v>
      </c>
      <c r="C26" s="182">
        <v>-1242</v>
      </c>
    </row>
    <row r="27" spans="1:7" ht="13.8" x14ac:dyDescent="0.25">
      <c r="B27" s="113"/>
      <c r="C27" s="114"/>
    </row>
    <row r="28" spans="1:7" ht="13.8" x14ac:dyDescent="0.25">
      <c r="B28" s="73" t="s">
        <v>116</v>
      </c>
      <c r="C28" s="164">
        <f>MEDIAN(C13,C14)/MEDIAN(C24,C25)</f>
        <v>0.55877253814147021</v>
      </c>
      <c r="G28" s="1">
        <f>12/C28</f>
        <v>21.4756438101148</v>
      </c>
    </row>
    <row r="29" spans="1:7" ht="13.8" x14ac:dyDescent="0.25">
      <c r="B29" s="71" t="s">
        <v>117</v>
      </c>
      <c r="C29" s="164">
        <f>C16/MEDIAN(C24,C25)</f>
        <v>0.48907766990291263</v>
      </c>
    </row>
    <row r="30" spans="1:7" ht="13.8" x14ac:dyDescent="0.25">
      <c r="B30" s="75" t="s">
        <v>118</v>
      </c>
      <c r="C30" s="74">
        <v>360</v>
      </c>
    </row>
    <row r="31" spans="1:7" ht="13.8" x14ac:dyDescent="0.25">
      <c r="B31" s="71" t="s">
        <v>223</v>
      </c>
      <c r="C31" s="74">
        <v>10</v>
      </c>
    </row>
    <row r="32" spans="1:7" ht="13.8" x14ac:dyDescent="0.25">
      <c r="B32" s="71" t="s">
        <v>224</v>
      </c>
      <c r="C32" s="74">
        <v>30</v>
      </c>
      <c r="G32" s="1">
        <f>TRUNC(G37)</f>
        <v>9</v>
      </c>
    </row>
    <row r="33" spans="2:11" ht="13.8" x14ac:dyDescent="0.25">
      <c r="B33" s="71" t="s">
        <v>225</v>
      </c>
      <c r="C33" s="74">
        <v>30</v>
      </c>
    </row>
    <row r="34" spans="2:11" s="47" customFormat="1" ht="13.8" x14ac:dyDescent="0.25">
      <c r="B34" s="71" t="s">
        <v>119</v>
      </c>
      <c r="C34" s="115">
        <f>MEDIAN(C24,C25)</f>
        <v>5768</v>
      </c>
    </row>
    <row r="35" spans="2:11" s="47" customFormat="1" ht="13.8" x14ac:dyDescent="0.25">
      <c r="B35" s="71" t="s">
        <v>38</v>
      </c>
      <c r="C35" s="116">
        <v>0.08</v>
      </c>
      <c r="K35" s="47">
        <f>IF(C39&gt;12,C39-12,C39)</f>
        <v>9.4756438101147999</v>
      </c>
    </row>
    <row r="36" spans="2:11" s="47" customFormat="1" ht="13.8" x14ac:dyDescent="0.25">
      <c r="B36" s="71" t="s">
        <v>120</v>
      </c>
      <c r="C36" s="116">
        <v>0.5</v>
      </c>
      <c r="K36" s="47" t="e">
        <f>IF(#REF!&gt;12,#REF!-12,#REF!)</f>
        <v>#REF!</v>
      </c>
    </row>
    <row r="37" spans="2:11" s="47" customFormat="1" ht="13.8" x14ac:dyDescent="0.25">
      <c r="B37" s="71" t="s">
        <v>121</v>
      </c>
      <c r="C37" s="165">
        <f>((1/C28)-TRUNC(E37))</f>
        <v>0.78963698417623318</v>
      </c>
      <c r="D37" s="47">
        <f>TRUNC(E37)</f>
        <v>1</v>
      </c>
      <c r="E37" s="47">
        <f>1/C28</f>
        <v>1.7896369841762332</v>
      </c>
      <c r="F37" s="47">
        <f>((1/C28)-TRUNC(E37))</f>
        <v>0.78963698417623318</v>
      </c>
      <c r="G37" s="47">
        <f>12*F37</f>
        <v>9.4756438101147982</v>
      </c>
      <c r="K37" s="47" t="e">
        <f>IF(#REF!&gt;12,#REF!-12,#REF!)</f>
        <v>#REF!</v>
      </c>
    </row>
    <row r="38" spans="2:11" s="47" customFormat="1" ht="13.8" x14ac:dyDescent="0.25">
      <c r="B38" s="70" t="s">
        <v>122</v>
      </c>
      <c r="C38" s="76">
        <f>30+D38</f>
        <v>33</v>
      </c>
      <c r="D38" s="47">
        <f>3*D37</f>
        <v>3</v>
      </c>
      <c r="G38" s="47">
        <f>G37/12*40/360</f>
        <v>8.7737442686248127E-2</v>
      </c>
      <c r="K38" s="47" t="e">
        <f>IF(#REF!&gt;12,#REF!-12,#REF!)</f>
        <v>#REF!</v>
      </c>
    </row>
    <row r="39" spans="2:11" s="47" customFormat="1" ht="14.4" thickBot="1" x14ac:dyDescent="0.3">
      <c r="B39" s="77" t="s">
        <v>228</v>
      </c>
      <c r="C39" s="166">
        <f>12/C28</f>
        <v>21.4756438101148</v>
      </c>
      <c r="K39" s="47" t="e">
        <f>IF(#REF!&gt;12,#REF!-12,#REF!)</f>
        <v>#REF!</v>
      </c>
    </row>
    <row r="40" spans="2:11" x14ac:dyDescent="0.25">
      <c r="K40" s="1" t="e">
        <f t="shared" ref="K40:K41" si="0">IF(K39&gt;12,K39-12,K39)</f>
        <v>#REF!</v>
      </c>
    </row>
    <row r="41" spans="2:11" x14ac:dyDescent="0.25">
      <c r="K41" s="1" t="e">
        <f t="shared" si="0"/>
        <v>#REF!</v>
      </c>
    </row>
  </sheetData>
  <sheetProtection sheet="1" objects="1" scenarios="1"/>
  <mergeCells count="3">
    <mergeCell ref="B11:C11"/>
    <mergeCell ref="A7:C7"/>
    <mergeCell ref="A5:C5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"/>
  <sheetViews>
    <sheetView view="pageBreakPreview" topLeftCell="A5" zoomScaleNormal="100" zoomScaleSheetLayoutView="100" workbookViewId="0">
      <selection activeCell="C25" sqref="C25"/>
    </sheetView>
  </sheetViews>
  <sheetFormatPr defaultRowHeight="13.2" x14ac:dyDescent="0.25"/>
  <cols>
    <col min="1" max="1" width="41.88671875" bestFit="1" customWidth="1"/>
    <col min="2" max="2" width="5.5546875" bestFit="1" customWidth="1"/>
    <col min="3" max="3" width="10.5546875" customWidth="1"/>
    <col min="4" max="4" width="9.6640625" bestFit="1" customWidth="1"/>
    <col min="5" max="5" width="8" style="57" bestFit="1" customWidth="1"/>
    <col min="6" max="6" width="9.6640625" bestFit="1" customWidth="1"/>
  </cols>
  <sheetData>
    <row r="1" spans="1:8" s="66" customFormat="1" ht="13.8" x14ac:dyDescent="0.25">
      <c r="A1" s="8" t="s">
        <v>186</v>
      </c>
      <c r="B1" s="5"/>
      <c r="C1" s="5"/>
      <c r="E1" s="67"/>
    </row>
    <row r="2" spans="1:8" s="66" customFormat="1" ht="13.8" x14ac:dyDescent="0.25">
      <c r="A2" s="65" t="s">
        <v>229</v>
      </c>
      <c r="B2" s="5"/>
      <c r="C2" s="5"/>
      <c r="E2" s="67"/>
    </row>
    <row r="3" spans="1:8" s="66" customFormat="1" ht="13.8" x14ac:dyDescent="0.25">
      <c r="A3" s="6" t="s">
        <v>187</v>
      </c>
      <c r="B3" s="5"/>
      <c r="C3" s="5"/>
      <c r="E3" s="67"/>
    </row>
    <row r="4" spans="1:8" s="66" customFormat="1" ht="13.8" x14ac:dyDescent="0.25">
      <c r="A4" s="65"/>
      <c r="B4" s="5"/>
      <c r="C4" s="5"/>
      <c r="E4" s="67"/>
    </row>
    <row r="5" spans="1:8" s="66" customFormat="1" ht="14.4" thickBot="1" x14ac:dyDescent="0.3">
      <c r="B5" s="5"/>
      <c r="C5" s="5"/>
      <c r="E5" s="67"/>
    </row>
    <row r="6" spans="1:8" ht="15.6" x14ac:dyDescent="0.25">
      <c r="A6" s="342" t="s">
        <v>208</v>
      </c>
      <c r="B6" s="343"/>
      <c r="C6" s="343"/>
      <c r="D6" s="343"/>
      <c r="E6" s="343"/>
      <c r="F6" s="344"/>
    </row>
    <row r="7" spans="1:8" ht="16.2" thickBot="1" x14ac:dyDescent="0.3">
      <c r="A7" s="153"/>
      <c r="B7" s="154"/>
      <c r="C7" s="154"/>
      <c r="D7" s="154"/>
      <c r="E7" s="154"/>
      <c r="F7" s="155"/>
    </row>
    <row r="8" spans="1:8" ht="13.8" x14ac:dyDescent="0.25">
      <c r="A8" s="117"/>
      <c r="B8" s="5"/>
      <c r="C8" s="5"/>
      <c r="D8" s="339" t="s">
        <v>226</v>
      </c>
      <c r="E8" s="340"/>
      <c r="F8" s="341"/>
      <c r="G8" s="66"/>
      <c r="H8" s="66"/>
    </row>
    <row r="9" spans="1:8" ht="14.4" thickBot="1" x14ac:dyDescent="0.3">
      <c r="A9" s="113"/>
      <c r="B9" s="66"/>
      <c r="C9" s="66"/>
      <c r="D9" s="118" t="s">
        <v>173</v>
      </c>
      <c r="E9" s="119" t="s">
        <v>174</v>
      </c>
      <c r="F9" s="120" t="s">
        <v>175</v>
      </c>
      <c r="G9" s="66"/>
      <c r="H9" s="66"/>
    </row>
    <row r="10" spans="1:8" ht="13.8" x14ac:dyDescent="0.25">
      <c r="A10" s="121" t="s">
        <v>70</v>
      </c>
      <c r="B10" s="122" t="s">
        <v>71</v>
      </c>
      <c r="C10" s="185">
        <v>0.05</v>
      </c>
      <c r="D10" s="139">
        <v>2.9700000000000001E-2</v>
      </c>
      <c r="E10" s="140">
        <v>5.0799999999999998E-2</v>
      </c>
      <c r="F10" s="141">
        <v>6.2700000000000006E-2</v>
      </c>
      <c r="G10" s="66"/>
      <c r="H10" s="66"/>
    </row>
    <row r="11" spans="1:8" ht="13.8" x14ac:dyDescent="0.25">
      <c r="A11" s="124" t="s">
        <v>72</v>
      </c>
      <c r="B11" s="125" t="s">
        <v>73</v>
      </c>
      <c r="C11" s="186">
        <v>1.3299999999999999E-2</v>
      </c>
      <c r="D11" s="139">
        <f>0.3%+0.56%</f>
        <v>8.6E-3</v>
      </c>
      <c r="E11" s="140">
        <f>0.48%+0.85%</f>
        <v>1.3299999999999999E-2</v>
      </c>
      <c r="F11" s="141">
        <f>0.82%+0.89%</f>
        <v>1.7099999999999997E-2</v>
      </c>
      <c r="G11" s="66"/>
      <c r="H11" s="66"/>
    </row>
    <row r="12" spans="1:8" ht="13.8" x14ac:dyDescent="0.25">
      <c r="A12" s="124" t="s">
        <v>74</v>
      </c>
      <c r="B12" s="125" t="s">
        <v>75</v>
      </c>
      <c r="C12" s="186">
        <v>0.13</v>
      </c>
      <c r="D12" s="139">
        <v>7.7799999999999994E-2</v>
      </c>
      <c r="E12" s="140">
        <v>0.1085</v>
      </c>
      <c r="F12" s="141">
        <v>0.13550000000000001</v>
      </c>
      <c r="G12" s="66"/>
      <c r="H12" s="66"/>
    </row>
    <row r="13" spans="1:8" ht="13.8" x14ac:dyDescent="0.25">
      <c r="A13" s="124" t="s">
        <v>76</v>
      </c>
      <c r="B13" s="125" t="s">
        <v>77</v>
      </c>
      <c r="C13" s="126">
        <f>(1+E13)^(E14/252)-1</f>
        <v>5.4746801187401939E-3</v>
      </c>
      <c r="D13" s="139" t="s">
        <v>241</v>
      </c>
      <c r="E13" s="189">
        <v>0.14749999999999999</v>
      </c>
      <c r="F13" s="123"/>
      <c r="G13" s="66"/>
      <c r="H13" s="66"/>
    </row>
    <row r="14" spans="1:8" ht="13.8" x14ac:dyDescent="0.25">
      <c r="A14" s="124" t="s">
        <v>78</v>
      </c>
      <c r="B14" s="337" t="s">
        <v>79</v>
      </c>
      <c r="C14" s="186">
        <v>0.03</v>
      </c>
      <c r="D14" s="171" t="s">
        <v>176</v>
      </c>
      <c r="E14" s="188">
        <v>10</v>
      </c>
      <c r="F14" s="127"/>
      <c r="G14" s="66"/>
      <c r="H14" s="66"/>
    </row>
    <row r="15" spans="1:8" ht="14.4" thickBot="1" x14ac:dyDescent="0.3">
      <c r="A15" s="128" t="s">
        <v>80</v>
      </c>
      <c r="B15" s="338"/>
      <c r="C15" s="187">
        <v>3.6499999999999998E-2</v>
      </c>
      <c r="D15" s="110"/>
      <c r="E15" s="129"/>
      <c r="F15" s="127"/>
      <c r="G15" s="66"/>
      <c r="H15" s="66"/>
    </row>
    <row r="16" spans="1:8" ht="13.8" x14ac:dyDescent="0.25">
      <c r="A16" s="130" t="s">
        <v>81</v>
      </c>
      <c r="B16" s="131"/>
      <c r="C16" s="132"/>
      <c r="D16" s="110"/>
      <c r="E16" s="129"/>
      <c r="F16" s="127"/>
      <c r="G16" s="66"/>
      <c r="H16" s="66"/>
    </row>
    <row r="17" spans="1:8" ht="14.4" thickBot="1" x14ac:dyDescent="0.3">
      <c r="A17" s="133" t="s">
        <v>82</v>
      </c>
      <c r="B17" s="134"/>
      <c r="C17" s="135"/>
      <c r="D17" s="110"/>
      <c r="E17" s="129"/>
      <c r="F17" s="127"/>
      <c r="G17" s="66"/>
      <c r="H17" s="66"/>
    </row>
    <row r="18" spans="1:8" ht="14.4" thickBot="1" x14ac:dyDescent="0.3">
      <c r="A18" s="136" t="s">
        <v>83</v>
      </c>
      <c r="B18" s="137"/>
      <c r="C18" s="138">
        <f>ROUND((((1+C10+C11)*(1+C12)*(1+C13))/(1-(C14+C15)))-1,4)</f>
        <v>0.29420000000000002</v>
      </c>
      <c r="D18" s="142">
        <v>0.21429999999999999</v>
      </c>
      <c r="E18" s="143">
        <v>0.2717</v>
      </c>
      <c r="F18" s="144">
        <v>0.3362</v>
      </c>
      <c r="G18" s="66"/>
      <c r="H18" s="66"/>
    </row>
    <row r="19" spans="1:8" ht="13.8" x14ac:dyDescent="0.25">
      <c r="A19" s="66"/>
      <c r="B19" s="66"/>
      <c r="C19" s="350"/>
      <c r="D19" s="66"/>
      <c r="E19" s="67"/>
      <c r="F19" s="66"/>
      <c r="G19" s="66"/>
      <c r="H19" s="66"/>
    </row>
    <row r="20" spans="1:8" ht="13.8" x14ac:dyDescent="0.25">
      <c r="A20" s="66"/>
      <c r="B20" s="66"/>
      <c r="C20" s="66"/>
      <c r="D20" s="66"/>
      <c r="E20" s="67"/>
      <c r="F20" s="66"/>
      <c r="G20" s="66"/>
      <c r="H20" s="66"/>
    </row>
    <row r="21" spans="1:8" ht="13.8" x14ac:dyDescent="0.25">
      <c r="A21" s="66"/>
      <c r="B21" s="66"/>
      <c r="C21" s="66"/>
      <c r="D21" s="66"/>
      <c r="E21" s="67"/>
      <c r="F21" s="66"/>
      <c r="G21" s="66"/>
      <c r="H21" s="66"/>
    </row>
    <row r="22" spans="1:8" ht="13.8" x14ac:dyDescent="0.25">
      <c r="A22" s="66"/>
      <c r="B22" s="66"/>
      <c r="C22" s="66"/>
      <c r="D22" s="66"/>
      <c r="E22" s="67"/>
      <c r="F22" s="66"/>
      <c r="G22" s="66"/>
      <c r="H22" s="66"/>
    </row>
  </sheetData>
  <mergeCells count="3">
    <mergeCell ref="B14:B15"/>
    <mergeCell ref="D8:F8"/>
    <mergeCell ref="A6:F6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view="pageBreakPreview" zoomScale="115" zoomScaleNormal="100" zoomScaleSheetLayoutView="115" workbookViewId="0">
      <selection activeCell="C25" sqref="C25"/>
    </sheetView>
  </sheetViews>
  <sheetFormatPr defaultColWidth="9.109375" defaultRowHeight="19.5" customHeight="1" x14ac:dyDescent="0.25"/>
  <cols>
    <col min="1" max="1" width="24.5546875" style="1" customWidth="1"/>
    <col min="2" max="2" width="20.88671875" style="1" customWidth="1"/>
    <col min="3" max="16384" width="9.109375" style="1"/>
  </cols>
  <sheetData>
    <row r="1" spans="1:2" ht="19.5" customHeight="1" thickBot="1" x14ac:dyDescent="0.3">
      <c r="A1" s="345" t="s">
        <v>210</v>
      </c>
      <c r="B1" s="346"/>
    </row>
    <row r="2" spans="1:2" s="47" customFormat="1" ht="19.5" customHeight="1" x14ac:dyDescent="0.25">
      <c r="A2" s="156" t="s">
        <v>194</v>
      </c>
      <c r="B2" s="157" t="s">
        <v>242</v>
      </c>
    </row>
    <row r="3" spans="1:2" ht="19.5" customHeight="1" x14ac:dyDescent="0.25">
      <c r="A3" s="79">
        <v>1</v>
      </c>
      <c r="B3" s="190">
        <v>33.629999999999995</v>
      </c>
    </row>
    <row r="4" spans="1:2" ht="19.5" customHeight="1" x14ac:dyDescent="0.25">
      <c r="A4" s="79">
        <v>2</v>
      </c>
      <c r="B4" s="78">
        <v>43.13</v>
      </c>
    </row>
    <row r="5" spans="1:2" ht="19.5" customHeight="1" x14ac:dyDescent="0.25">
      <c r="A5" s="79">
        <v>3</v>
      </c>
      <c r="B5" s="78">
        <v>48.68</v>
      </c>
    </row>
    <row r="6" spans="1:2" ht="19.5" customHeight="1" x14ac:dyDescent="0.25">
      <c r="A6" s="79">
        <v>4</v>
      </c>
      <c r="B6" s="78">
        <v>52.62</v>
      </c>
    </row>
    <row r="7" spans="1:2" ht="19.5" customHeight="1" x14ac:dyDescent="0.25">
      <c r="A7" s="79">
        <v>5</v>
      </c>
      <c r="B7" s="78">
        <v>55.679999999999993</v>
      </c>
    </row>
    <row r="8" spans="1:2" ht="19.5" customHeight="1" x14ac:dyDescent="0.25">
      <c r="A8" s="79">
        <v>6</v>
      </c>
      <c r="B8" s="78">
        <v>58.18</v>
      </c>
    </row>
    <row r="9" spans="1:2" ht="19.5" customHeight="1" x14ac:dyDescent="0.25">
      <c r="A9" s="79">
        <v>7</v>
      </c>
      <c r="B9" s="78">
        <v>60.29</v>
      </c>
    </row>
    <row r="10" spans="1:2" ht="19.5" customHeight="1" x14ac:dyDescent="0.25">
      <c r="A10" s="79">
        <v>8</v>
      </c>
      <c r="B10" s="78">
        <v>62.12</v>
      </c>
    </row>
    <row r="11" spans="1:2" ht="19.5" customHeight="1" x14ac:dyDescent="0.25">
      <c r="A11" s="79">
        <v>9</v>
      </c>
      <c r="B11" s="78">
        <v>63.73</v>
      </c>
    </row>
    <row r="12" spans="1:2" ht="19.5" customHeight="1" x14ac:dyDescent="0.25">
      <c r="A12" s="79">
        <v>10</v>
      </c>
      <c r="B12" s="78">
        <v>65.180000000000007</v>
      </c>
    </row>
    <row r="13" spans="1:2" ht="19.5" customHeight="1" x14ac:dyDescent="0.25">
      <c r="A13" s="79">
        <v>11</v>
      </c>
      <c r="B13" s="78">
        <v>66.47999999999999</v>
      </c>
    </row>
    <row r="14" spans="1:2" ht="19.5" customHeight="1" x14ac:dyDescent="0.25">
      <c r="A14" s="79">
        <v>12</v>
      </c>
      <c r="B14" s="78">
        <v>67.67</v>
      </c>
    </row>
    <row r="15" spans="1:2" ht="19.5" customHeight="1" x14ac:dyDescent="0.25">
      <c r="A15" s="79">
        <v>13</v>
      </c>
      <c r="B15" s="78">
        <v>68.77</v>
      </c>
    </row>
    <row r="16" spans="1:2" ht="19.5" customHeight="1" x14ac:dyDescent="0.25">
      <c r="A16" s="79">
        <v>14</v>
      </c>
      <c r="B16" s="78">
        <v>69.789999999999992</v>
      </c>
    </row>
    <row r="17" spans="1:2" ht="19.5" customHeight="1" thickBot="1" x14ac:dyDescent="0.3">
      <c r="A17" s="80">
        <v>15</v>
      </c>
      <c r="B17" s="81">
        <v>70.73</v>
      </c>
    </row>
  </sheetData>
  <sheetProtection sheet="1" objects="1" scenarios="1"/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4"/>
  <sheetViews>
    <sheetView view="pageBreakPreview" zoomScaleNormal="100" zoomScaleSheetLayoutView="100" workbookViewId="0">
      <selection activeCell="C25" sqref="C25"/>
    </sheetView>
  </sheetViews>
  <sheetFormatPr defaultColWidth="9.109375" defaultRowHeight="13.2" x14ac:dyDescent="0.25"/>
  <cols>
    <col min="1" max="1" width="70.44140625" style="1" customWidth="1"/>
    <col min="2" max="3" width="9.109375" style="1"/>
    <col min="4" max="4" width="12.88671875" style="1" bestFit="1" customWidth="1"/>
    <col min="5" max="16384" width="9.109375" style="1"/>
  </cols>
  <sheetData>
    <row r="1" spans="1:1" ht="17.399999999999999" x14ac:dyDescent="0.3">
      <c r="A1" s="148" t="s">
        <v>214</v>
      </c>
    </row>
    <row r="2" spans="1:1" x14ac:dyDescent="0.25">
      <c r="A2" s="145"/>
    </row>
    <row r="3" spans="1:1" x14ac:dyDescent="0.25">
      <c r="A3" s="145" t="s">
        <v>230</v>
      </c>
    </row>
    <row r="4" spans="1:1" x14ac:dyDescent="0.25">
      <c r="A4" s="145"/>
    </row>
    <row r="5" spans="1:1" x14ac:dyDescent="0.25">
      <c r="A5" s="145"/>
    </row>
    <row r="6" spans="1:1" x14ac:dyDescent="0.25">
      <c r="A6" s="145"/>
    </row>
    <row r="7" spans="1:1" x14ac:dyDescent="0.25">
      <c r="A7" s="145"/>
    </row>
    <row r="8" spans="1:1" x14ac:dyDescent="0.25">
      <c r="A8" s="145"/>
    </row>
    <row r="9" spans="1:1" x14ac:dyDescent="0.25">
      <c r="A9" s="145"/>
    </row>
    <row r="10" spans="1:1" x14ac:dyDescent="0.25">
      <c r="A10" s="145"/>
    </row>
    <row r="11" spans="1:1" x14ac:dyDescent="0.25">
      <c r="A11" s="145"/>
    </row>
    <row r="12" spans="1:1" ht="18.600000000000001" x14ac:dyDescent="0.4">
      <c r="A12" s="146" t="s">
        <v>211</v>
      </c>
    </row>
    <row r="13" spans="1:1" ht="15" x14ac:dyDescent="0.25">
      <c r="A13" s="146" t="s">
        <v>92</v>
      </c>
    </row>
    <row r="14" spans="1:1" ht="15" x14ac:dyDescent="0.25">
      <c r="A14" s="146" t="s">
        <v>96</v>
      </c>
    </row>
    <row r="15" spans="1:1" ht="18.600000000000001" x14ac:dyDescent="0.4">
      <c r="A15" s="146" t="s">
        <v>212</v>
      </c>
    </row>
    <row r="16" spans="1:1" ht="18.600000000000001" x14ac:dyDescent="0.4">
      <c r="A16" s="146" t="s">
        <v>213</v>
      </c>
    </row>
    <row r="17" spans="1:1" ht="15.6" thickBot="1" x14ac:dyDescent="0.3">
      <c r="A17" s="147" t="s">
        <v>93</v>
      </c>
    </row>
    <row r="24" spans="1:1" x14ac:dyDescent="0.25">
      <c r="A24" s="191"/>
    </row>
  </sheetData>
  <sheetProtection sheet="1" objects="1" scenarios="1"/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2"/>
  <sheetViews>
    <sheetView tabSelected="1" view="pageBreakPreview" topLeftCell="A13" zoomScale="130" zoomScaleNormal="100" zoomScaleSheetLayoutView="130" workbookViewId="0">
      <selection activeCell="C25" sqref="C25"/>
    </sheetView>
  </sheetViews>
  <sheetFormatPr defaultRowHeight="13.2" x14ac:dyDescent="0.25"/>
  <cols>
    <col min="1" max="1" width="48.44140625" customWidth="1"/>
    <col min="2" max="2" width="26.44140625" customWidth="1"/>
  </cols>
  <sheetData>
    <row r="1" spans="1:7" x14ac:dyDescent="0.25">
      <c r="A1" s="8" t="s">
        <v>186</v>
      </c>
      <c r="B1" s="163"/>
      <c r="C1" s="163"/>
      <c r="D1" s="163"/>
      <c r="E1" s="163"/>
      <c r="F1" s="163"/>
      <c r="G1" s="163"/>
    </row>
    <row r="2" spans="1:7" x14ac:dyDescent="0.25">
      <c r="A2" s="252" t="s">
        <v>262</v>
      </c>
      <c r="B2" s="163"/>
      <c r="C2" s="163"/>
      <c r="D2" s="163"/>
      <c r="E2" s="163"/>
      <c r="F2" s="163"/>
      <c r="G2" s="163"/>
    </row>
    <row r="3" spans="1:7" x14ac:dyDescent="0.25">
      <c r="A3" s="252" t="s">
        <v>263</v>
      </c>
      <c r="B3" s="163"/>
      <c r="C3" s="163"/>
      <c r="D3" s="163"/>
      <c r="E3" s="163"/>
      <c r="F3" s="163"/>
      <c r="G3" s="163"/>
    </row>
    <row r="4" spans="1:7" x14ac:dyDescent="0.25">
      <c r="A4" s="4" t="s">
        <v>264</v>
      </c>
      <c r="B4" s="163"/>
      <c r="C4" s="163"/>
      <c r="D4" s="163"/>
      <c r="E4" s="163"/>
      <c r="F4" s="163"/>
      <c r="G4" s="163"/>
    </row>
    <row r="5" spans="1:7" ht="13.8" thickBot="1" x14ac:dyDescent="0.3">
      <c r="A5" s="163"/>
      <c r="B5" s="163"/>
      <c r="C5" s="163"/>
      <c r="D5" s="163"/>
      <c r="E5" s="163"/>
      <c r="F5" s="163"/>
      <c r="G5" s="163"/>
    </row>
    <row r="6" spans="1:7" ht="17.399999999999999" x14ac:dyDescent="0.3">
      <c r="A6" s="347" t="s">
        <v>265</v>
      </c>
      <c r="B6" s="348"/>
      <c r="C6" s="349"/>
      <c r="D6" s="163"/>
      <c r="E6" s="163"/>
      <c r="F6" s="163"/>
      <c r="G6" s="163"/>
    </row>
    <row r="7" spans="1:7" ht="17.399999999999999" x14ac:dyDescent="0.3">
      <c r="A7" s="253"/>
      <c r="B7" s="254"/>
      <c r="C7" s="255"/>
      <c r="D7" s="163"/>
      <c r="E7" s="163"/>
      <c r="F7" s="163"/>
      <c r="G7" s="163"/>
    </row>
    <row r="8" spans="1:7" ht="13.8" x14ac:dyDescent="0.25">
      <c r="A8" s="256" t="s">
        <v>266</v>
      </c>
      <c r="B8" s="257" t="s">
        <v>267</v>
      </c>
      <c r="C8" s="258" t="s">
        <v>125</v>
      </c>
      <c r="D8" s="47"/>
      <c r="E8" s="47"/>
      <c r="F8" s="47"/>
      <c r="G8" s="47"/>
    </row>
    <row r="9" spans="1:7" ht="13.8" x14ac:dyDescent="0.25">
      <c r="A9" s="110" t="s">
        <v>268</v>
      </c>
      <c r="B9" s="259" t="s">
        <v>269</v>
      </c>
      <c r="C9" s="260">
        <v>9777</v>
      </c>
      <c r="D9" s="163"/>
      <c r="E9" s="163"/>
      <c r="F9" s="163"/>
      <c r="G9" s="163"/>
    </row>
    <row r="10" spans="1:7" ht="13.8" x14ac:dyDescent="0.25">
      <c r="A10" s="110" t="s">
        <v>270</v>
      </c>
      <c r="B10" s="259" t="s">
        <v>271</v>
      </c>
      <c r="C10" s="261">
        <v>0.5</v>
      </c>
      <c r="D10" s="163"/>
      <c r="E10" s="163"/>
      <c r="F10" s="163"/>
      <c r="G10" s="163"/>
    </row>
    <row r="11" spans="1:7" ht="13.8" x14ac:dyDescent="0.25">
      <c r="A11" s="110" t="s">
        <v>272</v>
      </c>
      <c r="B11" s="259" t="s">
        <v>273</v>
      </c>
      <c r="C11" s="262">
        <f>C9*C10/1000</f>
        <v>4.8884999999999996</v>
      </c>
      <c r="D11" s="163"/>
      <c r="E11" s="163"/>
      <c r="F11" s="163"/>
      <c r="G11" s="163"/>
    </row>
    <row r="12" spans="1:7" ht="13.8" x14ac:dyDescent="0.25">
      <c r="A12" s="110" t="s">
        <v>274</v>
      </c>
      <c r="B12" s="259" t="s">
        <v>275</v>
      </c>
      <c r="C12" s="263">
        <f>C11*30</f>
        <v>146.655</v>
      </c>
      <c r="D12" s="163"/>
      <c r="E12" s="163"/>
      <c r="F12" s="163"/>
      <c r="G12" s="163"/>
    </row>
    <row r="13" spans="1:7" ht="13.8" x14ac:dyDescent="0.25">
      <c r="A13" s="110" t="s">
        <v>276</v>
      </c>
      <c r="B13" s="259" t="s">
        <v>277</v>
      </c>
      <c r="C13" s="264">
        <v>6</v>
      </c>
      <c r="D13" s="163"/>
      <c r="E13" s="163"/>
      <c r="F13" s="163"/>
      <c r="G13" s="163"/>
    </row>
    <row r="14" spans="1:7" ht="13.8" x14ac:dyDescent="0.25">
      <c r="A14" s="110" t="s">
        <v>278</v>
      </c>
      <c r="B14" s="259" t="s">
        <v>273</v>
      </c>
      <c r="C14" s="262">
        <f>C12/(C13*4)</f>
        <v>6.1106249999999998</v>
      </c>
      <c r="D14" s="163"/>
      <c r="E14" s="163"/>
      <c r="F14" s="163"/>
      <c r="G14" s="163"/>
    </row>
    <row r="15" spans="1:7" ht="13.8" x14ac:dyDescent="0.25">
      <c r="A15" s="110" t="s">
        <v>279</v>
      </c>
      <c r="B15" s="259" t="s">
        <v>280</v>
      </c>
      <c r="C15" s="127">
        <v>500</v>
      </c>
      <c r="D15" s="163"/>
      <c r="E15" s="163"/>
      <c r="F15" s="163"/>
      <c r="G15" s="163"/>
    </row>
    <row r="16" spans="1:7" ht="13.8" x14ac:dyDescent="0.25">
      <c r="A16" s="110" t="s">
        <v>281</v>
      </c>
      <c r="B16" s="259"/>
      <c r="C16" s="260">
        <v>2</v>
      </c>
      <c r="D16" s="163"/>
      <c r="E16" s="163"/>
      <c r="F16" s="163"/>
      <c r="G16" s="163"/>
    </row>
    <row r="17" spans="1:7" ht="13.8" x14ac:dyDescent="0.25">
      <c r="A17" s="110" t="s">
        <v>296</v>
      </c>
      <c r="B17" s="259" t="s">
        <v>282</v>
      </c>
      <c r="C17" s="260">
        <v>19</v>
      </c>
      <c r="D17" s="163"/>
      <c r="E17" s="163"/>
      <c r="F17" s="163"/>
      <c r="G17" s="163"/>
    </row>
    <row r="18" spans="1:7" ht="13.8" x14ac:dyDescent="0.25">
      <c r="A18" s="110" t="s">
        <v>283</v>
      </c>
      <c r="B18" s="259" t="s">
        <v>275</v>
      </c>
      <c r="C18" s="127">
        <v>9.5</v>
      </c>
      <c r="D18" s="163"/>
      <c r="E18" s="163"/>
      <c r="F18" s="163"/>
      <c r="G18" s="163"/>
    </row>
    <row r="19" spans="1:7" ht="13.8" x14ac:dyDescent="0.25">
      <c r="A19" s="110" t="s">
        <v>284</v>
      </c>
      <c r="B19" s="259"/>
      <c r="C19" s="262">
        <f>IFERROR(C14/C18,0)</f>
        <v>0.64322368421052634</v>
      </c>
      <c r="D19" s="163"/>
      <c r="E19" s="163"/>
      <c r="F19" s="163"/>
      <c r="G19" s="163"/>
    </row>
    <row r="20" spans="1:7" ht="13.8" x14ac:dyDescent="0.25">
      <c r="A20" s="110" t="s">
        <v>285</v>
      </c>
      <c r="B20" s="259"/>
      <c r="C20" s="265">
        <v>1</v>
      </c>
      <c r="D20" s="163"/>
      <c r="E20" s="163"/>
      <c r="F20" s="163"/>
      <c r="G20" s="163"/>
    </row>
    <row r="21" spans="1:7" ht="14.4" thickBot="1" x14ac:dyDescent="0.3">
      <c r="A21" s="266" t="s">
        <v>286</v>
      </c>
      <c r="B21" s="267"/>
      <c r="C21" s="268">
        <f>IFERROR(C19/C20,0)</f>
        <v>0.64322368421052634</v>
      </c>
      <c r="D21" s="163"/>
      <c r="E21" s="163"/>
      <c r="F21" s="163"/>
      <c r="G21" s="163"/>
    </row>
    <row r="22" spans="1:7" x14ac:dyDescent="0.25">
      <c r="A22" s="163"/>
      <c r="B22" s="163"/>
      <c r="C22" s="163"/>
      <c r="D22" s="163"/>
      <c r="E22" s="163"/>
      <c r="F22" s="163"/>
      <c r="G22" s="163"/>
    </row>
  </sheetData>
  <mergeCells count="1">
    <mergeCell ref="A6:C6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Coleta</vt:lpstr>
      <vt:lpstr>2.Encargos Sociais</vt:lpstr>
      <vt:lpstr>3.CAGED</vt:lpstr>
      <vt:lpstr>4.BDI</vt:lpstr>
      <vt:lpstr>5. Depreciação</vt:lpstr>
      <vt:lpstr>6.Remuneração de capital</vt:lpstr>
      <vt:lpstr>Plan1</vt:lpstr>
      <vt:lpstr>AbaDeprec</vt:lpstr>
      <vt:lpstr>AbaRemun</vt:lpstr>
      <vt:lpstr>'2.Encargos Sociais'!Area_de_impressao</vt:lpstr>
      <vt:lpstr>Coleta!Area_de_impressao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Selmo E.</cp:lastModifiedBy>
  <cp:lastPrinted>2026-02-10T16:27:26Z</cp:lastPrinted>
  <dcterms:created xsi:type="dcterms:W3CDTF">2000-12-13T10:02:50Z</dcterms:created>
  <dcterms:modified xsi:type="dcterms:W3CDTF">2026-02-10T16:27:28Z</dcterms:modified>
</cp:coreProperties>
</file>