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us.bosa\Desktop\Administração 2026\Coleta Lixo\"/>
    </mc:Choice>
  </mc:AlternateContent>
  <xr:revisionPtr revIDLastSave="0" documentId="13_ncr:1_{F899D877-205F-466E-9FB4-ACF5C1434E05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Domiciliar'!$A$1:$F$272</definedName>
    <definedName name="_xlnm.Print_Area" localSheetId="1">'2.Encargos Sociais'!$A$1:$C$34</definedName>
    <definedName name="_xlnm.Print_Titles" localSheetId="0">'1. Coleta Domiciliar'!#REF!</definedName>
  </definedNames>
  <calcPr calcId="181029"/>
</workbook>
</file>

<file path=xl/calcChain.xml><?xml version="1.0" encoding="utf-8"?>
<calcChain xmlns="http://schemas.openxmlformats.org/spreadsheetml/2006/main">
  <c r="C20" i="9" l="1"/>
  <c r="C18" i="5" l="1"/>
  <c r="C189" i="2" l="1"/>
  <c r="C188" i="2"/>
  <c r="C190" i="2"/>
  <c r="A26" i="2" l="1"/>
  <c r="A25" i="2"/>
  <c r="A24" i="2"/>
  <c r="A16" i="2"/>
  <c r="A15" i="2"/>
  <c r="A7" i="2"/>
  <c r="C12" i="9" l="1"/>
  <c r="C13" i="9" s="1"/>
  <c r="C14" i="9" l="1"/>
  <c r="C16" i="9"/>
  <c r="C21" i="9" s="1"/>
  <c r="C23" i="9" s="1"/>
  <c r="C159" i="2"/>
  <c r="C164" i="2"/>
  <c r="E35" i="2" l="1"/>
  <c r="E33" i="2"/>
  <c r="C183" i="2" l="1"/>
  <c r="C178" i="2"/>
  <c r="D208" i="2"/>
  <c r="D206" i="2"/>
  <c r="D204" i="2"/>
  <c r="D202" i="2"/>
  <c r="D138" i="2" l="1"/>
  <c r="E138" i="2" s="1"/>
  <c r="E122" i="2"/>
  <c r="E123" i="2"/>
  <c r="E124" i="2"/>
  <c r="E125" i="2"/>
  <c r="E126" i="2"/>
  <c r="E127" i="2"/>
  <c r="E128" i="2"/>
  <c r="E129" i="2"/>
  <c r="E130" i="2"/>
  <c r="E121" i="2"/>
  <c r="C223" i="2" l="1"/>
  <c r="D83" i="2"/>
  <c r="A23" i="2"/>
  <c r="A22" i="2"/>
  <c r="A21" i="2"/>
  <c r="A20" i="2"/>
  <c r="A19" i="2"/>
  <c r="A18" i="2"/>
  <c r="A17" i="2"/>
  <c r="A14" i="2"/>
  <c r="A13" i="2"/>
  <c r="A12" i="2"/>
  <c r="A11" i="2"/>
  <c r="A10" i="2"/>
  <c r="A9" i="2"/>
  <c r="A8" i="2"/>
  <c r="C15" i="8"/>
  <c r="E248" i="2"/>
  <c r="E192" i="2"/>
  <c r="E184" i="2"/>
  <c r="E168" i="2"/>
  <c r="E146" i="2"/>
  <c r="E133" i="2"/>
  <c r="E112" i="2"/>
  <c r="E92" i="2"/>
  <c r="E78" i="2"/>
  <c r="E66" i="2"/>
  <c r="E54" i="2"/>
  <c r="D172" i="2"/>
  <c r="C9" i="4"/>
  <c r="C14" i="4" s="1"/>
  <c r="C257" i="2" s="1"/>
  <c r="F7" i="4"/>
  <c r="E7" i="4"/>
  <c r="D7" i="4"/>
  <c r="C12" i="8"/>
  <c r="C20" i="5"/>
  <c r="C87" i="2"/>
  <c r="C85" i="2"/>
  <c r="D82" i="2"/>
  <c r="E70" i="2"/>
  <c r="D99" i="2" s="1"/>
  <c r="C99" i="2"/>
  <c r="C221" i="2"/>
  <c r="E221" i="2" s="1"/>
  <c r="C200" i="2"/>
  <c r="C202" i="2" s="1"/>
  <c r="E202" i="2" s="1"/>
  <c r="D200" i="2"/>
  <c r="D209" i="2" s="1"/>
  <c r="E156" i="2"/>
  <c r="D177" i="2"/>
  <c r="C165" i="2"/>
  <c r="C160" i="2"/>
  <c r="C60" i="2"/>
  <c r="D58" i="2"/>
  <c r="C244" i="2"/>
  <c r="C246" i="2" s="1"/>
  <c r="E246" i="2" s="1"/>
  <c r="D247" i="2" s="1"/>
  <c r="E247" i="2" s="1"/>
  <c r="C161" i="2"/>
  <c r="C177" i="2" s="1"/>
  <c r="C98" i="2"/>
  <c r="A32" i="2"/>
  <c r="A33" i="2"/>
  <c r="A34" i="2"/>
  <c r="A35" i="2"/>
  <c r="A39" i="2"/>
  <c r="E48" i="2"/>
  <c r="D98" i="2" s="1"/>
  <c r="C61" i="2"/>
  <c r="A104" i="2"/>
  <c r="A110" i="2" s="1"/>
  <c r="A105" i="2"/>
  <c r="A111" i="2" s="1"/>
  <c r="E131" i="2"/>
  <c r="D139" i="2"/>
  <c r="E139" i="2" s="1"/>
  <c r="D140" i="2"/>
  <c r="E140" i="2" s="1"/>
  <c r="D141" i="2"/>
  <c r="E141" i="2" s="1"/>
  <c r="D142" i="2"/>
  <c r="E142" i="2" s="1"/>
  <c r="D143" i="2"/>
  <c r="E143" i="2" s="1"/>
  <c r="E144" i="2"/>
  <c r="E219" i="2"/>
  <c r="E190" i="2"/>
  <c r="E189" i="2"/>
  <c r="E232" i="2"/>
  <c r="E235" i="2"/>
  <c r="E236" i="2"/>
  <c r="E233" i="2"/>
  <c r="E234" i="2"/>
  <c r="D73" i="2"/>
  <c r="E73" i="2" s="1"/>
  <c r="C22" i="5" l="1"/>
  <c r="C23" i="5" s="1"/>
  <c r="C21" i="5"/>
  <c r="C26" i="8" s="1"/>
  <c r="D159" i="2"/>
  <c r="D188" i="2"/>
  <c r="E82" i="2"/>
  <c r="D85" i="2"/>
  <c r="E85" i="2" s="1"/>
  <c r="C206" i="2"/>
  <c r="E206" i="2" s="1"/>
  <c r="D60" i="2"/>
  <c r="E60" i="2" s="1"/>
  <c r="C208" i="2"/>
  <c r="E208" i="2" s="1"/>
  <c r="F237" i="2"/>
  <c r="F239" i="2" s="1"/>
  <c r="E24" i="2" s="1"/>
  <c r="C105" i="2"/>
  <c r="E105" i="2" s="1"/>
  <c r="E200" i="2"/>
  <c r="E58" i="2"/>
  <c r="E161" i="2"/>
  <c r="C179" i="2" s="1"/>
  <c r="D132" i="2"/>
  <c r="C104" i="2"/>
  <c r="E104" i="2" s="1"/>
  <c r="C132" i="2"/>
  <c r="E36" i="2"/>
  <c r="C110" i="2"/>
  <c r="E110" i="2" s="1"/>
  <c r="E98" i="2"/>
  <c r="E177" i="2"/>
  <c r="C111" i="2"/>
  <c r="E111" i="2" s="1"/>
  <c r="D49" i="2"/>
  <c r="E49" i="2" s="1"/>
  <c r="E50" i="2" s="1"/>
  <c r="D51" i="2" s="1"/>
  <c r="C145" i="2"/>
  <c r="C204" i="2"/>
  <c r="E204" i="2" s="1"/>
  <c r="C214" i="2"/>
  <c r="E214" i="2" s="1"/>
  <c r="F215" i="2" s="1"/>
  <c r="E22" i="2" s="1"/>
  <c r="E244" i="2"/>
  <c r="D245" i="2" s="1"/>
  <c r="E245" i="2" s="1"/>
  <c r="F248" i="2" s="1"/>
  <c r="F250" i="2" s="1"/>
  <c r="E25" i="2" s="1"/>
  <c r="E172" i="2"/>
  <c r="D222" i="2"/>
  <c r="E222" i="2" s="1"/>
  <c r="D223" i="2" s="1"/>
  <c r="E223" i="2" s="1"/>
  <c r="F224" i="2" s="1"/>
  <c r="E23" i="2" s="1"/>
  <c r="E99" i="2"/>
  <c r="E159" i="2"/>
  <c r="D145" i="2"/>
  <c r="E74" i="2"/>
  <c r="C25" i="8" l="1"/>
  <c r="C28" i="5"/>
  <c r="C22" i="8" s="1"/>
  <c r="C30" i="8" s="1"/>
  <c r="D160" i="2"/>
  <c r="E160" i="2" s="1"/>
  <c r="E188" i="2"/>
  <c r="D191" i="2" s="1"/>
  <c r="E191" i="2" s="1"/>
  <c r="F192" i="2" s="1"/>
  <c r="E20" i="2" s="1"/>
  <c r="C174" i="2"/>
  <c r="C175" i="2" s="1"/>
  <c r="D176" i="2" s="1"/>
  <c r="E176" i="2" s="1"/>
  <c r="C23" i="8"/>
  <c r="C14" i="8"/>
  <c r="C20" i="8" s="1"/>
  <c r="C29" i="8" s="1"/>
  <c r="D61" i="2"/>
  <c r="E61" i="2" s="1"/>
  <c r="D87" i="2"/>
  <c r="E87" i="2" s="1"/>
  <c r="F106" i="2"/>
  <c r="E13" i="2" s="1"/>
  <c r="F112" i="2"/>
  <c r="E14" i="2" s="1"/>
  <c r="E145" i="2"/>
  <c r="F146" i="2" s="1"/>
  <c r="E132" i="2"/>
  <c r="F133" i="2" s="1"/>
  <c r="D164" i="2"/>
  <c r="E164" i="2" s="1"/>
  <c r="D165" i="2" s="1"/>
  <c r="E165" i="2" s="1"/>
  <c r="F100" i="2"/>
  <c r="E12" i="2" s="1"/>
  <c r="F210" i="2"/>
  <c r="E21" i="2" s="1"/>
  <c r="D75" i="2"/>
  <c r="C24" i="8" l="1"/>
  <c r="C27" i="8" s="1"/>
  <c r="C31" i="8"/>
  <c r="E166" i="2"/>
  <c r="D167" i="2" s="1"/>
  <c r="E167" i="2" s="1"/>
  <c r="F168" i="2" s="1"/>
  <c r="E18" i="2" s="1"/>
  <c r="C180" i="2"/>
  <c r="D181" i="2" s="1"/>
  <c r="E181" i="2" s="1"/>
  <c r="E182" i="2" s="1"/>
  <c r="D183" i="2" s="1"/>
  <c r="E183" i="2" s="1"/>
  <c r="F184" i="2" s="1"/>
  <c r="F148" i="2"/>
  <c r="E15" i="2" s="1"/>
  <c r="E88" i="2"/>
  <c r="D89" i="2" s="1"/>
  <c r="E62" i="2"/>
  <c r="C32" i="8" l="1"/>
  <c r="C75" i="2" s="1"/>
  <c r="E19" i="2"/>
  <c r="E17" i="2" s="1"/>
  <c r="F227" i="2"/>
  <c r="E16" i="2" s="1"/>
  <c r="D63" i="2"/>
  <c r="C63" i="2" l="1"/>
  <c r="E63" i="2" s="1"/>
  <c r="E64" i="2" s="1"/>
  <c r="D65" i="2" s="1"/>
  <c r="E65" i="2" s="1"/>
  <c r="F66" i="2" s="1"/>
  <c r="E9" i="2" s="1"/>
  <c r="C51" i="2"/>
  <c r="E51" i="2" s="1"/>
  <c r="E52" i="2" s="1"/>
  <c r="D53" i="2" s="1"/>
  <c r="E53" i="2" s="1"/>
  <c r="F54" i="2" s="1"/>
  <c r="E8" i="2" s="1"/>
  <c r="C89" i="2"/>
  <c r="E89" i="2" s="1"/>
  <c r="E90" i="2" s="1"/>
  <c r="D91" i="2" s="1"/>
  <c r="E91" i="2" s="1"/>
  <c r="F92" i="2" s="1"/>
  <c r="E11" i="2" s="1"/>
  <c r="E75" i="2"/>
  <c r="E76" i="2" s="1"/>
  <c r="D77" i="2" s="1"/>
  <c r="E77" i="2" s="1"/>
  <c r="F78" i="2" s="1"/>
  <c r="E10" i="2" s="1"/>
  <c r="F114" i="2" l="1"/>
  <c r="F252" i="2" s="1"/>
  <c r="E7" i="2" l="1"/>
  <c r="D257" i="2"/>
  <c r="E257" i="2" s="1"/>
  <c r="F258" i="2" s="1"/>
  <c r="F260" i="2" s="1"/>
  <c r="E26" i="2" s="1"/>
  <c r="E27" i="2" l="1"/>
  <c r="F7" i="2" s="1"/>
  <c r="F263" i="2"/>
  <c r="F268" i="2" s="1"/>
  <c r="F25" i="2" l="1"/>
  <c r="F9" i="2"/>
  <c r="F15" i="2"/>
  <c r="F8" i="2"/>
  <c r="F14" i="2"/>
  <c r="F11" i="2"/>
  <c r="F16" i="2"/>
  <c r="F23" i="2"/>
  <c r="F22" i="2"/>
  <c r="F10" i="2"/>
  <c r="F17" i="2"/>
  <c r="F18" i="2"/>
  <c r="F19" i="2"/>
  <c r="F13" i="2"/>
  <c r="F20" i="2"/>
  <c r="F12" i="2"/>
  <c r="F24" i="2"/>
  <c r="F21" i="2"/>
  <c r="F26" i="2"/>
  <c r="F2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5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2" authorId="0" shapeId="0" xr:uid="{3AE92231-768A-4D72-8834-7195144119EC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1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3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59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63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5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0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71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72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3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5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7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84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86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89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1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96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97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98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99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04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05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10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11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21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1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2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2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3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3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4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4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5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5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6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6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7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7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8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8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9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9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30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30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31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38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9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0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1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2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3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4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56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57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58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59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1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62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63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64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7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73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9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90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96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99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99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01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01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03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03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05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05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07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07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14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19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19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20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21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22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32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2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3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3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4" authorId="0" shapeId="0" xr:uid="{00000000-0006-0000-0000-00006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4" authorId="0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5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5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6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6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41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4" authorId="0" shapeId="0" xr:uid="{00000000-0006-0000-0000-00006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46" authorId="0" shapeId="0" xr:uid="{00000000-0006-0000-0000-000070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57" authorId="0" shapeId="0" xr:uid="{00000000-0006-0000-0000-000071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66" authorId="0" shapeId="0" xr:uid="{00000000-0006-0000-0000-000072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0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1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2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3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5" authorId="0" shapeId="0" xr:uid="{00000000-0006-0000-0600-000004000000}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8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19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2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<sst xmlns="http://schemas.openxmlformats.org/spreadsheetml/2006/main" count="528" uniqueCount="298">
  <si>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</si>
  <si>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</si>
  <si>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</si>
  <si>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</si>
  <si>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</si>
  <si>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</si>
  <si>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</si>
  <si>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</si>
  <si>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</si>
  <si>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</si>
  <si>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</si>
  <si>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</si>
  <si>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</si>
  <si>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</si>
  <si>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</si>
  <si>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</si>
  <si>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</si>
  <si>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</si>
  <si>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</si>
  <si>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</si>
  <si>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</si>
  <si>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</si>
  <si>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</si>
  <si>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</si>
  <si>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</si>
  <si>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</si>
  <si>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</si>
  <si>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</si>
  <si>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</si>
  <si>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</si>
  <si>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</si>
  <si>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</si>
  <si>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</si>
  <si>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R$/tonelada</t>
  </si>
  <si>
    <t>R$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</si>
  <si>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</si>
  <si>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</si>
  <si>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</si>
  <si>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</si>
  <si>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</si>
  <si>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</si>
  <si>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</si>
  <si>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</si>
  <si>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</si>
  <si>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</si>
  <si>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</si>
  <si>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</si>
  <si>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</si>
  <si>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</si>
  <si>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</si>
  <si>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</si>
  <si>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</si>
  <si>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</si>
  <si>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</si>
  <si>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</si>
  <si>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</si>
  <si>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</si>
  <si>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</si>
  <si>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</si>
  <si>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</si>
  <si>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</si>
  <si>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</si>
  <si>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</si>
  <si>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</si>
  <si>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</si>
  <si>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</si>
  <si>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</si>
  <si>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</si>
  <si>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</si>
  <si>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</si>
  <si>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</si>
  <si>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</si>
  <si>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</si>
  <si>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</si>
  <si>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</si>
  <si>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</si>
  <si>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</si>
  <si>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</si>
  <si>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</si>
  <si>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</si>
  <si>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</si>
  <si>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</si>
  <si>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</si>
  <si>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</si>
  <si>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</si>
  <si>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</si>
  <si>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</si>
  <si>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</si>
  <si>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</si>
  <si>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</si>
  <si>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</si>
  <si>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</si>
  <si>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</si>
  <si>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</si>
  <si>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</si>
  <si>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</si>
  <si>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</si>
  <si>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</si>
  <si>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</si>
  <si>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</si>
  <si>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</si>
  <si>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</si>
  <si>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1.1. Coletor Turno Dia</t>
  </si>
  <si>
    <t>1.3. Motorista Turno do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</si>
  <si>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</si>
  <si>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</si>
  <si>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</si>
  <si>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</si>
  <si>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</si>
  <si>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</si>
  <si>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</si>
  <si>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</si>
  <si>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</si>
  <si>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</si>
  <si>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</si>
  <si>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</si>
  <si>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</si>
  <si>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</si>
  <si>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</si>
  <si>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</si>
  <si>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</si>
  <si>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</si>
  <si>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</si>
  <si>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</si>
  <si>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</si>
  <si>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</si>
  <si>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</si>
  <si>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</si>
  <si>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</si>
  <si>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</si>
  <si>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</si>
  <si>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</si>
  <si>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</si>
  <si>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</si>
  <si>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</si>
  <si>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</si>
  <si>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</si>
  <si>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</si>
  <si>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</si>
  <si>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</si>
  <si>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</si>
  <si>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</si>
  <si>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</si>
  <si>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</si>
  <si>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</si>
  <si>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</si>
  <si>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</si>
  <si>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</si>
  <si>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</si>
  <si>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</si>
  <si>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</si>
  <si>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</si>
  <si>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</si>
  <si>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</si>
  <si>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</si>
  <si>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</si>
  <si>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</si>
  <si>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</si>
  <si>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</si>
  <si>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</si>
  <si>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</si>
  <si>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</si>
  <si>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</si>
  <si>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</si>
  <si>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</si>
  <si>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</si>
  <si>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</si>
  <si>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</si>
  <si>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</si>
  <si>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</si>
  <si>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</si>
  <si>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</si>
  <si>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</si>
  <si>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</si>
  <si>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</si>
  <si>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</si>
  <si>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</si>
  <si>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</si>
  <si>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</si>
  <si>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</si>
  <si>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</si>
  <si>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</si>
  <si>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</si>
  <si>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</si>
  <si>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</si>
  <si>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</si>
  <si>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</si>
  <si>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</si>
  <si>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</si>
  <si>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</si>
  <si>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</si>
  <si>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</si>
  <si>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</si>
  <si>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</si>
  <si>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</si>
  <si>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</si>
  <si>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</si>
  <si>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</si>
  <si>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</si>
  <si>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</si>
  <si>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</si>
  <si>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</si>
  <si>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</si>
  <si>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</si>
  <si>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</si>
  <si>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</si>
  <si>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</si>
  <si>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</si>
  <si>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</si>
  <si>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</si>
  <si>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</si>
  <si>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</si>
  <si>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</si>
  <si>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</si>
  <si>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</si>
  <si>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</si>
  <si>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</si>
  <si>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</si>
  <si>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</si>
  <si>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</si>
  <si>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C2</t>
  </si>
  <si>
    <t>B3</t>
  </si>
  <si>
    <t xml:space="preserve">1. Coleta de Resíduos Sólidos 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</si>
  <si>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</si>
  <si>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</si>
  <si>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</si>
  <si>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</si>
  <si>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</si>
  <si>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</si>
  <si>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</si>
  <si>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</si>
  <si>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</si>
  <si>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</si>
  <si>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</si>
  <si>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</si>
  <si>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</si>
  <si>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</si>
  <si>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</si>
  <si>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</si>
  <si>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</si>
  <si>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</si>
  <si>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</si>
  <si>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</si>
  <si>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</si>
  <si>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</si>
  <si>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1/3 de férias (dias)</t>
  </si>
  <si>
    <t>Férias (dias)</t>
  </si>
  <si>
    <t>13º Salário (dias)</t>
  </si>
  <si>
    <t>Referência estudo TCE</t>
  </si>
  <si>
    <t>Rotatividade temporal (meses)</t>
  </si>
  <si>
    <t>Fórmula de cálculo da remuneração de capital: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</si>
  <si>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</si>
  <si>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</si>
  <si>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</si>
  <si>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</si>
  <si>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</si>
  <si>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</si>
  <si>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</si>
  <si>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</si>
  <si>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</si>
  <si>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</si>
  <si>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</si>
  <si>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</si>
  <si>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</si>
  <si>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</si>
  <si>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</si>
  <si>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</si>
  <si>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</si>
  <si>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</si>
  <si>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</si>
  <si>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</si>
  <si>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</si>
  <si>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</si>
  <si>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</si>
  <si>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</si>
  <si>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</si>
  <si>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</si>
  <si>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</si>
  <si>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</si>
  <si>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</si>
  <si>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</si>
  <si>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</si>
  <si>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</si>
  <si>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</si>
  <si>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>Reincidência de FGTS sobre aviso prévio indenizado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</si>
  <si>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</si>
  <si>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</si>
  <si>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</si>
  <si>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</si>
  <si>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</si>
  <si>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</si>
  <si>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</si>
  <si>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</si>
  <si>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</si>
  <si>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Ajustado, de acordo com a nova Lei Federal nº 13.932/2019</t>
  </si>
  <si>
    <t>Piso da categoria - Acordo Coletivo NÚMERO DE REGISTRO NO MTE: RS000041/2026</t>
  </si>
  <si>
    <r>
      <t>3.1. Veículo Coletor Compactador</t>
    </r>
    <r>
      <rPr>
        <sz val="10"/>
        <color indexed="10"/>
        <rFont val="Arial"/>
        <family val="2"/>
      </rPr>
      <t xml:space="preserve"> 19</t>
    </r>
    <r>
      <rPr>
        <sz val="10"/>
        <rFont val="Arial"/>
        <family val="2"/>
      </rPr>
      <t xml:space="preserve"> m³</t>
    </r>
  </si>
  <si>
    <t>Piso da categoria - Acordo Coletivo NÚMERO DE REGISTRO NO MTE: RS001565/2025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</si>
</sst>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</numFmts>
  <fonts count="3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21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5" fontId="13" fillId="2" borderId="17" xfId="3" applyFont="1" applyFill="1" applyBorder="1" applyAlignment="1">
      <alignment horizontal="center" vertical="center"/>
    </xf>
    <xf numFmtId="165" fontId="13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165" fontId="13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8" fillId="0" borderId="14" xfId="0" applyFont="1" applyBorder="1"/>
    <xf numFmtId="0" fontId="18" fillId="0" borderId="47" xfId="0" applyFont="1" applyBorder="1"/>
    <xf numFmtId="0" fontId="18" fillId="3" borderId="20" xfId="0" applyFont="1" applyFill="1" applyBorder="1"/>
    <xf numFmtId="0" fontId="18" fillId="0" borderId="23" xfId="0" applyFont="1" applyBorder="1"/>
    <xf numFmtId="0" fontId="18" fillId="0" borderId="48" xfId="0" applyFont="1" applyBorder="1"/>
    <xf numFmtId="0" fontId="18" fillId="0" borderId="20" xfId="0" applyFont="1" applyBorder="1"/>
    <xf numFmtId="0" fontId="18" fillId="0" borderId="28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2" fontId="19" fillId="7" borderId="36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19" fillId="0" borderId="20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10" fontId="23" fillId="0" borderId="20" xfId="0" applyNumberFormat="1" applyFont="1" applyBorder="1" applyAlignment="1">
      <alignment horizontal="right" vertical="center"/>
    </xf>
    <xf numFmtId="0" fontId="19" fillId="5" borderId="23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20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0" fontId="19" fillId="0" borderId="1" xfId="0" applyFont="1" applyBorder="1" applyAlignment="1">
      <alignment horizontal="left" vertical="center" wrapText="1"/>
    </xf>
    <xf numFmtId="0" fontId="19" fillId="9" borderId="24" xfId="0" applyFont="1" applyFill="1" applyBorder="1" applyAlignment="1">
      <alignment horizontal="left" vertical="center"/>
    </xf>
    <xf numFmtId="0" fontId="23" fillId="9" borderId="36" xfId="0" applyFont="1" applyFill="1" applyBorder="1" applyAlignment="1">
      <alignment horizontal="left" vertical="center"/>
    </xf>
    <xf numFmtId="10" fontId="23" fillId="9" borderId="37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10" fontId="23" fillId="0" borderId="0" xfId="0" applyNumberFormat="1" applyFont="1" applyAlignment="1">
      <alignment horizontal="right" vertical="center"/>
    </xf>
    <xf numFmtId="0" fontId="25" fillId="4" borderId="0" xfId="0" applyFont="1" applyFill="1" applyAlignment="1">
      <alignment horizontal="left" vertical="center"/>
    </xf>
    <xf numFmtId="10" fontId="19" fillId="0" borderId="0" xfId="0" applyNumberFormat="1" applyFont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26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7" fillId="0" borderId="0" xfId="0" applyFont="1"/>
    <xf numFmtId="0" fontId="19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0" fontId="17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65" fontId="6" fillId="3" borderId="9" xfId="3" applyFont="1" applyFill="1" applyBorder="1" applyAlignment="1">
      <alignment vertical="center"/>
    </xf>
    <xf numFmtId="165" fontId="6" fillId="0" borderId="10" xfId="3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70" fontId="24" fillId="0" borderId="20" xfId="3" applyNumberFormat="1" applyFont="1" applyBorder="1" applyAlignment="1">
      <alignment horizontal="center" vertical="center" wrapText="1"/>
    </xf>
    <xf numFmtId="171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1" fontId="5" fillId="3" borderId="20" xfId="0" applyNumberFormat="1" applyFont="1" applyFill="1" applyBorder="1"/>
    <xf numFmtId="171" fontId="5" fillId="0" borderId="37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172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4" fontId="31" fillId="0" borderId="0" xfId="0" applyNumberFormat="1" applyFont="1" applyAlignment="1">
      <alignment vertical="center"/>
    </xf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8" fillId="0" borderId="20" xfId="2" applyFont="1" applyBorder="1"/>
    <xf numFmtId="10" fontId="18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2" fontId="1" fillId="4" borderId="18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7" fillId="10" borderId="21" xfId="0" applyFont="1" applyFill="1" applyBorder="1" applyAlignment="1">
      <alignment horizontal="center"/>
    </xf>
    <xf numFmtId="0" fontId="17" fillId="10" borderId="22" xfId="0" applyFont="1" applyFill="1" applyBorder="1" applyAlignment="1">
      <alignment horizontal="center"/>
    </xf>
    <xf numFmtId="0" fontId="17" fillId="10" borderId="12" xfId="0" applyFont="1" applyFill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46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2"/>
  <sheetViews>
    <sheetView tabSelected="1" view="pageBreakPreview" zoomScale="110" zoomScaleNormal="100" zoomScaleSheetLayoutView="110" workbookViewId="0">
      <selection activeCell="E27" sqref="E27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s="4" customFormat="1" ht="16.5" customHeight="1" thickBot="1" x14ac:dyDescent="0.25">
      <c r="A1" s="7"/>
      <c r="B1" s="5"/>
      <c r="C1" s="5"/>
      <c r="D1" s="6"/>
      <c r="E1" s="6"/>
      <c r="F1" s="6"/>
      <c r="G1" s="6"/>
    </row>
    <row r="2" spans="1:7" s="8" customFormat="1" ht="18" x14ac:dyDescent="0.2">
      <c r="A2" s="294" t="s">
        <v>222</v>
      </c>
      <c r="B2" s="295"/>
      <c r="C2" s="295"/>
      <c r="D2" s="295"/>
      <c r="E2" s="295"/>
      <c r="F2" s="296"/>
      <c r="G2" s="35"/>
    </row>
    <row r="3" spans="1:7" s="8" customFormat="1" ht="21.75" customHeight="1" x14ac:dyDescent="0.2">
      <c r="A3" s="297" t="s">
        <v>42</v>
      </c>
      <c r="B3" s="298"/>
      <c r="C3" s="298"/>
      <c r="D3" s="298"/>
      <c r="E3" s="298"/>
      <c r="F3" s="299"/>
      <c r="G3" s="35"/>
    </row>
    <row r="4" spans="1:7" s="4" customFormat="1" ht="10.9" customHeight="1" thickBot="1" x14ac:dyDescent="0.25">
      <c r="A4" s="140"/>
      <c r="B4" s="5"/>
      <c r="C4" s="5"/>
      <c r="D4" s="141"/>
      <c r="E4" s="141"/>
      <c r="F4" s="142"/>
      <c r="G4" s="6"/>
    </row>
    <row r="5" spans="1:7" s="4" customFormat="1" ht="15.75" customHeight="1" thickBot="1" x14ac:dyDescent="0.25">
      <c r="A5" s="303" t="s">
        <v>209</v>
      </c>
      <c r="B5" s="304"/>
      <c r="C5" s="304"/>
      <c r="D5" s="304"/>
      <c r="E5" s="304"/>
      <c r="F5" s="305"/>
      <c r="G5" s="6"/>
    </row>
    <row r="6" spans="1:7" s="4" customFormat="1" ht="15.75" customHeight="1" x14ac:dyDescent="0.2">
      <c r="A6" s="61" t="s">
        <v>208</v>
      </c>
      <c r="B6" s="39"/>
      <c r="C6" s="39"/>
      <c r="D6" s="240"/>
      <c r="E6" s="110" t="s">
        <v>37</v>
      </c>
      <c r="F6" s="40" t="s">
        <v>1</v>
      </c>
      <c r="G6" s="6"/>
    </row>
    <row r="7" spans="1:7" s="11" customFormat="1" ht="15.75" customHeight="1" x14ac:dyDescent="0.2">
      <c r="A7" s="119" t="str">
        <f>A44</f>
        <v>1. Mão-de-obra</v>
      </c>
      <c r="B7" s="120"/>
      <c r="C7" s="121"/>
      <c r="D7" s="121"/>
      <c r="E7" s="237">
        <f>+F114</f>
        <v>21307.887610911039</v>
      </c>
      <c r="F7" s="122">
        <f>IFERROR(E7/$E$27,0)</f>
        <v>0.36051256280270982</v>
      </c>
      <c r="G7" s="43"/>
    </row>
    <row r="8" spans="1:7" s="4" customFormat="1" ht="15.75" customHeight="1" x14ac:dyDescent="0.2">
      <c r="A8" s="48" t="str">
        <f>A46</f>
        <v>1.1. Coletor Turno Dia</v>
      </c>
      <c r="B8" s="44"/>
      <c r="C8" s="46"/>
      <c r="D8" s="46"/>
      <c r="E8" s="238">
        <f>F54</f>
        <v>14919.813585983038</v>
      </c>
      <c r="F8" s="55">
        <f>IFERROR(E8/$E$27,0)</f>
        <v>0.25243141556965715</v>
      </c>
      <c r="G8" s="6"/>
    </row>
    <row r="9" spans="1:7" s="4" customFormat="1" ht="15.75" customHeight="1" x14ac:dyDescent="0.2">
      <c r="A9" s="48" t="str">
        <f>A56</f>
        <v>1.2. Coletor Turno Noite</v>
      </c>
      <c r="B9" s="44"/>
      <c r="C9" s="46"/>
      <c r="D9" s="46"/>
      <c r="E9" s="238">
        <f>F66</f>
        <v>0</v>
      </c>
      <c r="F9" s="55">
        <f t="shared" ref="F9:F26" si="0">IFERROR(E9/$E$27,0)</f>
        <v>0</v>
      </c>
      <c r="G9" s="6"/>
    </row>
    <row r="10" spans="1:7" s="4" customFormat="1" ht="15.75" customHeight="1" x14ac:dyDescent="0.2">
      <c r="A10" s="48" t="str">
        <f>A68</f>
        <v>1.3. Motorista Turno do Dia</v>
      </c>
      <c r="B10" s="44"/>
      <c r="C10" s="46"/>
      <c r="D10" s="46"/>
      <c r="E10" s="238">
        <f>F78</f>
        <v>3977.274024928</v>
      </c>
      <c r="F10" s="55">
        <f t="shared" si="0"/>
        <v>6.7292322818579761E-2</v>
      </c>
      <c r="G10" s="6"/>
    </row>
    <row r="11" spans="1:7" s="4" customFormat="1" ht="15.75" customHeight="1" x14ac:dyDescent="0.2">
      <c r="A11" s="48" t="str">
        <f>A80</f>
        <v>1.4. Motorista Turno Noite</v>
      </c>
      <c r="B11" s="44"/>
      <c r="C11" s="46"/>
      <c r="D11" s="46"/>
      <c r="E11" s="238">
        <f>F92</f>
        <v>0</v>
      </c>
      <c r="F11" s="55">
        <f t="shared" si="0"/>
        <v>0</v>
      </c>
      <c r="G11" s="6"/>
    </row>
    <row r="12" spans="1:7" s="4" customFormat="1" ht="15.75" customHeight="1" x14ac:dyDescent="0.2">
      <c r="A12" s="48" t="str">
        <f>A94</f>
        <v>1.5. Vale Transporte</v>
      </c>
      <c r="B12" s="44"/>
      <c r="C12" s="46"/>
      <c r="D12" s="46"/>
      <c r="E12" s="238">
        <f>F100</f>
        <v>0</v>
      </c>
      <c r="F12" s="55">
        <f t="shared" si="0"/>
        <v>0</v>
      </c>
      <c r="G12" s="6"/>
    </row>
    <row r="13" spans="1:7" s="4" customFormat="1" ht="15.75" customHeight="1" x14ac:dyDescent="0.2">
      <c r="A13" s="48" t="str">
        <f>A102</f>
        <v>1.6. Vale-refeição (diário)</v>
      </c>
      <c r="B13" s="44"/>
      <c r="C13" s="46"/>
      <c r="D13" s="46"/>
      <c r="E13" s="238">
        <f>F106</f>
        <v>0</v>
      </c>
      <c r="F13" s="55">
        <f t="shared" si="0"/>
        <v>0</v>
      </c>
      <c r="G13" s="6"/>
    </row>
    <row r="14" spans="1:7" s="4" customFormat="1" ht="15.75" customHeight="1" x14ac:dyDescent="0.2">
      <c r="A14" s="48" t="str">
        <f>A108</f>
        <v>1.7. Auxílio Alimentação (mensal)</v>
      </c>
      <c r="B14" s="44"/>
      <c r="C14" s="46"/>
      <c r="D14" s="46"/>
      <c r="E14" s="238">
        <f>F112</f>
        <v>2410.8000000000002</v>
      </c>
      <c r="F14" s="55">
        <f t="shared" si="0"/>
        <v>4.0788824414472902E-2</v>
      </c>
      <c r="G14" s="6"/>
    </row>
    <row r="15" spans="1:7" s="11" customFormat="1" ht="15.75" customHeight="1" x14ac:dyDescent="0.2">
      <c r="A15" s="292" t="str">
        <f>A116</f>
        <v>2. Uniformes e Equipamentos de Proteção Individual</v>
      </c>
      <c r="B15" s="293"/>
      <c r="C15" s="293"/>
      <c r="D15" s="121"/>
      <c r="E15" s="237">
        <f>+F148</f>
        <v>948.41666666666674</v>
      </c>
      <c r="F15" s="122">
        <f t="shared" si="0"/>
        <v>1.6046457975952524E-2</v>
      </c>
      <c r="G15" s="43"/>
    </row>
    <row r="16" spans="1:7" s="11" customFormat="1" ht="15.75" customHeight="1" x14ac:dyDescent="0.2">
      <c r="A16" s="130" t="str">
        <f>A150</f>
        <v>3. Veículos e Equipamentos</v>
      </c>
      <c r="B16" s="131"/>
      <c r="C16" s="121"/>
      <c r="D16" s="121"/>
      <c r="E16" s="237">
        <f>+F227</f>
        <v>23183.890414444439</v>
      </c>
      <c r="F16" s="122">
        <f t="shared" si="0"/>
        <v>0.39225304270746453</v>
      </c>
      <c r="G16" s="43"/>
    </row>
    <row r="17" spans="1:7" s="4" customFormat="1" ht="15.75" customHeight="1" x14ac:dyDescent="0.2">
      <c r="A17" s="62" t="str">
        <f>A152</f>
        <v>3.1. Veículo Coletor Compactador 19 m³</v>
      </c>
      <c r="B17" s="45"/>
      <c r="C17" s="46"/>
      <c r="D17" s="46"/>
      <c r="E17" s="238">
        <f>SUM(E18:E23)</f>
        <v>23183.890414444439</v>
      </c>
      <c r="F17" s="135">
        <f t="shared" si="0"/>
        <v>0.39225304270746453</v>
      </c>
      <c r="G17" s="6"/>
    </row>
    <row r="18" spans="1:7" s="4" customFormat="1" ht="15.75" customHeight="1" x14ac:dyDescent="0.2">
      <c r="A18" s="62" t="str">
        <f>A154</f>
        <v>3.1.1. Depreciação</v>
      </c>
      <c r="B18" s="45"/>
      <c r="C18" s="46"/>
      <c r="D18" s="46"/>
      <c r="E18" s="238">
        <f>F168</f>
        <v>3373.2777777777774</v>
      </c>
      <c r="F18" s="135">
        <f t="shared" si="0"/>
        <v>5.7073185241007587E-2</v>
      </c>
      <c r="G18" s="6"/>
    </row>
    <row r="19" spans="1:7" s="4" customFormat="1" ht="15.75" customHeight="1" x14ac:dyDescent="0.2">
      <c r="A19" s="62" t="str">
        <f>A170</f>
        <v>3.1.2. Remuneração do Capital</v>
      </c>
      <c r="B19" s="45"/>
      <c r="C19" s="46"/>
      <c r="D19" s="46"/>
      <c r="E19" s="238">
        <f>F184</f>
        <v>6026.2145833333325</v>
      </c>
      <c r="F19" s="135">
        <f t="shared" si="0"/>
        <v>0.10195877240895937</v>
      </c>
      <c r="G19" s="6"/>
    </row>
    <row r="20" spans="1:7" s="4" customFormat="1" ht="15.75" customHeight="1" x14ac:dyDescent="0.2">
      <c r="A20" s="62" t="str">
        <f>A186</f>
        <v>3.1.3. Impostos e Seguros</v>
      </c>
      <c r="B20" s="45"/>
      <c r="C20" s="46"/>
      <c r="D20" s="46"/>
      <c r="E20" s="238">
        <f>F192</f>
        <v>1634.5158333333331</v>
      </c>
      <c r="F20" s="135">
        <f t="shared" si="0"/>
        <v>2.7654711850219501E-2</v>
      </c>
      <c r="G20" s="6"/>
    </row>
    <row r="21" spans="1:7" s="4" customFormat="1" ht="15.75" customHeight="1" x14ac:dyDescent="0.2">
      <c r="A21" s="62" t="str">
        <f>A194</f>
        <v>3.1.4. Consumos</v>
      </c>
      <c r="B21" s="45"/>
      <c r="C21" s="46"/>
      <c r="D21" s="46"/>
      <c r="E21" s="238">
        <f>F210</f>
        <v>8049.0022200000003</v>
      </c>
      <c r="F21" s="135">
        <f t="shared" si="0"/>
        <v>0.13618273530084726</v>
      </c>
      <c r="G21" s="6"/>
    </row>
    <row r="22" spans="1:7" s="4" customFormat="1" ht="15.75" customHeight="1" x14ac:dyDescent="0.2">
      <c r="A22" s="62" t="str">
        <f>A212</f>
        <v>3.1.5. Manutenção</v>
      </c>
      <c r="B22" s="45"/>
      <c r="C22" s="46"/>
      <c r="D22" s="46"/>
      <c r="E22" s="238">
        <f>F215</f>
        <v>2050.44</v>
      </c>
      <c r="F22" s="135">
        <f t="shared" si="0"/>
        <v>3.469181895321545E-2</v>
      </c>
      <c r="G22" s="6"/>
    </row>
    <row r="23" spans="1:7" s="4" customFormat="1" ht="15.75" customHeight="1" x14ac:dyDescent="0.2">
      <c r="A23" s="62" t="str">
        <f>A217</f>
        <v>3.1.6. Pneus</v>
      </c>
      <c r="B23" s="45"/>
      <c r="C23" s="46"/>
      <c r="D23" s="46"/>
      <c r="E23" s="238">
        <f>F224</f>
        <v>2050.44</v>
      </c>
      <c r="F23" s="135">
        <f t="shared" si="0"/>
        <v>3.469181895321545E-2</v>
      </c>
      <c r="G23" s="6"/>
    </row>
    <row r="24" spans="1:7" s="11" customFormat="1" ht="15.75" customHeight="1" x14ac:dyDescent="0.2">
      <c r="A24" s="130" t="str">
        <f>A229</f>
        <v>4. Ferramentas e Materiais de Consumo</v>
      </c>
      <c r="B24" s="131"/>
      <c r="C24" s="121"/>
      <c r="D24" s="121"/>
      <c r="E24" s="237">
        <f>+F239</f>
        <v>143.5</v>
      </c>
      <c r="F24" s="122">
        <f t="shared" si="0"/>
        <v>2.4279062151471961E-3</v>
      </c>
      <c r="G24" s="43"/>
    </row>
    <row r="25" spans="1:7" s="11" customFormat="1" ht="15.75" customHeight="1" x14ac:dyDescent="0.2">
      <c r="A25" s="130" t="str">
        <f>A241</f>
        <v>5. Monitoramento da Frota</v>
      </c>
      <c r="B25" s="131"/>
      <c r="C25" s="121"/>
      <c r="D25" s="121"/>
      <c r="E25" s="237">
        <f>+F250</f>
        <v>85</v>
      </c>
      <c r="F25" s="122">
        <f t="shared" si="0"/>
        <v>1.4381326013067016E-3</v>
      </c>
      <c r="G25" s="43"/>
    </row>
    <row r="26" spans="1:7" s="11" customFormat="1" ht="15.75" customHeight="1" thickBot="1" x14ac:dyDescent="0.25">
      <c r="A26" s="130" t="str">
        <f>A254</f>
        <v>6. Benefícios e Despesas Indiretas - BDI</v>
      </c>
      <c r="B26" s="131"/>
      <c r="C26" s="121"/>
      <c r="D26" s="121"/>
      <c r="E26" s="239">
        <f>+F260</f>
        <v>13435.729978392916</v>
      </c>
      <c r="F26" s="122">
        <f t="shared" si="0"/>
        <v>0.22732189769741928</v>
      </c>
      <c r="G26" s="43"/>
    </row>
    <row r="27" spans="1:7" s="4" customFormat="1" ht="15.75" customHeight="1" thickBot="1" x14ac:dyDescent="0.25">
      <c r="A27" s="41" t="s">
        <v>243</v>
      </c>
      <c r="B27" s="42"/>
      <c r="C27" s="26"/>
      <c r="D27" s="26"/>
      <c r="E27" s="109">
        <f>E7+E15+E16+E24+E25+E26</f>
        <v>59104.424670415057</v>
      </c>
      <c r="F27" s="134">
        <f>F7+F15+F16+F24+F25+F26</f>
        <v>1</v>
      </c>
      <c r="G27" s="6"/>
    </row>
    <row r="29" spans="1:7" ht="13.5" thickBot="1" x14ac:dyDescent="0.25"/>
    <row r="30" spans="1:7" s="4" customFormat="1" ht="15" customHeight="1" thickBot="1" x14ac:dyDescent="0.25">
      <c r="A30" s="303" t="s">
        <v>100</v>
      </c>
      <c r="B30" s="304"/>
      <c r="C30" s="304"/>
      <c r="D30" s="304"/>
      <c r="E30" s="305"/>
      <c r="F30" s="10"/>
      <c r="G30" s="6"/>
    </row>
    <row r="31" spans="1:7" s="4" customFormat="1" ht="15" customHeight="1" thickBot="1" x14ac:dyDescent="0.25">
      <c r="A31" s="300" t="s">
        <v>38</v>
      </c>
      <c r="B31" s="301"/>
      <c r="C31" s="301"/>
      <c r="D31" s="302"/>
      <c r="E31" s="47" t="s">
        <v>39</v>
      </c>
      <c r="F31" s="10"/>
      <c r="G31" s="6"/>
    </row>
    <row r="32" spans="1:7" s="4" customFormat="1" ht="15" customHeight="1" x14ac:dyDescent="0.2">
      <c r="A32" s="70" t="str">
        <f>+A46</f>
        <v>1.1. Coletor Turno Dia</v>
      </c>
      <c r="B32" s="71"/>
      <c r="C32" s="71"/>
      <c r="D32" s="72"/>
      <c r="E32" s="73">
        <v>3</v>
      </c>
      <c r="F32" s="10"/>
      <c r="G32" s="6"/>
    </row>
    <row r="33" spans="1:7" s="4" customFormat="1" ht="15" customHeight="1" x14ac:dyDescent="0.2">
      <c r="A33" s="64" t="str">
        <f>+A56</f>
        <v>1.2. Coletor Turno Noite</v>
      </c>
      <c r="B33" s="63"/>
      <c r="C33" s="63"/>
      <c r="D33" s="74"/>
      <c r="E33" s="67">
        <f>C65</f>
        <v>0</v>
      </c>
      <c r="F33" s="10"/>
      <c r="G33" s="6"/>
    </row>
    <row r="34" spans="1:7" s="4" customFormat="1" ht="15" customHeight="1" x14ac:dyDescent="0.2">
      <c r="A34" s="64" t="str">
        <f>+A68</f>
        <v>1.3. Motorista Turno do Dia</v>
      </c>
      <c r="B34" s="63"/>
      <c r="C34" s="63"/>
      <c r="D34" s="74"/>
      <c r="E34" s="67">
        <v>1</v>
      </c>
      <c r="F34" s="10"/>
      <c r="G34" s="6"/>
    </row>
    <row r="35" spans="1:7" s="4" customFormat="1" ht="15" customHeight="1" x14ac:dyDescent="0.2">
      <c r="A35" s="64" t="str">
        <f>+A80</f>
        <v>1.4. Motorista Turno Noite</v>
      </c>
      <c r="B35" s="63"/>
      <c r="C35" s="63"/>
      <c r="D35" s="74"/>
      <c r="E35" s="67">
        <f>C91</f>
        <v>0</v>
      </c>
      <c r="F35" s="10"/>
      <c r="G35" s="6"/>
    </row>
    <row r="36" spans="1:7" s="4" customFormat="1" ht="15" customHeight="1" thickBot="1" x14ac:dyDescent="0.25">
      <c r="A36" s="68" t="s">
        <v>58</v>
      </c>
      <c r="B36" s="69"/>
      <c r="C36" s="69"/>
      <c r="D36" s="75"/>
      <c r="E36" s="76">
        <f>SUM(E32:E35)</f>
        <v>4</v>
      </c>
      <c r="F36" s="10"/>
      <c r="G36" s="6"/>
    </row>
    <row r="37" spans="1:7" s="4" customFormat="1" ht="15" customHeight="1" thickBot="1" x14ac:dyDescent="0.25">
      <c r="A37" s="123"/>
      <c r="B37" s="124"/>
      <c r="C37" s="56"/>
      <c r="D37" s="56"/>
      <c r="E37" s="125"/>
      <c r="F37" s="10"/>
      <c r="G37" s="6"/>
    </row>
    <row r="38" spans="1:7" s="4" customFormat="1" ht="15" customHeight="1" x14ac:dyDescent="0.2">
      <c r="A38" s="290" t="s">
        <v>55</v>
      </c>
      <c r="B38" s="291"/>
      <c r="C38" s="291"/>
      <c r="D38" s="291"/>
      <c r="E38" s="47" t="s">
        <v>39</v>
      </c>
      <c r="F38" s="9"/>
      <c r="G38" s="6"/>
    </row>
    <row r="39" spans="1:7" s="4" customFormat="1" ht="15" customHeight="1" thickBot="1" x14ac:dyDescent="0.25">
      <c r="A39" s="126" t="str">
        <f>+A152</f>
        <v>3.1. Veículo Coletor Compactador 19 m³</v>
      </c>
      <c r="B39" s="127"/>
      <c r="C39" s="127"/>
      <c r="D39" s="128"/>
      <c r="E39" s="129">
        <v>1</v>
      </c>
      <c r="F39" s="9"/>
      <c r="G39" s="6"/>
    </row>
    <row r="40" spans="1:7" s="4" customFormat="1" ht="15" customHeight="1" x14ac:dyDescent="0.2">
      <c r="A40" s="56"/>
      <c r="B40" s="56"/>
      <c r="C40" s="56"/>
      <c r="D40" s="9"/>
      <c r="E40" s="230"/>
      <c r="F40" s="9"/>
      <c r="G40" s="6"/>
    </row>
    <row r="41" spans="1:7" s="4" customFormat="1" ht="13.5" thickBot="1" x14ac:dyDescent="0.25">
      <c r="A41" s="56"/>
      <c r="B41" s="56"/>
      <c r="C41" s="56"/>
      <c r="D41" s="9"/>
      <c r="E41" s="65"/>
      <c r="F41" s="9"/>
      <c r="G41" s="6"/>
    </row>
    <row r="42" spans="1:7" s="11" customFormat="1" ht="15.75" customHeight="1" thickBot="1" x14ac:dyDescent="0.25">
      <c r="A42" s="241" t="s">
        <v>203</v>
      </c>
      <c r="B42" s="284">
        <v>1</v>
      </c>
      <c r="C42" s="34"/>
      <c r="E42" s="143"/>
      <c r="G42" s="43"/>
    </row>
    <row r="43" spans="1:7" s="4" customFormat="1" ht="15.75" customHeight="1" x14ac:dyDescent="0.2">
      <c r="A43" s="56"/>
      <c r="B43" s="56"/>
      <c r="C43" s="56"/>
      <c r="D43" s="9"/>
      <c r="E43" s="65"/>
      <c r="F43" s="9"/>
      <c r="G43" s="6"/>
    </row>
    <row r="44" spans="1:7" ht="13.15" customHeight="1" x14ac:dyDescent="0.2">
      <c r="A44" s="11" t="s">
        <v>46</v>
      </c>
    </row>
    <row r="45" spans="1:7" ht="11.25" customHeight="1" x14ac:dyDescent="0.2"/>
    <row r="46" spans="1:7" ht="13.9" customHeight="1" thickBot="1" x14ac:dyDescent="0.25">
      <c r="A46" s="9" t="s">
        <v>102</v>
      </c>
    </row>
    <row r="47" spans="1:7" ht="13.9" customHeight="1" thickBot="1" x14ac:dyDescent="0.25">
      <c r="A47" s="57" t="s">
        <v>63</v>
      </c>
      <c r="B47" s="58" t="s">
        <v>64</v>
      </c>
      <c r="C47" s="58" t="s">
        <v>39</v>
      </c>
      <c r="D47" s="59" t="s">
        <v>239</v>
      </c>
      <c r="E47" s="59" t="s">
        <v>65</v>
      </c>
      <c r="F47" s="60" t="s">
        <v>66</v>
      </c>
    </row>
    <row r="48" spans="1:7" ht="34.5" customHeight="1" x14ac:dyDescent="0.2">
      <c r="A48" s="285" t="s">
        <v>295</v>
      </c>
      <c r="B48" s="14" t="s">
        <v>7</v>
      </c>
      <c r="C48" s="14">
        <v>1</v>
      </c>
      <c r="D48" s="82">
        <v>2082.31</v>
      </c>
      <c r="E48" s="15">
        <f>C48*D48</f>
        <v>2082.31</v>
      </c>
    </row>
    <row r="49" spans="1:7" x14ac:dyDescent="0.2">
      <c r="A49" s="16" t="s">
        <v>0</v>
      </c>
      <c r="B49" s="17" t="s">
        <v>1</v>
      </c>
      <c r="C49" s="17">
        <v>40</v>
      </c>
      <c r="D49" s="78">
        <f>SUM(E48:E48)</f>
        <v>2082.31</v>
      </c>
      <c r="E49" s="18">
        <f>C49*D49/100</f>
        <v>832.92399999999998</v>
      </c>
    </row>
    <row r="50" spans="1:7" x14ac:dyDescent="0.2">
      <c r="A50" s="111" t="s">
        <v>2</v>
      </c>
      <c r="B50" s="112"/>
      <c r="C50" s="112"/>
      <c r="D50" s="113"/>
      <c r="E50" s="114">
        <f>SUM(E48:E49)</f>
        <v>2915.2339999999999</v>
      </c>
    </row>
    <row r="51" spans="1:7" x14ac:dyDescent="0.2">
      <c r="A51" s="16" t="s">
        <v>3</v>
      </c>
      <c r="B51" s="17" t="s">
        <v>1</v>
      </c>
      <c r="C51" s="132">
        <f>'2.Encargos Sociais'!$C$32*100</f>
        <v>70.595951999999997</v>
      </c>
      <c r="D51" s="18">
        <f>E50</f>
        <v>2915.2339999999999</v>
      </c>
      <c r="E51" s="18">
        <f>D51*C51/100</f>
        <v>2058.0371953276799</v>
      </c>
    </row>
    <row r="52" spans="1:7" x14ac:dyDescent="0.2">
      <c r="A52" s="111" t="s">
        <v>73</v>
      </c>
      <c r="B52" s="112"/>
      <c r="C52" s="112"/>
      <c r="D52" s="113"/>
      <c r="E52" s="114">
        <f>E50+E51</f>
        <v>4973.2711953276794</v>
      </c>
    </row>
    <row r="53" spans="1:7" ht="13.5" thickBot="1" x14ac:dyDescent="0.25">
      <c r="A53" s="16" t="s">
        <v>4</v>
      </c>
      <c r="B53" s="17" t="s">
        <v>5</v>
      </c>
      <c r="C53" s="81">
        <v>3</v>
      </c>
      <c r="D53" s="18">
        <f>E52</f>
        <v>4973.2711953276794</v>
      </c>
      <c r="E53" s="18">
        <f>C53*D53</f>
        <v>14919.813585983038</v>
      </c>
      <c r="G53" s="6"/>
    </row>
    <row r="54" spans="1:7" ht="13.9" customHeight="1" thickBot="1" x14ac:dyDescent="0.25">
      <c r="D54" s="117" t="s">
        <v>202</v>
      </c>
      <c r="E54" s="49">
        <f>$B$42</f>
        <v>1</v>
      </c>
      <c r="F54" s="118">
        <f>E53*E54</f>
        <v>14919.813585983038</v>
      </c>
      <c r="G54" s="6"/>
    </row>
    <row r="55" spans="1:7" ht="11.25" customHeight="1" x14ac:dyDescent="0.2"/>
    <row r="56" spans="1:7" ht="13.5" thickBot="1" x14ac:dyDescent="0.25">
      <c r="A56" s="9" t="s">
        <v>92</v>
      </c>
    </row>
    <row r="57" spans="1:7" ht="13.5" thickBot="1" x14ac:dyDescent="0.25">
      <c r="A57" s="57" t="s">
        <v>63</v>
      </c>
      <c r="B57" s="58" t="s">
        <v>64</v>
      </c>
      <c r="C57" s="58" t="s">
        <v>39</v>
      </c>
      <c r="D57" s="59" t="s">
        <v>239</v>
      </c>
      <c r="E57" s="59" t="s">
        <v>65</v>
      </c>
      <c r="F57" s="60" t="s">
        <v>66</v>
      </c>
    </row>
    <row r="58" spans="1:7" x14ac:dyDescent="0.2">
      <c r="A58" s="13" t="s">
        <v>218</v>
      </c>
      <c r="B58" s="14" t="s">
        <v>7</v>
      </c>
      <c r="C58" s="14">
        <v>1</v>
      </c>
      <c r="D58" s="15">
        <f>D48</f>
        <v>2082.31</v>
      </c>
      <c r="E58" s="15">
        <f>C58*D58</f>
        <v>2082.31</v>
      </c>
    </row>
    <row r="59" spans="1:7" x14ac:dyDescent="0.2">
      <c r="A59" s="16" t="s">
        <v>6</v>
      </c>
      <c r="B59" s="17" t="s">
        <v>101</v>
      </c>
      <c r="C59" s="83"/>
      <c r="D59" s="18"/>
      <c r="E59" s="18"/>
    </row>
    <row r="60" spans="1:7" x14ac:dyDescent="0.2">
      <c r="A60" s="16"/>
      <c r="B60" s="17" t="s">
        <v>105</v>
      </c>
      <c r="C60" s="115">
        <f>C59*8/7</f>
        <v>0</v>
      </c>
      <c r="D60" s="18">
        <f>D58/220*0.2</f>
        <v>1.8930090909090909</v>
      </c>
      <c r="E60" s="18">
        <f>C60*D60</f>
        <v>0</v>
      </c>
    </row>
    <row r="61" spans="1:7" x14ac:dyDescent="0.2">
      <c r="A61" s="16" t="s">
        <v>0</v>
      </c>
      <c r="B61" s="17" t="s">
        <v>1</v>
      </c>
      <c r="C61" s="17">
        <f>+C49</f>
        <v>40</v>
      </c>
      <c r="D61" s="78">
        <f>SUM(E58:E60)</f>
        <v>2082.31</v>
      </c>
      <c r="E61" s="18">
        <f>C61*D61/100</f>
        <v>832.92399999999998</v>
      </c>
    </row>
    <row r="62" spans="1:7" x14ac:dyDescent="0.2">
      <c r="A62" s="111" t="s">
        <v>2</v>
      </c>
      <c r="B62" s="112"/>
      <c r="C62" s="112"/>
      <c r="D62" s="113"/>
      <c r="E62" s="114">
        <f>SUM(E58:E61)</f>
        <v>2915.2339999999999</v>
      </c>
    </row>
    <row r="63" spans="1:7" x14ac:dyDescent="0.2">
      <c r="A63" s="16" t="s">
        <v>3</v>
      </c>
      <c r="B63" s="17" t="s">
        <v>1</v>
      </c>
      <c r="C63" s="132">
        <f>'2.Encargos Sociais'!$C$32*100</f>
        <v>70.595951999999997</v>
      </c>
      <c r="D63" s="18">
        <f>E62</f>
        <v>2915.2339999999999</v>
      </c>
      <c r="E63" s="18">
        <f>D63*C63/100</f>
        <v>2058.0371953276799</v>
      </c>
    </row>
    <row r="64" spans="1:7" x14ac:dyDescent="0.2">
      <c r="A64" s="111" t="s">
        <v>73</v>
      </c>
      <c r="B64" s="112"/>
      <c r="C64" s="112"/>
      <c r="D64" s="113"/>
      <c r="E64" s="114">
        <f>E62+E63</f>
        <v>4973.2711953276794</v>
      </c>
    </row>
    <row r="65" spans="1:7" ht="13.5" thickBot="1" x14ac:dyDescent="0.25">
      <c r="A65" s="16" t="s">
        <v>4</v>
      </c>
      <c r="B65" s="17" t="s">
        <v>5</v>
      </c>
      <c r="C65" s="81">
        <v>0</v>
      </c>
      <c r="D65" s="18">
        <f>E64</f>
        <v>4973.2711953276794</v>
      </c>
      <c r="E65" s="18">
        <f>C65*D65</f>
        <v>0</v>
      </c>
    </row>
    <row r="66" spans="1:7" ht="13.5" thickBot="1" x14ac:dyDescent="0.25">
      <c r="D66" s="117" t="s">
        <v>202</v>
      </c>
      <c r="E66" s="49">
        <f>$B$42</f>
        <v>1</v>
      </c>
      <c r="F66" s="118">
        <f>E65*E66</f>
        <v>0</v>
      </c>
    </row>
    <row r="67" spans="1:7" ht="11.25" customHeight="1" x14ac:dyDescent="0.2"/>
    <row r="68" spans="1:7" ht="13.5" thickBot="1" x14ac:dyDescent="0.25">
      <c r="A68" s="9" t="s">
        <v>103</v>
      </c>
    </row>
    <row r="69" spans="1:7" s="12" customFormat="1" ht="13.15" customHeight="1" thickBot="1" x14ac:dyDescent="0.25">
      <c r="A69" s="57" t="s">
        <v>63</v>
      </c>
      <c r="B69" s="58" t="s">
        <v>64</v>
      </c>
      <c r="C69" s="58" t="s">
        <v>39</v>
      </c>
      <c r="D69" s="59" t="s">
        <v>239</v>
      </c>
      <c r="E69" s="59" t="s">
        <v>65</v>
      </c>
      <c r="F69" s="60" t="s">
        <v>66</v>
      </c>
      <c r="G69" s="10"/>
    </row>
    <row r="70" spans="1:7" ht="32.25" customHeight="1" x14ac:dyDescent="0.2">
      <c r="A70" s="286" t="s">
        <v>297</v>
      </c>
      <c r="B70" s="14" t="s">
        <v>7</v>
      </c>
      <c r="C70" s="14">
        <v>1</v>
      </c>
      <c r="D70" s="82">
        <v>2331.4</v>
      </c>
      <c r="E70" s="15">
        <f>C70*D70</f>
        <v>2331.4</v>
      </c>
    </row>
    <row r="71" spans="1:7" x14ac:dyDescent="0.2">
      <c r="A71" s="278" t="s">
        <v>286</v>
      </c>
      <c r="B71" s="14" t="s">
        <v>7</v>
      </c>
      <c r="C71" s="14">
        <v>1</v>
      </c>
      <c r="D71" s="82">
        <v>1621</v>
      </c>
      <c r="E71" s="15"/>
    </row>
    <row r="72" spans="1:7" x14ac:dyDescent="0.2">
      <c r="A72" s="16" t="s">
        <v>219</v>
      </c>
      <c r="B72" s="17"/>
      <c r="C72" s="85"/>
      <c r="D72" s="18"/>
      <c r="E72" s="18"/>
    </row>
    <row r="73" spans="1:7" x14ac:dyDescent="0.2">
      <c r="A73" s="16" t="s">
        <v>0</v>
      </c>
      <c r="B73" s="17" t="s">
        <v>1</v>
      </c>
      <c r="C73" s="81"/>
      <c r="D73" s="78">
        <f>IF(C72=2,SUM(E70:E71),IF(C72=1,(SUM(E70:E71))*D71/D70,0))</f>
        <v>0</v>
      </c>
      <c r="E73" s="18">
        <f>C73*D73/100</f>
        <v>0</v>
      </c>
    </row>
    <row r="74" spans="1:7" s="11" customFormat="1" x14ac:dyDescent="0.2">
      <c r="A74" s="97" t="s">
        <v>2</v>
      </c>
      <c r="B74" s="112"/>
      <c r="C74" s="112"/>
      <c r="D74" s="113"/>
      <c r="E74" s="99">
        <f>SUM(E70:E73)</f>
        <v>2331.4</v>
      </c>
      <c r="F74" s="43"/>
      <c r="G74" s="43"/>
    </row>
    <row r="75" spans="1:7" x14ac:dyDescent="0.2">
      <c r="A75" s="16" t="s">
        <v>3</v>
      </c>
      <c r="B75" s="17" t="s">
        <v>1</v>
      </c>
      <c r="C75" s="132">
        <f>'2.Encargos Sociais'!$C$32*100</f>
        <v>70.595951999999997</v>
      </c>
      <c r="D75" s="18">
        <f>E74</f>
        <v>2331.4</v>
      </c>
      <c r="E75" s="18">
        <f>D75*C75/100</f>
        <v>1645.8740249279999</v>
      </c>
    </row>
    <row r="76" spans="1:7" s="11" customFormat="1" x14ac:dyDescent="0.2">
      <c r="A76" s="97" t="s">
        <v>251</v>
      </c>
      <c r="B76" s="247"/>
      <c r="C76" s="247"/>
      <c r="D76" s="248"/>
      <c r="E76" s="99">
        <f>E74+E75</f>
        <v>3977.274024928</v>
      </c>
      <c r="F76" s="43"/>
      <c r="G76" s="43"/>
    </row>
    <row r="77" spans="1:7" ht="13.5" thickBot="1" x14ac:dyDescent="0.25">
      <c r="A77" s="16" t="s">
        <v>4</v>
      </c>
      <c r="B77" s="17" t="s">
        <v>5</v>
      </c>
      <c r="C77" s="81">
        <v>1</v>
      </c>
      <c r="D77" s="18">
        <f>E76</f>
        <v>3977.274024928</v>
      </c>
      <c r="E77" s="18">
        <f>C77*D77</f>
        <v>3977.274024928</v>
      </c>
    </row>
    <row r="78" spans="1:7" ht="13.5" thickBot="1" x14ac:dyDescent="0.25">
      <c r="D78" s="117" t="s">
        <v>202</v>
      </c>
      <c r="E78" s="49">
        <f>$B$42</f>
        <v>1</v>
      </c>
      <c r="F78" s="118">
        <f>E77*E78</f>
        <v>3977.274024928</v>
      </c>
    </row>
    <row r="79" spans="1:7" ht="11.25" customHeight="1" x14ac:dyDescent="0.2"/>
    <row r="80" spans="1:7" ht="13.5" thickBot="1" x14ac:dyDescent="0.25">
      <c r="A80" s="9" t="s">
        <v>104</v>
      </c>
    </row>
    <row r="81" spans="1:7" ht="13.5" thickBot="1" x14ac:dyDescent="0.25">
      <c r="A81" s="57" t="s">
        <v>63</v>
      </c>
      <c r="B81" s="58" t="s">
        <v>64</v>
      </c>
      <c r="C81" s="58" t="s">
        <v>39</v>
      </c>
      <c r="D81" s="59" t="s">
        <v>239</v>
      </c>
      <c r="E81" s="59" t="s">
        <v>65</v>
      </c>
      <c r="F81" s="60" t="s">
        <v>66</v>
      </c>
    </row>
    <row r="82" spans="1:7" x14ac:dyDescent="0.2">
      <c r="A82" s="278" t="s">
        <v>285</v>
      </c>
      <c r="B82" s="14" t="s">
        <v>7</v>
      </c>
      <c r="C82" s="14">
        <v>1</v>
      </c>
      <c r="D82" s="15">
        <f>D70</f>
        <v>2331.4</v>
      </c>
      <c r="E82" s="15">
        <f>C82*D82</f>
        <v>2331.4</v>
      </c>
    </row>
    <row r="83" spans="1:7" x14ac:dyDescent="0.2">
      <c r="A83" s="278" t="s">
        <v>286</v>
      </c>
      <c r="B83" s="14" t="s">
        <v>7</v>
      </c>
      <c r="C83" s="14">
        <v>1</v>
      </c>
      <c r="D83" s="18">
        <f>D71</f>
        <v>1621</v>
      </c>
      <c r="E83" s="18"/>
    </row>
    <row r="84" spans="1:7" x14ac:dyDescent="0.2">
      <c r="A84" s="16" t="s">
        <v>6</v>
      </c>
      <c r="B84" s="17" t="s">
        <v>101</v>
      </c>
      <c r="C84" s="83"/>
      <c r="D84" s="16"/>
      <c r="E84" s="16"/>
    </row>
    <row r="85" spans="1:7" x14ac:dyDescent="0.2">
      <c r="A85" s="16"/>
      <c r="B85" s="17" t="s">
        <v>105</v>
      </c>
      <c r="C85" s="18">
        <f>C84*8/7</f>
        <v>0</v>
      </c>
      <c r="D85" s="18">
        <f>D82/220*0.2</f>
        <v>2.1194545454545457</v>
      </c>
      <c r="E85" s="18">
        <f>C85*D85</f>
        <v>0</v>
      </c>
    </row>
    <row r="86" spans="1:7" x14ac:dyDescent="0.2">
      <c r="A86" s="16" t="s">
        <v>219</v>
      </c>
      <c r="B86" s="17"/>
      <c r="C86" s="85"/>
      <c r="D86" s="18"/>
      <c r="E86" s="18"/>
    </row>
    <row r="87" spans="1:7" x14ac:dyDescent="0.2">
      <c r="A87" s="16" t="s">
        <v>0</v>
      </c>
      <c r="B87" s="17" t="s">
        <v>1</v>
      </c>
      <c r="C87" s="78">
        <f>+C73</f>
        <v>0</v>
      </c>
      <c r="D87" s="78">
        <f>IF(C86=2,SUM(E82:E85),IF(C86=1,SUM(E82:E85)*D83/D82,0))</f>
        <v>0</v>
      </c>
      <c r="E87" s="18">
        <f>C87*D87/100</f>
        <v>0</v>
      </c>
    </row>
    <row r="88" spans="1:7" s="11" customFormat="1" x14ac:dyDescent="0.2">
      <c r="A88" s="111" t="s">
        <v>2</v>
      </c>
      <c r="B88" s="112"/>
      <c r="C88" s="112"/>
      <c r="D88" s="113"/>
      <c r="E88" s="114">
        <f>SUM(E82:E87)</f>
        <v>2331.4</v>
      </c>
      <c r="F88" s="43"/>
      <c r="G88" s="43"/>
    </row>
    <row r="89" spans="1:7" x14ac:dyDescent="0.2">
      <c r="A89" s="16" t="s">
        <v>3</v>
      </c>
      <c r="B89" s="17" t="s">
        <v>1</v>
      </c>
      <c r="C89" s="132">
        <f>'2.Encargos Sociais'!$C$32*100</f>
        <v>70.595951999999997</v>
      </c>
      <c r="D89" s="18">
        <f>E88</f>
        <v>2331.4</v>
      </c>
      <c r="E89" s="18">
        <f>D89*C89/100</f>
        <v>1645.8740249279999</v>
      </c>
    </row>
    <row r="90" spans="1:7" s="11" customFormat="1" x14ac:dyDescent="0.2">
      <c r="A90" s="111" t="s">
        <v>251</v>
      </c>
      <c r="B90" s="112"/>
      <c r="C90" s="112"/>
      <c r="D90" s="113"/>
      <c r="E90" s="114">
        <f>E88+E89</f>
        <v>3977.274024928</v>
      </c>
      <c r="F90" s="43"/>
      <c r="G90" s="43"/>
    </row>
    <row r="91" spans="1:7" ht="13.5" thickBot="1" x14ac:dyDescent="0.25">
      <c r="A91" s="16" t="s">
        <v>4</v>
      </c>
      <c r="B91" s="17" t="s">
        <v>5</v>
      </c>
      <c r="C91" s="81">
        <v>0</v>
      </c>
      <c r="D91" s="18">
        <f>E90</f>
        <v>3977.274024928</v>
      </c>
      <c r="E91" s="18">
        <f>C91*D91</f>
        <v>0</v>
      </c>
    </row>
    <row r="92" spans="1:7" ht="13.5" thickBot="1" x14ac:dyDescent="0.25">
      <c r="D92" s="117" t="s">
        <v>202</v>
      </c>
      <c r="E92" s="49">
        <f>$B$42</f>
        <v>1</v>
      </c>
      <c r="F92" s="118">
        <f>E91*E92</f>
        <v>0</v>
      </c>
    </row>
    <row r="93" spans="1:7" ht="11.25" customHeight="1" x14ac:dyDescent="0.2">
      <c r="G93" s="9"/>
    </row>
    <row r="94" spans="1:7" ht="13.5" thickBot="1" x14ac:dyDescent="0.25">
      <c r="A94" s="9" t="s">
        <v>106</v>
      </c>
      <c r="B94" s="88"/>
      <c r="D94" s="9"/>
      <c r="E94" s="9"/>
      <c r="G94" s="9"/>
    </row>
    <row r="95" spans="1:7" ht="13.5" thickBot="1" x14ac:dyDescent="0.25">
      <c r="A95" s="57" t="s">
        <v>63</v>
      </c>
      <c r="B95" s="58" t="s">
        <v>64</v>
      </c>
      <c r="C95" s="58" t="s">
        <v>39</v>
      </c>
      <c r="D95" s="59" t="s">
        <v>239</v>
      </c>
      <c r="E95" s="59" t="s">
        <v>65</v>
      </c>
      <c r="F95" s="60" t="s">
        <v>66</v>
      </c>
      <c r="G95" s="9"/>
    </row>
    <row r="96" spans="1:7" x14ac:dyDescent="0.2">
      <c r="A96" s="16" t="s">
        <v>93</v>
      </c>
      <c r="B96" s="17" t="s">
        <v>34</v>
      </c>
      <c r="C96" s="89">
        <v>1</v>
      </c>
      <c r="D96" s="87"/>
      <c r="E96" s="18"/>
      <c r="G96" s="9"/>
    </row>
    <row r="97" spans="1:7" x14ac:dyDescent="0.2">
      <c r="A97" s="16" t="s">
        <v>94</v>
      </c>
      <c r="B97" s="17" t="s">
        <v>95</v>
      </c>
      <c r="C97" s="86"/>
      <c r="D97" s="18"/>
      <c r="E97" s="18"/>
      <c r="G97" s="9"/>
    </row>
    <row r="98" spans="1:7" x14ac:dyDescent="0.2">
      <c r="A98" s="16" t="s">
        <v>74</v>
      </c>
      <c r="B98" s="17" t="s">
        <v>8</v>
      </c>
      <c r="C98" s="36">
        <f>$C$97*2*(C53+C65)</f>
        <v>0</v>
      </c>
      <c r="D98" s="15" t="str">
        <f>IFERROR((($C$97*2*$D$96)-(E48*0.06*C97/26))/($C$97*2),"-")</f>
        <v>-</v>
      </c>
      <c r="E98" s="18" t="str">
        <f>IFERROR(C98*D98,"-")</f>
        <v>-</v>
      </c>
      <c r="G98" s="9"/>
    </row>
    <row r="99" spans="1:7" ht="13.5" thickBot="1" x14ac:dyDescent="0.25">
      <c r="A99" s="13" t="s">
        <v>43</v>
      </c>
      <c r="B99" s="14" t="s">
        <v>8</v>
      </c>
      <c r="C99" s="36">
        <f>$C$97*2*(C77+C91)</f>
        <v>0</v>
      </c>
      <c r="D99" s="15" t="str">
        <f>IFERROR((($C$97*2*$D$96)-(E70*0.06*C97/26))/($C$97*2),"-")</f>
        <v>-</v>
      </c>
      <c r="E99" s="15" t="str">
        <f>IFERROR(C99*D99,"-")</f>
        <v>-</v>
      </c>
      <c r="G99" s="9"/>
    </row>
    <row r="100" spans="1:7" ht="13.5" thickBot="1" x14ac:dyDescent="0.25">
      <c r="F100" s="22">
        <f>SUM(E98:E99)</f>
        <v>0</v>
      </c>
      <c r="G100" s="9"/>
    </row>
    <row r="101" spans="1:7" ht="11.25" customHeight="1" x14ac:dyDescent="0.2">
      <c r="G101" s="9"/>
    </row>
    <row r="102" spans="1:7" ht="13.5" thickBot="1" x14ac:dyDescent="0.25">
      <c r="A102" s="9" t="s">
        <v>129</v>
      </c>
      <c r="F102" s="23"/>
      <c r="G102" s="9"/>
    </row>
    <row r="103" spans="1:7" ht="13.5" thickBot="1" x14ac:dyDescent="0.25">
      <c r="A103" s="57" t="s">
        <v>63</v>
      </c>
      <c r="B103" s="58" t="s">
        <v>64</v>
      </c>
      <c r="C103" s="58" t="s">
        <v>39</v>
      </c>
      <c r="D103" s="59" t="s">
        <v>239</v>
      </c>
      <c r="E103" s="59" t="s">
        <v>65</v>
      </c>
      <c r="F103" s="60" t="s">
        <v>66</v>
      </c>
      <c r="G103" s="9"/>
    </row>
    <row r="104" spans="1:7" x14ac:dyDescent="0.2">
      <c r="A104" s="16" t="str">
        <f>+A98</f>
        <v>Coletor</v>
      </c>
      <c r="B104" s="17" t="s">
        <v>9</v>
      </c>
      <c r="C104" s="96">
        <f>C97*(E32+E33)</f>
        <v>0</v>
      </c>
      <c r="D104" s="84"/>
      <c r="E104" s="49">
        <f>C104*D104</f>
        <v>0</v>
      </c>
      <c r="F104" s="23"/>
      <c r="G104" s="9"/>
    </row>
    <row r="105" spans="1:7" ht="13.5" thickBot="1" x14ac:dyDescent="0.25">
      <c r="A105" s="16" t="str">
        <f>+A99</f>
        <v>Motorista</v>
      </c>
      <c r="B105" s="17" t="s">
        <v>9</v>
      </c>
      <c r="C105" s="96">
        <f>C97*(E34+E35)</f>
        <v>0</v>
      </c>
      <c r="D105" s="84"/>
      <c r="E105" s="49">
        <f>C105*D105</f>
        <v>0</v>
      </c>
      <c r="F105" s="23"/>
      <c r="G105" s="9"/>
    </row>
    <row r="106" spans="1:7" ht="13.5" thickBot="1" x14ac:dyDescent="0.25">
      <c r="F106" s="22">
        <f>SUM(E104:E105)</f>
        <v>0</v>
      </c>
      <c r="G106" s="9"/>
    </row>
    <row r="107" spans="1:7" x14ac:dyDescent="0.2">
      <c r="G107" s="9"/>
    </row>
    <row r="108" spans="1:7" ht="13.5" thickBot="1" x14ac:dyDescent="0.25">
      <c r="A108" s="9" t="s">
        <v>130</v>
      </c>
      <c r="F108" s="23"/>
      <c r="G108" s="9"/>
    </row>
    <row r="109" spans="1:7" ht="13.5" thickBot="1" x14ac:dyDescent="0.25">
      <c r="A109" s="57" t="s">
        <v>63</v>
      </c>
      <c r="B109" s="58" t="s">
        <v>64</v>
      </c>
      <c r="C109" s="58" t="s">
        <v>39</v>
      </c>
      <c r="D109" s="59" t="s">
        <v>239</v>
      </c>
      <c r="E109" s="59" t="s">
        <v>65</v>
      </c>
      <c r="F109" s="60" t="s">
        <v>66</v>
      </c>
      <c r="G109" s="9"/>
    </row>
    <row r="110" spans="1:7" x14ac:dyDescent="0.2">
      <c r="A110" s="16" t="str">
        <f>+A104</f>
        <v>Coletor</v>
      </c>
      <c r="B110" s="17" t="s">
        <v>9</v>
      </c>
      <c r="C110" s="96">
        <f>E32+E33</f>
        <v>3</v>
      </c>
      <c r="D110" s="84">
        <v>651.6</v>
      </c>
      <c r="E110" s="49">
        <f>C110*D110</f>
        <v>1954.8000000000002</v>
      </c>
      <c r="F110" s="23"/>
      <c r="G110" s="9"/>
    </row>
    <row r="111" spans="1:7" ht="13.5" thickBot="1" x14ac:dyDescent="0.25">
      <c r="A111" s="16" t="str">
        <f>+A105</f>
        <v>Motorista</v>
      </c>
      <c r="B111" s="17" t="s">
        <v>9</v>
      </c>
      <c r="C111" s="96">
        <f>E34+E35</f>
        <v>1</v>
      </c>
      <c r="D111" s="84">
        <v>456</v>
      </c>
      <c r="E111" s="49">
        <f>C111*D111</f>
        <v>456</v>
      </c>
      <c r="F111" s="23"/>
      <c r="G111" s="9"/>
    </row>
    <row r="112" spans="1:7" ht="13.5" thickBot="1" x14ac:dyDescent="0.25">
      <c r="D112" s="117" t="s">
        <v>202</v>
      </c>
      <c r="E112" s="49">
        <f>$B$42</f>
        <v>1</v>
      </c>
      <c r="F112" s="22">
        <f>SUM(E110:E111)*E112</f>
        <v>2410.8000000000002</v>
      </c>
      <c r="G112" s="9"/>
    </row>
    <row r="113" spans="1:7" ht="13.5" thickBot="1" x14ac:dyDescent="0.25">
      <c r="G113" s="9"/>
    </row>
    <row r="114" spans="1:7" ht="13.5" thickBot="1" x14ac:dyDescent="0.25">
      <c r="A114" s="24" t="s">
        <v>96</v>
      </c>
      <c r="B114" s="25"/>
      <c r="C114" s="25"/>
      <c r="D114" s="26"/>
      <c r="E114" s="27"/>
      <c r="F114" s="22">
        <f>F112+F106+F100+F92+F78+F66+F54</f>
        <v>21307.887610911039</v>
      </c>
      <c r="G114" s="9"/>
    </row>
    <row r="116" spans="1:7" x14ac:dyDescent="0.2">
      <c r="A116" s="11" t="s">
        <v>44</v>
      </c>
      <c r="G116" s="9"/>
    </row>
    <row r="117" spans="1:7" ht="11.25" customHeight="1" x14ac:dyDescent="0.2">
      <c r="G117" s="9"/>
    </row>
    <row r="118" spans="1:7" ht="13.9" customHeight="1" x14ac:dyDescent="0.2">
      <c r="A118" s="9" t="s">
        <v>204</v>
      </c>
      <c r="G118" s="9"/>
    </row>
    <row r="119" spans="1:7" ht="11.25" customHeight="1" thickBot="1" x14ac:dyDescent="0.25">
      <c r="G119" s="9"/>
    </row>
    <row r="120" spans="1:7" ht="27.75" customHeight="1" thickBot="1" x14ac:dyDescent="0.25">
      <c r="A120" s="57" t="s">
        <v>63</v>
      </c>
      <c r="B120" s="58" t="s">
        <v>64</v>
      </c>
      <c r="C120" s="249" t="s">
        <v>252</v>
      </c>
      <c r="D120" s="59" t="s">
        <v>239</v>
      </c>
      <c r="E120" s="59" t="s">
        <v>65</v>
      </c>
      <c r="F120" s="60" t="s">
        <v>66</v>
      </c>
      <c r="G120" s="9"/>
    </row>
    <row r="121" spans="1:7" x14ac:dyDescent="0.2">
      <c r="A121" s="13" t="s">
        <v>67</v>
      </c>
      <c r="B121" s="14" t="s">
        <v>9</v>
      </c>
      <c r="C121" s="95">
        <v>12</v>
      </c>
      <c r="D121" s="82">
        <v>200</v>
      </c>
      <c r="E121" s="15">
        <f>IFERROR(D121/C121,0)</f>
        <v>16.666666666666668</v>
      </c>
      <c r="G121" s="9"/>
    </row>
    <row r="122" spans="1:7" ht="13.15" customHeight="1" x14ac:dyDescent="0.2">
      <c r="A122" s="16" t="s">
        <v>29</v>
      </c>
      <c r="B122" s="17" t="s">
        <v>9</v>
      </c>
      <c r="C122" s="95">
        <v>3</v>
      </c>
      <c r="D122" s="82">
        <v>120</v>
      </c>
      <c r="E122" s="15">
        <f t="shared" ref="E122:E130" si="1">IFERROR(D122/C122,0)</f>
        <v>40</v>
      </c>
      <c r="G122" s="9"/>
    </row>
    <row r="123" spans="1:7" x14ac:dyDescent="0.2">
      <c r="A123" s="16" t="s">
        <v>30</v>
      </c>
      <c r="B123" s="17" t="s">
        <v>9</v>
      </c>
      <c r="C123" s="95">
        <v>3</v>
      </c>
      <c r="D123" s="82">
        <v>30</v>
      </c>
      <c r="E123" s="15">
        <f t="shared" si="1"/>
        <v>10</v>
      </c>
      <c r="G123" s="9"/>
    </row>
    <row r="124" spans="1:7" ht="13.15" customHeight="1" x14ac:dyDescent="0.2">
      <c r="A124" s="16" t="s">
        <v>31</v>
      </c>
      <c r="B124" s="17" t="s">
        <v>9</v>
      </c>
      <c r="C124" s="95">
        <v>6</v>
      </c>
      <c r="D124" s="82">
        <v>15</v>
      </c>
      <c r="E124" s="15">
        <f t="shared" si="1"/>
        <v>2.5</v>
      </c>
      <c r="G124" s="9"/>
    </row>
    <row r="125" spans="1:7" ht="13.9" customHeight="1" x14ac:dyDescent="0.2">
      <c r="A125" s="16" t="s">
        <v>69</v>
      </c>
      <c r="B125" s="17" t="s">
        <v>47</v>
      </c>
      <c r="C125" s="95">
        <v>6</v>
      </c>
      <c r="D125" s="82">
        <v>129</v>
      </c>
      <c r="E125" s="15">
        <f t="shared" si="1"/>
        <v>21.5</v>
      </c>
      <c r="G125" s="9"/>
    </row>
    <row r="126" spans="1:7" ht="13.15" customHeight="1" x14ac:dyDescent="0.2">
      <c r="A126" s="16" t="s">
        <v>97</v>
      </c>
      <c r="B126" s="17" t="s">
        <v>47</v>
      </c>
      <c r="C126" s="95">
        <v>2</v>
      </c>
      <c r="D126" s="82">
        <v>20</v>
      </c>
      <c r="E126" s="15">
        <f t="shared" si="1"/>
        <v>10</v>
      </c>
    </row>
    <row r="127" spans="1:7" x14ac:dyDescent="0.2">
      <c r="A127" s="16" t="s">
        <v>68</v>
      </c>
      <c r="B127" s="17" t="s">
        <v>9</v>
      </c>
      <c r="C127" s="95">
        <v>6</v>
      </c>
      <c r="D127" s="82">
        <v>60</v>
      </c>
      <c r="E127" s="15">
        <f t="shared" si="1"/>
        <v>10</v>
      </c>
    </row>
    <row r="128" spans="1:7" s="1" customFormat="1" x14ac:dyDescent="0.2">
      <c r="A128" s="2" t="s">
        <v>10</v>
      </c>
      <c r="B128" s="3" t="s">
        <v>9</v>
      </c>
      <c r="C128" s="95">
        <v>12</v>
      </c>
      <c r="D128" s="82">
        <v>45</v>
      </c>
      <c r="E128" s="15">
        <f t="shared" si="1"/>
        <v>3.75</v>
      </c>
      <c r="F128" s="37"/>
      <c r="G128" s="37"/>
    </row>
    <row r="129" spans="1:7" x14ac:dyDescent="0.2">
      <c r="A129" s="16" t="s">
        <v>32</v>
      </c>
      <c r="B129" s="17" t="s">
        <v>47</v>
      </c>
      <c r="C129" s="95">
        <v>1</v>
      </c>
      <c r="D129" s="82">
        <v>14</v>
      </c>
      <c r="E129" s="15">
        <f t="shared" si="1"/>
        <v>14</v>
      </c>
    </row>
    <row r="130" spans="1:7" ht="13.15" customHeight="1" x14ac:dyDescent="0.2">
      <c r="A130" s="16" t="s">
        <v>62</v>
      </c>
      <c r="B130" s="17" t="s">
        <v>48</v>
      </c>
      <c r="C130" s="95">
        <v>3</v>
      </c>
      <c r="D130" s="82">
        <v>30</v>
      </c>
      <c r="E130" s="15">
        <f t="shared" si="1"/>
        <v>10</v>
      </c>
    </row>
    <row r="131" spans="1:7" x14ac:dyDescent="0.2">
      <c r="A131" s="16" t="s">
        <v>205</v>
      </c>
      <c r="B131" s="17" t="s">
        <v>131</v>
      </c>
      <c r="C131" s="66">
        <v>1</v>
      </c>
      <c r="D131" s="82">
        <v>100</v>
      </c>
      <c r="E131" s="18">
        <f t="shared" ref="E131:E132" si="2">C131*D131</f>
        <v>100</v>
      </c>
    </row>
    <row r="132" spans="1:7" ht="13.5" thickBot="1" x14ac:dyDescent="0.25">
      <c r="A132" s="16" t="s">
        <v>4</v>
      </c>
      <c r="B132" s="17" t="s">
        <v>5</v>
      </c>
      <c r="C132" s="66">
        <f>E32+E33</f>
        <v>3</v>
      </c>
      <c r="D132" s="18">
        <f>+SUM(E121:E131)</f>
        <v>238.41666666666669</v>
      </c>
      <c r="E132" s="18">
        <f t="shared" si="2"/>
        <v>715.25</v>
      </c>
    </row>
    <row r="133" spans="1:7" ht="13.5" thickBot="1" x14ac:dyDescent="0.25">
      <c r="D133" s="117" t="s">
        <v>202</v>
      </c>
      <c r="E133" s="49">
        <f>$B$42</f>
        <v>1</v>
      </c>
      <c r="F133" s="118">
        <f>E132*E133</f>
        <v>715.25</v>
      </c>
    </row>
    <row r="134" spans="1:7" ht="11.25" customHeight="1" x14ac:dyDescent="0.2"/>
    <row r="135" spans="1:7" ht="13.9" customHeight="1" x14ac:dyDescent="0.2">
      <c r="A135" s="9" t="s">
        <v>206</v>
      </c>
    </row>
    <row r="136" spans="1:7" ht="11.25" customHeight="1" thickBot="1" x14ac:dyDescent="0.25"/>
    <row r="137" spans="1:7" ht="24.75" thickBot="1" x14ac:dyDescent="0.25">
      <c r="A137" s="57" t="s">
        <v>63</v>
      </c>
      <c r="B137" s="58" t="s">
        <v>64</v>
      </c>
      <c r="C137" s="249" t="s">
        <v>252</v>
      </c>
      <c r="D137" s="59" t="s">
        <v>239</v>
      </c>
      <c r="E137" s="59" t="s">
        <v>65</v>
      </c>
      <c r="F137" s="60" t="s">
        <v>66</v>
      </c>
    </row>
    <row r="138" spans="1:7" x14ac:dyDescent="0.2">
      <c r="A138" s="13" t="s">
        <v>67</v>
      </c>
      <c r="B138" s="14" t="s">
        <v>9</v>
      </c>
      <c r="C138" s="95">
        <v>12</v>
      </c>
      <c r="D138" s="15">
        <f>+D121</f>
        <v>200</v>
      </c>
      <c r="E138" s="15">
        <f>IFERROR(D138/C138,0)</f>
        <v>16.666666666666668</v>
      </c>
    </row>
    <row r="139" spans="1:7" x14ac:dyDescent="0.2">
      <c r="A139" s="16" t="s">
        <v>29</v>
      </c>
      <c r="B139" s="17" t="s">
        <v>9</v>
      </c>
      <c r="C139" s="95">
        <v>2</v>
      </c>
      <c r="D139" s="18">
        <f>+D122</f>
        <v>120</v>
      </c>
      <c r="E139" s="15">
        <f t="shared" ref="E139:E143" si="3">IFERROR(D139/C139,0)</f>
        <v>60</v>
      </c>
    </row>
    <row r="140" spans="1:7" x14ac:dyDescent="0.2">
      <c r="A140" s="16" t="s">
        <v>30</v>
      </c>
      <c r="B140" s="17" t="s">
        <v>9</v>
      </c>
      <c r="C140" s="95">
        <v>2</v>
      </c>
      <c r="D140" s="18">
        <f>+D123</f>
        <v>30</v>
      </c>
      <c r="E140" s="15">
        <f t="shared" si="3"/>
        <v>15</v>
      </c>
    </row>
    <row r="141" spans="1:7" x14ac:dyDescent="0.2">
      <c r="A141" s="16" t="s">
        <v>69</v>
      </c>
      <c r="B141" s="17" t="s">
        <v>47</v>
      </c>
      <c r="C141" s="95">
        <v>6</v>
      </c>
      <c r="D141" s="18">
        <f>+D125</f>
        <v>129</v>
      </c>
      <c r="E141" s="15">
        <f t="shared" si="3"/>
        <v>21.5</v>
      </c>
    </row>
    <row r="142" spans="1:7" x14ac:dyDescent="0.2">
      <c r="A142" s="16" t="s">
        <v>68</v>
      </c>
      <c r="B142" s="17" t="s">
        <v>9</v>
      </c>
      <c r="C142" s="95">
        <v>6</v>
      </c>
      <c r="D142" s="18">
        <f>+D127</f>
        <v>60</v>
      </c>
      <c r="E142" s="15">
        <f t="shared" si="3"/>
        <v>10</v>
      </c>
      <c r="G142" s="9"/>
    </row>
    <row r="143" spans="1:7" x14ac:dyDescent="0.2">
      <c r="A143" s="16" t="s">
        <v>62</v>
      </c>
      <c r="B143" s="17" t="s">
        <v>48</v>
      </c>
      <c r="C143" s="95">
        <v>3</v>
      </c>
      <c r="D143" s="18">
        <f>+D130</f>
        <v>30</v>
      </c>
      <c r="E143" s="15">
        <f t="shared" si="3"/>
        <v>10</v>
      </c>
      <c r="G143" s="9"/>
    </row>
    <row r="144" spans="1:7" x14ac:dyDescent="0.2">
      <c r="A144" s="16" t="s">
        <v>205</v>
      </c>
      <c r="B144" s="17" t="s">
        <v>131</v>
      </c>
      <c r="C144" s="66">
        <v>1</v>
      </c>
      <c r="D144" s="82">
        <v>100</v>
      </c>
      <c r="E144" s="18">
        <f t="shared" ref="E144:E145" si="4">C144*D144</f>
        <v>100</v>
      </c>
      <c r="G144" s="9"/>
    </row>
    <row r="145" spans="1:10" ht="13.5" thickBot="1" x14ac:dyDescent="0.25">
      <c r="A145" s="16" t="s">
        <v>4</v>
      </c>
      <c r="B145" s="17" t="s">
        <v>5</v>
      </c>
      <c r="C145" s="66">
        <f>E34+E35</f>
        <v>1</v>
      </c>
      <c r="D145" s="18">
        <f>+SUM(E138:E144)</f>
        <v>233.16666666666669</v>
      </c>
      <c r="E145" s="18">
        <f t="shared" si="4"/>
        <v>233.16666666666669</v>
      </c>
      <c r="G145" s="9"/>
    </row>
    <row r="146" spans="1:10" ht="13.5" thickBot="1" x14ac:dyDescent="0.25">
      <c r="D146" s="117" t="s">
        <v>202</v>
      </c>
      <c r="E146" s="49">
        <f>$B$42</f>
        <v>1</v>
      </c>
      <c r="F146" s="118">
        <f>E145*E146</f>
        <v>233.16666666666669</v>
      </c>
      <c r="G146" s="9"/>
    </row>
    <row r="147" spans="1:10" ht="11.25" customHeight="1" thickBot="1" x14ac:dyDescent="0.25">
      <c r="G147" s="9"/>
    </row>
    <row r="148" spans="1:10" ht="13.5" thickBot="1" x14ac:dyDescent="0.25">
      <c r="A148" s="24" t="s">
        <v>207</v>
      </c>
      <c r="B148" s="28"/>
      <c r="C148" s="28"/>
      <c r="D148" s="29"/>
      <c r="E148" s="30"/>
      <c r="F148" s="21">
        <f>+F133+F146</f>
        <v>948.41666666666674</v>
      </c>
      <c r="G148" s="9"/>
    </row>
    <row r="149" spans="1:10" ht="11.25" customHeight="1" x14ac:dyDescent="0.2">
      <c r="G149" s="9"/>
    </row>
    <row r="150" spans="1:10" x14ac:dyDescent="0.2">
      <c r="A150" s="11" t="s">
        <v>53</v>
      </c>
      <c r="G150" s="9"/>
    </row>
    <row r="151" spans="1:10" ht="11.25" customHeight="1" x14ac:dyDescent="0.2">
      <c r="B151" s="101"/>
      <c r="G151" s="9"/>
    </row>
    <row r="152" spans="1:10" x14ac:dyDescent="0.2">
      <c r="A152" s="7" t="s">
        <v>296</v>
      </c>
      <c r="G152" s="9"/>
    </row>
    <row r="153" spans="1:10" ht="11.25" customHeight="1" x14ac:dyDescent="0.2">
      <c r="G153" s="9"/>
    </row>
    <row r="154" spans="1:10" ht="13.5" thickBot="1" x14ac:dyDescent="0.25">
      <c r="A154" s="101" t="s">
        <v>45</v>
      </c>
      <c r="G154" s="9"/>
    </row>
    <row r="155" spans="1:10" ht="13.5" thickBot="1" x14ac:dyDescent="0.25">
      <c r="A155" s="57" t="s">
        <v>63</v>
      </c>
      <c r="B155" s="58" t="s">
        <v>64</v>
      </c>
      <c r="C155" s="58" t="s">
        <v>39</v>
      </c>
      <c r="D155" s="59" t="s">
        <v>239</v>
      </c>
      <c r="E155" s="59" t="s">
        <v>65</v>
      </c>
      <c r="F155" s="60" t="s">
        <v>66</v>
      </c>
      <c r="G155" s="9"/>
    </row>
    <row r="156" spans="1:10" x14ac:dyDescent="0.2">
      <c r="A156" s="13" t="s">
        <v>113</v>
      </c>
      <c r="B156" s="14" t="s">
        <v>9</v>
      </c>
      <c r="C156" s="14">
        <v>1</v>
      </c>
      <c r="D156" s="82">
        <v>550000</v>
      </c>
      <c r="E156" s="15">
        <f>C156*D156</f>
        <v>550000</v>
      </c>
      <c r="G156" s="9"/>
    </row>
    <row r="157" spans="1:10" x14ac:dyDescent="0.2">
      <c r="A157" s="16" t="s">
        <v>107</v>
      </c>
      <c r="B157" s="17" t="s">
        <v>108</v>
      </c>
      <c r="C157" s="81">
        <v>15</v>
      </c>
      <c r="D157" s="78"/>
      <c r="E157" s="18"/>
      <c r="G157" s="9"/>
    </row>
    <row r="158" spans="1:10" x14ac:dyDescent="0.2">
      <c r="A158" s="16" t="s">
        <v>213</v>
      </c>
      <c r="B158" s="17" t="s">
        <v>108</v>
      </c>
      <c r="C158" s="81">
        <v>0</v>
      </c>
      <c r="D158" s="18"/>
      <c r="E158" s="18"/>
      <c r="F158" s="20"/>
      <c r="I158" s="80"/>
      <c r="J158" s="80"/>
    </row>
    <row r="159" spans="1:10" x14ac:dyDescent="0.2">
      <c r="A159" s="16" t="s">
        <v>111</v>
      </c>
      <c r="B159" s="17" t="s">
        <v>1</v>
      </c>
      <c r="C159" s="132">
        <f>IFERROR(VLOOKUP(C157,'5. Depreciação'!A3:B17,2,FALSE),0)</f>
        <v>70.73</v>
      </c>
      <c r="D159" s="18">
        <f>E156</f>
        <v>550000</v>
      </c>
      <c r="E159" s="18">
        <f>C159*D159/100</f>
        <v>389015</v>
      </c>
    </row>
    <row r="160" spans="1:10" ht="13.5" thickBot="1" x14ac:dyDescent="0.25">
      <c r="A160" s="256" t="s">
        <v>49</v>
      </c>
      <c r="B160" s="257" t="s">
        <v>7</v>
      </c>
      <c r="C160" s="257">
        <f>C157*12</f>
        <v>180</v>
      </c>
      <c r="D160" s="258">
        <f>IF(C158&lt;=C157,E159,0)</f>
        <v>389015</v>
      </c>
      <c r="E160" s="258">
        <f>IFERROR(D160/C160,0)</f>
        <v>2161.1944444444443</v>
      </c>
    </row>
    <row r="161" spans="1:10" ht="13.5" thickTop="1" x14ac:dyDescent="0.2">
      <c r="A161" s="13" t="s">
        <v>112</v>
      </c>
      <c r="B161" s="14" t="s">
        <v>9</v>
      </c>
      <c r="C161" s="14">
        <f>C156</f>
        <v>1</v>
      </c>
      <c r="D161" s="82">
        <v>150000</v>
      </c>
      <c r="E161" s="15">
        <f>C161*D161</f>
        <v>150000</v>
      </c>
      <c r="G161" s="9"/>
    </row>
    <row r="162" spans="1:10" x14ac:dyDescent="0.2">
      <c r="A162" s="16" t="s">
        <v>109</v>
      </c>
      <c r="B162" s="17" t="s">
        <v>108</v>
      </c>
      <c r="C162" s="81">
        <v>6</v>
      </c>
      <c r="D162" s="18"/>
      <c r="E162" s="18"/>
    </row>
    <row r="163" spans="1:10" x14ac:dyDescent="0.2">
      <c r="A163" s="16" t="s">
        <v>214</v>
      </c>
      <c r="B163" s="17" t="s">
        <v>108</v>
      </c>
      <c r="C163" s="81">
        <v>0</v>
      </c>
      <c r="D163" s="18"/>
      <c r="E163" s="18"/>
      <c r="F163" s="20"/>
      <c r="I163" s="80"/>
      <c r="J163" s="80"/>
    </row>
    <row r="164" spans="1:10" x14ac:dyDescent="0.2">
      <c r="A164" s="16" t="s">
        <v>110</v>
      </c>
      <c r="B164" s="17" t="s">
        <v>1</v>
      </c>
      <c r="C164" s="133">
        <f>IFERROR(VLOOKUP(C162,'5. Depreciação'!A3:B17,2,FALSE),0)</f>
        <v>58.18</v>
      </c>
      <c r="D164" s="18">
        <f>E161</f>
        <v>150000</v>
      </c>
      <c r="E164" s="18">
        <f>C164*D164/100</f>
        <v>87270</v>
      </c>
    </row>
    <row r="165" spans="1:10" x14ac:dyDescent="0.2">
      <c r="A165" s="97" t="s">
        <v>114</v>
      </c>
      <c r="B165" s="98" t="s">
        <v>7</v>
      </c>
      <c r="C165" s="98">
        <f>C162*12</f>
        <v>72</v>
      </c>
      <c r="D165" s="99">
        <f>IF(C163&lt;=C162,E164,0)</f>
        <v>87270</v>
      </c>
      <c r="E165" s="99">
        <f>IFERROR(D165/C165,0)</f>
        <v>1212.0833333333333</v>
      </c>
    </row>
    <row r="166" spans="1:10" x14ac:dyDescent="0.2">
      <c r="A166" s="111" t="s">
        <v>255</v>
      </c>
      <c r="B166" s="112"/>
      <c r="C166" s="112"/>
      <c r="D166" s="113"/>
      <c r="E166" s="114">
        <f>E160+E165</f>
        <v>3373.2777777777774</v>
      </c>
    </row>
    <row r="167" spans="1:10" ht="13.5" thickBot="1" x14ac:dyDescent="0.25">
      <c r="A167" s="97" t="s">
        <v>256</v>
      </c>
      <c r="B167" s="98" t="s">
        <v>9</v>
      </c>
      <c r="C167" s="81">
        <v>1</v>
      </c>
      <c r="D167" s="99">
        <f>E166</f>
        <v>3373.2777777777774</v>
      </c>
      <c r="E167" s="114">
        <f>C167*D167</f>
        <v>3373.2777777777774</v>
      </c>
    </row>
    <row r="168" spans="1:10" ht="13.5" thickBot="1" x14ac:dyDescent="0.25">
      <c r="A168" s="254"/>
      <c r="B168" s="254"/>
      <c r="C168" s="254"/>
      <c r="D168" s="117" t="s">
        <v>202</v>
      </c>
      <c r="E168" s="49">
        <f>$B$42</f>
        <v>1</v>
      </c>
      <c r="F168" s="21">
        <f>E167*E168</f>
        <v>3373.2777777777774</v>
      </c>
    </row>
    <row r="169" spans="1:10" ht="11.25" customHeight="1" x14ac:dyDescent="0.2"/>
    <row r="170" spans="1:10" ht="13.5" thickBot="1" x14ac:dyDescent="0.25">
      <c r="A170" s="101" t="s">
        <v>119</v>
      </c>
    </row>
    <row r="171" spans="1:10" ht="13.5" thickBot="1" x14ac:dyDescent="0.25">
      <c r="A171" s="103" t="s">
        <v>63</v>
      </c>
      <c r="B171" s="104" t="s">
        <v>64</v>
      </c>
      <c r="C171" s="104" t="s">
        <v>39</v>
      </c>
      <c r="D171" s="59" t="s">
        <v>239</v>
      </c>
      <c r="E171" s="105" t="s">
        <v>65</v>
      </c>
      <c r="F171" s="60" t="s">
        <v>66</v>
      </c>
      <c r="I171" s="80"/>
      <c r="J171" s="80"/>
    </row>
    <row r="172" spans="1:10" x14ac:dyDescent="0.2">
      <c r="A172" s="16" t="s">
        <v>117</v>
      </c>
      <c r="B172" s="17" t="s">
        <v>9</v>
      </c>
      <c r="C172" s="14">
        <v>1</v>
      </c>
      <c r="D172" s="18">
        <f>D156</f>
        <v>550000</v>
      </c>
      <c r="E172" s="18">
        <f>C172*D172</f>
        <v>550000</v>
      </c>
      <c r="F172" s="20"/>
      <c r="I172" s="80"/>
      <c r="J172" s="80"/>
    </row>
    <row r="173" spans="1:10" x14ac:dyDescent="0.2">
      <c r="A173" s="16" t="s">
        <v>217</v>
      </c>
      <c r="B173" s="17" t="s">
        <v>1</v>
      </c>
      <c r="C173" s="81">
        <v>15</v>
      </c>
      <c r="D173" s="18"/>
      <c r="E173" s="18"/>
      <c r="F173" s="20"/>
      <c r="I173" s="80"/>
      <c r="J173" s="80"/>
    </row>
    <row r="174" spans="1:10" x14ac:dyDescent="0.2">
      <c r="A174" s="16" t="s">
        <v>215</v>
      </c>
      <c r="B174" s="17" t="s">
        <v>34</v>
      </c>
      <c r="C174" s="138">
        <f>IFERROR(IF(C158&lt;=C157,E156-(C159/(100*C157)*C158)*E156,E156-E159),0)</f>
        <v>550000</v>
      </c>
      <c r="D174" s="18"/>
      <c r="E174" s="18"/>
      <c r="F174" s="20"/>
      <c r="I174" s="80"/>
      <c r="J174" s="80"/>
    </row>
    <row r="175" spans="1:10" x14ac:dyDescent="0.2">
      <c r="A175" s="16" t="s">
        <v>122</v>
      </c>
      <c r="B175" s="17" t="s">
        <v>34</v>
      </c>
      <c r="C175" s="78">
        <f>IFERROR(IF(C158&gt;=C157,C174,((((C174)-(E156-E159))*(((C157-C158)+1)/(2*(C157-C158))))+(E156-E159))),0)</f>
        <v>368459.66666666663</v>
      </c>
      <c r="D175" s="18"/>
      <c r="E175" s="18"/>
      <c r="F175" s="20"/>
      <c r="I175" s="80"/>
      <c r="J175" s="80"/>
    </row>
    <row r="176" spans="1:10" ht="13.5" thickBot="1" x14ac:dyDescent="0.25">
      <c r="A176" s="256" t="s">
        <v>123</v>
      </c>
      <c r="B176" s="257" t="s">
        <v>34</v>
      </c>
      <c r="C176" s="257"/>
      <c r="D176" s="259">
        <f>C173*C175/12/100</f>
        <v>4605.7458333333325</v>
      </c>
      <c r="E176" s="258">
        <f>D176</f>
        <v>4605.7458333333325</v>
      </c>
      <c r="F176" s="20"/>
      <c r="I176" s="80"/>
      <c r="J176" s="80"/>
    </row>
    <row r="177" spans="1:10" ht="13.5" thickTop="1" x14ac:dyDescent="0.2">
      <c r="A177" s="13" t="s">
        <v>118</v>
      </c>
      <c r="B177" s="14" t="s">
        <v>9</v>
      </c>
      <c r="C177" s="14">
        <f>C161</f>
        <v>1</v>
      </c>
      <c r="D177" s="15">
        <f>D161</f>
        <v>150000</v>
      </c>
      <c r="E177" s="15">
        <f>C177*D177</f>
        <v>150000</v>
      </c>
      <c r="F177" s="20"/>
      <c r="I177" s="80"/>
      <c r="J177" s="80"/>
    </row>
    <row r="178" spans="1:10" x14ac:dyDescent="0.2">
      <c r="A178" s="16" t="s">
        <v>217</v>
      </c>
      <c r="B178" s="17" t="s">
        <v>1</v>
      </c>
      <c r="C178" s="17">
        <f>C173</f>
        <v>15</v>
      </c>
      <c r="D178" s="18"/>
      <c r="E178" s="18"/>
      <c r="F178" s="20"/>
      <c r="I178" s="80"/>
      <c r="J178" s="80"/>
    </row>
    <row r="179" spans="1:10" x14ac:dyDescent="0.2">
      <c r="A179" s="16" t="s">
        <v>216</v>
      </c>
      <c r="B179" s="17" t="s">
        <v>34</v>
      </c>
      <c r="C179" s="138">
        <f>IFERROR(IF(C163&lt;=C162,E161-(C164/(100*C162)*C163)*E161,E161-E164),0)</f>
        <v>150000</v>
      </c>
      <c r="D179" s="18"/>
      <c r="E179" s="18"/>
      <c r="F179" s="20"/>
      <c r="I179" s="80"/>
      <c r="J179" s="80"/>
    </row>
    <row r="180" spans="1:10" x14ac:dyDescent="0.2">
      <c r="A180" s="16" t="s">
        <v>124</v>
      </c>
      <c r="B180" s="17" t="s">
        <v>34</v>
      </c>
      <c r="C180" s="78">
        <f>IFERROR(IF(C163&gt;=C162,C179,((((C179)-(E161-E164))*(((C162-C163)+1)/(2*(C162-C163))))+(E161-E164))),0)</f>
        <v>113637.5</v>
      </c>
      <c r="D180" s="18"/>
      <c r="E180" s="18"/>
      <c r="F180" s="20"/>
      <c r="I180" s="80"/>
      <c r="J180" s="80"/>
    </row>
    <row r="181" spans="1:10" x14ac:dyDescent="0.2">
      <c r="A181" s="97" t="s">
        <v>121</v>
      </c>
      <c r="B181" s="98" t="s">
        <v>34</v>
      </c>
      <c r="C181" s="98"/>
      <c r="D181" s="107">
        <f>C178*C180/12/100</f>
        <v>1420.46875</v>
      </c>
      <c r="E181" s="99">
        <f>D181</f>
        <v>1420.46875</v>
      </c>
      <c r="F181" s="20"/>
      <c r="I181" s="80"/>
      <c r="J181" s="80"/>
    </row>
    <row r="182" spans="1:10" x14ac:dyDescent="0.2">
      <c r="A182" s="111" t="s">
        <v>255</v>
      </c>
      <c r="B182" s="112"/>
      <c r="C182" s="112"/>
      <c r="D182" s="113"/>
      <c r="E182" s="114">
        <f>E176+E181</f>
        <v>6026.2145833333325</v>
      </c>
      <c r="F182" s="20"/>
      <c r="I182" s="80"/>
      <c r="J182" s="80"/>
    </row>
    <row r="183" spans="1:10" ht="13.5" thickBot="1" x14ac:dyDescent="0.25">
      <c r="A183" s="97" t="s">
        <v>256</v>
      </c>
      <c r="B183" s="98" t="s">
        <v>9</v>
      </c>
      <c r="C183" s="17">
        <f>C167</f>
        <v>1</v>
      </c>
      <c r="D183" s="99">
        <f>E182</f>
        <v>6026.2145833333325</v>
      </c>
      <c r="E183" s="114">
        <f>C183*D183</f>
        <v>6026.2145833333325</v>
      </c>
      <c r="F183" s="20"/>
      <c r="I183" s="80"/>
      <c r="J183" s="80"/>
    </row>
    <row r="184" spans="1:10" ht="13.5" thickBot="1" x14ac:dyDescent="0.25">
      <c r="C184" s="19"/>
      <c r="D184" s="117" t="s">
        <v>202</v>
      </c>
      <c r="E184" s="49">
        <f>$B$42</f>
        <v>1</v>
      </c>
      <c r="F184" s="21">
        <f>E183*E184</f>
        <v>6026.2145833333325</v>
      </c>
      <c r="I184" s="80"/>
      <c r="J184" s="80"/>
    </row>
    <row r="185" spans="1:10" ht="11.25" customHeight="1" x14ac:dyDescent="0.2">
      <c r="I185" s="80"/>
      <c r="J185" s="80"/>
    </row>
    <row r="186" spans="1:10" ht="13.5" thickBot="1" x14ac:dyDescent="0.25">
      <c r="A186" s="9" t="s">
        <v>50</v>
      </c>
      <c r="I186" s="80"/>
      <c r="J186" s="80"/>
    </row>
    <row r="187" spans="1:10" ht="13.5" thickBot="1" x14ac:dyDescent="0.25">
      <c r="A187" s="57" t="s">
        <v>63</v>
      </c>
      <c r="B187" s="58" t="s">
        <v>64</v>
      </c>
      <c r="C187" s="58" t="s">
        <v>39</v>
      </c>
      <c r="D187" s="59" t="s">
        <v>239</v>
      </c>
      <c r="E187" s="59" t="s">
        <v>65</v>
      </c>
      <c r="F187" s="60" t="s">
        <v>66</v>
      </c>
      <c r="I187" s="80"/>
      <c r="J187" s="80"/>
    </row>
    <row r="188" spans="1:10" x14ac:dyDescent="0.2">
      <c r="A188" s="13" t="s">
        <v>11</v>
      </c>
      <c r="B188" s="14" t="s">
        <v>9</v>
      </c>
      <c r="C188" s="15">
        <f>C167</f>
        <v>1</v>
      </c>
      <c r="D188" s="15">
        <f>0.01*($E$156)</f>
        <v>5500</v>
      </c>
      <c r="E188" s="15">
        <f>C188*D188</f>
        <v>5500</v>
      </c>
      <c r="I188" s="80"/>
      <c r="J188" s="80"/>
    </row>
    <row r="189" spans="1:10" x14ac:dyDescent="0.2">
      <c r="A189" s="16" t="s">
        <v>201</v>
      </c>
      <c r="B189" s="17" t="s">
        <v>9</v>
      </c>
      <c r="C189" s="15">
        <f>C167</f>
        <v>1</v>
      </c>
      <c r="D189" s="84">
        <v>114.19</v>
      </c>
      <c r="E189" s="18">
        <f>C189*D189</f>
        <v>114.19</v>
      </c>
      <c r="I189" s="80"/>
      <c r="J189" s="80"/>
    </row>
    <row r="190" spans="1:10" x14ac:dyDescent="0.2">
      <c r="A190" s="16" t="s">
        <v>12</v>
      </c>
      <c r="B190" s="17" t="s">
        <v>9</v>
      </c>
      <c r="C190" s="15">
        <f>C167</f>
        <v>1</v>
      </c>
      <c r="D190" s="84">
        <v>14000</v>
      </c>
      <c r="E190" s="18">
        <f>C190*D190</f>
        <v>14000</v>
      </c>
      <c r="F190" s="31"/>
      <c r="I190" s="80"/>
      <c r="J190" s="80"/>
    </row>
    <row r="191" spans="1:10" ht="13.5" thickBot="1" x14ac:dyDescent="0.25">
      <c r="A191" s="97" t="s">
        <v>13</v>
      </c>
      <c r="B191" s="98" t="s">
        <v>7</v>
      </c>
      <c r="C191" s="98">
        <v>12</v>
      </c>
      <c r="D191" s="99">
        <f>SUM(E188:E190)</f>
        <v>19614.189999999999</v>
      </c>
      <c r="E191" s="99">
        <f>D191/C191</f>
        <v>1634.5158333333331</v>
      </c>
      <c r="I191" s="80"/>
      <c r="J191" s="80"/>
    </row>
    <row r="192" spans="1:10" ht="13.5" thickBot="1" x14ac:dyDescent="0.25">
      <c r="D192" s="117" t="s">
        <v>202</v>
      </c>
      <c r="E192" s="49">
        <f>$B$42</f>
        <v>1</v>
      </c>
      <c r="F192" s="118">
        <f>E191*E192</f>
        <v>1634.5158333333331</v>
      </c>
      <c r="I192" s="80"/>
      <c r="J192" s="80"/>
    </row>
    <row r="193" spans="1:10" ht="11.25" customHeight="1" x14ac:dyDescent="0.2">
      <c r="I193" s="80"/>
      <c r="J193" s="80"/>
    </row>
    <row r="194" spans="1:10" x14ac:dyDescent="0.2">
      <c r="A194" s="9" t="s">
        <v>51</v>
      </c>
      <c r="B194" s="32"/>
      <c r="I194" s="80"/>
      <c r="J194" s="80"/>
    </row>
    <row r="195" spans="1:10" x14ac:dyDescent="0.2">
      <c r="B195" s="32"/>
      <c r="I195" s="80"/>
      <c r="J195" s="80"/>
    </row>
    <row r="196" spans="1:10" x14ac:dyDescent="0.2">
      <c r="A196" s="97" t="s">
        <v>126</v>
      </c>
      <c r="B196" s="108">
        <v>2050.44</v>
      </c>
      <c r="I196" s="80"/>
      <c r="J196" s="80"/>
    </row>
    <row r="197" spans="1:10" ht="13.5" thickBot="1" x14ac:dyDescent="0.25">
      <c r="B197" s="32"/>
      <c r="I197" s="80"/>
      <c r="J197" s="80"/>
    </row>
    <row r="198" spans="1:10" ht="13.5" thickBot="1" x14ac:dyDescent="0.25">
      <c r="A198" s="57" t="s">
        <v>63</v>
      </c>
      <c r="B198" s="58" t="s">
        <v>64</v>
      </c>
      <c r="C198" s="58" t="s">
        <v>254</v>
      </c>
      <c r="D198" s="59" t="s">
        <v>239</v>
      </c>
      <c r="E198" s="59" t="s">
        <v>65</v>
      </c>
      <c r="F198" s="60" t="s">
        <v>66</v>
      </c>
      <c r="I198" s="80"/>
      <c r="J198" s="80"/>
    </row>
    <row r="199" spans="1:10" x14ac:dyDescent="0.2">
      <c r="A199" s="13" t="s">
        <v>14</v>
      </c>
      <c r="B199" s="14" t="s">
        <v>15</v>
      </c>
      <c r="C199" s="91">
        <v>1.6</v>
      </c>
      <c r="D199" s="92">
        <v>6.1</v>
      </c>
      <c r="E199" s="15"/>
      <c r="I199" s="80"/>
      <c r="J199" s="80"/>
    </row>
    <row r="200" spans="1:10" x14ac:dyDescent="0.2">
      <c r="A200" s="16" t="s">
        <v>16</v>
      </c>
      <c r="B200" s="17" t="s">
        <v>17</v>
      </c>
      <c r="C200" s="89">
        <f>B196</f>
        <v>2050.44</v>
      </c>
      <c r="D200" s="253">
        <f>IFERROR(+D199/C199,"-")</f>
        <v>3.8124999999999996</v>
      </c>
      <c r="E200" s="18">
        <f>IFERROR(C200*D200,"-")</f>
        <v>7817.3024999999989</v>
      </c>
      <c r="I200" s="80"/>
      <c r="J200" s="80"/>
    </row>
    <row r="201" spans="1:10" x14ac:dyDescent="0.2">
      <c r="A201" s="16" t="s">
        <v>240</v>
      </c>
      <c r="B201" s="17" t="s">
        <v>18</v>
      </c>
      <c r="C201" s="94">
        <v>1</v>
      </c>
      <c r="D201" s="84">
        <v>29</v>
      </c>
      <c r="E201" s="18"/>
      <c r="G201" s="106"/>
      <c r="I201" s="80"/>
      <c r="J201" s="80"/>
    </row>
    <row r="202" spans="1:10" x14ac:dyDescent="0.2">
      <c r="A202" s="16" t="s">
        <v>19</v>
      </c>
      <c r="B202" s="17" t="s">
        <v>17</v>
      </c>
      <c r="C202" s="89">
        <f>C200</f>
        <v>2050.44</v>
      </c>
      <c r="D202" s="250">
        <f>+C201*D201/1000</f>
        <v>2.9000000000000001E-2</v>
      </c>
      <c r="E202" s="18">
        <f>C202*D202</f>
        <v>59.462760000000003</v>
      </c>
      <c r="G202" s="106"/>
      <c r="I202" s="80"/>
      <c r="J202" s="80"/>
    </row>
    <row r="203" spans="1:10" x14ac:dyDescent="0.2">
      <c r="A203" s="16" t="s">
        <v>241</v>
      </c>
      <c r="B203" s="17" t="s">
        <v>18</v>
      </c>
      <c r="C203" s="94">
        <v>1</v>
      </c>
      <c r="D203" s="84">
        <v>19.600000000000001</v>
      </c>
      <c r="E203" s="18"/>
      <c r="G203" s="106"/>
      <c r="I203" s="80"/>
      <c r="J203" s="80"/>
    </row>
    <row r="204" spans="1:10" x14ac:dyDescent="0.2">
      <c r="A204" s="16" t="s">
        <v>20</v>
      </c>
      <c r="B204" s="17" t="s">
        <v>17</v>
      </c>
      <c r="C204" s="89">
        <f>C200</f>
        <v>2050.44</v>
      </c>
      <c r="D204" s="250">
        <f>+C203*D203/1000</f>
        <v>1.9600000000000003E-2</v>
      </c>
      <c r="E204" s="18">
        <f>C204*D204</f>
        <v>40.188624000000004</v>
      </c>
      <c r="G204" s="106"/>
      <c r="I204" s="80"/>
      <c r="J204" s="80"/>
    </row>
    <row r="205" spans="1:10" x14ac:dyDescent="0.2">
      <c r="A205" s="16" t="s">
        <v>242</v>
      </c>
      <c r="B205" s="17" t="s">
        <v>18</v>
      </c>
      <c r="C205" s="94">
        <v>1</v>
      </c>
      <c r="D205" s="84">
        <v>32</v>
      </c>
      <c r="E205" s="18"/>
      <c r="G205" s="106"/>
      <c r="I205" s="80"/>
      <c r="J205" s="80"/>
    </row>
    <row r="206" spans="1:10" x14ac:dyDescent="0.2">
      <c r="A206" s="16" t="s">
        <v>21</v>
      </c>
      <c r="B206" s="17" t="s">
        <v>17</v>
      </c>
      <c r="C206" s="89">
        <f>C200</f>
        <v>2050.44</v>
      </c>
      <c r="D206" s="250">
        <f>+C205*D205/1000</f>
        <v>3.2000000000000001E-2</v>
      </c>
      <c r="E206" s="18">
        <f>C206*D206</f>
        <v>65.614080000000001</v>
      </c>
      <c r="G206" s="106"/>
      <c r="I206" s="80"/>
      <c r="J206" s="80"/>
    </row>
    <row r="207" spans="1:10" x14ac:dyDescent="0.2">
      <c r="A207" s="16" t="s">
        <v>22</v>
      </c>
      <c r="B207" s="17" t="s">
        <v>23</v>
      </c>
      <c r="C207" s="94">
        <v>2</v>
      </c>
      <c r="D207" s="84">
        <v>16.2</v>
      </c>
      <c r="E207" s="18"/>
      <c r="G207" s="106"/>
      <c r="I207" s="80"/>
      <c r="J207" s="80"/>
    </row>
    <row r="208" spans="1:10" x14ac:dyDescent="0.2">
      <c r="A208" s="16" t="s">
        <v>24</v>
      </c>
      <c r="B208" s="17" t="s">
        <v>17</v>
      </c>
      <c r="C208" s="89">
        <f>C200</f>
        <v>2050.44</v>
      </c>
      <c r="D208" s="250">
        <f>+C207*D207/1000</f>
        <v>3.2399999999999998E-2</v>
      </c>
      <c r="E208" s="18">
        <f>C208*D208</f>
        <v>66.434256000000005</v>
      </c>
      <c r="G208" s="106"/>
      <c r="I208" s="80"/>
      <c r="J208" s="80"/>
    </row>
    <row r="209" spans="1:10" ht="13.5" thickBot="1" x14ac:dyDescent="0.25">
      <c r="A209" s="97" t="s">
        <v>253</v>
      </c>
      <c r="B209" s="98" t="s">
        <v>127</v>
      </c>
      <c r="C209" s="251"/>
      <c r="D209" s="252">
        <f>IFERROR(D200+D202+D204+D206+D208,0)</f>
        <v>3.9254999999999995</v>
      </c>
      <c r="E209" s="18"/>
      <c r="G209" s="106"/>
      <c r="I209" s="80"/>
      <c r="J209" s="80"/>
    </row>
    <row r="210" spans="1:10" ht="13.5" thickBot="1" x14ac:dyDescent="0.25">
      <c r="F210" s="21">
        <f>SUM(E199:E208)</f>
        <v>8049.0022200000003</v>
      </c>
      <c r="I210" s="80"/>
      <c r="J210" s="80"/>
    </row>
    <row r="211" spans="1:10" ht="11.25" customHeight="1" x14ac:dyDescent="0.2">
      <c r="I211" s="80"/>
      <c r="J211" s="80"/>
    </row>
    <row r="212" spans="1:10" ht="13.5" thickBot="1" x14ac:dyDescent="0.25">
      <c r="A212" s="9" t="s">
        <v>52</v>
      </c>
      <c r="I212" s="80"/>
      <c r="J212" s="80"/>
    </row>
    <row r="213" spans="1:10" ht="13.5" thickBot="1" x14ac:dyDescent="0.25">
      <c r="A213" s="57" t="s">
        <v>63</v>
      </c>
      <c r="B213" s="58" t="s">
        <v>64</v>
      </c>
      <c r="C213" s="58" t="s">
        <v>39</v>
      </c>
      <c r="D213" s="59" t="s">
        <v>239</v>
      </c>
      <c r="E213" s="59" t="s">
        <v>65</v>
      </c>
      <c r="F213" s="60" t="s">
        <v>66</v>
      </c>
      <c r="I213" s="80"/>
      <c r="J213" s="80"/>
    </row>
    <row r="214" spans="1:10" ht="13.5" thickBot="1" x14ac:dyDescent="0.25">
      <c r="A214" s="13" t="s">
        <v>125</v>
      </c>
      <c r="B214" s="14" t="s">
        <v>127</v>
      </c>
      <c r="C214" s="89">
        <f>C200</f>
        <v>2050.44</v>
      </c>
      <c r="D214" s="82">
        <v>1</v>
      </c>
      <c r="E214" s="15">
        <f>C214*D214</f>
        <v>2050.44</v>
      </c>
      <c r="I214" s="80"/>
      <c r="J214" s="80"/>
    </row>
    <row r="215" spans="1:10" ht="13.5" thickBot="1" x14ac:dyDescent="0.25">
      <c r="F215" s="21">
        <f>E214</f>
        <v>2050.44</v>
      </c>
      <c r="I215" s="80"/>
      <c r="J215" s="80"/>
    </row>
    <row r="216" spans="1:10" ht="11.25" customHeight="1" x14ac:dyDescent="0.2">
      <c r="I216" s="80"/>
      <c r="J216" s="80"/>
    </row>
    <row r="217" spans="1:10" ht="13.5" thickBot="1" x14ac:dyDescent="0.25">
      <c r="A217" s="9" t="s">
        <v>61</v>
      </c>
      <c r="I217" s="80"/>
      <c r="J217" s="80"/>
    </row>
    <row r="218" spans="1:10" ht="13.5" thickBot="1" x14ac:dyDescent="0.25">
      <c r="A218" s="57" t="s">
        <v>63</v>
      </c>
      <c r="B218" s="58" t="s">
        <v>64</v>
      </c>
      <c r="C218" s="58" t="s">
        <v>39</v>
      </c>
      <c r="D218" s="59" t="s">
        <v>239</v>
      </c>
      <c r="E218" s="59" t="s">
        <v>65</v>
      </c>
      <c r="F218" s="60" t="s">
        <v>66</v>
      </c>
      <c r="I218" s="80"/>
      <c r="J218" s="80"/>
    </row>
    <row r="219" spans="1:10" x14ac:dyDescent="0.2">
      <c r="A219" s="13" t="s">
        <v>98</v>
      </c>
      <c r="B219" s="14" t="s">
        <v>9</v>
      </c>
      <c r="C219" s="90">
        <v>10</v>
      </c>
      <c r="D219" s="82">
        <v>4000</v>
      </c>
      <c r="E219" s="15">
        <f>C219*D219</f>
        <v>40000</v>
      </c>
      <c r="I219" s="80"/>
      <c r="J219" s="80"/>
    </row>
    <row r="220" spans="1:10" x14ac:dyDescent="0.2">
      <c r="A220" s="13" t="s">
        <v>128</v>
      </c>
      <c r="B220" s="14" t="s">
        <v>9</v>
      </c>
      <c r="C220" s="90">
        <v>2</v>
      </c>
      <c r="D220" s="100"/>
      <c r="E220" s="15"/>
      <c r="I220" s="80"/>
      <c r="J220" s="80"/>
    </row>
    <row r="221" spans="1:10" x14ac:dyDescent="0.2">
      <c r="A221" s="13" t="s">
        <v>71</v>
      </c>
      <c r="B221" s="14" t="s">
        <v>9</v>
      </c>
      <c r="C221" s="15">
        <f>C219*C220</f>
        <v>20</v>
      </c>
      <c r="D221" s="82">
        <v>500</v>
      </c>
      <c r="E221" s="15">
        <f>C221*D221</f>
        <v>10000</v>
      </c>
      <c r="I221" s="80"/>
      <c r="J221" s="80"/>
    </row>
    <row r="222" spans="1:10" x14ac:dyDescent="0.2">
      <c r="A222" s="16" t="s">
        <v>99</v>
      </c>
      <c r="B222" s="17" t="s">
        <v>25</v>
      </c>
      <c r="C222" s="93">
        <v>50000</v>
      </c>
      <c r="D222" s="18">
        <f>E219+E221</f>
        <v>50000</v>
      </c>
      <c r="E222" s="18">
        <f>IFERROR(D222/C222,"-")</f>
        <v>1</v>
      </c>
      <c r="I222" s="80"/>
      <c r="J222" s="80"/>
    </row>
    <row r="223" spans="1:10" ht="13.5" thickBot="1" x14ac:dyDescent="0.25">
      <c r="A223" s="16" t="s">
        <v>54</v>
      </c>
      <c r="B223" s="17" t="s">
        <v>17</v>
      </c>
      <c r="C223" s="89">
        <f>B196</f>
        <v>2050.44</v>
      </c>
      <c r="D223" s="18">
        <f>E222</f>
        <v>1</v>
      </c>
      <c r="E223" s="18">
        <f>IFERROR(C223*D223,0)</f>
        <v>2050.44</v>
      </c>
      <c r="I223" s="80"/>
      <c r="J223" s="80"/>
    </row>
    <row r="224" spans="1:10" ht="13.5" thickBot="1" x14ac:dyDescent="0.25">
      <c r="F224" s="21">
        <f>E223</f>
        <v>2050.44</v>
      </c>
      <c r="I224" s="80"/>
      <c r="J224" s="80"/>
    </row>
    <row r="225" spans="1:10" ht="11.25" customHeight="1" x14ac:dyDescent="0.2">
      <c r="I225" s="80"/>
      <c r="J225" s="80"/>
    </row>
    <row r="226" spans="1:10" ht="11.25" customHeight="1" thickBot="1" x14ac:dyDescent="0.25">
      <c r="G226" s="9"/>
    </row>
    <row r="227" spans="1:10" ht="13.5" thickBot="1" x14ac:dyDescent="0.25">
      <c r="A227" s="24" t="s">
        <v>227</v>
      </c>
      <c r="B227" s="25"/>
      <c r="C227" s="25"/>
      <c r="D227" s="26"/>
      <c r="E227" s="27"/>
      <c r="F227" s="21">
        <f>+SUM(F156:F226)</f>
        <v>23183.890414444439</v>
      </c>
      <c r="G227" s="9"/>
    </row>
    <row r="228" spans="1:10" ht="11.25" customHeight="1" x14ac:dyDescent="0.2">
      <c r="G228" s="9"/>
    </row>
    <row r="229" spans="1:10" x14ac:dyDescent="0.2">
      <c r="A229" s="11" t="s">
        <v>75</v>
      </c>
      <c r="B229" s="11"/>
      <c r="C229" s="11"/>
      <c r="D229" s="34"/>
      <c r="E229" s="34"/>
      <c r="F229" s="33"/>
      <c r="G229" s="9"/>
    </row>
    <row r="230" spans="1:10" ht="11.25" customHeight="1" thickBot="1" x14ac:dyDescent="0.25">
      <c r="G230" s="9"/>
    </row>
    <row r="231" spans="1:10" ht="13.5" thickBot="1" x14ac:dyDescent="0.25">
      <c r="A231" s="57" t="s">
        <v>63</v>
      </c>
      <c r="B231" s="58" t="s">
        <v>64</v>
      </c>
      <c r="C231" s="58" t="s">
        <v>39</v>
      </c>
      <c r="D231" s="59" t="s">
        <v>239</v>
      </c>
      <c r="E231" s="59" t="s">
        <v>65</v>
      </c>
      <c r="F231" s="60" t="s">
        <v>66</v>
      </c>
      <c r="G231" s="9"/>
    </row>
    <row r="232" spans="1:10" x14ac:dyDescent="0.2">
      <c r="A232" s="16" t="s">
        <v>72</v>
      </c>
      <c r="B232" s="17" t="s">
        <v>9</v>
      </c>
      <c r="C232" s="95">
        <v>1</v>
      </c>
      <c r="D232" s="82">
        <v>100</v>
      </c>
      <c r="E232" s="18">
        <f>C232*D232</f>
        <v>100</v>
      </c>
      <c r="F232" s="52"/>
      <c r="G232" s="9"/>
    </row>
    <row r="233" spans="1:10" x14ac:dyDescent="0.2">
      <c r="A233" s="16" t="s">
        <v>27</v>
      </c>
      <c r="B233" s="17" t="s">
        <v>9</v>
      </c>
      <c r="C233" s="95">
        <v>0.25</v>
      </c>
      <c r="D233" s="82">
        <v>70</v>
      </c>
      <c r="E233" s="18">
        <f>C233*D233</f>
        <v>17.5</v>
      </c>
      <c r="F233" s="52"/>
      <c r="G233" s="9"/>
    </row>
    <row r="234" spans="1:10" x14ac:dyDescent="0.2">
      <c r="A234" s="16" t="s">
        <v>28</v>
      </c>
      <c r="B234" s="17" t="s">
        <v>9</v>
      </c>
      <c r="C234" s="95">
        <v>0.25</v>
      </c>
      <c r="D234" s="82">
        <v>40</v>
      </c>
      <c r="E234" s="18">
        <f>C234*D234</f>
        <v>10</v>
      </c>
      <c r="F234" s="52"/>
      <c r="G234" s="9"/>
    </row>
    <row r="235" spans="1:10" x14ac:dyDescent="0.2">
      <c r="A235" s="16" t="s">
        <v>56</v>
      </c>
      <c r="B235" s="17" t="s">
        <v>57</v>
      </c>
      <c r="C235" s="95">
        <v>0.08</v>
      </c>
      <c r="D235" s="82">
        <v>100</v>
      </c>
      <c r="E235" s="18">
        <f>C235*D235</f>
        <v>8</v>
      </c>
      <c r="F235" s="52"/>
      <c r="G235" s="9"/>
    </row>
    <row r="236" spans="1:10" ht="13.5" thickBot="1" x14ac:dyDescent="0.25">
      <c r="A236" s="16" t="s">
        <v>59</v>
      </c>
      <c r="B236" s="17" t="s">
        <v>57</v>
      </c>
      <c r="C236" s="95">
        <v>0.08</v>
      </c>
      <c r="D236" s="82">
        <v>100</v>
      </c>
      <c r="E236" s="18">
        <f>C236*D236</f>
        <v>8</v>
      </c>
      <c r="F236" s="52"/>
      <c r="G236" s="9"/>
    </row>
    <row r="237" spans="1:10" ht="13.5" thickBot="1" x14ac:dyDescent="0.25">
      <c r="A237" s="11"/>
      <c r="B237" s="11"/>
      <c r="C237" s="11"/>
      <c r="D237" s="11"/>
      <c r="E237" s="34"/>
      <c r="F237" s="21">
        <f>SUM(E232:E236)</f>
        <v>143.5</v>
      </c>
      <c r="G237" s="9"/>
    </row>
    <row r="238" spans="1:10" ht="11.25" customHeight="1" thickBot="1" x14ac:dyDescent="0.25">
      <c r="G238" s="9"/>
    </row>
    <row r="239" spans="1:10" ht="13.5" thickBot="1" x14ac:dyDescent="0.25">
      <c r="A239" s="24" t="s">
        <v>228</v>
      </c>
      <c r="B239" s="25"/>
      <c r="C239" s="25"/>
      <c r="D239" s="26"/>
      <c r="E239" s="27"/>
      <c r="F239" s="21">
        <f>+F237</f>
        <v>143.5</v>
      </c>
      <c r="G239" s="9"/>
    </row>
    <row r="240" spans="1:10" ht="11.25" customHeight="1" x14ac:dyDescent="0.2">
      <c r="G240" s="9"/>
    </row>
    <row r="241" spans="1:7" x14ac:dyDescent="0.2">
      <c r="A241" s="11" t="s">
        <v>76</v>
      </c>
      <c r="B241" s="11"/>
      <c r="C241" s="11"/>
      <c r="D241" s="34"/>
      <c r="E241" s="34"/>
      <c r="F241" s="33"/>
    </row>
    <row r="242" spans="1:7" ht="11.25" customHeight="1" thickBot="1" x14ac:dyDescent="0.25"/>
    <row r="243" spans="1:7" ht="13.5" thickBot="1" x14ac:dyDescent="0.25">
      <c r="A243" s="57" t="s">
        <v>63</v>
      </c>
      <c r="B243" s="58" t="s">
        <v>64</v>
      </c>
      <c r="C243" s="58" t="s">
        <v>39</v>
      </c>
      <c r="D243" s="59" t="s">
        <v>239</v>
      </c>
      <c r="E243" s="59" t="s">
        <v>65</v>
      </c>
      <c r="F243" s="60" t="s">
        <v>66</v>
      </c>
    </row>
    <row r="244" spans="1:7" x14ac:dyDescent="0.2">
      <c r="A244" s="16" t="s">
        <v>225</v>
      </c>
      <c r="B244" s="51" t="s">
        <v>57</v>
      </c>
      <c r="C244" s="66">
        <f>C156</f>
        <v>1</v>
      </c>
      <c r="D244" s="84">
        <v>300</v>
      </c>
      <c r="E244" s="18">
        <f>+D244*C244</f>
        <v>300</v>
      </c>
      <c r="F244" s="52"/>
    </row>
    <row r="245" spans="1:7" x14ac:dyDescent="0.2">
      <c r="A245" s="16" t="s">
        <v>60</v>
      </c>
      <c r="B245" s="51" t="s">
        <v>7</v>
      </c>
      <c r="C245" s="17">
        <v>12</v>
      </c>
      <c r="D245" s="77">
        <f>SUM(E244:E244)</f>
        <v>300</v>
      </c>
      <c r="E245" s="77">
        <f>+D245/C245</f>
        <v>25</v>
      </c>
      <c r="F245" s="52"/>
    </row>
    <row r="246" spans="1:7" x14ac:dyDescent="0.2">
      <c r="A246" s="16" t="s">
        <v>226</v>
      </c>
      <c r="B246" s="17" t="s">
        <v>9</v>
      </c>
      <c r="C246" s="66">
        <f>+C244</f>
        <v>1</v>
      </c>
      <c r="D246" s="84">
        <v>60</v>
      </c>
      <c r="E246" s="18">
        <f>C246*D246</f>
        <v>60</v>
      </c>
      <c r="F246" s="52"/>
    </row>
    <row r="247" spans="1:7" ht="13.5" thickBot="1" x14ac:dyDescent="0.25">
      <c r="A247" s="16" t="s">
        <v>36</v>
      </c>
      <c r="B247" s="51" t="s">
        <v>7</v>
      </c>
      <c r="C247" s="17">
        <v>1</v>
      </c>
      <c r="D247" s="77">
        <f>+E246</f>
        <v>60</v>
      </c>
      <c r="E247" s="77">
        <f>+D247/C247</f>
        <v>60</v>
      </c>
      <c r="F247" s="52"/>
    </row>
    <row r="248" spans="1:7" ht="13.5" thickBot="1" x14ac:dyDescent="0.25">
      <c r="A248" s="12"/>
      <c r="B248" s="12"/>
      <c r="C248" s="12"/>
      <c r="D248" s="117" t="s">
        <v>202</v>
      </c>
      <c r="E248" s="49">
        <f>$B$42</f>
        <v>1</v>
      </c>
      <c r="F248" s="21">
        <f>(E245+E247)*E248</f>
        <v>85</v>
      </c>
    </row>
    <row r="249" spans="1:7" s="50" customFormat="1" ht="11.25" customHeight="1" thickBot="1" x14ac:dyDescent="0.25">
      <c r="A249" s="9"/>
      <c r="B249" s="9"/>
      <c r="C249" s="9"/>
      <c r="D249" s="10"/>
      <c r="E249" s="10"/>
      <c r="F249" s="10"/>
      <c r="G249" s="79"/>
    </row>
    <row r="250" spans="1:7" ht="13.5" thickBot="1" x14ac:dyDescent="0.25">
      <c r="A250" s="24" t="s">
        <v>224</v>
      </c>
      <c r="B250" s="25"/>
      <c r="C250" s="25"/>
      <c r="D250" s="26"/>
      <c r="E250" s="27"/>
      <c r="F250" s="21">
        <f>+F248</f>
        <v>85</v>
      </c>
    </row>
    <row r="251" spans="1:7" ht="11.25" customHeight="1" thickBot="1" x14ac:dyDescent="0.25"/>
    <row r="252" spans="1:7" ht="17.25" customHeight="1" thickBot="1" x14ac:dyDescent="0.25">
      <c r="A252" s="24" t="s">
        <v>229</v>
      </c>
      <c r="B252" s="28"/>
      <c r="C252" s="28"/>
      <c r="D252" s="29"/>
      <c r="E252" s="30"/>
      <c r="F252" s="22">
        <f>+F114+F148+F227+F239+F250</f>
        <v>45668.694692022145</v>
      </c>
    </row>
    <row r="253" spans="1:7" ht="11.25" customHeight="1" x14ac:dyDescent="0.2"/>
    <row r="254" spans="1:7" x14ac:dyDescent="0.2">
      <c r="A254" s="11" t="s">
        <v>91</v>
      </c>
    </row>
    <row r="255" spans="1:7" ht="11.25" customHeight="1" thickBot="1" x14ac:dyDescent="0.25"/>
    <row r="256" spans="1:7" ht="13.5" thickBot="1" x14ac:dyDescent="0.25">
      <c r="A256" s="57" t="s">
        <v>63</v>
      </c>
      <c r="B256" s="58" t="s">
        <v>64</v>
      </c>
      <c r="C256" s="58" t="s">
        <v>39</v>
      </c>
      <c r="D256" s="59" t="s">
        <v>239</v>
      </c>
      <c r="E256" s="59" t="s">
        <v>65</v>
      </c>
      <c r="F256" s="60" t="s">
        <v>66</v>
      </c>
    </row>
    <row r="257" spans="1:7" ht="13.5" thickBot="1" x14ac:dyDescent="0.25">
      <c r="A257" s="13" t="s">
        <v>35</v>
      </c>
      <c r="B257" s="14" t="s">
        <v>1</v>
      </c>
      <c r="C257" s="132">
        <f>'4.BDI'!C14*100</f>
        <v>29.42</v>
      </c>
      <c r="D257" s="15">
        <f>+F252</f>
        <v>45668.694692022145</v>
      </c>
      <c r="E257" s="15">
        <f>C257*D257/100</f>
        <v>13435.729978392916</v>
      </c>
    </row>
    <row r="258" spans="1:7" ht="13.5" thickBot="1" x14ac:dyDescent="0.25">
      <c r="F258" s="21">
        <f>+E257</f>
        <v>13435.729978392916</v>
      </c>
    </row>
    <row r="259" spans="1:7" ht="11.25" customHeight="1" thickBot="1" x14ac:dyDescent="0.25"/>
    <row r="260" spans="1:7" ht="13.5" thickBot="1" x14ac:dyDescent="0.25">
      <c r="A260" s="24" t="s">
        <v>244</v>
      </c>
      <c r="B260" s="28"/>
      <c r="C260" s="28"/>
      <c r="D260" s="29"/>
      <c r="E260" s="30"/>
      <c r="F260" s="22">
        <f>F258</f>
        <v>13435.729978392916</v>
      </c>
    </row>
    <row r="261" spans="1:7" x14ac:dyDescent="0.2">
      <c r="A261" s="11"/>
      <c r="B261" s="11"/>
      <c r="C261" s="11"/>
      <c r="D261" s="34"/>
      <c r="E261" s="34"/>
      <c r="F261" s="33"/>
    </row>
    <row r="262" spans="1:7" ht="11.25" customHeight="1" thickBot="1" x14ac:dyDescent="0.25"/>
    <row r="263" spans="1:7" ht="24.75" customHeight="1" thickBot="1" x14ac:dyDescent="0.25">
      <c r="A263" s="24" t="s">
        <v>230</v>
      </c>
      <c r="B263" s="28"/>
      <c r="C263" s="28"/>
      <c r="D263" s="29"/>
      <c r="E263" s="30"/>
      <c r="F263" s="22">
        <f>F252+F260</f>
        <v>59104.424670415057</v>
      </c>
    </row>
    <row r="264" spans="1:7" ht="12.6" customHeight="1" x14ac:dyDescent="0.2">
      <c r="A264" s="53"/>
      <c r="B264" s="53"/>
      <c r="C264" s="53"/>
      <c r="D264" s="54"/>
      <c r="E264" s="54"/>
      <c r="F264" s="54"/>
    </row>
    <row r="265" spans="1:7" ht="14.25" x14ac:dyDescent="0.2">
      <c r="A265" s="8"/>
      <c r="B265" s="8"/>
      <c r="C265" s="8"/>
      <c r="D265" s="35"/>
      <c r="E265" s="35"/>
    </row>
    <row r="266" spans="1:7" ht="16.149999999999999" customHeight="1" x14ac:dyDescent="0.2">
      <c r="A266" s="231" t="s">
        <v>223</v>
      </c>
      <c r="B266" s="232"/>
      <c r="C266" s="232"/>
      <c r="D266" s="233">
        <v>151.41999999999999</v>
      </c>
      <c r="E266" s="234" t="s">
        <v>26</v>
      </c>
    </row>
    <row r="267" spans="1:7" ht="13.5" thickBot="1" x14ac:dyDescent="0.25"/>
    <row r="268" spans="1:7" ht="25.5" customHeight="1" thickBot="1" x14ac:dyDescent="0.25">
      <c r="A268" s="24" t="s">
        <v>70</v>
      </c>
      <c r="B268" s="25"/>
      <c r="C268" s="25"/>
      <c r="D268" s="26"/>
      <c r="E268" s="235" t="s">
        <v>33</v>
      </c>
      <c r="F268" s="236">
        <f>IFERROR(F263/D266,"-")</f>
        <v>390.33433278572886</v>
      </c>
    </row>
    <row r="269" spans="1:7" ht="12.6" customHeight="1" x14ac:dyDescent="0.2">
      <c r="A269" s="11"/>
      <c r="B269" s="11"/>
      <c r="C269" s="11"/>
      <c r="D269" s="34"/>
      <c r="E269" s="34"/>
      <c r="F269" s="34"/>
    </row>
    <row r="270" spans="1:7" s="4" customFormat="1" ht="9.75" customHeight="1" x14ac:dyDescent="0.2">
      <c r="A270" s="38"/>
      <c r="B270" s="10"/>
      <c r="C270" s="10"/>
      <c r="D270" s="10"/>
      <c r="E270" s="10"/>
      <c r="F270" s="10"/>
      <c r="G270" s="6"/>
    </row>
    <row r="271" spans="1:7" s="4" customFormat="1" ht="9.75" customHeight="1" x14ac:dyDescent="0.2">
      <c r="A271" s="38"/>
      <c r="B271" s="10"/>
      <c r="C271" s="10"/>
      <c r="D271" s="10"/>
      <c r="E271" s="10"/>
      <c r="F271" s="10"/>
      <c r="G271" s="6"/>
    </row>
    <row r="272" spans="1:7" s="4" customFormat="1" ht="9.75" customHeight="1" x14ac:dyDescent="0.2">
      <c r="A272" s="38"/>
      <c r="B272" s="10"/>
      <c r="C272" s="10"/>
      <c r="D272" s="10"/>
      <c r="E272" s="10"/>
      <c r="F272" s="10"/>
      <c r="G272" s="6"/>
    </row>
    <row r="302" s="9" customFormat="1" ht="9" customHeight="1" x14ac:dyDescent="0.2"/>
  </sheetData>
  <protectedRanges>
    <protectedRange sqref="B42" name="Intervalo3_1"/>
  </protectedRanges>
  <mergeCells count="7">
    <mergeCell ref="A38:D38"/>
    <mergeCell ref="A15:C15"/>
    <mergeCell ref="A2:F2"/>
    <mergeCell ref="A3:F3"/>
    <mergeCell ref="A31:D31"/>
    <mergeCell ref="A5:F5"/>
    <mergeCell ref="A30:E30"/>
  </mergeCells>
  <phoneticPr fontId="9" type="noConversion"/>
  <hyperlinks>
    <hyperlink ref="A170" location="AbaRemun" display="3.1.2. Remuneração do Capital" xr:uid="{00000000-0004-0000-0000-000000000000}"/>
    <hyperlink ref="A154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43" max="5" man="1"/>
    <brk id="93" max="5" man="1"/>
    <brk id="149" max="5" man="1"/>
    <brk id="216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4"/>
  <sheetViews>
    <sheetView zoomScaleNormal="100" workbookViewId="0">
      <selection sqref="A1:XFD5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6" ht="13.5" thickBot="1" x14ac:dyDescent="0.25"/>
    <row r="2" spans="1:6" ht="18" x14ac:dyDescent="0.2">
      <c r="A2" s="306" t="s">
        <v>233</v>
      </c>
      <c r="B2" s="307"/>
      <c r="C2" s="308"/>
      <c r="D2" s="139"/>
      <c r="E2" s="139"/>
      <c r="F2" s="139"/>
    </row>
    <row r="3" spans="1:6" ht="14.25" x14ac:dyDescent="0.2">
      <c r="A3" s="155" t="s">
        <v>148</v>
      </c>
      <c r="B3" s="156" t="s">
        <v>149</v>
      </c>
      <c r="C3" s="157" t="s">
        <v>150</v>
      </c>
      <c r="D3" s="158"/>
    </row>
    <row r="4" spans="1:6" ht="14.25" x14ac:dyDescent="0.2">
      <c r="A4" s="155" t="s">
        <v>151</v>
      </c>
      <c r="B4" s="156" t="s">
        <v>40</v>
      </c>
      <c r="C4" s="159">
        <v>0.2</v>
      </c>
      <c r="D4" s="158"/>
    </row>
    <row r="5" spans="1:6" ht="14.25" x14ac:dyDescent="0.2">
      <c r="A5" s="155" t="s">
        <v>152</v>
      </c>
      <c r="B5" s="156" t="s">
        <v>153</v>
      </c>
      <c r="C5" s="159">
        <v>1.4999999999999999E-2</v>
      </c>
      <c r="D5" s="158"/>
    </row>
    <row r="6" spans="1:6" ht="14.25" x14ac:dyDescent="0.2">
      <c r="A6" s="155" t="s">
        <v>154</v>
      </c>
      <c r="B6" s="156" t="s">
        <v>155</v>
      </c>
      <c r="C6" s="159">
        <v>0.01</v>
      </c>
      <c r="D6" s="158"/>
    </row>
    <row r="7" spans="1:6" ht="14.25" x14ac:dyDescent="0.2">
      <c r="A7" s="155" t="s">
        <v>156</v>
      </c>
      <c r="B7" s="156" t="s">
        <v>157</v>
      </c>
      <c r="C7" s="159">
        <v>2E-3</v>
      </c>
      <c r="D7" s="158"/>
    </row>
    <row r="8" spans="1:6" ht="14.25" x14ac:dyDescent="0.2">
      <c r="A8" s="155" t="s">
        <v>158</v>
      </c>
      <c r="B8" s="156" t="s">
        <v>159</v>
      </c>
      <c r="C8" s="159">
        <v>6.0000000000000001E-3</v>
      </c>
      <c r="D8" s="158"/>
    </row>
    <row r="9" spans="1:6" ht="14.25" x14ac:dyDescent="0.2">
      <c r="A9" s="155" t="s">
        <v>160</v>
      </c>
      <c r="B9" s="156" t="s">
        <v>161</v>
      </c>
      <c r="C9" s="159">
        <v>2.5000000000000001E-2</v>
      </c>
      <c r="D9" s="158"/>
    </row>
    <row r="10" spans="1:6" ht="14.25" x14ac:dyDescent="0.2">
      <c r="A10" s="155" t="s">
        <v>162</v>
      </c>
      <c r="B10" s="156" t="s">
        <v>163</v>
      </c>
      <c r="C10" s="159">
        <v>0.03</v>
      </c>
      <c r="D10" s="158"/>
    </row>
    <row r="11" spans="1:6" ht="14.25" x14ac:dyDescent="0.2">
      <c r="A11" s="155" t="s">
        <v>164</v>
      </c>
      <c r="B11" s="156" t="s">
        <v>41</v>
      </c>
      <c r="C11" s="159">
        <v>0.08</v>
      </c>
      <c r="D11" s="158"/>
    </row>
    <row r="12" spans="1:6" ht="15" x14ac:dyDescent="0.2">
      <c r="A12" s="155" t="s">
        <v>165</v>
      </c>
      <c r="B12" s="160" t="s">
        <v>166</v>
      </c>
      <c r="C12" s="161">
        <f>SUM(C4:C11)</f>
        <v>0.36800000000000005</v>
      </c>
      <c r="D12" s="158"/>
    </row>
    <row r="13" spans="1:6" ht="15" x14ac:dyDescent="0.2">
      <c r="A13" s="162"/>
      <c r="B13" s="163"/>
      <c r="C13" s="164"/>
      <c r="D13" s="158"/>
    </row>
    <row r="14" spans="1:6" ht="14.25" x14ac:dyDescent="0.2">
      <c r="A14" s="155" t="s">
        <v>167</v>
      </c>
      <c r="B14" s="165" t="s">
        <v>168</v>
      </c>
      <c r="C14" s="159">
        <f>ROUND(IF('3.CAGED'!C23&gt;24,(1-12/'3.CAGED'!C23)*0.1111,0.1111-C23),4)</f>
        <v>6.1899999999999997E-2</v>
      </c>
      <c r="D14" s="158"/>
    </row>
    <row r="15" spans="1:6" ht="14.25" x14ac:dyDescent="0.2">
      <c r="A15" s="155" t="s">
        <v>169</v>
      </c>
      <c r="B15" s="165" t="s">
        <v>170</v>
      </c>
      <c r="C15" s="159">
        <f>ROUND('3.CAGED'!C27/'3.CAGED'!C24,4)</f>
        <v>8.3299999999999999E-2</v>
      </c>
      <c r="D15" s="158"/>
    </row>
    <row r="16" spans="1:6" ht="14.25" x14ac:dyDescent="0.2">
      <c r="A16" s="155" t="s">
        <v>221</v>
      </c>
      <c r="B16" s="165" t="s">
        <v>172</v>
      </c>
      <c r="C16" s="159">
        <v>5.9999999999999995E-4</v>
      </c>
      <c r="D16" s="158"/>
    </row>
    <row r="17" spans="1:8" ht="14.25" x14ac:dyDescent="0.2">
      <c r="A17" s="155" t="s">
        <v>171</v>
      </c>
      <c r="B17" s="165" t="s">
        <v>174</v>
      </c>
      <c r="C17" s="159">
        <v>8.2000000000000007E-3</v>
      </c>
      <c r="D17" s="158"/>
    </row>
    <row r="18" spans="1:8" ht="14.25" x14ac:dyDescent="0.2">
      <c r="A18" s="155" t="s">
        <v>173</v>
      </c>
      <c r="B18" s="165" t="s">
        <v>176</v>
      </c>
      <c r="C18" s="159">
        <v>3.0999999999999999E-3</v>
      </c>
      <c r="D18" s="158"/>
    </row>
    <row r="19" spans="1:8" ht="14.25" x14ac:dyDescent="0.2">
      <c r="A19" s="155" t="s">
        <v>175</v>
      </c>
      <c r="B19" s="165" t="s">
        <v>177</v>
      </c>
      <c r="C19" s="159">
        <v>1.66E-2</v>
      </c>
      <c r="D19" s="158"/>
    </row>
    <row r="20" spans="1:8" ht="15" x14ac:dyDescent="0.2">
      <c r="A20" s="155" t="s">
        <v>178</v>
      </c>
      <c r="B20" s="160" t="s">
        <v>179</v>
      </c>
      <c r="C20" s="161">
        <f>SUM(C14:C19)</f>
        <v>0.17369999999999999</v>
      </c>
      <c r="D20" s="166"/>
    </row>
    <row r="21" spans="1:8" ht="15" x14ac:dyDescent="0.2">
      <c r="A21" s="162"/>
      <c r="B21" s="163"/>
      <c r="C21" s="164"/>
      <c r="D21" s="166"/>
    </row>
    <row r="22" spans="1:8" ht="14.25" x14ac:dyDescent="0.2">
      <c r="A22" s="155" t="s">
        <v>180</v>
      </c>
      <c r="B22" s="156" t="s">
        <v>181</v>
      </c>
      <c r="C22" s="159">
        <f>ROUND(('3.CAGED'!C28) *'3.CAGED'!C21/'3.CAGED'!C24,4)</f>
        <v>2.5600000000000001E-2</v>
      </c>
      <c r="D22" s="158"/>
      <c r="E22" s="167"/>
    </row>
    <row r="23" spans="1:8" ht="14.25" x14ac:dyDescent="0.2">
      <c r="A23" s="155" t="s">
        <v>220</v>
      </c>
      <c r="B23" s="156" t="s">
        <v>183</v>
      </c>
      <c r="C23" s="159">
        <f>ROUND(IF('3.CAGED'!C23&gt;12,12/'3.CAGED'!C23*0.1111,0.1111),4)</f>
        <v>4.9200000000000001E-2</v>
      </c>
      <c r="D23" s="158"/>
      <c r="H23" s="168"/>
    </row>
    <row r="24" spans="1:8" ht="14.25" x14ac:dyDescent="0.2">
      <c r="A24" s="155" t="s">
        <v>182</v>
      </c>
      <c r="B24" s="156" t="s">
        <v>185</v>
      </c>
      <c r="C24" s="159">
        <f>C22*C23</f>
        <v>1.2595200000000001E-3</v>
      </c>
      <c r="D24" s="158"/>
      <c r="E24" s="167"/>
    </row>
    <row r="25" spans="1:8" ht="14.25" x14ac:dyDescent="0.2">
      <c r="A25" s="155" t="s">
        <v>184</v>
      </c>
      <c r="B25" s="156" t="s">
        <v>187</v>
      </c>
      <c r="C25" s="159">
        <f>ROUND(('3.CAGED'!C24+'3.CAGED'!C25+'3.CAGED'!C27)/'3.CAGED'!C22*'3.CAGED'!C29*'3.CAGED'!C30*'3.CAGED'!C21/'3.CAGED'!C24,4)</f>
        <v>2.0500000000000001E-2</v>
      </c>
      <c r="D25" s="158"/>
      <c r="G25" s="167"/>
    </row>
    <row r="26" spans="1:8" ht="14.25" x14ac:dyDescent="0.2">
      <c r="A26" s="155" t="s">
        <v>186</v>
      </c>
      <c r="B26" s="156" t="s">
        <v>188</v>
      </c>
      <c r="C26" s="159">
        <f>ROUND(('3.CAGED'!C26/'3.CAGED'!C24)*'3.CAGED'!C21/12,4)</f>
        <v>1.8E-3</v>
      </c>
      <c r="D26" s="158"/>
    </row>
    <row r="27" spans="1:8" ht="15" x14ac:dyDescent="0.2">
      <c r="A27" s="155" t="s">
        <v>189</v>
      </c>
      <c r="B27" s="160" t="s">
        <v>190</v>
      </c>
      <c r="C27" s="161">
        <f>SUM(C22:C26)</f>
        <v>9.8359520000000006E-2</v>
      </c>
      <c r="D27" s="166"/>
    </row>
    <row r="28" spans="1:8" ht="15" x14ac:dyDescent="0.2">
      <c r="A28" s="162"/>
      <c r="B28" s="163"/>
      <c r="C28" s="164"/>
      <c r="D28" s="166"/>
    </row>
    <row r="29" spans="1:8" ht="14.25" x14ac:dyDescent="0.2">
      <c r="A29" s="155" t="s">
        <v>191</v>
      </c>
      <c r="B29" s="156" t="s">
        <v>192</v>
      </c>
      <c r="C29" s="159">
        <f>ROUND(C12*C20,4)</f>
        <v>6.3899999999999998E-2</v>
      </c>
      <c r="D29" s="158"/>
    </row>
    <row r="30" spans="1:8" ht="28.5" x14ac:dyDescent="0.2">
      <c r="A30" s="155" t="s">
        <v>193</v>
      </c>
      <c r="B30" s="169" t="s">
        <v>284</v>
      </c>
      <c r="C30" s="159">
        <f>ROUND((C22*C11),4)</f>
        <v>2E-3</v>
      </c>
      <c r="D30" s="158"/>
    </row>
    <row r="31" spans="1:8" ht="15" x14ac:dyDescent="0.2">
      <c r="A31" s="155" t="s">
        <v>194</v>
      </c>
      <c r="B31" s="160" t="s">
        <v>195</v>
      </c>
      <c r="C31" s="161">
        <f>SUM(C29:C30)</f>
        <v>6.59E-2</v>
      </c>
      <c r="D31" s="166"/>
    </row>
    <row r="32" spans="1:8" ht="15.75" thickBot="1" x14ac:dyDescent="0.25">
      <c r="A32" s="170"/>
      <c r="B32" s="171" t="s">
        <v>196</v>
      </c>
      <c r="C32" s="172">
        <f>C31+C27+C20+C12</f>
        <v>0.70595951999999995</v>
      </c>
      <c r="D32" s="166"/>
    </row>
    <row r="33" spans="1:4" ht="15" x14ac:dyDescent="0.2">
      <c r="A33" s="158"/>
      <c r="B33" s="173"/>
      <c r="C33" s="174"/>
      <c r="D33" s="175"/>
    </row>
    <row r="34" spans="1:4" ht="14.25" x14ac:dyDescent="0.2">
      <c r="A34" s="158"/>
      <c r="B34" s="158"/>
      <c r="C34" s="176"/>
      <c r="D34" s="177"/>
    </row>
    <row r="35" spans="1:4" ht="14.25" x14ac:dyDescent="0.2">
      <c r="A35" s="158"/>
      <c r="B35" s="158"/>
      <c r="C35" s="176"/>
      <c r="D35" s="158"/>
    </row>
    <row r="36" spans="1:4" ht="14.25" x14ac:dyDescent="0.2">
      <c r="A36" s="158"/>
      <c r="B36" s="158"/>
      <c r="C36" s="176"/>
      <c r="D36" s="158"/>
    </row>
    <row r="37" spans="1:4" ht="14.25" x14ac:dyDescent="0.2">
      <c r="A37" s="158"/>
      <c r="B37" s="158"/>
      <c r="C37" s="176"/>
      <c r="D37" s="158"/>
    </row>
    <row r="38" spans="1:4" ht="15" x14ac:dyDescent="0.2">
      <c r="A38" s="158"/>
      <c r="B38" s="173"/>
      <c r="C38" s="174"/>
      <c r="D38" s="158"/>
    </row>
    <row r="39" spans="1:4" ht="15" x14ac:dyDescent="0.2">
      <c r="A39" s="166"/>
      <c r="B39" s="173"/>
      <c r="C39" s="174"/>
      <c r="D39" s="166"/>
    </row>
    <row r="40" spans="1:4" ht="16.5" x14ac:dyDescent="0.2">
      <c r="A40" s="178"/>
    </row>
    <row r="41" spans="1:4" x14ac:dyDescent="0.2">
      <c r="A41" s="179"/>
      <c r="B41" s="180"/>
      <c r="C41" s="180"/>
    </row>
    <row r="42" spans="1:4" ht="14.25" x14ac:dyDescent="0.2">
      <c r="A42" s="158"/>
      <c r="B42" s="181"/>
      <c r="C42" s="180"/>
    </row>
    <row r="43" spans="1:4" ht="14.25" x14ac:dyDescent="0.2">
      <c r="A43" s="158"/>
      <c r="B43" s="181"/>
      <c r="C43" s="158"/>
    </row>
    <row r="44" spans="1:4" ht="14.25" x14ac:dyDescent="0.2">
      <c r="A44" s="158"/>
      <c r="B44" s="176"/>
      <c r="C44" s="180"/>
    </row>
    <row r="45" spans="1:4" ht="14.25" x14ac:dyDescent="0.2">
      <c r="A45" s="158"/>
      <c r="B45" s="181"/>
      <c r="C45" s="158"/>
    </row>
    <row r="46" spans="1:4" ht="14.25" x14ac:dyDescent="0.2">
      <c r="A46" s="158"/>
      <c r="B46" s="176"/>
      <c r="C46" s="180"/>
    </row>
    <row r="47" spans="1:4" ht="14.25" x14ac:dyDescent="0.2">
      <c r="A47" s="158"/>
      <c r="B47" s="181"/>
      <c r="C47" s="158"/>
    </row>
    <row r="48" spans="1:4" ht="14.25" x14ac:dyDescent="0.2">
      <c r="A48" s="158"/>
      <c r="B48" s="176"/>
      <c r="C48" s="180"/>
    </row>
    <row r="49" spans="1:3" ht="14.25" x14ac:dyDescent="0.2">
      <c r="A49" s="158"/>
      <c r="B49" s="181"/>
      <c r="C49" s="158"/>
    </row>
    <row r="50" spans="1:3" ht="14.25" x14ac:dyDescent="0.2">
      <c r="A50" s="158"/>
      <c r="B50" s="176"/>
      <c r="C50" s="180"/>
    </row>
    <row r="51" spans="1:3" ht="16.5" x14ac:dyDescent="0.2">
      <c r="A51" s="178"/>
    </row>
    <row r="54" spans="1:3" x14ac:dyDescent="0.2">
      <c r="A54" s="182"/>
    </row>
  </sheetData>
  <mergeCells count="1">
    <mergeCell ref="A2:C2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zoomScaleNormal="100" workbookViewId="0">
      <selection activeCell="D19" sqref="D19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ht="13.5" thickBot="1" x14ac:dyDescent="0.25"/>
    <row r="2" spans="1:3" ht="18" x14ac:dyDescent="0.25">
      <c r="B2" s="309" t="s">
        <v>231</v>
      </c>
      <c r="C2" s="310"/>
    </row>
    <row r="3" spans="1:3" ht="15" x14ac:dyDescent="0.25">
      <c r="B3" s="144" t="s">
        <v>211</v>
      </c>
      <c r="C3" s="183"/>
    </row>
    <row r="4" spans="1:3" ht="15" x14ac:dyDescent="0.25">
      <c r="B4" s="145" t="s">
        <v>132</v>
      </c>
      <c r="C4" s="146">
        <v>2100</v>
      </c>
    </row>
    <row r="5" spans="1:3" ht="15" x14ac:dyDescent="0.25">
      <c r="B5" s="147" t="s">
        <v>133</v>
      </c>
      <c r="C5" s="146">
        <v>2031</v>
      </c>
    </row>
    <row r="6" spans="1:3" ht="14.25" x14ac:dyDescent="0.2">
      <c r="B6" s="184" t="s">
        <v>134</v>
      </c>
      <c r="C6" s="185">
        <v>44</v>
      </c>
    </row>
    <row r="7" spans="1:3" ht="14.25" x14ac:dyDescent="0.2">
      <c r="B7" s="184" t="s">
        <v>135</v>
      </c>
      <c r="C7" s="185">
        <v>1192</v>
      </c>
    </row>
    <row r="8" spans="1:3" ht="14.25" x14ac:dyDescent="0.2">
      <c r="B8" s="184" t="s">
        <v>136</v>
      </c>
      <c r="C8" s="185">
        <v>372</v>
      </c>
    </row>
    <row r="9" spans="1:3" ht="14.25" x14ac:dyDescent="0.2">
      <c r="B9" s="184" t="s">
        <v>137</v>
      </c>
      <c r="C9" s="185">
        <v>22</v>
      </c>
    </row>
    <row r="10" spans="1:3" ht="14.25" x14ac:dyDescent="0.2">
      <c r="B10" s="184" t="s">
        <v>138</v>
      </c>
      <c r="C10" s="185">
        <v>350</v>
      </c>
    </row>
    <row r="11" spans="1:3" ht="14.25" x14ac:dyDescent="0.2">
      <c r="B11" s="184" t="s">
        <v>139</v>
      </c>
      <c r="C11" s="185">
        <v>1</v>
      </c>
    </row>
    <row r="12" spans="1:3" ht="14.25" x14ac:dyDescent="0.2">
      <c r="B12" s="184" t="s">
        <v>140</v>
      </c>
      <c r="C12" s="185">
        <v>30</v>
      </c>
    </row>
    <row r="13" spans="1:3" ht="14.25" x14ac:dyDescent="0.2">
      <c r="B13" s="186" t="s">
        <v>141</v>
      </c>
      <c r="C13" s="187">
        <v>0</v>
      </c>
    </row>
    <row r="14" spans="1:3" ht="14.25" x14ac:dyDescent="0.2">
      <c r="B14" s="283" t="s">
        <v>290</v>
      </c>
      <c r="C14" s="187">
        <v>0</v>
      </c>
    </row>
    <row r="15" spans="1:3" ht="15" x14ac:dyDescent="0.25">
      <c r="A15" s="1" t="s">
        <v>142</v>
      </c>
      <c r="B15" s="144" t="s">
        <v>143</v>
      </c>
      <c r="C15" s="183"/>
    </row>
    <row r="16" spans="1:3" ht="14.25" x14ac:dyDescent="0.2">
      <c r="B16" s="188" t="s">
        <v>292</v>
      </c>
      <c r="C16" s="189">
        <v>4625</v>
      </c>
    </row>
    <row r="17" spans="2:5" ht="14.25" x14ac:dyDescent="0.2">
      <c r="B17" s="184" t="s">
        <v>293</v>
      </c>
      <c r="C17" s="185">
        <v>4694</v>
      </c>
    </row>
    <row r="18" spans="2:5" ht="14.25" x14ac:dyDescent="0.2">
      <c r="B18" s="184" t="s">
        <v>291</v>
      </c>
      <c r="C18" s="207">
        <f>C4-C5</f>
        <v>69</v>
      </c>
    </row>
    <row r="19" spans="2:5" ht="14.25" x14ac:dyDescent="0.2">
      <c r="B19" s="190"/>
      <c r="C19" s="191"/>
    </row>
    <row r="20" spans="2:5" s="102" customFormat="1" ht="15" x14ac:dyDescent="0.25">
      <c r="B20" s="145" t="s">
        <v>145</v>
      </c>
      <c r="C20" s="192">
        <f>MEDIAN(C16,C17)</f>
        <v>4659.5</v>
      </c>
    </row>
    <row r="21" spans="2:5" ht="15" x14ac:dyDescent="0.25">
      <c r="B21" s="147" t="s">
        <v>288</v>
      </c>
      <c r="C21" s="281">
        <f>C7/C20</f>
        <v>0.25582144006867691</v>
      </c>
    </row>
    <row r="22" spans="2:5" ht="15" x14ac:dyDescent="0.25">
      <c r="B22" s="147" t="s">
        <v>289</v>
      </c>
      <c r="C22" s="281">
        <f>MEDIAN(C4,C5)/C20</f>
        <v>0.44328790642772831</v>
      </c>
      <c r="E22" s="255"/>
    </row>
    <row r="23" spans="2:5" s="102" customFormat="1" ht="15" x14ac:dyDescent="0.25">
      <c r="B23" s="147" t="s">
        <v>249</v>
      </c>
      <c r="C23" s="279">
        <f>12/C22</f>
        <v>27.070442992011618</v>
      </c>
    </row>
    <row r="24" spans="2:5" ht="15" x14ac:dyDescent="0.25">
      <c r="B24" s="147" t="s">
        <v>144</v>
      </c>
      <c r="C24" s="149">
        <v>360</v>
      </c>
    </row>
    <row r="25" spans="2:5" ht="15" x14ac:dyDescent="0.25">
      <c r="B25" s="147" t="s">
        <v>245</v>
      </c>
      <c r="C25" s="149">
        <v>10</v>
      </c>
    </row>
    <row r="26" spans="2:5" ht="15" x14ac:dyDescent="0.25">
      <c r="B26" s="145" t="s">
        <v>246</v>
      </c>
      <c r="C26" s="148">
        <v>30</v>
      </c>
    </row>
    <row r="27" spans="2:5" ht="15" x14ac:dyDescent="0.25">
      <c r="B27" s="145" t="s">
        <v>247</v>
      </c>
      <c r="C27" s="148">
        <v>30</v>
      </c>
    </row>
    <row r="28" spans="2:5" s="102" customFormat="1" ht="15" x14ac:dyDescent="0.25">
      <c r="B28" s="145" t="s">
        <v>147</v>
      </c>
      <c r="C28" s="148">
        <f>30+(3*TRUNC(1/C22))</f>
        <v>36</v>
      </c>
    </row>
    <row r="29" spans="2:5" s="102" customFormat="1" ht="15" x14ac:dyDescent="0.25">
      <c r="B29" s="147" t="s">
        <v>41</v>
      </c>
      <c r="C29" s="280">
        <v>0.08</v>
      </c>
    </row>
    <row r="30" spans="2:5" s="102" customFormat="1" ht="15.75" thickBot="1" x14ac:dyDescent="0.3">
      <c r="B30" s="150" t="s">
        <v>146</v>
      </c>
      <c r="C30" s="282">
        <v>0.4</v>
      </c>
      <c r="D30" s="102" t="s">
        <v>294</v>
      </c>
    </row>
  </sheetData>
  <mergeCells count="1">
    <mergeCell ref="B2:C2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selection sqref="A1:XFD6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6" bestFit="1" customWidth="1"/>
    <col min="6" max="6" width="9.7109375" bestFit="1" customWidth="1"/>
  </cols>
  <sheetData>
    <row r="1" spans="1:8" s="136" customFormat="1" ht="15" thickBot="1" x14ac:dyDescent="0.25">
      <c r="B1" s="8"/>
      <c r="C1" s="8"/>
      <c r="E1" s="137"/>
    </row>
    <row r="2" spans="1:8" ht="15.75" x14ac:dyDescent="0.2">
      <c r="A2" s="316" t="s">
        <v>232</v>
      </c>
      <c r="B2" s="317"/>
      <c r="C2" s="317"/>
      <c r="D2" s="317"/>
      <c r="E2" s="317"/>
      <c r="F2" s="318"/>
    </row>
    <row r="3" spans="1:8" ht="16.5" thickBot="1" x14ac:dyDescent="0.25">
      <c r="A3" s="242"/>
      <c r="B3" s="243"/>
      <c r="C3" s="243"/>
      <c r="D3" s="243"/>
      <c r="E3" s="243"/>
      <c r="F3" s="244"/>
    </row>
    <row r="4" spans="1:8" ht="15" x14ac:dyDescent="0.25">
      <c r="A4" s="193"/>
      <c r="B4" s="8"/>
      <c r="C4" s="8"/>
      <c r="D4" s="313" t="s">
        <v>248</v>
      </c>
      <c r="E4" s="314"/>
      <c r="F4" s="315"/>
      <c r="G4" s="136"/>
      <c r="H4" s="136"/>
    </row>
    <row r="5" spans="1:8" ht="15" thickBot="1" x14ac:dyDescent="0.25">
      <c r="A5" s="190"/>
      <c r="B5" s="136"/>
      <c r="C5" s="136"/>
      <c r="D5" s="194" t="s">
        <v>197</v>
      </c>
      <c r="E5" s="195" t="s">
        <v>198</v>
      </c>
      <c r="F5" s="196" t="s">
        <v>199</v>
      </c>
      <c r="G5" s="136"/>
      <c r="H5" s="136"/>
    </row>
    <row r="6" spans="1:8" ht="14.25" x14ac:dyDescent="0.2">
      <c r="A6" s="197" t="s">
        <v>77</v>
      </c>
      <c r="B6" s="198" t="s">
        <v>78</v>
      </c>
      <c r="C6" s="199">
        <v>0.05</v>
      </c>
      <c r="D6" s="220">
        <v>2.9700000000000001E-2</v>
      </c>
      <c r="E6" s="221">
        <v>5.0799999999999998E-2</v>
      </c>
      <c r="F6" s="222">
        <v>6.2700000000000006E-2</v>
      </c>
      <c r="G6" s="136"/>
      <c r="H6" s="136"/>
    </row>
    <row r="7" spans="1:8" ht="14.25" x14ac:dyDescent="0.2">
      <c r="A7" s="201" t="s">
        <v>79</v>
      </c>
      <c r="B7" s="202" t="s">
        <v>80</v>
      </c>
      <c r="C7" s="203">
        <v>1.3299999999999999E-2</v>
      </c>
      <c r="D7" s="220">
        <f>0.3%+0.56%</f>
        <v>8.6E-3</v>
      </c>
      <c r="E7" s="221">
        <f>0.48%+0.85%</f>
        <v>1.3299999999999999E-2</v>
      </c>
      <c r="F7" s="222">
        <f>0.82%+0.89%</f>
        <v>1.7099999999999997E-2</v>
      </c>
      <c r="G7" s="136"/>
      <c r="H7" s="136"/>
    </row>
    <row r="8" spans="1:8" ht="14.25" x14ac:dyDescent="0.2">
      <c r="A8" s="201" t="s">
        <v>81</v>
      </c>
      <c r="B8" s="202" t="s">
        <v>82</v>
      </c>
      <c r="C8" s="203">
        <v>0.13</v>
      </c>
      <c r="D8" s="220">
        <v>7.7799999999999994E-2</v>
      </c>
      <c r="E8" s="221">
        <v>0.1085</v>
      </c>
      <c r="F8" s="222">
        <v>0.13550000000000001</v>
      </c>
      <c r="G8" s="136"/>
      <c r="H8" s="136"/>
    </row>
    <row r="9" spans="1:8" ht="14.25" x14ac:dyDescent="0.2">
      <c r="A9" s="201" t="s">
        <v>83</v>
      </c>
      <c r="B9" s="202" t="s">
        <v>84</v>
      </c>
      <c r="C9" s="204">
        <f>(1+E9)^(E10/252)-1</f>
        <v>5.4746801187401939E-3</v>
      </c>
      <c r="D9" s="220" t="s">
        <v>280</v>
      </c>
      <c r="E9" s="205">
        <v>0.14749999999999999</v>
      </c>
      <c r="F9" s="200"/>
      <c r="G9" s="136"/>
      <c r="H9" s="136"/>
    </row>
    <row r="10" spans="1:8" ht="14.25" x14ac:dyDescent="0.2">
      <c r="A10" s="201" t="s">
        <v>85</v>
      </c>
      <c r="B10" s="311" t="s">
        <v>86</v>
      </c>
      <c r="C10" s="203">
        <v>0.03</v>
      </c>
      <c r="D10" s="276" t="s">
        <v>200</v>
      </c>
      <c r="E10" s="206">
        <v>10</v>
      </c>
      <c r="F10" s="207"/>
      <c r="G10" s="136"/>
      <c r="H10" s="136"/>
    </row>
    <row r="11" spans="1:8" ht="15" thickBot="1" x14ac:dyDescent="0.25">
      <c r="A11" s="208" t="s">
        <v>87</v>
      </c>
      <c r="B11" s="312"/>
      <c r="C11" s="209">
        <v>3.6499999999999998E-2</v>
      </c>
      <c r="D11" s="184"/>
      <c r="E11" s="210"/>
      <c r="F11" s="207"/>
      <c r="G11" s="136"/>
      <c r="H11" s="136"/>
    </row>
    <row r="12" spans="1:8" ht="14.25" x14ac:dyDescent="0.2">
      <c r="A12" s="211" t="s">
        <v>88</v>
      </c>
      <c r="B12" s="212"/>
      <c r="C12" s="213"/>
      <c r="D12" s="184"/>
      <c r="E12" s="210"/>
      <c r="F12" s="207"/>
      <c r="G12" s="136"/>
      <c r="H12" s="136"/>
    </row>
    <row r="13" spans="1:8" ht="15" thickBot="1" x14ac:dyDescent="0.25">
      <c r="A13" s="214" t="s">
        <v>89</v>
      </c>
      <c r="B13" s="215"/>
      <c r="C13" s="216"/>
      <c r="D13" s="184"/>
      <c r="E13" s="210"/>
      <c r="F13" s="207"/>
      <c r="G13" s="136"/>
      <c r="H13" s="136"/>
    </row>
    <row r="14" spans="1:8" ht="15.75" thickBot="1" x14ac:dyDescent="0.25">
      <c r="A14" s="217" t="s">
        <v>90</v>
      </c>
      <c r="B14" s="218"/>
      <c r="C14" s="219">
        <f>ROUND((((1+C6+C7)*(1+C8)*(1+C9))/(1-(C10+C11))-1),4)</f>
        <v>0.29420000000000002</v>
      </c>
      <c r="D14" s="223">
        <v>0.21429999999999999</v>
      </c>
      <c r="E14" s="224">
        <v>0.2717</v>
      </c>
      <c r="F14" s="225">
        <v>0.3362</v>
      </c>
      <c r="G14" s="136"/>
      <c r="H14" s="136"/>
    </row>
    <row r="15" spans="1:8" ht="14.25" x14ac:dyDescent="0.2">
      <c r="A15" s="136"/>
      <c r="B15" s="136"/>
      <c r="C15" s="136"/>
      <c r="D15" s="136"/>
      <c r="E15" s="137"/>
      <c r="F15" s="136"/>
      <c r="G15" s="136"/>
      <c r="H15" s="136"/>
    </row>
    <row r="16" spans="1:8" ht="14.25" x14ac:dyDescent="0.2">
      <c r="A16" s="136"/>
      <c r="B16" s="136"/>
      <c r="C16" s="136"/>
      <c r="D16" s="136"/>
      <c r="E16" s="137"/>
      <c r="F16" s="136"/>
      <c r="G16" s="136"/>
      <c r="H16" s="136"/>
    </row>
    <row r="17" spans="1:8" ht="14.25" x14ac:dyDescent="0.2">
      <c r="A17" s="136"/>
      <c r="B17" s="136"/>
      <c r="C17" s="136"/>
      <c r="D17" s="136"/>
      <c r="E17" s="137"/>
      <c r="F17" s="136"/>
      <c r="G17" s="136"/>
      <c r="H17" s="136"/>
    </row>
    <row r="18" spans="1:8" ht="14.25" x14ac:dyDescent="0.2">
      <c r="A18" s="136"/>
      <c r="B18" s="136"/>
      <c r="C18" s="136"/>
      <c r="D18" s="136"/>
      <c r="E18" s="137"/>
      <c r="F18" s="136"/>
      <c r="G18" s="136"/>
      <c r="H18" s="136"/>
    </row>
  </sheetData>
  <mergeCells count="3">
    <mergeCell ref="B10:B11"/>
    <mergeCell ref="D4:F4"/>
    <mergeCell ref="A2:F2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workbookViewId="0">
      <selection activeCell="B3" sqref="B3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19" t="s">
        <v>234</v>
      </c>
      <c r="B1" s="320"/>
    </row>
    <row r="2" spans="1:2" s="102" customFormat="1" ht="19.5" customHeight="1" x14ac:dyDescent="0.2">
      <c r="A2" s="245" t="s">
        <v>212</v>
      </c>
      <c r="B2" s="246" t="s">
        <v>282</v>
      </c>
    </row>
    <row r="3" spans="1:2" ht="19.5" customHeight="1" x14ac:dyDescent="0.2">
      <c r="A3" s="152">
        <v>1</v>
      </c>
      <c r="B3" s="151">
        <v>33.629999999999995</v>
      </c>
    </row>
    <row r="4" spans="1:2" ht="19.5" customHeight="1" x14ac:dyDescent="0.2">
      <c r="A4" s="152">
        <v>2</v>
      </c>
      <c r="B4" s="151">
        <v>43.13</v>
      </c>
    </row>
    <row r="5" spans="1:2" ht="19.5" customHeight="1" x14ac:dyDescent="0.2">
      <c r="A5" s="152">
        <v>3</v>
      </c>
      <c r="B5" s="151">
        <v>48.68</v>
      </c>
    </row>
    <row r="6" spans="1:2" ht="19.5" customHeight="1" x14ac:dyDescent="0.2">
      <c r="A6" s="152">
        <v>4</v>
      </c>
      <c r="B6" s="151">
        <v>52.62</v>
      </c>
    </row>
    <row r="7" spans="1:2" ht="19.5" customHeight="1" x14ac:dyDescent="0.2">
      <c r="A7" s="152">
        <v>5</v>
      </c>
      <c r="B7" s="151">
        <v>55.679999999999993</v>
      </c>
    </row>
    <row r="8" spans="1:2" ht="19.5" customHeight="1" x14ac:dyDescent="0.2">
      <c r="A8" s="152">
        <v>6</v>
      </c>
      <c r="B8" s="151">
        <v>58.18</v>
      </c>
    </row>
    <row r="9" spans="1:2" ht="19.5" customHeight="1" x14ac:dyDescent="0.2">
      <c r="A9" s="152">
        <v>7</v>
      </c>
      <c r="B9" s="151">
        <v>60.29</v>
      </c>
    </row>
    <row r="10" spans="1:2" ht="19.5" customHeight="1" x14ac:dyDescent="0.2">
      <c r="A10" s="152">
        <v>8</v>
      </c>
      <c r="B10" s="151">
        <v>62.12</v>
      </c>
    </row>
    <row r="11" spans="1:2" ht="19.5" customHeight="1" x14ac:dyDescent="0.2">
      <c r="A11" s="152">
        <v>9</v>
      </c>
      <c r="B11" s="151">
        <v>63.73</v>
      </c>
    </row>
    <row r="12" spans="1:2" ht="19.5" customHeight="1" x14ac:dyDescent="0.2">
      <c r="A12" s="152">
        <v>10</v>
      </c>
      <c r="B12" s="151">
        <v>65.180000000000007</v>
      </c>
    </row>
    <row r="13" spans="1:2" ht="19.5" customHeight="1" x14ac:dyDescent="0.2">
      <c r="A13" s="152">
        <v>11</v>
      </c>
      <c r="B13" s="151">
        <v>66.47999999999999</v>
      </c>
    </row>
    <row r="14" spans="1:2" ht="19.5" customHeight="1" x14ac:dyDescent="0.2">
      <c r="A14" s="152">
        <v>12</v>
      </c>
      <c r="B14" s="151">
        <v>67.67</v>
      </c>
    </row>
    <row r="15" spans="1:2" ht="19.5" customHeight="1" x14ac:dyDescent="0.2">
      <c r="A15" s="152">
        <v>13</v>
      </c>
      <c r="B15" s="151">
        <v>68.77</v>
      </c>
    </row>
    <row r="16" spans="1:2" ht="19.5" customHeight="1" x14ac:dyDescent="0.2">
      <c r="A16" s="152">
        <v>14</v>
      </c>
      <c r="B16" s="151">
        <v>69.789999999999992</v>
      </c>
    </row>
    <row r="17" spans="1:2" ht="19.5" customHeight="1" thickBot="1" x14ac:dyDescent="0.25">
      <c r="A17" s="153">
        <v>15</v>
      </c>
      <c r="B17" s="154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A24" sqref="A24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29" t="s">
        <v>238</v>
      </c>
    </row>
    <row r="2" spans="1:1" x14ac:dyDescent="0.2">
      <c r="A2" s="226"/>
    </row>
    <row r="3" spans="1:1" x14ac:dyDescent="0.2">
      <c r="A3" s="226" t="s">
        <v>250</v>
      </c>
    </row>
    <row r="4" spans="1:1" x14ac:dyDescent="0.2">
      <c r="A4" s="226"/>
    </row>
    <row r="5" spans="1:1" x14ac:dyDescent="0.2">
      <c r="A5" s="226"/>
    </row>
    <row r="6" spans="1:1" x14ac:dyDescent="0.2">
      <c r="A6" s="226"/>
    </row>
    <row r="7" spans="1:1" x14ac:dyDescent="0.2">
      <c r="A7" s="226"/>
    </row>
    <row r="8" spans="1:1" x14ac:dyDescent="0.2">
      <c r="A8" s="226"/>
    </row>
    <row r="9" spans="1:1" x14ac:dyDescent="0.2">
      <c r="A9" s="226"/>
    </row>
    <row r="10" spans="1:1" x14ac:dyDescent="0.2">
      <c r="A10" s="226"/>
    </row>
    <row r="11" spans="1:1" x14ac:dyDescent="0.2">
      <c r="A11" s="226"/>
    </row>
    <row r="12" spans="1:1" ht="19.5" x14ac:dyDescent="0.35">
      <c r="A12" s="227" t="s">
        <v>235</v>
      </c>
    </row>
    <row r="13" spans="1:1" ht="15" x14ac:dyDescent="0.2">
      <c r="A13" s="227" t="s">
        <v>115</v>
      </c>
    </row>
    <row r="14" spans="1:1" ht="15" x14ac:dyDescent="0.2">
      <c r="A14" s="227" t="s">
        <v>120</v>
      </c>
    </row>
    <row r="15" spans="1:1" ht="19.5" x14ac:dyDescent="0.35">
      <c r="A15" s="227" t="s">
        <v>236</v>
      </c>
    </row>
    <row r="16" spans="1:1" ht="19.5" x14ac:dyDescent="0.35">
      <c r="A16" s="227" t="s">
        <v>237</v>
      </c>
    </row>
    <row r="17" spans="1:1" ht="15.75" thickBot="1" x14ac:dyDescent="0.25">
      <c r="A17" s="228" t="s">
        <v>116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3"/>
  <sheetViews>
    <sheetView topLeftCell="A7" zoomScaleNormal="100" workbookViewId="0">
      <selection activeCell="A7" sqref="A7:XFD7"/>
    </sheetView>
  </sheetViews>
  <sheetFormatPr defaultRowHeight="12.75" x14ac:dyDescent="0.2"/>
  <cols>
    <col min="1" max="1" width="58.28515625" style="255" customWidth="1"/>
    <col min="2" max="2" width="11.140625" style="255" bestFit="1" customWidth="1"/>
    <col min="3" max="3" width="11.28515625" style="255" bestFit="1" customWidth="1"/>
    <col min="4" max="16384" width="9.140625" style="255"/>
  </cols>
  <sheetData>
    <row r="1" spans="1:7" x14ac:dyDescent="0.2">
      <c r="A1" s="11" t="s">
        <v>210</v>
      </c>
    </row>
    <row r="2" spans="1:7" x14ac:dyDescent="0.2">
      <c r="A2" s="260" t="s">
        <v>257</v>
      </c>
    </row>
    <row r="3" spans="1:7" x14ac:dyDescent="0.2">
      <c r="A3" s="260" t="s">
        <v>283</v>
      </c>
    </row>
    <row r="4" spans="1:7" x14ac:dyDescent="0.2">
      <c r="A4" s="7" t="s">
        <v>281</v>
      </c>
    </row>
    <row r="5" spans="1:7" x14ac:dyDescent="0.2">
      <c r="A5" s="7"/>
    </row>
    <row r="6" spans="1:7" s="4" customFormat="1" ht="15.6" customHeight="1" x14ac:dyDescent="0.2">
      <c r="A6" s="277" t="s">
        <v>287</v>
      </c>
      <c r="B6" s="5"/>
      <c r="C6" s="5"/>
      <c r="D6" s="5"/>
      <c r="E6" s="5"/>
      <c r="F6" s="5"/>
      <c r="G6" s="6"/>
    </row>
    <row r="7" spans="1:7" ht="13.5" thickBot="1" x14ac:dyDescent="0.25"/>
    <row r="8" spans="1:7" ht="18" x14ac:dyDescent="0.25">
      <c r="A8" s="287" t="s">
        <v>277</v>
      </c>
      <c r="B8" s="288"/>
      <c r="C8" s="289"/>
    </row>
    <row r="9" spans="1:7" ht="18" x14ac:dyDescent="0.25">
      <c r="A9" s="273"/>
      <c r="B9" s="272"/>
      <c r="C9" s="274"/>
    </row>
    <row r="10" spans="1:7" s="102" customFormat="1" ht="15" x14ac:dyDescent="0.25">
      <c r="A10" s="261" t="s">
        <v>278</v>
      </c>
      <c r="B10" s="262" t="s">
        <v>258</v>
      </c>
      <c r="C10" s="263" t="s">
        <v>150</v>
      </c>
    </row>
    <row r="11" spans="1:7" ht="14.25" x14ac:dyDescent="0.2">
      <c r="A11" s="184" t="s">
        <v>266</v>
      </c>
      <c r="B11" s="264" t="s">
        <v>259</v>
      </c>
      <c r="C11" s="185">
        <v>9777</v>
      </c>
    </row>
    <row r="12" spans="1:7" ht="14.25" x14ac:dyDescent="0.2">
      <c r="A12" s="184" t="s">
        <v>267</v>
      </c>
      <c r="B12" s="264" t="s">
        <v>264</v>
      </c>
      <c r="C12" s="265">
        <f>0.0362741*C11^0.2336249</f>
        <v>0.31031876182099555</v>
      </c>
    </row>
    <row r="13" spans="1:7" ht="14.25" x14ac:dyDescent="0.2">
      <c r="A13" s="184" t="s">
        <v>268</v>
      </c>
      <c r="B13" s="264" t="s">
        <v>265</v>
      </c>
      <c r="C13" s="266">
        <f>C11*C12/1000</f>
        <v>3.0339865343238737</v>
      </c>
    </row>
    <row r="14" spans="1:7" ht="14.25" x14ac:dyDescent="0.2">
      <c r="A14" s="184" t="s">
        <v>274</v>
      </c>
      <c r="B14" s="264" t="s">
        <v>260</v>
      </c>
      <c r="C14" s="267">
        <f>(C13*30)</f>
        <v>91.019596029716212</v>
      </c>
    </row>
    <row r="15" spans="1:7" ht="14.25" x14ac:dyDescent="0.2">
      <c r="A15" s="184" t="s">
        <v>270</v>
      </c>
      <c r="B15" s="264" t="s">
        <v>95</v>
      </c>
      <c r="C15" s="270">
        <v>6</v>
      </c>
    </row>
    <row r="16" spans="1:7" ht="14.25" x14ac:dyDescent="0.2">
      <c r="A16" s="184" t="s">
        <v>269</v>
      </c>
      <c r="B16" s="264" t="s">
        <v>265</v>
      </c>
      <c r="C16" s="266">
        <f>IFERROR(C13*7/C15,0)</f>
        <v>3.5396509567111862</v>
      </c>
    </row>
    <row r="17" spans="1:3" ht="14.25" x14ac:dyDescent="0.2">
      <c r="A17" s="184" t="s">
        <v>261</v>
      </c>
      <c r="B17" s="264" t="s">
        <v>262</v>
      </c>
      <c r="C17" s="207">
        <v>500</v>
      </c>
    </row>
    <row r="18" spans="1:3" ht="14.25" x14ac:dyDescent="0.2">
      <c r="A18" s="184" t="s">
        <v>275</v>
      </c>
      <c r="B18" s="264"/>
      <c r="C18" s="185">
        <v>2</v>
      </c>
    </row>
    <row r="19" spans="1:3" ht="14.25" x14ac:dyDescent="0.2">
      <c r="A19" s="184" t="s">
        <v>276</v>
      </c>
      <c r="B19" s="264" t="s">
        <v>263</v>
      </c>
      <c r="C19" s="185">
        <v>19</v>
      </c>
    </row>
    <row r="20" spans="1:3" ht="14.25" x14ac:dyDescent="0.2">
      <c r="A20" s="184" t="s">
        <v>271</v>
      </c>
      <c r="B20" s="264" t="s">
        <v>260</v>
      </c>
      <c r="C20" s="207">
        <f>IF(AND(C19&gt;=15,C18=1),5.8,C19/2)</f>
        <v>9.5</v>
      </c>
    </row>
    <row r="21" spans="1:3" ht="14.25" x14ac:dyDescent="0.2">
      <c r="A21" s="184" t="s">
        <v>272</v>
      </c>
      <c r="B21" s="264"/>
      <c r="C21" s="266">
        <f>IFERROR(C16/C20,0)</f>
        <v>0.37259483754854594</v>
      </c>
    </row>
    <row r="22" spans="1:3" ht="14.25" x14ac:dyDescent="0.2">
      <c r="A22" s="184" t="s">
        <v>279</v>
      </c>
      <c r="B22" s="264"/>
      <c r="C22" s="275">
        <v>1</v>
      </c>
    </row>
    <row r="23" spans="1:3" ht="15" thickBot="1" x14ac:dyDescent="0.25">
      <c r="A23" s="268" t="s">
        <v>273</v>
      </c>
      <c r="B23" s="269"/>
      <c r="C23" s="271">
        <f>IFERROR(C21/C22,0)</f>
        <v>0.37259483754854594</v>
      </c>
    </row>
  </sheetData>
  <mergeCells count="1">
    <mergeCell ref="A8:C8"/>
  </mergeCells>
  <conditionalFormatting sqref="C20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Mateus Bosa</cp:lastModifiedBy>
  <cp:lastPrinted>2017-08-10T17:29:27Z</cp:lastPrinted>
  <dcterms:created xsi:type="dcterms:W3CDTF">2000-12-13T10:02:50Z</dcterms:created>
  <dcterms:modified xsi:type="dcterms:W3CDTF">2026-03-10T21:14:27Z</dcterms:modified>
</cp:coreProperties>
</file>