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tendimento\Documentos\1.PREFEITURAS\MUNICIPIO DE SALDANHA MARINHO\1. EDITAL COLETA LIXO\REVISADOS JULHO 2026\"/>
    </mc:Choice>
  </mc:AlternateContent>
  <bookViews>
    <workbookView xWindow="12105" yWindow="-15" windowWidth="11910" windowHeight="9840" tabRatio="982"/>
  </bookViews>
  <sheets>
    <sheet name="1. Coleta Domiciliar" sheetId="2" r:id="rId1"/>
    <sheet name="2.Encargos Sociais" sheetId="8" r:id="rId2"/>
    <sheet name="3.CAGED" sheetId="5" r:id="rId3"/>
    <sheet name="4.BDI" sheetId="4" r:id="rId4"/>
    <sheet name="5. Depreciação" sheetId="6" r:id="rId5"/>
    <sheet name="6.Remuneração de capital" sheetId="7" r:id="rId6"/>
    <sheet name="7. Dimensionamento" sheetId="9" r:id="rId7"/>
  </sheets>
  <definedNames>
    <definedName name="AbaDeprec">'5. Depreciação'!$A$1</definedName>
    <definedName name="AbaRemun">'6.Remuneração de capital'!$A$1</definedName>
    <definedName name="_xlnm.Print_Area" localSheetId="0">'1. Coleta Domiciliar'!$A$1:$F$253</definedName>
    <definedName name="_xlnm.Print_Area" localSheetId="1">'2.Encargos Sociais'!$A$1:$C$39</definedName>
    <definedName name="_xlnm.Print_Titles" localSheetId="0">'1. Coleta Domiciliar'!$1:$8</definedName>
  </definedNames>
  <calcPr calcId="152511"/>
</workbook>
</file>

<file path=xl/calcChain.xml><?xml version="1.0" encoding="utf-8"?>
<calcChain xmlns="http://schemas.openxmlformats.org/spreadsheetml/2006/main">
  <c r="F246" i="2" l="1"/>
  <c r="F235" i="2"/>
  <c r="D183" i="2" l="1"/>
  <c r="E183" i="2" s="1"/>
  <c r="F252" i="2" l="1"/>
  <c r="C142" i="2"/>
  <c r="F131" i="2"/>
  <c r="F97" i="2" l="1"/>
  <c r="D121" i="2" l="1"/>
  <c r="D155" i="2"/>
  <c r="E231" i="2" l="1"/>
  <c r="E175" i="2"/>
  <c r="C227" i="2"/>
  <c r="E227" i="2" s="1"/>
  <c r="D228" i="2" s="1"/>
  <c r="E228" i="2" s="1"/>
  <c r="C229" i="2" l="1"/>
  <c r="E229" i="2" s="1"/>
  <c r="D230" i="2" s="1"/>
  <c r="E230" i="2" s="1"/>
  <c r="F231" i="2" s="1"/>
  <c r="F233" i="2" s="1"/>
  <c r="C240" i="2" l="1"/>
  <c r="C17" i="9" l="1"/>
  <c r="C14" i="9"/>
  <c r="C21" i="9" l="1"/>
  <c r="C23" i="5" l="1"/>
  <c r="C172" i="2" l="1"/>
  <c r="C171" i="2"/>
  <c r="C173" i="2"/>
  <c r="A33" i="2" l="1"/>
  <c r="A31" i="2"/>
  <c r="A23" i="2"/>
  <c r="A22" i="2"/>
  <c r="A16" i="2"/>
  <c r="C22" i="9" l="1"/>
  <c r="C24" i="9" s="1"/>
  <c r="C147" i="2"/>
  <c r="C166" i="2" l="1"/>
  <c r="C161" i="2"/>
  <c r="D191" i="2"/>
  <c r="D189" i="2"/>
  <c r="D187" i="2"/>
  <c r="D185" i="2"/>
  <c r="E121" i="2" l="1"/>
  <c r="E105" i="2"/>
  <c r="E106" i="2"/>
  <c r="E107" i="2"/>
  <c r="E108" i="2"/>
  <c r="D115" i="2" s="1"/>
  <c r="E109" i="2"/>
  <c r="E110" i="2"/>
  <c r="E111" i="2"/>
  <c r="E112" i="2"/>
  <c r="E113" i="2"/>
  <c r="E104" i="2"/>
  <c r="C206" i="2" l="1"/>
  <c r="A30" i="2"/>
  <c r="A29" i="2"/>
  <c r="A28" i="2"/>
  <c r="A27" i="2"/>
  <c r="A26" i="2"/>
  <c r="A25" i="2"/>
  <c r="A24" i="2"/>
  <c r="A21" i="2"/>
  <c r="A20" i="2"/>
  <c r="A19" i="2"/>
  <c r="A18" i="2"/>
  <c r="A17" i="2"/>
  <c r="C20" i="8"/>
  <c r="E167" i="2"/>
  <c r="E151" i="2"/>
  <c r="E129" i="2"/>
  <c r="E116" i="2"/>
  <c r="E95" i="2"/>
  <c r="E74" i="2"/>
  <c r="E61" i="2"/>
  <c r="C15" i="4"/>
  <c r="C20" i="4" s="1"/>
  <c r="F13" i="4"/>
  <c r="E13" i="4"/>
  <c r="D13" i="4"/>
  <c r="C17" i="8"/>
  <c r="C25" i="5"/>
  <c r="E66" i="2"/>
  <c r="D82" i="2" s="1"/>
  <c r="C204" i="2"/>
  <c r="E204" i="2" s="1"/>
  <c r="C183" i="2"/>
  <c r="C185" i="2" s="1"/>
  <c r="E185" i="2" s="1"/>
  <c r="D192" i="2"/>
  <c r="E139" i="2"/>
  <c r="D160" i="2"/>
  <c r="C148" i="2"/>
  <c r="C143" i="2"/>
  <c r="C144" i="2"/>
  <c r="C160" i="2" s="1"/>
  <c r="A41" i="2"/>
  <c r="A42" i="2"/>
  <c r="A46" i="2"/>
  <c r="E55" i="2"/>
  <c r="D81" i="2" s="1"/>
  <c r="A87" i="2"/>
  <c r="A93" i="2" s="1"/>
  <c r="A88" i="2"/>
  <c r="A94" i="2" s="1"/>
  <c r="E114" i="2"/>
  <c r="D122" i="2"/>
  <c r="E122" i="2" s="1"/>
  <c r="D123" i="2"/>
  <c r="E123" i="2" s="1"/>
  <c r="E124" i="2"/>
  <c r="E125" i="2"/>
  <c r="E126" i="2"/>
  <c r="E127" i="2"/>
  <c r="E202" i="2"/>
  <c r="E173" i="2"/>
  <c r="E172" i="2"/>
  <c r="E215" i="2"/>
  <c r="E218" i="2"/>
  <c r="E219" i="2"/>
  <c r="E216" i="2"/>
  <c r="E217" i="2"/>
  <c r="D69" i="2"/>
  <c r="E69" i="2" s="1"/>
  <c r="C27" i="5" l="1"/>
  <c r="C28" i="5" s="1"/>
  <c r="C26" i="5"/>
  <c r="C31" i="8" s="1"/>
  <c r="D142" i="2"/>
  <c r="E142" i="2" s="1"/>
  <c r="D171" i="2"/>
  <c r="C189" i="2"/>
  <c r="E189" i="2" s="1"/>
  <c r="C191" i="2"/>
  <c r="E191" i="2" s="1"/>
  <c r="F220" i="2"/>
  <c r="F222" i="2" s="1"/>
  <c r="E88" i="2"/>
  <c r="E144" i="2"/>
  <c r="C162" i="2" s="1"/>
  <c r="E87" i="2"/>
  <c r="E43" i="2"/>
  <c r="E81" i="2"/>
  <c r="E160" i="2"/>
  <c r="E94" i="2"/>
  <c r="D56" i="2"/>
  <c r="E56" i="2" s="1"/>
  <c r="E57" i="2" s="1"/>
  <c r="D58" i="2" s="1"/>
  <c r="C187" i="2"/>
  <c r="E187" i="2" s="1"/>
  <c r="E197" i="2"/>
  <c r="F198" i="2" s="1"/>
  <c r="E29" i="2" s="1"/>
  <c r="E32" i="2"/>
  <c r="E155" i="2"/>
  <c r="D205" i="2"/>
  <c r="E205" i="2" s="1"/>
  <c r="D206" i="2" s="1"/>
  <c r="E206" i="2" s="1"/>
  <c r="F207" i="2" s="1"/>
  <c r="E30" i="2" s="1"/>
  <c r="E82" i="2"/>
  <c r="D128" i="2"/>
  <c r="E70" i="2"/>
  <c r="E31" i="2" l="1"/>
  <c r="C30" i="8"/>
  <c r="C33" i="5"/>
  <c r="C27" i="8" s="1"/>
  <c r="C35" i="8" s="1"/>
  <c r="D143" i="2"/>
  <c r="E143" i="2" s="1"/>
  <c r="E171" i="2"/>
  <c r="D174" i="2" s="1"/>
  <c r="E174" i="2" s="1"/>
  <c r="F175" i="2" s="1"/>
  <c r="E27" i="2" s="1"/>
  <c r="C157" i="2"/>
  <c r="C158" i="2" s="1"/>
  <c r="D159" i="2" s="1"/>
  <c r="E159" i="2" s="1"/>
  <c r="C28" i="8"/>
  <c r="C19" i="8"/>
  <c r="C25" i="8" s="1"/>
  <c r="C34" i="8" s="1"/>
  <c r="F89" i="2"/>
  <c r="E20" i="2" s="1"/>
  <c r="F95" i="2"/>
  <c r="E128" i="2"/>
  <c r="F129" i="2" s="1"/>
  <c r="E115" i="2"/>
  <c r="F116" i="2" s="1"/>
  <c r="D147" i="2"/>
  <c r="E147" i="2" s="1"/>
  <c r="D148" i="2" s="1"/>
  <c r="E148" i="2" s="1"/>
  <c r="F83" i="2"/>
  <c r="E19" i="2" s="1"/>
  <c r="F193" i="2"/>
  <c r="E28" i="2" s="1"/>
  <c r="D71" i="2"/>
  <c r="E22" i="2" l="1"/>
  <c r="E21" i="2"/>
  <c r="C29" i="8"/>
  <c r="C32" i="8" s="1"/>
  <c r="C36" i="8"/>
  <c r="E149" i="2"/>
  <c r="D150" i="2" s="1"/>
  <c r="E150" i="2" s="1"/>
  <c r="F151" i="2" s="1"/>
  <c r="E25" i="2" s="1"/>
  <c r="C163" i="2"/>
  <c r="D164" i="2" s="1"/>
  <c r="E164" i="2" s="1"/>
  <c r="E165" i="2" s="1"/>
  <c r="D166" i="2" s="1"/>
  <c r="E166" i="2" s="1"/>
  <c r="F167" i="2" s="1"/>
  <c r="C37" i="8" l="1"/>
  <c r="C71" i="2" s="1"/>
  <c r="E26" i="2"/>
  <c r="E24" i="2" s="1"/>
  <c r="F210" i="2"/>
  <c r="E23" i="2" l="1"/>
  <c r="C58" i="2"/>
  <c r="E58" i="2" s="1"/>
  <c r="E59" i="2" s="1"/>
  <c r="D60" i="2" s="1"/>
  <c r="E60" i="2" s="1"/>
  <c r="F61" i="2" s="1"/>
  <c r="E17" i="2" s="1"/>
  <c r="E71" i="2"/>
  <c r="E72" i="2" s="1"/>
  <c r="D73" i="2" s="1"/>
  <c r="E73" i="2" s="1"/>
  <c r="F74" i="2" s="1"/>
  <c r="E18" i="2" l="1"/>
  <c r="D240" i="2" l="1"/>
  <c r="E240" i="2" s="1"/>
  <c r="E16" i="2"/>
  <c r="F241" i="2" l="1"/>
  <c r="F243" i="2" s="1"/>
  <c r="E33" i="2" l="1"/>
  <c r="E34" i="2" s="1"/>
  <c r="F32" i="2" s="1"/>
  <c r="F16" i="2" l="1"/>
  <c r="F29" i="2"/>
  <c r="F20" i="2"/>
  <c r="F28" i="2"/>
  <c r="F17" i="2"/>
  <c r="F18" i="2"/>
  <c r="F21" i="2"/>
  <c r="F25" i="2"/>
  <c r="F19" i="2"/>
  <c r="F30" i="2"/>
  <c r="F26" i="2"/>
  <c r="F27" i="2"/>
  <c r="F23" i="2"/>
  <c r="F31" i="2"/>
  <c r="F24" i="2"/>
  <c r="F22" i="2"/>
  <c r="F33" i="2"/>
  <c r="F34" i="2" l="1"/>
</calcChain>
</file>

<file path=xl/comments1.xml><?xml version="1.0" encoding="utf-8"?>
<comments xmlns="http://schemas.openxmlformats.org/spreadsheetml/2006/main">
  <authors>
    <author>Clauber Bridi</author>
  </authors>
  <commentList>
    <comment ref="A14" authorId="0" shape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9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5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8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60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66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67" authorId="0" shapeId="0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68" authorId="0" shapeId="0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69" authorId="0" shapeId="0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71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73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79" authorId="0" shapeId="0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80" authorId="0" shapeId="0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81" authorId="0" shapeId="0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82" authorId="0" shapeId="0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87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88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93" authorId="0" shapeId="0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94" authorId="0" shapeId="0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C104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4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05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5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06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07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7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08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8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09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9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0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0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1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1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2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2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3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3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14" authorId="0" shapeId="0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121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22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23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24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25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26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7" authorId="0" shapeId="0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39" authorId="0" shapeId="0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40" authorId="0" shapeId="0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41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42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4" authorId="0" shapeId="0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145" authorId="0" shapeId="0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146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47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0" authorId="0" shapeId="0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156" authorId="0" shapeId="0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2" authorId="0" shapeId="0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173" authorId="0" shapeId="0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179" authorId="0" shapeId="0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182" authorId="0" shapeId="0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182" authorId="0" shapeId="0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84" authorId="0" shapeId="0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84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186" authorId="0" shapeId="0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186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188" authorId="0" shapeId="0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188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190" authorId="0" shapeId="0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190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197" authorId="0" shapeId="0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02" authorId="0" shapeId="0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02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03" authorId="0" shapeId="0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04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05" authorId="0" shapeId="0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215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5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16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17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7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18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8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19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9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24" authorId="0" shapeId="0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7" authorId="0" shapeId="0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</t>
        </r>
      </text>
    </comment>
    <comment ref="D229" authorId="0" shapeId="0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</t>
        </r>
      </text>
    </comment>
    <comment ref="C240" authorId="0" shapeId="0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C12" authorId="0" shapeId="0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3.xml><?xml version="1.0" encoding="utf-8"?>
<comments xmlns="http://schemas.openxmlformats.org/spreadsheetml/2006/main">
  <authors>
    <author>cbridi</author>
    <author>Clauber Bridi</author>
    <author>Omar</author>
  </authors>
  <commentList>
    <comment ref="C12" authorId="0" shapeId="0">
      <text>
        <r>
          <rPr>
            <sz val="8"/>
            <color indexed="81"/>
            <rFont val="Tahoma"/>
            <family val="2"/>
          </rPr>
          <t>Informar a população do município a ser atendida</t>
        </r>
      </text>
    </comment>
    <comment ref="C13" authorId="1" shapeId="0">
      <text>
        <r>
          <rPr>
            <b/>
            <sz val="9"/>
            <color indexed="81"/>
            <rFont val="Tahoma"/>
            <family val="2"/>
          </rPr>
          <t>Caso o município possua informações de pesagem, ajustar com o valor da geração média per capita realizada nos últimos 12 meses</t>
        </r>
      </text>
    </comment>
    <comment ref="C14" authorId="2" shapeId="0">
      <text>
        <r>
          <rPr>
            <sz val="9"/>
            <color indexed="81"/>
            <rFont val="Tahoma"/>
            <family val="2"/>
          </rPr>
          <t>retorna a geração diária a ser recolhida</t>
        </r>
      </text>
    </comment>
    <comment ref="C16" authorId="0" shapeId="0">
      <text>
        <r>
          <rPr>
            <b/>
            <sz val="8"/>
            <color indexed="81"/>
            <rFont val="Tahoma"/>
            <family val="2"/>
          </rPr>
          <t>Informe o número de dias de coleta por semana</t>
        </r>
      </text>
    </comment>
    <comment ref="C19" authorId="0" shapeId="0">
      <text>
        <r>
          <rPr>
            <sz val="8"/>
            <color indexed="81"/>
            <rFont val="Tahoma"/>
            <family val="2"/>
          </rPr>
          <t>Informar 1 para caminhão toco; Informar 2 para caminhão truck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  <comment ref="C20" authorId="0" shapeId="0">
      <text>
        <r>
          <rPr>
            <sz val="8"/>
            <color indexed="81"/>
            <rFont val="Tahoma"/>
            <family val="2"/>
          </rPr>
          <t>Informar a capacidade do compactador em m³</t>
        </r>
      </text>
    </comment>
    <comment ref="C23" authorId="1" shapeId="0">
      <text>
        <r>
          <rPr>
            <sz val="8"/>
            <color indexed="81"/>
            <rFont val="Tahoma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<sst xmlns="http://schemas.openxmlformats.org/spreadsheetml/2006/main" count="507" uniqueCount="304">
  <si>
    <t>Adicional de Insalubridade</t>
  </si>
  <si>
    <t>%</t>
  </si>
  <si>
    <t>Soma</t>
  </si>
  <si>
    <t>Encargos Sociais</t>
  </si>
  <si>
    <t>Total do Efetivo</t>
  </si>
  <si>
    <t>homem</t>
  </si>
  <si>
    <t>mês</t>
  </si>
  <si>
    <t>vale</t>
  </si>
  <si>
    <t>unidade</t>
  </si>
  <si>
    <t>Colete reflexivo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</si>
  <si>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</si>
  <si>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</si>
  <si>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</si>
  <si>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</si>
  <si>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</si>
  <si>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</si>
  <si>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</si>
  <si>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</si>
  <si>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</si>
  <si>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</si>
  <si>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</si>
  <si>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</si>
  <si>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</si>
  <si>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</si>
  <si>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</si>
  <si>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toneladas</t>
  </si>
  <si>
    <t>Pá de Concha</t>
  </si>
  <si>
    <t>Vassoura</t>
  </si>
  <si>
    <t>Calça</t>
  </si>
  <si>
    <t>Camiseta</t>
  </si>
  <si>
    <t>Boné</t>
  </si>
  <si>
    <t>Luva de proteção</t>
  </si>
  <si>
    <t>R$</t>
  </si>
  <si>
    <t>Benefícios e despesas indiretas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</si>
  <si>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</si>
  <si>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</si>
  <si>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</si>
  <si>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</si>
  <si>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</si>
  <si>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</si>
  <si>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</si>
  <si>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</si>
  <si>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</si>
  <si>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</si>
  <si>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</si>
  <si>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</si>
  <si>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</si>
  <si>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</si>
  <si>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</si>
  <si>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</si>
  <si>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</si>
  <si>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</si>
  <si>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</si>
  <si>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Publicidade (adesivos equipamentos)</t>
  </si>
  <si>
    <t>cj</t>
  </si>
  <si>
    <t>Total de mão-de-obra (postos de trabalho)</t>
  </si>
  <si>
    <t>Publicidade (adesivos veículos)</t>
  </si>
  <si>
    <t>3.1.6. Pneus</t>
  </si>
  <si>
    <t>Protetor solar FPS 30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</si>
  <si>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</si>
  <si>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</si>
  <si>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</si>
  <si>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</si>
  <si>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Jaqueta com reflexivo (NBR 15.292)</t>
  </si>
  <si>
    <t>Capa de chuva amarela com reflexivo</t>
  </si>
  <si>
    <t>Botina de segurança c/ palmilha aço</t>
  </si>
  <si>
    <t>Custo de recapagem</t>
  </si>
  <si>
    <t>Recipiente térmico para água (5L)</t>
  </si>
  <si>
    <t>Total por Coletor</t>
  </si>
  <si>
    <t>Coletor</t>
  </si>
  <si>
    <t>4. Ferramentas e Materiais de Consumo</t>
  </si>
  <si>
    <t>5. Monitoramento da Frota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</si>
  <si>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</si>
  <si>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</si>
  <si>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</si>
  <si>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</si>
  <si>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</si>
  <si>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</si>
  <si>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</si>
  <si>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</si>
  <si>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</si>
  <si>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</si>
  <si>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</si>
  <si>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</si>
  <si>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</si>
  <si>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</si>
  <si>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6. Benefícios e Despesas Indiretas - BDI</t>
  </si>
  <si>
    <t>Vale Transporte</t>
  </si>
  <si>
    <t>Dias Trabalhados por mês</t>
  </si>
  <si>
    <t>dia</t>
  </si>
  <si>
    <t>Custo Mensal com Mão-de-obra (R$/mês)</t>
  </si>
  <si>
    <t>Meia de algodão com cano alto</t>
  </si>
  <si>
    <t>Custo do jogo de pneus xxx/xx Rxx</t>
  </si>
  <si>
    <r>
      <t xml:space="preserve">Custo jg. compl. + </t>
    </r>
    <r>
      <rPr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recap./ km rodado</t>
    </r>
  </si>
  <si>
    <t>Quantitativos</t>
  </si>
  <si>
    <t>1.1. Coletor Turno Dia</t>
  </si>
  <si>
    <t>1.3. Motorista Turno do Dia</t>
  </si>
  <si>
    <t>1.5. Vale Transporte</t>
  </si>
  <si>
    <t>Vida útil do chassis</t>
  </si>
  <si>
    <t>anos</t>
  </si>
  <si>
    <t>Vida útil do compactador</t>
  </si>
  <si>
    <t>Depreciação do compactador</t>
  </si>
  <si>
    <t>Depreciação do chassis</t>
  </si>
  <si>
    <t>Custo de aquisição do compactador</t>
  </si>
  <si>
    <t>Custo de aquisição do chassis</t>
  </si>
  <si>
    <t>Depreciação mensal do compactador</t>
  </si>
  <si>
    <t>i = taxa de juros do mercado (sugere-se adotar a taxa SELIC)</t>
  </si>
  <si>
    <t>n = vida útil do bem em anos</t>
  </si>
  <si>
    <t>Custo do chassis</t>
  </si>
  <si>
    <t>Custo do compactador</t>
  </si>
  <si>
    <t>3.1.2. Remuneração do Capital</t>
  </si>
  <si>
    <t>Im = investimento médio</t>
  </si>
  <si>
    <t>Remuneração mensal de capital do compactador</t>
  </si>
  <si>
    <t>Investimento médio total do chassis</t>
  </si>
  <si>
    <t>Remuneração mensal de capital do chassis</t>
  </si>
  <si>
    <t>Investimento médio total do compactador</t>
  </si>
  <si>
    <t>Custo de manutenção dos caminhões</t>
  </si>
  <si>
    <t>Quilometragem mensal</t>
  </si>
  <si>
    <t>R$/km rodado</t>
  </si>
  <si>
    <t>Número de recapagens por pneu</t>
  </si>
  <si>
    <t>1.6. Vale-refeição (diário)</t>
  </si>
  <si>
    <t>1.7. Auxílio Alimentação (mensal)</t>
  </si>
  <si>
    <t>R$ mensal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</si>
  <si>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</si>
  <si>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</si>
  <si>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</si>
  <si>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</si>
  <si>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</si>
  <si>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</si>
  <si>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</si>
  <si>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</si>
  <si>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</si>
  <si>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</si>
  <si>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</si>
  <si>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</si>
  <si>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Dias ano</t>
  </si>
  <si>
    <t>Estoque Médio</t>
  </si>
  <si>
    <t>Multa FGTS</t>
  </si>
  <si>
    <t>Dias de Aviso prévio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</si>
  <si>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</si>
  <si>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</si>
  <si>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</si>
  <si>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</si>
  <si>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</si>
  <si>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</si>
  <si>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</si>
  <si>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</si>
  <si>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</si>
  <si>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</si>
  <si>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</si>
  <si>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</si>
  <si>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</si>
  <si>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</si>
  <si>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</si>
  <si>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</si>
  <si>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</si>
  <si>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</si>
  <si>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</si>
  <si>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</si>
  <si>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</si>
  <si>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</si>
  <si>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</si>
  <si>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</si>
  <si>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</si>
  <si>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</si>
  <si>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</si>
  <si>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</si>
  <si>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</si>
  <si>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</si>
  <si>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</si>
  <si>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</si>
  <si>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</si>
  <si>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</si>
  <si>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</si>
  <si>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</si>
  <si>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</si>
  <si>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</si>
  <si>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</si>
  <si>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</si>
  <si>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</si>
  <si>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</si>
  <si>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</si>
  <si>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</si>
  <si>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</si>
  <si>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</si>
  <si>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</si>
  <si>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</si>
  <si>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</si>
  <si>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</si>
  <si>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</si>
  <si>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</si>
  <si>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</si>
  <si>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</si>
  <si>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</si>
  <si>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</si>
  <si>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2.1. Uniformes e EPIs para Coletor</t>
  </si>
  <si>
    <t>Higienização de uniformes e EPIs</t>
  </si>
  <si>
    <t>2.2. Uniformes e EPIs para demais categorias</t>
  </si>
  <si>
    <t>Custo Mensal com Uniformes e EPIs (R$/mês)</t>
  </si>
  <si>
    <t>Descrição do Item</t>
  </si>
  <si>
    <t>Orçamento Sintético</t>
  </si>
  <si>
    <t>Orientações para preenchimento:</t>
  </si>
  <si>
    <t>2. Preencher somente células em amarelo</t>
  </si>
  <si>
    <t>Rio Grande do Sul  - Coleta de Resíduos Não-Perigosos - CNAE 38114</t>
  </si>
  <si>
    <t>Idade do veículo (ano)</t>
  </si>
  <si>
    <t>Idade do veículo</t>
  </si>
  <si>
    <t>Idade do compactador</t>
  </si>
  <si>
    <t>Valor do veículo proposto (V0)</t>
  </si>
  <si>
    <t>Valor do compactador proposto (V0)</t>
  </si>
  <si>
    <t>Taxa de juros anual nominal</t>
  </si>
  <si>
    <t>Piso da categoria</t>
  </si>
  <si>
    <t>Base de cálculo da Insalubridade</t>
  </si>
  <si>
    <t>C2</t>
  </si>
  <si>
    <t>B3</t>
  </si>
  <si>
    <t xml:space="preserve">1. Coleta de Resíduos Sólidos </t>
  </si>
  <si>
    <t xml:space="preserve">Quantidade média de resíduos coletados por mês: </t>
  </si>
  <si>
    <t>Custo Mensal com Monitoramento da Frota (R$/mês)</t>
  </si>
  <si>
    <t>Custo Mensal com Veículos e Equipamentos (R$/mês)</t>
  </si>
  <si>
    <t>Custo Mensal com Ferramentas e Materiais de Consumo (R$/mês)</t>
  </si>
  <si>
    <t>CUSTO TOTAL MENSAL COM DESPESAS OPERACIONAIS (R$/mês)</t>
  </si>
  <si>
    <t>PREÇO MENSAL TOTAL (R$/mês)</t>
  </si>
  <si>
    <t>3. CAGED</t>
  </si>
  <si>
    <t>4. Composição do BDI - Benefícios e Despesas Indiretas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</si>
  <si>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</si>
  <si>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</si>
  <si>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</si>
  <si>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</si>
  <si>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</si>
  <si>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</si>
  <si>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</si>
  <si>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</si>
  <si>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</si>
  <si>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</si>
  <si>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CUSTO MENSAL COM BDI (R$/mês)</t>
  </si>
  <si>
    <t>CÁLCULO DAS VERBAS INDENIZATÓRIAS DOS EMPREGADOS NO SETOR DE COLETA DE RSU</t>
  </si>
  <si>
    <t>1/3 de férias (dias)</t>
  </si>
  <si>
    <t>Férias (dias)</t>
  </si>
  <si>
    <t>13º Salário (dias)</t>
  </si>
  <si>
    <t>Referência estudo TCE</t>
  </si>
  <si>
    <t>1. Preencha previamente os dados de entrada na planilha 3.CAGED</t>
  </si>
  <si>
    <t>Rotatividade temporal (meses)</t>
  </si>
  <si>
    <t>1. Esta planilha é somente um modelo-base e deve ser ajustada conforme cada caso concreto.</t>
  </si>
  <si>
    <t>Fórmula de cálculo da remuneração de capital:</t>
  </si>
  <si>
    <t>Total por Motorista</t>
  </si>
  <si>
    <t>Durabilidade (meses)</t>
  </si>
  <si>
    <t>Custo com consumos/km rodado</t>
  </si>
  <si>
    <t>Consumo</t>
  </si>
  <si>
    <t>Total por veículo</t>
  </si>
  <si>
    <t>Total da frota</t>
  </si>
  <si>
    <t>1. Esta planilha é somente um modelo de cálculo expedito e deve ser ajustada conforme cada caso concreto.</t>
  </si>
  <si>
    <t>Unid</t>
  </si>
  <si>
    <t>hab</t>
  </si>
  <si>
    <t>ton</t>
  </si>
  <si>
    <t>Densidade RSU compactado</t>
  </si>
  <si>
    <t>Kg/m³</t>
  </si>
  <si>
    <t>m³</t>
  </si>
  <si>
    <t>Kg/hab.dia</t>
  </si>
  <si>
    <t>ton/dia</t>
  </si>
  <si>
    <t>População (H)</t>
  </si>
  <si>
    <t>Geração per capita (G)</t>
  </si>
  <si>
    <t>Geração total diária (Qd)</t>
  </si>
  <si>
    <t>Quantitativo diário de coleta (Qc)</t>
  </si>
  <si>
    <t>Número de dias de coleta por semana (Dc)</t>
  </si>
  <si>
    <t>Capacidade nominal de carga (Cc)</t>
  </si>
  <si>
    <t>Número de Cargas por dia (Nc)</t>
  </si>
  <si>
    <t>Número de veículos da Frota (F)</t>
  </si>
  <si>
    <t>Geração Mensal</t>
  </si>
  <si>
    <t>Tipo de Veículo (1 = toco, 2 = truck)</t>
  </si>
  <si>
    <t>Capacidade do Compactador</t>
  </si>
  <si>
    <t>7. Dimensionamento da frota</t>
  </si>
  <si>
    <t>Indicador</t>
  </si>
  <si>
    <t>Número total de percursos de coleta por veículo, por dia (Np)</t>
  </si>
  <si>
    <t>i</t>
  </si>
  <si>
    <t>3. Preencher somente células em amarelo</t>
  </si>
  <si>
    <t>Depreciação Média</t>
  </si>
  <si>
    <t>2. Dimensionar separadamente setores atendidos por veículos de capacidade de carga diferentes.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</si>
  <si>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</si>
  <si>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</si>
  <si>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4. As células azuis deverão ter seus valores preenchidos em outra planilha do arquivo.</t>
  </si>
  <si>
    <t>2. Antes de preenchê-la, leia a Orientação Técnica - Serviço de coleta de resíduos sólidos domiciliares</t>
  </si>
  <si>
    <t>Reincidência de FGTS sobre aviso prévio indenizado</t>
  </si>
  <si>
    <t>O orçamento deve ser realizado por responsável técnico habilitado e é de responsabilidade do seu autor.</t>
  </si>
  <si>
    <t>Piso da categoria (2)</t>
  </si>
  <si>
    <t>Salário mínimo nacional (1)</t>
  </si>
  <si>
    <t>O TCE/RS não se responsabiliza pelo uso incorreto desta planilha.</t>
  </si>
  <si>
    <t>% Demitidos s/ Justa Causa em relação ao Estoque Médio</t>
  </si>
  <si>
    <t>Taxa de Rotatividade</t>
  </si>
  <si>
    <t>Acordo</t>
  </si>
  <si>
    <t>Variação Emprego Absoluta de 01-01-2019 a 31-12-2019</t>
  </si>
  <si>
    <t>Estoque recuperado início do Período 01-01-2019</t>
  </si>
  <si>
    <t>Estoque recuperado final do Período 31-12-2019</t>
  </si>
  <si>
    <t>Preencha as células em amarelo</t>
  </si>
  <si>
    <t>Tendo em vista que o CAGED foi descontinuado em janeiro de 2020, esta planilha foi atualizada até 31/12/2019.</t>
  </si>
  <si>
    <t>Ajustado, de acordo com a nova Lei Federal nº 13.932/2019</t>
  </si>
  <si>
    <r>
      <t>3.1. Veículo Coletor Compactador</t>
    </r>
    <r>
      <rPr>
        <sz val="10"/>
        <color indexed="10"/>
        <rFont val="Arial"/>
        <family val="2"/>
      </rPr>
      <t xml:space="preserve"> 15</t>
    </r>
    <r>
      <rPr>
        <sz val="10"/>
        <rFont val="Arial"/>
        <family val="2"/>
      </rPr>
      <t xml:space="preserve"> m³</t>
    </r>
  </si>
  <si>
    <t>/tonelada</t>
  </si>
  <si>
    <t>PREÇO TOTAL MENSAL COM A COLETA + TRANSPORTE</t>
  </si>
  <si>
    <t>Destinação final - ATERRO SANITÁRIO</t>
  </si>
  <si>
    <t>PREÇO TOTAL DE DESTINAÇÃO FINAL (R$/mês)</t>
  </si>
  <si>
    <t>PREÇO POR TONELADA ENCAMINHADA PARA DESTINAÇÃO FINAL</t>
  </si>
  <si>
    <t>Implantação dos equipamentos de monitoramento</t>
  </si>
  <si>
    <t>Custo mensal com implantação</t>
  </si>
  <si>
    <t>Manutenção dos equipamentos de monitoramento</t>
  </si>
  <si>
    <t>Custo mensal com manutenção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</si>
</sst>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.0000"/>
    <numFmt numFmtId="170" formatCode="_-* #,##0.000_-;\-* #,##0.000_-;_-* &quot;-&quot;??_-;_-@_-"/>
    <numFmt numFmtId="171" formatCode="_-* #,##0.00_-;\-* #,##0.00_-;_-* &quot;-&quot;?_-;_-@_-"/>
    <numFmt numFmtId="172" formatCode="_-* #,##0_-;\-* #,##0_-;_-* &quot;-&quot;?_-;_-@_-"/>
    <numFmt numFmtId="173" formatCode="&quot;R$&quot;\ #,##0.00"/>
  </numFmts>
  <fonts count="3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  <charset val="1"/>
    </font>
    <font>
      <sz val="9"/>
      <name val="Arial"/>
      <family val="2"/>
    </font>
    <font>
      <i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60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3" applyFont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165" fontId="3" fillId="0" borderId="0" xfId="3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5" fontId="3" fillId="0" borderId="0" xfId="3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6" fontId="6" fillId="0" borderId="1" xfId="3" applyNumberFormat="1" applyFont="1" applyBorder="1" applyAlignment="1">
      <alignment vertical="center"/>
    </xf>
    <xf numFmtId="165" fontId="6" fillId="0" borderId="0" xfId="3" applyFont="1"/>
    <xf numFmtId="165" fontId="4" fillId="0" borderId="0" xfId="3" applyFont="1" applyAlignment="1">
      <alignment vertical="center"/>
    </xf>
    <xf numFmtId="165" fontId="0" fillId="0" borderId="9" xfId="3" applyFont="1" applyBorder="1" applyAlignment="1">
      <alignment vertical="center"/>
    </xf>
    <xf numFmtId="165" fontId="3" fillId="0" borderId="10" xfId="3" applyFont="1" applyBorder="1" applyAlignment="1">
      <alignment horizontal="center" vertical="center"/>
    </xf>
    <xf numFmtId="165" fontId="3" fillId="0" borderId="0" xfId="3" applyFont="1" applyAlignment="1">
      <alignment vertical="center"/>
    </xf>
    <xf numFmtId="165" fontId="0" fillId="0" borderId="8" xfId="0" applyNumberFormat="1" applyBorder="1" applyAlignment="1">
      <alignment vertical="center"/>
    </xf>
    <xf numFmtId="4" fontId="0" fillId="0" borderId="8" xfId="0" applyNumberFormat="1" applyBorder="1" applyAlignment="1">
      <alignment horizontal="centerContinuous" vertical="center"/>
    </xf>
    <xf numFmtId="165" fontId="0" fillId="0" borderId="8" xfId="3" applyFont="1" applyBorder="1" applyAlignment="1">
      <alignment vertical="center"/>
    </xf>
    <xf numFmtId="165" fontId="3" fillId="0" borderId="11" xfId="3" applyFont="1" applyBorder="1" applyAlignment="1">
      <alignment horizontal="right" vertical="center"/>
    </xf>
    <xf numFmtId="165" fontId="0" fillId="0" borderId="12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0" fontId="10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Border="1" applyAlignment="1">
      <alignment vertical="center"/>
    </xf>
    <xf numFmtId="165" fontId="6" fillId="0" borderId="0" xfId="3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65" fontId="4" fillId="0" borderId="0" xfId="3" applyFont="1" applyBorder="1" applyAlignment="1">
      <alignment vertical="center"/>
    </xf>
    <xf numFmtId="10" fontId="0" fillId="0" borderId="13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165" fontId="11" fillId="2" borderId="15" xfId="3" applyFont="1" applyFill="1" applyBorder="1" applyAlignment="1">
      <alignment horizontal="center" vertical="center"/>
    </xf>
    <xf numFmtId="165" fontId="11" fillId="2" borderId="16" xfId="3" applyFont="1" applyFill="1" applyBorder="1" applyAlignment="1">
      <alignment horizontal="center" vertical="center"/>
    </xf>
    <xf numFmtId="165" fontId="3" fillId="0" borderId="17" xfId="3" applyFont="1" applyBorder="1" applyAlignment="1">
      <alignment horizontal="center" vertical="center"/>
    </xf>
    <xf numFmtId="165" fontId="1" fillId="0" borderId="12" xfId="3" applyFont="1" applyBorder="1" applyAlignment="1">
      <alignment horizontal="left" vertical="center"/>
    </xf>
    <xf numFmtId="165" fontId="6" fillId="0" borderId="8" xfId="3" applyFont="1" applyBorder="1" applyAlignment="1">
      <alignment vertical="center"/>
    </xf>
    <xf numFmtId="165" fontId="6" fillId="0" borderId="12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18" xfId="3" applyNumberFormat="1" applyFont="1" applyBorder="1" applyAlignment="1">
      <alignment horizontal="center" vertical="center"/>
    </xf>
    <xf numFmtId="165" fontId="3" fillId="0" borderId="26" xfId="3" applyFont="1" applyBorder="1" applyAlignment="1">
      <alignment vertical="center"/>
    </xf>
    <xf numFmtId="4" fontId="3" fillId="0" borderId="27" xfId="0" applyNumberFormat="1" applyFont="1" applyBorder="1" applyAlignment="1">
      <alignment vertical="center"/>
    </xf>
    <xf numFmtId="165" fontId="6" fillId="0" borderId="17" xfId="3" applyFont="1" applyBorder="1" applyAlignment="1">
      <alignment vertical="center"/>
    </xf>
    <xf numFmtId="165" fontId="6" fillId="0" borderId="9" xfId="3" applyFont="1" applyBorder="1" applyAlignment="1">
      <alignment vertical="center"/>
    </xf>
    <xf numFmtId="0" fontId="0" fillId="0" borderId="9" xfId="0" applyBorder="1" applyAlignment="1">
      <alignment vertical="center"/>
    </xf>
    <xf numFmtId="1" fontId="6" fillId="0" borderId="10" xfId="3" applyNumberFormat="1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27" xfId="0" applyBorder="1" applyAlignment="1">
      <alignment vertical="center"/>
    </xf>
    <xf numFmtId="1" fontId="3" fillId="0" borderId="29" xfId="3" applyNumberFormat="1" applyFont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165" fontId="10" fillId="0" borderId="0" xfId="3" applyFont="1" applyAlignment="1">
      <alignment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165" fontId="6" fillId="3" borderId="0" xfId="3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166" fontId="6" fillId="0" borderId="1" xfId="3" applyNumberFormat="1" applyFont="1" applyBorder="1" applyAlignment="1">
      <alignment horizontal="center" vertical="center"/>
    </xf>
    <xf numFmtId="165" fontId="6" fillId="3" borderId="1" xfId="3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167" fontId="6" fillId="3" borderId="2" xfId="3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3" fontId="6" fillId="3" borderId="1" xfId="0" applyNumberFormat="1" applyFont="1" applyFill="1" applyBorder="1" applyAlignment="1">
      <alignment horizontal="center" vertical="center"/>
    </xf>
    <xf numFmtId="166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3" applyFont="1" applyBorder="1" applyAlignment="1">
      <alignment horizontal="center" vertical="center"/>
    </xf>
    <xf numFmtId="165" fontId="6" fillId="0" borderId="2" xfId="3" applyFont="1" applyFill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0" fontId="11" fillId="2" borderId="30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165" fontId="11" fillId="2" borderId="31" xfId="3" applyFont="1" applyFill="1" applyBorder="1" applyAlignment="1">
      <alignment horizontal="center" vertical="center"/>
    </xf>
    <xf numFmtId="165" fontId="6" fillId="0" borderId="0" xfId="3" applyFont="1" applyFill="1" applyAlignment="1">
      <alignment vertical="center"/>
    </xf>
    <xf numFmtId="165" fontId="3" fillId="0" borderId="1" xfId="3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vertical="center"/>
    </xf>
    <xf numFmtId="165" fontId="3" fillId="0" borderId="32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165" fontId="3" fillId="0" borderId="3" xfId="3" applyFont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3" applyFont="1" applyAlignment="1">
      <alignment horizontal="right" vertical="center"/>
    </xf>
    <xf numFmtId="165" fontId="3" fillId="2" borderId="7" xfId="3" applyFont="1" applyFill="1" applyBorder="1" applyAlignment="1">
      <alignment horizontal="center" vertical="center"/>
    </xf>
    <xf numFmtId="165" fontId="3" fillId="0" borderId="12" xfId="3" applyFont="1" applyBorder="1" applyAlignment="1">
      <alignment vertical="center"/>
    </xf>
    <xf numFmtId="165" fontId="3" fillId="0" borderId="8" xfId="0" applyNumberFormat="1" applyFont="1" applyBorder="1" applyAlignment="1">
      <alignment vertical="center"/>
    </xf>
    <xf numFmtId="165" fontId="3" fillId="0" borderId="8" xfId="3" applyFont="1" applyBorder="1" applyAlignment="1">
      <alignment vertical="center"/>
    </xf>
    <xf numFmtId="10" fontId="3" fillId="0" borderId="13" xfId="2" applyNumberFormat="1" applyFont="1" applyBorder="1" applyAlignment="1">
      <alignment vertical="center"/>
    </xf>
    <xf numFmtId="165" fontId="3" fillId="0" borderId="35" xfId="3" applyFont="1" applyBorder="1" applyAlignment="1">
      <alignment vertical="center"/>
    </xf>
    <xf numFmtId="4" fontId="3" fillId="0" borderId="0" xfId="0" applyNumberFormat="1" applyFont="1" applyBorder="1" applyAlignment="1">
      <alignment vertical="center"/>
    </xf>
    <xf numFmtId="165" fontId="6" fillId="0" borderId="36" xfId="3" applyFont="1" applyBorder="1" applyAlignment="1">
      <alignment vertical="center"/>
    </xf>
    <xf numFmtId="165" fontId="6" fillId="0" borderId="37" xfId="3" applyFont="1" applyBorder="1" applyAlignment="1">
      <alignment vertical="center"/>
    </xf>
    <xf numFmtId="165" fontId="6" fillId="0" borderId="38" xfId="3" applyFont="1" applyBorder="1" applyAlignment="1">
      <alignment vertical="center"/>
    </xf>
    <xf numFmtId="0" fontId="6" fillId="0" borderId="38" xfId="0" applyFont="1" applyBorder="1" applyAlignment="1">
      <alignment vertical="center"/>
    </xf>
    <xf numFmtId="1" fontId="6" fillId="0" borderId="34" xfId="3" applyNumberFormat="1" applyFont="1" applyBorder="1" applyAlignment="1">
      <alignment horizontal="center" vertical="center"/>
    </xf>
    <xf numFmtId="165" fontId="3" fillId="0" borderId="12" xfId="3" applyFont="1" applyBorder="1" applyAlignment="1">
      <alignment horizontal="left" vertical="center"/>
    </xf>
    <xf numFmtId="4" fontId="3" fillId="0" borderId="8" xfId="0" applyNumberFormat="1" applyFont="1" applyBorder="1" applyAlignment="1">
      <alignment horizontal="centerContinuous" vertical="center"/>
    </xf>
    <xf numFmtId="0" fontId="1" fillId="0" borderId="0" xfId="0" applyFont="1" applyBorder="1" applyAlignment="1">
      <alignment vertical="center"/>
    </xf>
    <xf numFmtId="4" fontId="0" fillId="0" borderId="0" xfId="0" applyNumberFormat="1" applyBorder="1" applyAlignment="1">
      <alignment vertical="center"/>
    </xf>
    <xf numFmtId="4" fontId="6" fillId="0" borderId="0" xfId="0" applyNumberFormat="1" applyFont="1" applyBorder="1" applyAlignment="1">
      <alignment vertical="center"/>
    </xf>
    <xf numFmtId="165" fontId="6" fillId="6" borderId="1" xfId="3" applyFont="1" applyFill="1" applyBorder="1" applyAlignment="1">
      <alignment horizontal="center" vertical="center"/>
    </xf>
    <xf numFmtId="165" fontId="6" fillId="6" borderId="1" xfId="3" applyFont="1" applyFill="1" applyBorder="1" applyAlignment="1">
      <alignment vertical="center"/>
    </xf>
    <xf numFmtId="10" fontId="6" fillId="0" borderId="13" xfId="2" applyNumberFormat="1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1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0" fillId="0" borderId="35" xfId="0" applyFill="1" applyBorder="1" applyAlignment="1">
      <alignment vertical="center"/>
    </xf>
    <xf numFmtId="4" fontId="0" fillId="0" borderId="0" xfId="0" applyNumberFormat="1" applyFill="1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6" xfId="3" applyFont="1" applyFill="1" applyBorder="1" applyAlignment="1">
      <alignment vertical="center"/>
    </xf>
    <xf numFmtId="166" fontId="3" fillId="0" borderId="0" xfId="3" applyNumberFormat="1" applyFont="1" applyBorder="1" applyAlignment="1">
      <alignment horizontal="center" vertical="center"/>
    </xf>
    <xf numFmtId="0" fontId="16" fillId="0" borderId="12" xfId="0" applyFont="1" applyBorder="1"/>
    <xf numFmtId="0" fontId="6" fillId="0" borderId="0" xfId="0" applyFont="1" applyBorder="1"/>
    <xf numFmtId="0" fontId="16" fillId="0" borderId="44" xfId="0" applyFont="1" applyBorder="1"/>
    <xf numFmtId="0" fontId="16" fillId="3" borderId="18" xfId="0" applyFont="1" applyFill="1" applyBorder="1"/>
    <xf numFmtId="0" fontId="16" fillId="0" borderId="21" xfId="0" applyFont="1" applyBorder="1"/>
    <xf numFmtId="0" fontId="16" fillId="0" borderId="45" xfId="0" applyFont="1" applyBorder="1"/>
    <xf numFmtId="0" fontId="16" fillId="0" borderId="18" xfId="0" applyFont="1" applyBorder="1"/>
    <xf numFmtId="0" fontId="16" fillId="0" borderId="26" xfId="0" applyFont="1" applyBorder="1"/>
    <xf numFmtId="2" fontId="17" fillId="7" borderId="1" xfId="0" applyNumberFormat="1" applyFont="1" applyFill="1" applyBorder="1" applyAlignment="1">
      <alignment horizontal="right" vertical="center"/>
    </xf>
    <xf numFmtId="0" fontId="17" fillId="0" borderId="21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2" fontId="17" fillId="7" borderId="33" xfId="0" applyNumberFormat="1" applyFont="1" applyFill="1" applyBorder="1" applyAlignment="1">
      <alignment horizontal="right" vertical="center"/>
    </xf>
    <xf numFmtId="0" fontId="17" fillId="0" borderId="21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7" fillId="0" borderId="18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10" fontId="17" fillId="0" borderId="18" xfId="0" applyNumberFormat="1" applyFont="1" applyBorder="1" applyAlignment="1">
      <alignment horizontal="right" vertical="center"/>
    </xf>
    <xf numFmtId="0" fontId="17" fillId="0" borderId="0" xfId="0" applyFont="1" applyFill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10" fontId="21" fillId="0" borderId="18" xfId="0" applyNumberFormat="1" applyFont="1" applyBorder="1" applyAlignment="1">
      <alignment horizontal="right" vertical="center"/>
    </xf>
    <xf numFmtId="0" fontId="17" fillId="5" borderId="21" xfId="0" applyFont="1" applyFill="1" applyBorder="1" applyAlignment="1">
      <alignment horizontal="left" vertical="center"/>
    </xf>
    <xf numFmtId="0" fontId="21" fillId="5" borderId="1" xfId="0" applyFont="1" applyFill="1" applyBorder="1" applyAlignment="1">
      <alignment horizontal="left" vertical="center"/>
    </xf>
    <xf numFmtId="10" fontId="21" fillId="5" borderId="18" xfId="0" applyNumberFormat="1" applyFont="1" applyFill="1" applyBorder="1" applyAlignment="1">
      <alignment horizontal="right" vertical="center"/>
    </xf>
    <xf numFmtId="0" fontId="22" fillId="0" borderId="1" xfId="0" applyFont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10" fontId="6" fillId="0" borderId="0" xfId="0" applyNumberFormat="1" applyFont="1"/>
    <xf numFmtId="9" fontId="17" fillId="0" borderId="0" xfId="2" applyFont="1" applyBorder="1" applyAlignment="1">
      <alignment horizontal="right" vertical="center"/>
    </xf>
    <xf numFmtId="10" fontId="6" fillId="0" borderId="0" xfId="0" applyNumberFormat="1" applyFont="1" applyBorder="1"/>
    <xf numFmtId="0" fontId="17" fillId="0" borderId="1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/>
    </xf>
    <xf numFmtId="0" fontId="17" fillId="9" borderId="22" xfId="0" applyFont="1" applyFill="1" applyBorder="1" applyAlignment="1">
      <alignment horizontal="left" vertical="center"/>
    </xf>
    <xf numFmtId="0" fontId="21" fillId="9" borderId="33" xfId="0" applyFont="1" applyFill="1" applyBorder="1" applyAlignment="1">
      <alignment horizontal="left" vertical="center"/>
    </xf>
    <xf numFmtId="10" fontId="21" fillId="9" borderId="34" xfId="0" applyNumberFormat="1" applyFont="1" applyFill="1" applyBorder="1" applyAlignment="1">
      <alignment horizontal="right" vertical="center"/>
    </xf>
    <xf numFmtId="0" fontId="21" fillId="0" borderId="0" xfId="0" applyFont="1" applyFill="1" applyBorder="1" applyAlignment="1">
      <alignment horizontal="left" vertical="center"/>
    </xf>
    <xf numFmtId="10" fontId="21" fillId="0" borderId="0" xfId="0" applyNumberFormat="1" applyFont="1" applyFill="1" applyBorder="1" applyAlignment="1">
      <alignment horizontal="right" vertical="center"/>
    </xf>
    <xf numFmtId="0" fontId="23" fillId="4" borderId="0" xfId="0" applyFont="1" applyFill="1" applyBorder="1" applyAlignment="1">
      <alignment horizontal="left" vertical="center"/>
    </xf>
    <xf numFmtId="10" fontId="17" fillId="0" borderId="0" xfId="0" applyNumberFormat="1" applyFont="1" applyFill="1" applyBorder="1" applyAlignment="1">
      <alignment horizontal="right" vertical="center"/>
    </xf>
    <xf numFmtId="0" fontId="17" fillId="4" borderId="0" xfId="0" applyFont="1" applyFill="1" applyBorder="1" applyAlignment="1">
      <alignment horizontal="left" vertical="center"/>
    </xf>
    <xf numFmtId="10" fontId="17" fillId="0" borderId="0" xfId="0" applyNumberFormat="1" applyFont="1" applyBorder="1" applyAlignment="1">
      <alignment horizontal="right" vertical="center"/>
    </xf>
    <xf numFmtId="0" fontId="21" fillId="0" borderId="0" xfId="0" applyFont="1" applyBorder="1" applyAlignment="1">
      <alignment horizontal="left" vertical="center"/>
    </xf>
    <xf numFmtId="10" fontId="21" fillId="0" borderId="0" xfId="0" applyNumberFormat="1" applyFont="1" applyBorder="1" applyAlignment="1">
      <alignment horizontal="right" vertical="center"/>
    </xf>
    <xf numFmtId="0" fontId="24" fillId="0" borderId="0" xfId="0" applyFont="1" applyBorder="1" applyAlignment="1">
      <alignment horizontal="justify" vertical="center"/>
    </xf>
    <xf numFmtId="0" fontId="8" fillId="0" borderId="0" xfId="1" applyFont="1" applyBorder="1" applyAlignment="1" applyProtection="1">
      <alignment horizontal="left" vertical="center"/>
    </xf>
    <xf numFmtId="0" fontId="25" fillId="0" borderId="0" xfId="0" applyFont="1" applyBorder="1"/>
    <xf numFmtId="0" fontId="17" fillId="0" borderId="0" xfId="0" applyFont="1" applyBorder="1" applyAlignment="1">
      <alignment horizontal="right" vertical="center"/>
    </xf>
    <xf numFmtId="0" fontId="8" fillId="0" borderId="0" xfId="1" applyFont="1" applyBorder="1" applyAlignment="1" applyProtection="1">
      <alignment vertical="center"/>
    </xf>
    <xf numFmtId="0" fontId="5" fillId="0" borderId="13" xfId="0" applyFont="1" applyBorder="1"/>
    <xf numFmtId="0" fontId="5" fillId="0" borderId="21" xfId="0" applyFont="1" applyBorder="1"/>
    <xf numFmtId="0" fontId="5" fillId="3" borderId="18" xfId="0" applyFont="1" applyFill="1" applyBorder="1"/>
    <xf numFmtId="0" fontId="5" fillId="0" borderId="44" xfId="0" applyFont="1" applyBorder="1"/>
    <xf numFmtId="0" fontId="5" fillId="3" borderId="45" xfId="0" applyFont="1" applyFill="1" applyBorder="1"/>
    <xf numFmtId="0" fontId="5" fillId="0" borderId="46" xfId="0" applyFont="1" applyBorder="1"/>
    <xf numFmtId="0" fontId="5" fillId="3" borderId="47" xfId="0" applyFont="1" applyFill="1" applyBorder="1"/>
    <xf numFmtId="0" fontId="5" fillId="0" borderId="35" xfId="0" applyFont="1" applyBorder="1"/>
    <xf numFmtId="0" fontId="5" fillId="0" borderId="36" xfId="0" applyFont="1" applyBorder="1"/>
    <xf numFmtId="0" fontId="7" fillId="0" borderId="45" xfId="0" applyFont="1" applyBorder="1"/>
    <xf numFmtId="0" fontId="7" fillId="0" borderId="35" xfId="0" applyFont="1" applyFill="1" applyBorder="1" applyAlignment="1">
      <alignment horizontal="left" vertical="center"/>
    </xf>
    <xf numFmtId="0" fontId="5" fillId="0" borderId="0" xfId="0" applyFont="1" applyBorder="1"/>
    <xf numFmtId="9" fontId="5" fillId="0" borderId="21" xfId="2" applyFont="1" applyBorder="1"/>
    <xf numFmtId="9" fontId="5" fillId="0" borderId="1" xfId="2" applyFont="1" applyBorder="1" applyAlignment="1">
      <alignment horizontal="center"/>
    </xf>
    <xf numFmtId="9" fontId="5" fillId="0" borderId="18" xfId="2" applyFont="1" applyBorder="1"/>
    <xf numFmtId="0" fontId="5" fillId="0" borderId="19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10" fontId="5" fillId="3" borderId="10" xfId="0" applyNumberFormat="1" applyFont="1" applyFill="1" applyBorder="1" applyAlignment="1">
      <alignment horizontal="center" vertical="center"/>
    </xf>
    <xf numFmtId="10" fontId="5" fillId="0" borderId="18" xfId="2" applyNumberFormat="1" applyFont="1" applyBorder="1"/>
    <xf numFmtId="0" fontId="5" fillId="0" borderId="2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10" fontId="5" fillId="3" borderId="18" xfId="0" applyNumberFormat="1" applyFont="1" applyFill="1" applyBorder="1" applyAlignment="1">
      <alignment horizontal="center" vertical="center"/>
    </xf>
    <xf numFmtId="10" fontId="5" fillId="0" borderId="18" xfId="0" applyNumberFormat="1" applyFont="1" applyFill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18" xfId="0" applyFont="1" applyBorder="1"/>
    <xf numFmtId="0" fontId="5" fillId="0" borderId="22" xfId="0" applyFont="1" applyFill="1" applyBorder="1" applyAlignment="1">
      <alignment horizontal="left" vertical="center"/>
    </xf>
    <xf numFmtId="10" fontId="5" fillId="3" borderId="34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3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10" fontId="5" fillId="0" borderId="25" xfId="0" applyNumberFormat="1" applyFont="1" applyFill="1" applyBorder="1" applyAlignment="1">
      <alignment vertical="center"/>
    </xf>
    <xf numFmtId="0" fontId="5" fillId="0" borderId="26" xfId="0" applyFont="1" applyFill="1" applyBorder="1" applyAlignment="1">
      <alignment horizontal="left" vertical="center"/>
    </xf>
    <xf numFmtId="0" fontId="5" fillId="0" borderId="27" xfId="0" applyFont="1" applyFill="1" applyBorder="1" applyAlignment="1">
      <alignment horizontal="left" vertical="center"/>
    </xf>
    <xf numFmtId="0" fontId="5" fillId="0" borderId="28" xfId="0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/>
    </xf>
    <xf numFmtId="10" fontId="7" fillId="5" borderId="7" xfId="0" applyNumberFormat="1" applyFont="1" applyFill="1" applyBorder="1" applyAlignment="1">
      <alignment horizontal="center" vertical="center" wrapText="1"/>
    </xf>
    <xf numFmtId="10" fontId="5" fillId="0" borderId="21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18" xfId="2" applyNumberFormat="1" applyFont="1" applyBorder="1" applyAlignment="1">
      <alignment horizontal="right"/>
    </xf>
    <xf numFmtId="10" fontId="5" fillId="0" borderId="22" xfId="2" applyNumberFormat="1" applyFont="1" applyBorder="1" applyAlignment="1">
      <alignment horizontal="right"/>
    </xf>
    <xf numFmtId="10" fontId="5" fillId="0" borderId="33" xfId="2" applyNumberFormat="1" applyFont="1" applyBorder="1" applyAlignment="1">
      <alignment horizontal="right"/>
    </xf>
    <xf numFmtId="10" fontId="5" fillId="0" borderId="34" xfId="2" applyNumberFormat="1" applyFont="1" applyBorder="1" applyAlignment="1">
      <alignment horizontal="right"/>
    </xf>
    <xf numFmtId="0" fontId="6" fillId="0" borderId="49" xfId="0" applyFont="1" applyBorder="1"/>
    <xf numFmtId="0" fontId="18" fillId="0" borderId="49" xfId="0" applyFont="1" applyBorder="1" applyAlignment="1">
      <alignment horizontal="justify"/>
    </xf>
    <xf numFmtId="0" fontId="18" fillId="0" borderId="50" xfId="0" applyFont="1" applyBorder="1" applyAlignment="1">
      <alignment horizontal="justify"/>
    </xf>
    <xf numFmtId="0" fontId="15" fillId="10" borderId="48" xfId="0" applyFont="1" applyFill="1" applyBorder="1" applyAlignment="1">
      <alignment horizontal="center"/>
    </xf>
    <xf numFmtId="1" fontId="6" fillId="0" borderId="0" xfId="3" applyNumberFormat="1" applyFont="1" applyBorder="1" applyAlignment="1">
      <alignment horizontal="center" vertical="center"/>
    </xf>
    <xf numFmtId="168" fontId="3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3" fillId="0" borderId="33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65" fontId="3" fillId="0" borderId="5" xfId="3" applyFont="1" applyBorder="1" applyAlignment="1">
      <alignment vertical="center"/>
    </xf>
    <xf numFmtId="9" fontId="3" fillId="3" borderId="7" xfId="2" applyFont="1" applyFill="1" applyBorder="1" applyAlignment="1">
      <alignment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7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5" fontId="3" fillId="0" borderId="8" xfId="3" applyFont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 wrapText="1"/>
    </xf>
    <xf numFmtId="167" fontId="6" fillId="0" borderId="1" xfId="3" applyNumberFormat="1" applyFont="1" applyBorder="1" applyAlignment="1">
      <alignment horizontal="center" vertical="center"/>
    </xf>
    <xf numFmtId="166" fontId="3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/>
    <xf numFmtId="0" fontId="3" fillId="0" borderId="51" xfId="0" applyFont="1" applyBorder="1" applyAlignment="1">
      <alignment vertical="center"/>
    </xf>
    <xf numFmtId="0" fontId="3" fillId="0" borderId="51" xfId="0" applyFont="1" applyBorder="1" applyAlignment="1">
      <alignment horizontal="center" vertical="center"/>
    </xf>
    <xf numFmtId="165" fontId="3" fillId="0" borderId="51" xfId="3" applyFont="1" applyBorder="1" applyAlignment="1">
      <alignment horizontal="center" vertical="center"/>
    </xf>
    <xf numFmtId="165" fontId="3" fillId="0" borderId="51" xfId="3" applyFont="1" applyFill="1" applyBorder="1" applyAlignment="1">
      <alignment horizontal="center" vertical="center"/>
    </xf>
    <xf numFmtId="4" fontId="1" fillId="0" borderId="0" xfId="0" applyNumberFormat="1" applyFont="1" applyBorder="1" applyAlignment="1">
      <alignment vertical="center"/>
    </xf>
    <xf numFmtId="0" fontId="1" fillId="0" borderId="0" xfId="0" applyFont="1" applyFill="1"/>
    <xf numFmtId="0" fontId="7" fillId="0" borderId="21" xfId="0" applyFont="1" applyBorder="1"/>
    <xf numFmtId="0" fontId="7" fillId="0" borderId="1" xfId="0" applyFont="1" applyBorder="1"/>
    <xf numFmtId="0" fontId="7" fillId="0" borderId="18" xfId="0" applyFont="1" applyBorder="1"/>
    <xf numFmtId="0" fontId="5" fillId="0" borderId="21" xfId="0" applyFont="1" applyFill="1" applyBorder="1"/>
    <xf numFmtId="0" fontId="5" fillId="0" borderId="1" xfId="0" applyFont="1" applyFill="1" applyBorder="1"/>
    <xf numFmtId="0" fontId="5" fillId="0" borderId="1" xfId="0" applyFont="1" applyBorder="1"/>
    <xf numFmtId="170" fontId="22" fillId="0" borderId="18" xfId="3" applyNumberFormat="1" applyFont="1" applyBorder="1" applyAlignment="1">
      <alignment horizontal="center" vertical="center" wrapText="1"/>
    </xf>
    <xf numFmtId="171" fontId="5" fillId="0" borderId="18" xfId="0" applyNumberFormat="1" applyFont="1" applyBorder="1"/>
    <xf numFmtId="2" fontId="5" fillId="0" borderId="18" xfId="0" applyNumberFormat="1" applyFont="1" applyBorder="1"/>
    <xf numFmtId="0" fontId="5" fillId="0" borderId="22" xfId="0" applyFont="1" applyFill="1" applyBorder="1"/>
    <xf numFmtId="0" fontId="5" fillId="0" borderId="33" xfId="0" applyFont="1" applyBorder="1"/>
    <xf numFmtId="171" fontId="5" fillId="3" borderId="18" xfId="0" applyNumberFormat="1" applyFont="1" applyFill="1" applyBorder="1"/>
    <xf numFmtId="171" fontId="5" fillId="0" borderId="34" xfId="0" applyNumberFormat="1" applyFont="1" applyBorder="1"/>
    <xf numFmtId="0" fontId="15" fillId="0" borderId="1" xfId="0" applyFont="1" applyFill="1" applyBorder="1" applyAlignment="1">
      <alignment horizontal="center"/>
    </xf>
    <xf numFmtId="0" fontId="15" fillId="0" borderId="21" xfId="0" applyFont="1" applyFill="1" applyBorder="1" applyAlignment="1">
      <alignment horizontal="center"/>
    </xf>
    <xf numFmtId="0" fontId="15" fillId="0" borderId="18" xfId="0" applyFont="1" applyFill="1" applyBorder="1" applyAlignment="1">
      <alignment horizontal="center"/>
    </xf>
    <xf numFmtId="172" fontId="5" fillId="3" borderId="18" xfId="0" applyNumberFormat="1" applyFont="1" applyFill="1" applyBorder="1"/>
    <xf numFmtId="0" fontId="5" fillId="0" borderId="21" xfId="0" applyFont="1" applyBorder="1" applyAlignment="1">
      <alignment horizontal="right"/>
    </xf>
    <xf numFmtId="0" fontId="4" fillId="0" borderId="0" xfId="0" applyFont="1" applyAlignment="1">
      <alignment vertical="center"/>
    </xf>
    <xf numFmtId="4" fontId="29" fillId="0" borderId="0" xfId="0" applyNumberFormat="1" applyFont="1" applyBorder="1" applyAlignment="1">
      <alignment vertical="center"/>
    </xf>
    <xf numFmtId="0" fontId="30" fillId="0" borderId="0" xfId="0" applyFont="1" applyAlignment="1">
      <alignment vertical="center"/>
    </xf>
    <xf numFmtId="4" fontId="30" fillId="0" borderId="0" xfId="0" applyNumberFormat="1" applyFont="1" applyBorder="1" applyAlignment="1">
      <alignment vertical="center"/>
    </xf>
    <xf numFmtId="0" fontId="5" fillId="0" borderId="18" xfId="0" applyFont="1" applyFill="1" applyBorder="1"/>
    <xf numFmtId="0" fontId="28" fillId="0" borderId="0" xfId="0" applyFont="1"/>
    <xf numFmtId="0" fontId="1" fillId="0" borderId="2" xfId="0" applyFont="1" applyBorder="1" applyAlignment="1">
      <alignment vertical="center"/>
    </xf>
    <xf numFmtId="169" fontId="7" fillId="0" borderId="18" xfId="0" applyNumberFormat="1" applyFont="1" applyBorder="1"/>
    <xf numFmtId="9" fontId="16" fillId="0" borderId="18" xfId="2" applyFont="1" applyBorder="1"/>
    <xf numFmtId="10" fontId="16" fillId="0" borderId="18" xfId="2" applyNumberFormat="1" applyFont="1" applyBorder="1"/>
    <xf numFmtId="9" fontId="7" fillId="0" borderId="29" xfId="2" applyFont="1" applyBorder="1"/>
    <xf numFmtId="0" fontId="5" fillId="0" borderId="52" xfId="0" applyFont="1" applyBorder="1"/>
    <xf numFmtId="165" fontId="1" fillId="3" borderId="2" xfId="3" applyFont="1" applyFill="1" applyBorder="1" applyAlignment="1">
      <alignment horizontal="center" vertical="center"/>
    </xf>
    <xf numFmtId="165" fontId="31" fillId="0" borderId="0" xfId="3" applyFont="1" applyBorder="1" applyAlignment="1" applyProtection="1">
      <alignment vertical="center"/>
    </xf>
    <xf numFmtId="165" fontId="1" fillId="0" borderId="0" xfId="3" applyFont="1" applyAlignment="1">
      <alignment vertical="center"/>
    </xf>
    <xf numFmtId="165" fontId="3" fillId="0" borderId="0" xfId="3" applyFont="1" applyFill="1" applyAlignment="1">
      <alignment vertical="center"/>
    </xf>
    <xf numFmtId="165" fontId="3" fillId="0" borderId="17" xfId="3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Continuous" vertical="center"/>
    </xf>
    <xf numFmtId="9" fontId="3" fillId="0" borderId="10" xfId="2" applyFont="1" applyBorder="1" applyAlignment="1">
      <alignment vertical="center"/>
    </xf>
    <xf numFmtId="164" fontId="3" fillId="8" borderId="32" xfId="0" applyNumberFormat="1" applyFont="1" applyFill="1" applyBorder="1" applyAlignment="1">
      <alignment vertical="center"/>
    </xf>
    <xf numFmtId="165" fontId="1" fillId="0" borderId="0" xfId="3" applyFont="1" applyBorder="1" applyAlignment="1">
      <alignment vertical="center"/>
    </xf>
    <xf numFmtId="0" fontId="3" fillId="0" borderId="8" xfId="0" applyFont="1" applyBorder="1" applyAlignment="1">
      <alignment vertical="center"/>
    </xf>
    <xf numFmtId="2" fontId="1" fillId="0" borderId="0" xfId="3" applyNumberFormat="1" applyFont="1" applyBorder="1" applyAlignment="1">
      <alignment vertical="center"/>
    </xf>
    <xf numFmtId="2" fontId="1" fillId="0" borderId="0" xfId="3" applyNumberFormat="1" applyFont="1" applyAlignment="1">
      <alignment vertical="center"/>
    </xf>
    <xf numFmtId="173" fontId="3" fillId="8" borderId="4" xfId="0" applyNumberFormat="1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2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65" fontId="1" fillId="3" borderId="1" xfId="3" applyFont="1" applyFill="1" applyBorder="1" applyAlignment="1">
      <alignment horizontal="center" vertical="center"/>
    </xf>
    <xf numFmtId="165" fontId="1" fillId="0" borderId="1" xfId="3" applyFont="1" applyBorder="1" applyAlignment="1">
      <alignment horizontal="center" vertical="center"/>
    </xf>
    <xf numFmtId="165" fontId="1" fillId="0" borderId="0" xfId="3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5" fontId="33" fillId="0" borderId="1" xfId="3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165" fontId="1" fillId="0" borderId="0" xfId="3" applyFont="1" applyAlignment="1">
      <alignment horizontal="right" vertical="center"/>
    </xf>
    <xf numFmtId="165" fontId="1" fillId="0" borderId="1" xfId="3" applyFont="1" applyBorder="1" applyAlignment="1">
      <alignment vertical="center"/>
    </xf>
    <xf numFmtId="165" fontId="3" fillId="2" borderId="4" xfId="3" applyNumberFormat="1" applyFont="1" applyFill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165" fontId="3" fillId="0" borderId="12" xfId="3" applyFont="1" applyBorder="1" applyAlignment="1">
      <alignment horizontal="left" vertical="center"/>
    </xf>
    <xf numFmtId="165" fontId="3" fillId="0" borderId="8" xfId="3" applyFont="1" applyBorder="1" applyAlignment="1">
      <alignment horizontal="left" vertical="center"/>
    </xf>
    <xf numFmtId="0" fontId="15" fillId="8" borderId="23" xfId="0" applyFont="1" applyFill="1" applyBorder="1" applyAlignment="1">
      <alignment horizontal="center" vertical="center"/>
    </xf>
    <xf numFmtId="0" fontId="15" fillId="8" borderId="24" xfId="0" applyFont="1" applyFill="1" applyBorder="1" applyAlignment="1">
      <alignment horizontal="center" vertical="center"/>
    </xf>
    <xf numFmtId="0" fontId="15" fillId="8" borderId="25" xfId="0" applyFont="1" applyFill="1" applyBorder="1" applyAlignment="1">
      <alignment horizontal="center" vertical="center"/>
    </xf>
    <xf numFmtId="0" fontId="7" fillId="8" borderId="41" xfId="0" applyFont="1" applyFill="1" applyBorder="1" applyAlignment="1">
      <alignment horizontal="center" vertical="center"/>
    </xf>
    <xf numFmtId="0" fontId="7" fillId="8" borderId="39" xfId="0" applyFont="1" applyFill="1" applyBorder="1" applyAlignment="1">
      <alignment horizontal="center" vertical="center"/>
    </xf>
    <xf numFmtId="0" fontId="7" fillId="8" borderId="42" xfId="0" applyFont="1" applyFill="1" applyBorder="1" applyAlignment="1">
      <alignment horizontal="center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0" xfId="3" applyFont="1" applyBorder="1" applyAlignment="1">
      <alignment horizontal="center" vertical="center"/>
    </xf>
    <xf numFmtId="165" fontId="4" fillId="8" borderId="5" xfId="3" applyFont="1" applyFill="1" applyBorder="1" applyAlignment="1">
      <alignment horizontal="center" vertical="center"/>
    </xf>
    <xf numFmtId="165" fontId="4" fillId="8" borderId="6" xfId="3" applyFont="1" applyFill="1" applyBorder="1" applyAlignment="1">
      <alignment horizontal="center" vertical="center"/>
    </xf>
    <xf numFmtId="165" fontId="4" fillId="8" borderId="7" xfId="3" applyFont="1" applyFill="1" applyBorder="1" applyAlignment="1">
      <alignment horizontal="center" vertical="center"/>
    </xf>
    <xf numFmtId="0" fontId="15" fillId="8" borderId="19" xfId="0" applyFont="1" applyFill="1" applyBorder="1" applyAlignment="1">
      <alignment horizontal="center" vertical="center"/>
    </xf>
    <xf numFmtId="0" fontId="15" fillId="8" borderId="20" xfId="0" applyFont="1" applyFill="1" applyBorder="1" applyAlignment="1">
      <alignment horizontal="center" vertical="center"/>
    </xf>
    <xf numFmtId="0" fontId="15" fillId="8" borderId="10" xfId="0" applyFont="1" applyFill="1" applyBorder="1" applyAlignment="1">
      <alignment horizontal="center" vertical="center"/>
    </xf>
    <xf numFmtId="0" fontId="15" fillId="10" borderId="17" xfId="0" applyFont="1" applyFill="1" applyBorder="1" applyAlignment="1">
      <alignment horizontal="center"/>
    </xf>
    <xf numFmtId="0" fontId="15" fillId="10" borderId="43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9" fontId="7" fillId="0" borderId="19" xfId="2" applyFont="1" applyBorder="1" applyAlignment="1">
      <alignment horizontal="center"/>
    </xf>
    <xf numFmtId="9" fontId="7" fillId="0" borderId="20" xfId="2" applyFont="1" applyBorder="1" applyAlignment="1">
      <alignment horizontal="center"/>
    </xf>
    <xf numFmtId="9" fontId="7" fillId="0" borderId="10" xfId="2" applyFont="1" applyBorder="1" applyAlignment="1">
      <alignment horizontal="center"/>
    </xf>
    <xf numFmtId="0" fontId="4" fillId="10" borderId="23" xfId="0" applyFont="1" applyFill="1" applyBorder="1" applyAlignment="1">
      <alignment horizontal="center" vertical="center"/>
    </xf>
    <xf numFmtId="0" fontId="4" fillId="10" borderId="24" xfId="0" applyFont="1" applyFill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/>
    </xf>
    <xf numFmtId="0" fontId="15" fillId="10" borderId="20" xfId="0" applyFont="1" applyFill="1" applyBorder="1" applyAlignment="1">
      <alignment horizontal="center"/>
    </xf>
    <xf numFmtId="0" fontId="15" fillId="10" borderId="10" xfId="0" applyFont="1" applyFill="1" applyBorder="1" applyAlignment="1">
      <alignment horizontal="center"/>
    </xf>
  </cellXfs>
  <cellStyles count="4">
    <cellStyle name="Hiperlink" xfId="1" builtinId="8"/>
    <cellStyle name="Normal" xfId="0" builtinId="0"/>
    <cellStyle name="Porcentagem" xfId="2" builtinId="5"/>
    <cellStyle name="Vírgula" xfId="3" builtin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83"/>
  <sheetViews>
    <sheetView tabSelected="1" view="pageBreakPreview" topLeftCell="A178" zoomScaleNormal="100" zoomScaleSheetLayoutView="100" workbookViewId="0">
      <selection activeCell="F247" sqref="F247"/>
    </sheetView>
  </sheetViews>
  <sheetFormatPr defaultRowHeight="12.75" x14ac:dyDescent="0.2"/>
  <cols>
    <col min="1" max="1" width="44.5703125" style="9" customWidth="1"/>
    <col min="2" max="2" width="16" style="9" bestFit="1" customWidth="1"/>
    <col min="3" max="3" width="11.28515625" style="9" bestFit="1" customWidth="1"/>
    <col min="4" max="4" width="14.7109375" style="10" customWidth="1"/>
    <col min="5" max="5" width="15.42578125" style="10" customWidth="1"/>
    <col min="6" max="6" width="14.28515625" style="10" bestFit="1" customWidth="1"/>
    <col min="7" max="7" width="28.140625" style="10" customWidth="1"/>
    <col min="8" max="8" width="9.140625" style="9"/>
    <col min="9" max="9" width="14.5703125" style="9" customWidth="1"/>
    <col min="10" max="10" width="13.42578125" style="9" customWidth="1"/>
    <col min="11" max="16384" width="9.140625" style="9"/>
  </cols>
  <sheetData>
    <row r="1" spans="1:7" ht="15.75" x14ac:dyDescent="0.2">
      <c r="A1" s="288" t="s">
        <v>201</v>
      </c>
    </row>
    <row r="2" spans="1:7" ht="15.75" x14ac:dyDescent="0.2">
      <c r="A2" s="291" t="s">
        <v>276</v>
      </c>
    </row>
    <row r="3" spans="1:7" ht="15.75" x14ac:dyDescent="0.2">
      <c r="A3" s="291" t="s">
        <v>277</v>
      </c>
    </row>
    <row r="4" spans="1:7" ht="15.75" x14ac:dyDescent="0.2">
      <c r="A4" s="291" t="s">
        <v>279</v>
      </c>
    </row>
    <row r="5" spans="1:7" s="4" customFormat="1" ht="15.6" customHeight="1" x14ac:dyDescent="0.2">
      <c r="A5" s="290" t="s">
        <v>273</v>
      </c>
      <c r="C5" s="131"/>
      <c r="D5" s="131"/>
      <c r="E5" s="131"/>
      <c r="F5" s="131"/>
      <c r="G5" s="6"/>
    </row>
    <row r="6" spans="1:7" s="4" customFormat="1" ht="15.6" customHeight="1" x14ac:dyDescent="0.2">
      <c r="A6" s="289" t="s">
        <v>278</v>
      </c>
      <c r="B6" s="131"/>
      <c r="C6" s="131"/>
      <c r="D6" s="131"/>
      <c r="E6" s="131"/>
      <c r="F6" s="131"/>
      <c r="G6" s="6"/>
    </row>
    <row r="7" spans="1:7" s="4" customFormat="1" ht="15.6" customHeight="1" x14ac:dyDescent="0.2">
      <c r="A7" s="130"/>
      <c r="B7" s="131"/>
      <c r="C7" s="131"/>
      <c r="D7" s="131"/>
      <c r="E7" s="131"/>
      <c r="F7" s="131"/>
      <c r="G7" s="6"/>
    </row>
    <row r="8" spans="1:7" s="4" customFormat="1" ht="15.6" customHeight="1" x14ac:dyDescent="0.2">
      <c r="A8" s="291" t="s">
        <v>284</v>
      </c>
      <c r="B8" s="131"/>
      <c r="C8" s="131"/>
      <c r="D8" s="131"/>
      <c r="E8" s="131"/>
      <c r="F8" s="131"/>
      <c r="G8" s="6"/>
    </row>
    <row r="9" spans="1:7" s="4" customFormat="1" ht="15.6" customHeight="1" x14ac:dyDescent="0.2">
      <c r="A9" s="291" t="s">
        <v>281</v>
      </c>
      <c r="B9" s="131"/>
      <c r="C9" s="131"/>
      <c r="D9" s="131"/>
      <c r="E9" s="131"/>
      <c r="F9" s="131"/>
      <c r="G9" s="6"/>
    </row>
    <row r="10" spans="1:7" s="4" customFormat="1" ht="16.5" customHeight="1" thickBot="1" x14ac:dyDescent="0.25">
      <c r="A10" s="7"/>
      <c r="B10" s="5"/>
      <c r="C10" s="5"/>
      <c r="D10" s="6"/>
      <c r="E10" s="6"/>
      <c r="F10" s="6"/>
      <c r="G10" s="6"/>
    </row>
    <row r="11" spans="1:7" s="8" customFormat="1" ht="18" x14ac:dyDescent="0.2">
      <c r="A11" s="330" t="s">
        <v>214</v>
      </c>
      <c r="B11" s="331"/>
      <c r="C11" s="331"/>
      <c r="D11" s="331"/>
      <c r="E11" s="331"/>
      <c r="F11" s="332"/>
      <c r="G11" s="36"/>
    </row>
    <row r="12" spans="1:7" s="8" customFormat="1" ht="21.75" customHeight="1" x14ac:dyDescent="0.2">
      <c r="A12" s="333" t="s">
        <v>39</v>
      </c>
      <c r="B12" s="334"/>
      <c r="C12" s="334"/>
      <c r="D12" s="334"/>
      <c r="E12" s="334"/>
      <c r="F12" s="335"/>
      <c r="G12" s="36"/>
    </row>
    <row r="13" spans="1:7" s="4" customFormat="1" ht="10.9" customHeight="1" thickBot="1" x14ac:dyDescent="0.25">
      <c r="A13" s="142"/>
      <c r="B13" s="143"/>
      <c r="C13" s="143"/>
      <c r="D13" s="144"/>
      <c r="E13" s="144"/>
      <c r="F13" s="145"/>
      <c r="G13" s="6"/>
    </row>
    <row r="14" spans="1:7" s="4" customFormat="1" ht="15.75" customHeight="1" thickBot="1" x14ac:dyDescent="0.25">
      <c r="A14" s="339" t="s">
        <v>200</v>
      </c>
      <c r="B14" s="340"/>
      <c r="C14" s="340"/>
      <c r="D14" s="340"/>
      <c r="E14" s="340"/>
      <c r="F14" s="341"/>
      <c r="G14" s="6"/>
    </row>
    <row r="15" spans="1:7" s="4" customFormat="1" ht="15.75" customHeight="1" x14ac:dyDescent="0.2">
      <c r="A15" s="61" t="s">
        <v>199</v>
      </c>
      <c r="B15" s="40"/>
      <c r="C15" s="40"/>
      <c r="D15" s="245"/>
      <c r="E15" s="108" t="s">
        <v>34</v>
      </c>
      <c r="F15" s="41" t="s">
        <v>1</v>
      </c>
      <c r="G15" s="6"/>
    </row>
    <row r="16" spans="1:7" s="11" customFormat="1" ht="15.75" customHeight="1" x14ac:dyDescent="0.2">
      <c r="A16" s="117" t="str">
        <f>A51</f>
        <v>1. Mão-de-obra</v>
      </c>
      <c r="B16" s="118"/>
      <c r="C16" s="119"/>
      <c r="D16" s="119"/>
      <c r="E16" s="242">
        <f>+F97</f>
        <v>6564.4587210339905</v>
      </c>
      <c r="F16" s="120">
        <f t="shared" ref="F16:F33" si="0">IFERROR(E16/$E$34,0)</f>
        <v>0.18885086817415792</v>
      </c>
      <c r="G16" s="42"/>
    </row>
    <row r="17" spans="1:7" s="4" customFormat="1" ht="15.75" customHeight="1" x14ac:dyDescent="0.2">
      <c r="A17" s="47" t="str">
        <f>A53</f>
        <v>1.1. Coletor Turno Dia</v>
      </c>
      <c r="B17" s="43"/>
      <c r="C17" s="45"/>
      <c r="D17" s="45"/>
      <c r="E17" s="243">
        <f>F61</f>
        <v>3879.15153235559</v>
      </c>
      <c r="F17" s="55">
        <f t="shared" si="0"/>
        <v>0.11159810211268673</v>
      </c>
      <c r="G17" s="6"/>
    </row>
    <row r="18" spans="1:7" s="4" customFormat="1" ht="15.75" customHeight="1" x14ac:dyDescent="0.2">
      <c r="A18" s="47" t="str">
        <f>A64</f>
        <v>1.3. Motorista Turno do Dia</v>
      </c>
      <c r="B18" s="43"/>
      <c r="C18" s="45"/>
      <c r="D18" s="45"/>
      <c r="E18" s="243">
        <f>F74</f>
        <v>1615.4071886784</v>
      </c>
      <c r="F18" s="55">
        <f t="shared" si="0"/>
        <v>4.6473146225929615E-2</v>
      </c>
      <c r="G18" s="6"/>
    </row>
    <row r="19" spans="1:7" s="4" customFormat="1" ht="15.75" customHeight="1" x14ac:dyDescent="0.2">
      <c r="A19" s="47" t="str">
        <f>A77</f>
        <v>1.5. Vale Transporte</v>
      </c>
      <c r="B19" s="43"/>
      <c r="C19" s="45"/>
      <c r="D19" s="45"/>
      <c r="E19" s="243">
        <f>F83</f>
        <v>0</v>
      </c>
      <c r="F19" s="55">
        <f t="shared" si="0"/>
        <v>0</v>
      </c>
      <c r="G19" s="6"/>
    </row>
    <row r="20" spans="1:7" s="4" customFormat="1" ht="15.75" customHeight="1" x14ac:dyDescent="0.2">
      <c r="A20" s="47" t="str">
        <f>A85</f>
        <v>1.6. Vale-refeição (diário)</v>
      </c>
      <c r="B20" s="43"/>
      <c r="C20" s="45"/>
      <c r="D20" s="45"/>
      <c r="E20" s="243">
        <f>F89</f>
        <v>1011.4</v>
      </c>
      <c r="F20" s="55">
        <f t="shared" si="0"/>
        <v>2.909665155777804E-2</v>
      </c>
      <c r="G20" s="6"/>
    </row>
    <row r="21" spans="1:7" s="4" customFormat="1" ht="15.75" customHeight="1" x14ac:dyDescent="0.2">
      <c r="A21" s="47" t="str">
        <f>A91</f>
        <v>1.7. Auxílio Alimentação (mensal)</v>
      </c>
      <c r="B21" s="43"/>
      <c r="C21" s="45"/>
      <c r="D21" s="45"/>
      <c r="E21" s="243">
        <f>F95</f>
        <v>58.5</v>
      </c>
      <c r="F21" s="55">
        <f t="shared" si="0"/>
        <v>1.6829682777635114E-3</v>
      </c>
      <c r="G21" s="6"/>
    </row>
    <row r="22" spans="1:7" s="11" customFormat="1" ht="15.75" customHeight="1" x14ac:dyDescent="0.2">
      <c r="A22" s="328" t="str">
        <f>A99</f>
        <v>2. Uniformes e Equipamentos de Proteção Individual</v>
      </c>
      <c r="B22" s="329"/>
      <c r="C22" s="329"/>
      <c r="D22" s="119"/>
      <c r="E22" s="242">
        <f>+F131</f>
        <v>226.561725</v>
      </c>
      <c r="F22" s="120">
        <f t="shared" si="0"/>
        <v>6.5178836945364148E-3</v>
      </c>
      <c r="G22" s="42"/>
    </row>
    <row r="23" spans="1:7" s="11" customFormat="1" ht="15.75" customHeight="1" x14ac:dyDescent="0.2">
      <c r="A23" s="128" t="str">
        <f>A133</f>
        <v>3. Veículos e Equipamentos</v>
      </c>
      <c r="B23" s="129"/>
      <c r="C23" s="119"/>
      <c r="D23" s="119"/>
      <c r="E23" s="242">
        <f>+F210</f>
        <v>20795.562445850832</v>
      </c>
      <c r="F23" s="120">
        <f t="shared" si="0"/>
        <v>0.59826105836952359</v>
      </c>
      <c r="G23" s="42"/>
    </row>
    <row r="24" spans="1:7" s="4" customFormat="1" ht="15.75" customHeight="1" x14ac:dyDescent="0.2">
      <c r="A24" s="62" t="str">
        <f>A135</f>
        <v>3.1. Veículo Coletor Compactador 15 m³</v>
      </c>
      <c r="B24" s="44"/>
      <c r="C24" s="45"/>
      <c r="D24" s="45"/>
      <c r="E24" s="243">
        <f>SUM(E25:E30)</f>
        <v>20795.562445850832</v>
      </c>
      <c r="F24" s="135">
        <f t="shared" si="0"/>
        <v>0.59826105836952359</v>
      </c>
      <c r="G24" s="6"/>
    </row>
    <row r="25" spans="1:7" s="4" customFormat="1" ht="15.75" customHeight="1" x14ac:dyDescent="0.2">
      <c r="A25" s="62" t="str">
        <f>A137</f>
        <v>3.1.1. Depreciação</v>
      </c>
      <c r="B25" s="44"/>
      <c r="C25" s="45"/>
      <c r="D25" s="45"/>
      <c r="E25" s="243">
        <f>F151</f>
        <v>1267.8445741</v>
      </c>
      <c r="F25" s="135">
        <f t="shared" si="0"/>
        <v>3.6474225629827176E-2</v>
      </c>
      <c r="G25" s="6"/>
    </row>
    <row r="26" spans="1:7" s="4" customFormat="1" ht="15.75" customHeight="1" x14ac:dyDescent="0.2">
      <c r="A26" s="62" t="str">
        <f>A153</f>
        <v>3.1.2. Remuneração do Capital</v>
      </c>
      <c r="B26" s="44"/>
      <c r="C26" s="45"/>
      <c r="D26" s="45"/>
      <c r="E26" s="243">
        <f>F167</f>
        <v>2363.6500623352504</v>
      </c>
      <c r="F26" s="135">
        <f t="shared" si="0"/>
        <v>6.7999112387076455E-2</v>
      </c>
      <c r="G26" s="6"/>
    </row>
    <row r="27" spans="1:7" s="4" customFormat="1" ht="15.75" customHeight="1" x14ac:dyDescent="0.2">
      <c r="A27" s="62" t="str">
        <f>A169</f>
        <v>3.1.3. Impostos e Seguros</v>
      </c>
      <c r="B27" s="44"/>
      <c r="C27" s="45"/>
      <c r="D27" s="45"/>
      <c r="E27" s="243">
        <f>F175</f>
        <v>296.32882500000005</v>
      </c>
      <c r="F27" s="135">
        <f t="shared" si="0"/>
        <v>8.5249916625971794E-3</v>
      </c>
      <c r="G27" s="6"/>
    </row>
    <row r="28" spans="1:7" s="4" customFormat="1" ht="15.75" customHeight="1" x14ac:dyDescent="0.2">
      <c r="A28" s="62" t="str">
        <f>A177</f>
        <v>3.1.4. Consumos</v>
      </c>
      <c r="B28" s="44"/>
      <c r="C28" s="45"/>
      <c r="D28" s="45"/>
      <c r="E28" s="243">
        <f>F193</f>
        <v>11414.542127272725</v>
      </c>
      <c r="F28" s="135">
        <f t="shared" si="0"/>
        <v>0.32838140692983292</v>
      </c>
      <c r="G28" s="6"/>
    </row>
    <row r="29" spans="1:7" s="4" customFormat="1" ht="15.75" customHeight="1" x14ac:dyDescent="0.2">
      <c r="A29" s="62" t="str">
        <f>A195</f>
        <v>3.1.5. Manutenção</v>
      </c>
      <c r="B29" s="44"/>
      <c r="C29" s="45"/>
      <c r="D29" s="45"/>
      <c r="E29" s="243">
        <f>F198</f>
        <v>4284</v>
      </c>
      <c r="F29" s="135">
        <f t="shared" si="0"/>
        <v>0.12324506157160484</v>
      </c>
      <c r="G29" s="6"/>
    </row>
    <row r="30" spans="1:7" s="4" customFormat="1" ht="15.75" customHeight="1" x14ac:dyDescent="0.2">
      <c r="A30" s="62" t="str">
        <f>A200</f>
        <v>3.1.6. Pneus</v>
      </c>
      <c r="B30" s="44"/>
      <c r="C30" s="45"/>
      <c r="D30" s="45"/>
      <c r="E30" s="243">
        <f>F207</f>
        <v>1169.196857142857</v>
      </c>
      <c r="F30" s="135">
        <f t="shared" si="0"/>
        <v>3.3636260188585031E-2</v>
      </c>
      <c r="G30" s="6"/>
    </row>
    <row r="31" spans="1:7" s="11" customFormat="1" ht="15.75" customHeight="1" x14ac:dyDescent="0.2">
      <c r="A31" s="128" t="str">
        <f>A212</f>
        <v>4. Ferramentas e Materiais de Consumo</v>
      </c>
      <c r="B31" s="129"/>
      <c r="C31" s="119"/>
      <c r="D31" s="119"/>
      <c r="E31" s="242">
        <f>+F222</f>
        <v>41.678333333333327</v>
      </c>
      <c r="F31" s="120">
        <f t="shared" si="0"/>
        <v>1.1990309892316844E-3</v>
      </c>
      <c r="G31" s="42"/>
    </row>
    <row r="32" spans="1:7" s="11" customFormat="1" ht="15.75" customHeight="1" x14ac:dyDescent="0.2">
      <c r="A32" s="128" t="s">
        <v>71</v>
      </c>
      <c r="B32" s="129"/>
      <c r="C32" s="119"/>
      <c r="D32" s="119"/>
      <c r="E32" s="242">
        <f>+F233</f>
        <v>40.299999999999997</v>
      </c>
      <c r="F32" s="120">
        <f t="shared" si="0"/>
        <v>1.1593781469037522E-3</v>
      </c>
      <c r="G32" s="42"/>
    </row>
    <row r="33" spans="1:7" s="11" customFormat="1" ht="15.75" customHeight="1" thickBot="1" x14ac:dyDescent="0.25">
      <c r="A33" s="128" t="str">
        <f>A237</f>
        <v>6. Benefícios e Despesas Indiretas - BDI</v>
      </c>
      <c r="B33" s="129"/>
      <c r="C33" s="119"/>
      <c r="D33" s="119"/>
      <c r="E33" s="244">
        <f>+F243</f>
        <v>7091.4522420234116</v>
      </c>
      <c r="F33" s="120">
        <f t="shared" si="0"/>
        <v>0.2040117806256467</v>
      </c>
      <c r="G33" s="42"/>
    </row>
    <row r="34" spans="1:7" s="4" customFormat="1" ht="15.75" customHeight="1" x14ac:dyDescent="0.2">
      <c r="A34" s="304" t="s">
        <v>296</v>
      </c>
      <c r="B34" s="305"/>
      <c r="C34" s="245"/>
      <c r="D34" s="245"/>
      <c r="E34" s="307">
        <f>E16+E22+E23+E31+E32+E33</f>
        <v>34760.013467241566</v>
      </c>
      <c r="F34" s="306">
        <f>F16+F22+F23+F31+F32+F33</f>
        <v>1</v>
      </c>
      <c r="G34" s="6"/>
    </row>
    <row r="35" spans="1:7" x14ac:dyDescent="0.2">
      <c r="A35" s="35"/>
      <c r="B35" s="56"/>
      <c r="C35" s="56"/>
      <c r="D35" s="56"/>
      <c r="E35" s="35"/>
      <c r="F35" s="56"/>
    </row>
    <row r="36" spans="1:7" x14ac:dyDescent="0.2">
      <c r="C36" s="50"/>
      <c r="D36" s="303"/>
      <c r="E36" s="303"/>
      <c r="F36" s="105"/>
    </row>
    <row r="37" spans="1:7" x14ac:dyDescent="0.2">
      <c r="C37" s="50"/>
      <c r="D37" s="303"/>
      <c r="E37" s="303"/>
      <c r="F37" s="105"/>
    </row>
    <row r="38" spans="1:7" ht="13.5" thickBot="1" x14ac:dyDescent="0.25"/>
    <row r="39" spans="1:7" s="4" customFormat="1" ht="15" customHeight="1" thickBot="1" x14ac:dyDescent="0.25">
      <c r="A39" s="339" t="s">
        <v>94</v>
      </c>
      <c r="B39" s="340"/>
      <c r="C39" s="340"/>
      <c r="D39" s="340"/>
      <c r="E39" s="341"/>
      <c r="F39" s="10"/>
      <c r="G39" s="6"/>
    </row>
    <row r="40" spans="1:7" s="4" customFormat="1" ht="15" customHeight="1" thickBot="1" x14ac:dyDescent="0.25">
      <c r="A40" s="336" t="s">
        <v>35</v>
      </c>
      <c r="B40" s="337"/>
      <c r="C40" s="337"/>
      <c r="D40" s="338"/>
      <c r="E40" s="46" t="s">
        <v>36</v>
      </c>
      <c r="F40" s="10"/>
      <c r="G40" s="6"/>
    </row>
    <row r="41" spans="1:7" s="4" customFormat="1" ht="15" customHeight="1" x14ac:dyDescent="0.2">
      <c r="A41" s="70" t="str">
        <f>+A53</f>
        <v>1.1. Coletor Turno Dia</v>
      </c>
      <c r="B41" s="71"/>
      <c r="C41" s="71"/>
      <c r="D41" s="72"/>
      <c r="E41" s="73">
        <v>2</v>
      </c>
      <c r="F41" s="10"/>
      <c r="G41" s="6"/>
    </row>
    <row r="42" spans="1:7" s="4" customFormat="1" ht="15" customHeight="1" x14ac:dyDescent="0.2">
      <c r="A42" s="64" t="str">
        <f>+A64</f>
        <v>1.3. Motorista Turno do Dia</v>
      </c>
      <c r="B42" s="63"/>
      <c r="C42" s="63"/>
      <c r="D42" s="74"/>
      <c r="E42" s="67">
        <v>1</v>
      </c>
      <c r="F42" s="10"/>
      <c r="G42" s="6"/>
    </row>
    <row r="43" spans="1:7" s="4" customFormat="1" ht="15" customHeight="1" thickBot="1" x14ac:dyDescent="0.25">
      <c r="A43" s="68" t="s">
        <v>55</v>
      </c>
      <c r="B43" s="69"/>
      <c r="C43" s="69"/>
      <c r="D43" s="75"/>
      <c r="E43" s="76">
        <f>SUM(E41:E42)</f>
        <v>3</v>
      </c>
      <c r="F43" s="10"/>
      <c r="G43" s="6"/>
    </row>
    <row r="44" spans="1:7" s="4" customFormat="1" ht="15" customHeight="1" thickBot="1" x14ac:dyDescent="0.25">
      <c r="A44" s="121"/>
      <c r="B44" s="122"/>
      <c r="C44" s="56"/>
      <c r="D44" s="56"/>
      <c r="E44" s="123"/>
      <c r="F44" s="10"/>
      <c r="G44" s="6"/>
    </row>
    <row r="45" spans="1:7" s="4" customFormat="1" ht="15" customHeight="1" x14ac:dyDescent="0.2">
      <c r="A45" s="326" t="s">
        <v>52</v>
      </c>
      <c r="B45" s="327"/>
      <c r="C45" s="327"/>
      <c r="D45" s="327"/>
      <c r="E45" s="46" t="s">
        <v>36</v>
      </c>
      <c r="F45" s="9"/>
      <c r="G45" s="6"/>
    </row>
    <row r="46" spans="1:7" s="4" customFormat="1" ht="15" customHeight="1" thickBot="1" x14ac:dyDescent="0.25">
      <c r="A46" s="124" t="str">
        <f>+A135</f>
        <v>3.1. Veículo Coletor Compactador 15 m³</v>
      </c>
      <c r="B46" s="125"/>
      <c r="C46" s="125"/>
      <c r="D46" s="126"/>
      <c r="E46" s="127">
        <v>1</v>
      </c>
      <c r="F46" s="9"/>
      <c r="G46" s="6"/>
    </row>
    <row r="47" spans="1:7" s="4" customFormat="1" ht="15" customHeight="1" x14ac:dyDescent="0.2">
      <c r="A47" s="56"/>
      <c r="B47" s="56"/>
      <c r="C47" s="56"/>
      <c r="D47" s="51"/>
      <c r="E47" s="241"/>
      <c r="F47" s="9"/>
      <c r="G47" s="6"/>
    </row>
    <row r="48" spans="1:7" s="4" customFormat="1" ht="13.5" thickBot="1" x14ac:dyDescent="0.25">
      <c r="A48" s="56"/>
      <c r="B48" s="56"/>
      <c r="C48" s="56"/>
      <c r="D48" s="51"/>
      <c r="E48" s="65"/>
      <c r="F48" s="9"/>
      <c r="G48" s="6"/>
    </row>
    <row r="49" spans="1:7" s="11" customFormat="1" ht="15.75" customHeight="1" thickBot="1" x14ac:dyDescent="0.25">
      <c r="A49" s="246" t="s">
        <v>194</v>
      </c>
      <c r="B49" s="247">
        <v>0.39</v>
      </c>
      <c r="C49" s="35"/>
      <c r="D49" s="34"/>
      <c r="E49" s="146"/>
      <c r="G49" s="42"/>
    </row>
    <row r="50" spans="1:7" s="4" customFormat="1" ht="15.75" customHeight="1" x14ac:dyDescent="0.2">
      <c r="A50" s="56"/>
      <c r="B50" s="56"/>
      <c r="C50" s="56"/>
      <c r="D50" s="51"/>
      <c r="E50" s="65"/>
      <c r="F50" s="9"/>
      <c r="G50" s="6"/>
    </row>
    <row r="51" spans="1:7" ht="13.15" customHeight="1" x14ac:dyDescent="0.2">
      <c r="A51" s="11" t="s">
        <v>43</v>
      </c>
    </row>
    <row r="52" spans="1:7" ht="11.25" customHeight="1" x14ac:dyDescent="0.2"/>
    <row r="53" spans="1:7" ht="13.9" customHeight="1" thickBot="1" x14ac:dyDescent="0.25">
      <c r="A53" s="9" t="s">
        <v>95</v>
      </c>
    </row>
    <row r="54" spans="1:7" ht="13.9" customHeight="1" thickBot="1" x14ac:dyDescent="0.25">
      <c r="A54" s="57" t="s">
        <v>59</v>
      </c>
      <c r="B54" s="58" t="s">
        <v>60</v>
      </c>
      <c r="C54" s="58" t="s">
        <v>36</v>
      </c>
      <c r="D54" s="59" t="s">
        <v>229</v>
      </c>
      <c r="E54" s="59" t="s">
        <v>61</v>
      </c>
      <c r="F54" s="60" t="s">
        <v>62</v>
      </c>
    </row>
    <row r="55" spans="1:7" ht="13.15" customHeight="1" x14ac:dyDescent="0.2">
      <c r="A55" s="13" t="s">
        <v>210</v>
      </c>
      <c r="B55" s="14" t="s">
        <v>6</v>
      </c>
      <c r="C55" s="14">
        <v>1</v>
      </c>
      <c r="D55" s="81">
        <v>2082.31</v>
      </c>
      <c r="E55" s="15">
        <f>C55*D55</f>
        <v>2082.31</v>
      </c>
    </row>
    <row r="56" spans="1:7" x14ac:dyDescent="0.2">
      <c r="A56" s="16" t="s">
        <v>0</v>
      </c>
      <c r="B56" s="17" t="s">
        <v>1</v>
      </c>
      <c r="C56" s="17">
        <v>40</v>
      </c>
      <c r="D56" s="77">
        <f>SUM(E55:E55)</f>
        <v>2082.31</v>
      </c>
      <c r="E56" s="18">
        <f>C56*D56/100</f>
        <v>832.92399999999998</v>
      </c>
    </row>
    <row r="57" spans="1:7" x14ac:dyDescent="0.2">
      <c r="A57" s="109" t="s">
        <v>2</v>
      </c>
      <c r="B57" s="110"/>
      <c r="C57" s="110"/>
      <c r="D57" s="111"/>
      <c r="E57" s="112">
        <f>SUM(E55:E56)</f>
        <v>2915.2339999999999</v>
      </c>
    </row>
    <row r="58" spans="1:7" x14ac:dyDescent="0.2">
      <c r="A58" s="16" t="s">
        <v>3</v>
      </c>
      <c r="B58" s="17" t="s">
        <v>1</v>
      </c>
      <c r="C58" s="133">
        <f>'2.Encargos Sociais'!$C$37*100</f>
        <v>70.595951999999997</v>
      </c>
      <c r="D58" s="18">
        <f>E57</f>
        <v>2915.2339999999999</v>
      </c>
      <c r="E58" s="18">
        <f>D58*C58/100</f>
        <v>2058.0371953276799</v>
      </c>
    </row>
    <row r="59" spans="1:7" x14ac:dyDescent="0.2">
      <c r="A59" s="109" t="s">
        <v>68</v>
      </c>
      <c r="B59" s="110"/>
      <c r="C59" s="110"/>
      <c r="D59" s="111"/>
      <c r="E59" s="112">
        <f>E57+E58</f>
        <v>4973.2711953276794</v>
      </c>
    </row>
    <row r="60" spans="1:7" ht="13.5" thickBot="1" x14ac:dyDescent="0.25">
      <c r="A60" s="16" t="s">
        <v>4</v>
      </c>
      <c r="B60" s="17" t="s">
        <v>5</v>
      </c>
      <c r="C60" s="80">
        <v>2</v>
      </c>
      <c r="D60" s="18">
        <f>E59</f>
        <v>4973.2711953276794</v>
      </c>
      <c r="E60" s="18">
        <f>C60*D60</f>
        <v>9946.5423906553588</v>
      </c>
      <c r="G60" s="6"/>
    </row>
    <row r="61" spans="1:7" ht="13.9" customHeight="1" thickBot="1" x14ac:dyDescent="0.25">
      <c r="D61" s="115" t="s">
        <v>193</v>
      </c>
      <c r="E61" s="48">
        <f>$B$49</f>
        <v>0.39</v>
      </c>
      <c r="F61" s="116">
        <f>E60*E61</f>
        <v>3879.15153235559</v>
      </c>
      <c r="G61" s="6"/>
    </row>
    <row r="62" spans="1:7" ht="11.25" customHeight="1" x14ac:dyDescent="0.2"/>
    <row r="63" spans="1:7" ht="11.25" customHeight="1" x14ac:dyDescent="0.2"/>
    <row r="64" spans="1:7" ht="13.5" thickBot="1" x14ac:dyDescent="0.25">
      <c r="A64" s="9" t="s">
        <v>96</v>
      </c>
    </row>
    <row r="65" spans="1:7" s="12" customFormat="1" ht="13.15" customHeight="1" thickBot="1" x14ac:dyDescent="0.25">
      <c r="A65" s="57" t="s">
        <v>59</v>
      </c>
      <c r="B65" s="58" t="s">
        <v>60</v>
      </c>
      <c r="C65" s="58" t="s">
        <v>36</v>
      </c>
      <c r="D65" s="59" t="s">
        <v>229</v>
      </c>
      <c r="E65" s="59" t="s">
        <v>61</v>
      </c>
      <c r="F65" s="60" t="s">
        <v>62</v>
      </c>
      <c r="G65" s="10"/>
    </row>
    <row r="66" spans="1:7" x14ac:dyDescent="0.2">
      <c r="A66" s="294" t="s">
        <v>282</v>
      </c>
      <c r="B66" s="14" t="s">
        <v>6</v>
      </c>
      <c r="C66" s="14">
        <v>1</v>
      </c>
      <c r="D66" s="81">
        <v>2428</v>
      </c>
      <c r="E66" s="15">
        <f>C66*D66</f>
        <v>2428</v>
      </c>
    </row>
    <row r="67" spans="1:7" x14ac:dyDescent="0.2">
      <c r="A67" s="294" t="s">
        <v>283</v>
      </c>
      <c r="B67" s="14" t="s">
        <v>6</v>
      </c>
      <c r="C67" s="14">
        <v>1</v>
      </c>
      <c r="D67" s="81">
        <v>1621</v>
      </c>
      <c r="E67" s="15"/>
    </row>
    <row r="68" spans="1:7" x14ac:dyDescent="0.2">
      <c r="A68" s="16" t="s">
        <v>211</v>
      </c>
      <c r="B68" s="17"/>
      <c r="C68" s="83"/>
      <c r="D68" s="18"/>
      <c r="E68" s="18"/>
    </row>
    <row r="69" spans="1:7" x14ac:dyDescent="0.2">
      <c r="A69" s="16" t="s">
        <v>0</v>
      </c>
      <c r="B69" s="17" t="s">
        <v>1</v>
      </c>
      <c r="C69" s="80"/>
      <c r="D69" s="77">
        <f>IF(C68=2,SUM(E66:E67),IF(C68=1,(SUM(E66:E67))*D67/D66,0))</f>
        <v>0</v>
      </c>
      <c r="E69" s="18">
        <f>C69*D69/100</f>
        <v>0</v>
      </c>
    </row>
    <row r="70" spans="1:7" s="11" customFormat="1" x14ac:dyDescent="0.2">
      <c r="A70" s="96" t="s">
        <v>2</v>
      </c>
      <c r="B70" s="110"/>
      <c r="C70" s="110"/>
      <c r="D70" s="111"/>
      <c r="E70" s="98">
        <f>SUM(E66:E69)</f>
        <v>2428</v>
      </c>
      <c r="F70" s="42"/>
      <c r="G70" s="42"/>
    </row>
    <row r="71" spans="1:7" x14ac:dyDescent="0.2">
      <c r="A71" s="16" t="s">
        <v>3</v>
      </c>
      <c r="B71" s="17" t="s">
        <v>1</v>
      </c>
      <c r="C71" s="133">
        <f>'2.Encargos Sociais'!$C$37*100</f>
        <v>70.595951999999997</v>
      </c>
      <c r="D71" s="18">
        <f>E70</f>
        <v>2428</v>
      </c>
      <c r="E71" s="18">
        <f>D71*C71/100</f>
        <v>1714.06971456</v>
      </c>
    </row>
    <row r="72" spans="1:7" s="11" customFormat="1" x14ac:dyDescent="0.2">
      <c r="A72" s="96" t="s">
        <v>243</v>
      </c>
      <c r="B72" s="253"/>
      <c r="C72" s="253"/>
      <c r="D72" s="254"/>
      <c r="E72" s="98">
        <f>E70+E71</f>
        <v>4142.0697145599997</v>
      </c>
      <c r="F72" s="42"/>
      <c r="G72" s="42"/>
    </row>
    <row r="73" spans="1:7" ht="13.5" thickBot="1" x14ac:dyDescent="0.25">
      <c r="A73" s="16" t="s">
        <v>4</v>
      </c>
      <c r="B73" s="17" t="s">
        <v>5</v>
      </c>
      <c r="C73" s="80">
        <v>1</v>
      </c>
      <c r="D73" s="18">
        <f>E72</f>
        <v>4142.0697145599997</v>
      </c>
      <c r="E73" s="18">
        <f>C73*D73</f>
        <v>4142.0697145599997</v>
      </c>
    </row>
    <row r="74" spans="1:7" ht="13.5" thickBot="1" x14ac:dyDescent="0.25">
      <c r="D74" s="115" t="s">
        <v>193</v>
      </c>
      <c r="E74" s="48">
        <f>$B$49</f>
        <v>0.39</v>
      </c>
      <c r="F74" s="116">
        <f>E73*E74</f>
        <v>1615.4071886784</v>
      </c>
    </row>
    <row r="75" spans="1:7" ht="11.25" customHeight="1" x14ac:dyDescent="0.2"/>
    <row r="76" spans="1:7" ht="11.25" customHeight="1" x14ac:dyDescent="0.2">
      <c r="G76" s="9"/>
    </row>
    <row r="77" spans="1:7" ht="13.5" thickBot="1" x14ac:dyDescent="0.25">
      <c r="A77" s="9" t="s">
        <v>97</v>
      </c>
      <c r="B77" s="86"/>
      <c r="D77" s="9"/>
      <c r="E77" s="9"/>
      <c r="G77" s="9"/>
    </row>
    <row r="78" spans="1:7" ht="13.5" thickBot="1" x14ac:dyDescent="0.25">
      <c r="A78" s="57" t="s">
        <v>59</v>
      </c>
      <c r="B78" s="58" t="s">
        <v>60</v>
      </c>
      <c r="C78" s="58" t="s">
        <v>36</v>
      </c>
      <c r="D78" s="59" t="s">
        <v>229</v>
      </c>
      <c r="E78" s="59" t="s">
        <v>61</v>
      </c>
      <c r="F78" s="60" t="s">
        <v>62</v>
      </c>
      <c r="G78" s="9"/>
    </row>
    <row r="79" spans="1:7" x14ac:dyDescent="0.2">
      <c r="A79" s="16" t="s">
        <v>87</v>
      </c>
      <c r="B79" s="17" t="s">
        <v>32</v>
      </c>
      <c r="C79" s="87"/>
      <c r="D79" s="85"/>
      <c r="E79" s="18"/>
      <c r="G79" s="9"/>
    </row>
    <row r="80" spans="1:7" x14ac:dyDescent="0.2">
      <c r="A80" s="16" t="s">
        <v>88</v>
      </c>
      <c r="B80" s="17" t="s">
        <v>89</v>
      </c>
      <c r="C80" s="84"/>
      <c r="D80" s="18"/>
      <c r="E80" s="18"/>
      <c r="G80" s="9"/>
    </row>
    <row r="81" spans="1:7" x14ac:dyDescent="0.2">
      <c r="A81" s="16" t="s">
        <v>69</v>
      </c>
      <c r="B81" s="17" t="s">
        <v>7</v>
      </c>
      <c r="C81" s="37"/>
      <c r="D81" s="15" t="str">
        <f>IFERROR((($C$80*2*$D$79)-(E55*0.06*C80/26))/($C$80*2),"-")</f>
        <v>-</v>
      </c>
      <c r="E81" s="18" t="str">
        <f>IFERROR(C81*D81,"-")</f>
        <v>-</v>
      </c>
      <c r="G81" s="9"/>
    </row>
    <row r="82" spans="1:7" ht="13.5" thickBot="1" x14ac:dyDescent="0.25">
      <c r="A82" s="13" t="s">
        <v>40</v>
      </c>
      <c r="B82" s="14" t="s">
        <v>7</v>
      </c>
      <c r="C82" s="37"/>
      <c r="D82" s="15" t="str">
        <f>IFERROR((($C$80*2*$D$79)-(E66*0.06*C80/26))/($C$80*2),"-")</f>
        <v>-</v>
      </c>
      <c r="E82" s="15" t="str">
        <f>IFERROR(C82*D82,"-")</f>
        <v>-</v>
      </c>
      <c r="G82" s="9"/>
    </row>
    <row r="83" spans="1:7" ht="13.5" thickBot="1" x14ac:dyDescent="0.25">
      <c r="F83" s="22">
        <f>SUM(E81:E82)</f>
        <v>0</v>
      </c>
      <c r="G83" s="9"/>
    </row>
    <row r="84" spans="1:7" ht="11.25" customHeight="1" x14ac:dyDescent="0.2">
      <c r="G84" s="9"/>
    </row>
    <row r="85" spans="1:7" ht="13.5" thickBot="1" x14ac:dyDescent="0.25">
      <c r="A85" s="9" t="s">
        <v>120</v>
      </c>
      <c r="F85" s="23"/>
      <c r="G85" s="9"/>
    </row>
    <row r="86" spans="1:7" ht="13.5" thickBot="1" x14ac:dyDescent="0.25">
      <c r="A86" s="57" t="s">
        <v>59</v>
      </c>
      <c r="B86" s="58" t="s">
        <v>60</v>
      </c>
      <c r="C86" s="58" t="s">
        <v>36</v>
      </c>
      <c r="D86" s="59" t="s">
        <v>229</v>
      </c>
      <c r="E86" s="59" t="s">
        <v>61</v>
      </c>
      <c r="F86" s="60" t="s">
        <v>62</v>
      </c>
      <c r="G86" s="9"/>
    </row>
    <row r="87" spans="1:7" x14ac:dyDescent="0.2">
      <c r="A87" s="16" t="str">
        <f>+A81</f>
        <v>Coletor</v>
      </c>
      <c r="B87" s="17" t="s">
        <v>8</v>
      </c>
      <c r="C87" s="95">
        <v>26</v>
      </c>
      <c r="D87" s="88">
        <v>27.15</v>
      </c>
      <c r="E87" s="48">
        <f>C87*D87</f>
        <v>705.9</v>
      </c>
      <c r="F87" s="23"/>
      <c r="G87" s="9"/>
    </row>
    <row r="88" spans="1:7" ht="13.5" thickBot="1" x14ac:dyDescent="0.25">
      <c r="A88" s="16" t="str">
        <f>+A82</f>
        <v>Motorista</v>
      </c>
      <c r="B88" s="17" t="s">
        <v>8</v>
      </c>
      <c r="C88" s="95">
        <v>13</v>
      </c>
      <c r="D88" s="88">
        <v>23.5</v>
      </c>
      <c r="E88" s="48">
        <f>C88*D88</f>
        <v>305.5</v>
      </c>
      <c r="F88" s="23"/>
      <c r="G88" s="9"/>
    </row>
    <row r="89" spans="1:7" ht="13.5" thickBot="1" x14ac:dyDescent="0.25">
      <c r="F89" s="22">
        <f>SUM(E87:E88)</f>
        <v>1011.4</v>
      </c>
      <c r="G89" s="9"/>
    </row>
    <row r="90" spans="1:7" x14ac:dyDescent="0.2">
      <c r="G90" s="9"/>
    </row>
    <row r="91" spans="1:7" ht="13.5" thickBot="1" x14ac:dyDescent="0.25">
      <c r="A91" s="9" t="s">
        <v>121</v>
      </c>
      <c r="F91" s="23"/>
      <c r="G91" s="9"/>
    </row>
    <row r="92" spans="1:7" ht="13.5" thickBot="1" x14ac:dyDescent="0.25">
      <c r="A92" s="57" t="s">
        <v>59</v>
      </c>
      <c r="B92" s="58" t="s">
        <v>60</v>
      </c>
      <c r="C92" s="58" t="s">
        <v>36</v>
      </c>
      <c r="D92" s="59" t="s">
        <v>229</v>
      </c>
      <c r="E92" s="59" t="s">
        <v>61</v>
      </c>
      <c r="F92" s="60" t="s">
        <v>62</v>
      </c>
      <c r="G92" s="9"/>
    </row>
    <row r="93" spans="1:7" x14ac:dyDescent="0.2">
      <c r="A93" s="16" t="str">
        <f>+A87</f>
        <v>Coletor</v>
      </c>
      <c r="B93" s="17" t="s">
        <v>8</v>
      </c>
      <c r="C93" s="95"/>
      <c r="D93" s="88"/>
      <c r="E93" s="48"/>
      <c r="F93" s="23"/>
      <c r="G93" s="9"/>
    </row>
    <row r="94" spans="1:7" ht="13.5" thickBot="1" x14ac:dyDescent="0.25">
      <c r="A94" s="16" t="str">
        <f>+A88</f>
        <v>Motorista</v>
      </c>
      <c r="B94" s="17" t="s">
        <v>8</v>
      </c>
      <c r="C94" s="95">
        <v>1</v>
      </c>
      <c r="D94" s="88">
        <v>150</v>
      </c>
      <c r="E94" s="48">
        <f>C94*D94</f>
        <v>150</v>
      </c>
      <c r="F94" s="23"/>
      <c r="G94" s="9"/>
    </row>
    <row r="95" spans="1:7" ht="13.5" thickBot="1" x14ac:dyDescent="0.25">
      <c r="D95" s="115" t="s">
        <v>193</v>
      </c>
      <c r="E95" s="48">
        <f>$B$49</f>
        <v>0.39</v>
      </c>
      <c r="F95" s="22">
        <f>SUM(E93:E94)*E95</f>
        <v>58.5</v>
      </c>
      <c r="G95" s="9"/>
    </row>
    <row r="96" spans="1:7" ht="13.5" thickBot="1" x14ac:dyDescent="0.25">
      <c r="G96" s="9"/>
    </row>
    <row r="97" spans="1:7" ht="13.5" thickBot="1" x14ac:dyDescent="0.25">
      <c r="A97" s="24" t="s">
        <v>90</v>
      </c>
      <c r="B97" s="25"/>
      <c r="C97" s="25"/>
      <c r="D97" s="26"/>
      <c r="E97" s="27"/>
      <c r="F97" s="22">
        <f>F95+F89+F83+F74+F61</f>
        <v>6564.4587210339905</v>
      </c>
      <c r="G97" s="9"/>
    </row>
    <row r="99" spans="1:7" x14ac:dyDescent="0.2">
      <c r="A99" s="11" t="s">
        <v>41</v>
      </c>
      <c r="G99" s="9"/>
    </row>
    <row r="100" spans="1:7" ht="11.25" customHeight="1" x14ac:dyDescent="0.2">
      <c r="G100" s="9"/>
    </row>
    <row r="101" spans="1:7" ht="13.9" customHeight="1" x14ac:dyDescent="0.2">
      <c r="A101" s="9" t="s">
        <v>195</v>
      </c>
      <c r="G101" s="9"/>
    </row>
    <row r="102" spans="1:7" ht="11.25" customHeight="1" thickBot="1" x14ac:dyDescent="0.25">
      <c r="G102" s="9"/>
    </row>
    <row r="103" spans="1:7" ht="27.75" customHeight="1" thickBot="1" x14ac:dyDescent="0.25">
      <c r="A103" s="57" t="s">
        <v>59</v>
      </c>
      <c r="B103" s="58" t="s">
        <v>60</v>
      </c>
      <c r="C103" s="255" t="s">
        <v>244</v>
      </c>
      <c r="D103" s="59" t="s">
        <v>229</v>
      </c>
      <c r="E103" s="59" t="s">
        <v>61</v>
      </c>
      <c r="F103" s="60" t="s">
        <v>62</v>
      </c>
      <c r="G103" s="9"/>
    </row>
    <row r="104" spans="1:7" x14ac:dyDescent="0.2">
      <c r="A104" s="13" t="s">
        <v>63</v>
      </c>
      <c r="B104" s="14" t="s">
        <v>8</v>
      </c>
      <c r="C104" s="94">
        <v>6</v>
      </c>
      <c r="D104" s="81">
        <v>150</v>
      </c>
      <c r="E104" s="15">
        <f>IFERROR(D104/C104,0)</f>
        <v>25</v>
      </c>
      <c r="G104" s="9"/>
    </row>
    <row r="105" spans="1:7" ht="13.15" customHeight="1" x14ac:dyDescent="0.2">
      <c r="A105" s="16" t="s">
        <v>28</v>
      </c>
      <c r="B105" s="17" t="s">
        <v>8</v>
      </c>
      <c r="C105" s="94">
        <v>4</v>
      </c>
      <c r="D105" s="81">
        <v>68.33</v>
      </c>
      <c r="E105" s="15">
        <f t="shared" ref="E105:E113" si="1">IFERROR(D105/C105,0)</f>
        <v>17.0825</v>
      </c>
      <c r="G105" s="9"/>
    </row>
    <row r="106" spans="1:7" x14ac:dyDescent="0.2">
      <c r="A106" s="16" t="s">
        <v>29</v>
      </c>
      <c r="B106" s="17" t="s">
        <v>8</v>
      </c>
      <c r="C106" s="94">
        <v>4</v>
      </c>
      <c r="D106" s="81">
        <v>42.2</v>
      </c>
      <c r="E106" s="15">
        <f t="shared" si="1"/>
        <v>10.55</v>
      </c>
      <c r="G106" s="9"/>
    </row>
    <row r="107" spans="1:7" ht="13.15" customHeight="1" x14ac:dyDescent="0.2">
      <c r="A107" s="16" t="s">
        <v>30</v>
      </c>
      <c r="B107" s="17" t="s">
        <v>8</v>
      </c>
      <c r="C107" s="94">
        <v>6</v>
      </c>
      <c r="D107" s="81">
        <v>16.47</v>
      </c>
      <c r="E107" s="15">
        <f t="shared" si="1"/>
        <v>2.7449999999999997</v>
      </c>
      <c r="G107" s="9"/>
    </row>
    <row r="108" spans="1:7" ht="13.9" customHeight="1" x14ac:dyDescent="0.2">
      <c r="A108" s="16" t="s">
        <v>65</v>
      </c>
      <c r="B108" s="17" t="s">
        <v>44</v>
      </c>
      <c r="C108" s="94">
        <v>3</v>
      </c>
      <c r="D108" s="81">
        <v>157</v>
      </c>
      <c r="E108" s="15">
        <f t="shared" si="1"/>
        <v>52.333333333333336</v>
      </c>
      <c r="G108" s="9"/>
    </row>
    <row r="109" spans="1:7" ht="13.15" customHeight="1" x14ac:dyDescent="0.2">
      <c r="A109" s="16" t="s">
        <v>91</v>
      </c>
      <c r="B109" s="17" t="s">
        <v>44</v>
      </c>
      <c r="C109" s="94">
        <v>2</v>
      </c>
      <c r="D109" s="300">
        <v>7.5</v>
      </c>
      <c r="E109" s="15">
        <f t="shared" si="1"/>
        <v>3.75</v>
      </c>
    </row>
    <row r="110" spans="1:7" x14ac:dyDescent="0.2">
      <c r="A110" s="16" t="s">
        <v>64</v>
      </c>
      <c r="B110" s="17" t="s">
        <v>8</v>
      </c>
      <c r="C110" s="94">
        <v>6</v>
      </c>
      <c r="D110" s="81">
        <v>35.700000000000003</v>
      </c>
      <c r="E110" s="15">
        <f t="shared" si="1"/>
        <v>5.95</v>
      </c>
    </row>
    <row r="111" spans="1:7" s="1" customFormat="1" x14ac:dyDescent="0.2">
      <c r="A111" s="2" t="s">
        <v>9</v>
      </c>
      <c r="B111" s="3" t="s">
        <v>8</v>
      </c>
      <c r="C111" s="94">
        <v>4</v>
      </c>
      <c r="D111" s="81">
        <v>23.98</v>
      </c>
      <c r="E111" s="15">
        <f t="shared" si="1"/>
        <v>5.9950000000000001</v>
      </c>
      <c r="F111" s="38"/>
      <c r="G111" s="38"/>
    </row>
    <row r="112" spans="1:7" x14ac:dyDescent="0.2">
      <c r="A112" s="16" t="s">
        <v>31</v>
      </c>
      <c r="B112" s="17" t="s">
        <v>44</v>
      </c>
      <c r="C112" s="94">
        <v>1</v>
      </c>
      <c r="D112" s="81">
        <v>23.8</v>
      </c>
      <c r="E112" s="15">
        <f t="shared" si="1"/>
        <v>23.8</v>
      </c>
    </row>
    <row r="113" spans="1:7" ht="13.15" customHeight="1" x14ac:dyDescent="0.2">
      <c r="A113" s="16" t="s">
        <v>58</v>
      </c>
      <c r="B113" s="17" t="s">
        <v>45</v>
      </c>
      <c r="C113" s="94">
        <v>2</v>
      </c>
      <c r="D113" s="81">
        <v>19.2</v>
      </c>
      <c r="E113" s="15">
        <f t="shared" si="1"/>
        <v>9.6</v>
      </c>
    </row>
    <row r="114" spans="1:7" x14ac:dyDescent="0.2">
      <c r="A114" s="16" t="s">
        <v>196</v>
      </c>
      <c r="B114" s="17" t="s">
        <v>122</v>
      </c>
      <c r="C114" s="113">
        <v>1</v>
      </c>
      <c r="D114" s="81">
        <v>50</v>
      </c>
      <c r="E114" s="18">
        <f t="shared" ref="E114:E115" si="2">C114*D114</f>
        <v>50</v>
      </c>
    </row>
    <row r="115" spans="1:7" ht="13.5" thickBot="1" x14ac:dyDescent="0.25">
      <c r="A115" s="16" t="s">
        <v>4</v>
      </c>
      <c r="B115" s="17" t="s">
        <v>5</v>
      </c>
      <c r="C115" s="66">
        <v>2</v>
      </c>
      <c r="D115" s="18">
        <f>+SUM(E104:E114)</f>
        <v>206.80583333333334</v>
      </c>
      <c r="E115" s="18">
        <f t="shared" si="2"/>
        <v>413.61166666666668</v>
      </c>
    </row>
    <row r="116" spans="1:7" ht="13.5" thickBot="1" x14ac:dyDescent="0.25">
      <c r="D116" s="115" t="s">
        <v>193</v>
      </c>
      <c r="E116" s="48">
        <f>$B$49</f>
        <v>0.39</v>
      </c>
      <c r="F116" s="116">
        <f>E115*E116</f>
        <v>161.30855</v>
      </c>
    </row>
    <row r="117" spans="1:7" ht="11.25" customHeight="1" x14ac:dyDescent="0.2"/>
    <row r="118" spans="1:7" ht="13.9" customHeight="1" x14ac:dyDescent="0.2">
      <c r="A118" s="9" t="s">
        <v>197</v>
      </c>
    </row>
    <row r="119" spans="1:7" ht="11.25" customHeight="1" thickBot="1" x14ac:dyDescent="0.25"/>
    <row r="120" spans="1:7" ht="24.75" thickBot="1" x14ac:dyDescent="0.25">
      <c r="A120" s="57" t="s">
        <v>59</v>
      </c>
      <c r="B120" s="58" t="s">
        <v>60</v>
      </c>
      <c r="C120" s="255" t="s">
        <v>244</v>
      </c>
      <c r="D120" s="59" t="s">
        <v>229</v>
      </c>
      <c r="E120" s="59" t="s">
        <v>61</v>
      </c>
      <c r="F120" s="60" t="s">
        <v>62</v>
      </c>
    </row>
    <row r="121" spans="1:7" x14ac:dyDescent="0.2">
      <c r="A121" s="13" t="s">
        <v>63</v>
      </c>
      <c r="B121" s="14" t="s">
        <v>8</v>
      </c>
      <c r="C121" s="94">
        <v>6</v>
      </c>
      <c r="D121" s="15">
        <f>+D104</f>
        <v>150</v>
      </c>
      <c r="E121" s="15">
        <f>IFERROR(D121/C121,0)</f>
        <v>25</v>
      </c>
    </row>
    <row r="122" spans="1:7" x14ac:dyDescent="0.2">
      <c r="A122" s="16" t="s">
        <v>28</v>
      </c>
      <c r="B122" s="17" t="s">
        <v>8</v>
      </c>
      <c r="C122" s="94">
        <v>4</v>
      </c>
      <c r="D122" s="18">
        <f>+D105</f>
        <v>68.33</v>
      </c>
      <c r="E122" s="15">
        <f t="shared" ref="E122:E126" si="3">IFERROR(D122/C122,0)</f>
        <v>17.0825</v>
      </c>
    </row>
    <row r="123" spans="1:7" x14ac:dyDescent="0.2">
      <c r="A123" s="16" t="s">
        <v>29</v>
      </c>
      <c r="B123" s="17" t="s">
        <v>8</v>
      </c>
      <c r="C123" s="94">
        <v>4</v>
      </c>
      <c r="D123" s="18">
        <f>+D106</f>
        <v>42.2</v>
      </c>
      <c r="E123" s="15">
        <f t="shared" si="3"/>
        <v>10.55</v>
      </c>
    </row>
    <row r="124" spans="1:7" x14ac:dyDescent="0.2">
      <c r="A124" s="16" t="s">
        <v>65</v>
      </c>
      <c r="B124" s="17" t="s">
        <v>44</v>
      </c>
      <c r="C124" s="94">
        <v>3</v>
      </c>
      <c r="D124" s="18">
        <v>157</v>
      </c>
      <c r="E124" s="15">
        <f t="shared" si="3"/>
        <v>52.333333333333336</v>
      </c>
    </row>
    <row r="125" spans="1:7" x14ac:dyDescent="0.2">
      <c r="A125" s="16" t="s">
        <v>64</v>
      </c>
      <c r="B125" s="17" t="s">
        <v>8</v>
      </c>
      <c r="C125" s="94">
        <v>6</v>
      </c>
      <c r="D125" s="18">
        <v>35.700000000000003</v>
      </c>
      <c r="E125" s="15">
        <f t="shared" si="3"/>
        <v>5.95</v>
      </c>
      <c r="G125" s="9"/>
    </row>
    <row r="126" spans="1:7" x14ac:dyDescent="0.2">
      <c r="A126" s="16" t="s">
        <v>58</v>
      </c>
      <c r="B126" s="17" t="s">
        <v>45</v>
      </c>
      <c r="C126" s="94">
        <v>3</v>
      </c>
      <c r="D126" s="18">
        <v>19.2</v>
      </c>
      <c r="E126" s="15">
        <f t="shared" si="3"/>
        <v>6.3999999999999995</v>
      </c>
      <c r="G126" s="9"/>
    </row>
    <row r="127" spans="1:7" x14ac:dyDescent="0.2">
      <c r="A127" s="16" t="s">
        <v>196</v>
      </c>
      <c r="B127" s="17" t="s">
        <v>122</v>
      </c>
      <c r="C127" s="113">
        <v>1</v>
      </c>
      <c r="D127" s="81">
        <v>50</v>
      </c>
      <c r="E127" s="18">
        <f t="shared" ref="E127:E128" si="4">C127*D127</f>
        <v>50</v>
      </c>
      <c r="G127" s="9"/>
    </row>
    <row r="128" spans="1:7" ht="13.5" thickBot="1" x14ac:dyDescent="0.25">
      <c r="A128" s="16" t="s">
        <v>4</v>
      </c>
      <c r="B128" s="17" t="s">
        <v>5</v>
      </c>
      <c r="C128" s="66">
        <v>1</v>
      </c>
      <c r="D128" s="18">
        <f>+SUM(E121:E127)</f>
        <v>167.31583333333333</v>
      </c>
      <c r="E128" s="18">
        <f t="shared" si="4"/>
        <v>167.31583333333333</v>
      </c>
      <c r="G128" s="9"/>
    </row>
    <row r="129" spans="1:10" ht="13.5" thickBot="1" x14ac:dyDescent="0.25">
      <c r="D129" s="115" t="s">
        <v>193</v>
      </c>
      <c r="E129" s="48">
        <f>$B$49</f>
        <v>0.39</v>
      </c>
      <c r="F129" s="116">
        <f>E128*E129</f>
        <v>65.253174999999999</v>
      </c>
      <c r="G129" s="9"/>
    </row>
    <row r="130" spans="1:10" ht="11.25" customHeight="1" thickBot="1" x14ac:dyDescent="0.25">
      <c r="G130" s="9"/>
    </row>
    <row r="131" spans="1:10" ht="13.5" thickBot="1" x14ac:dyDescent="0.25">
      <c r="A131" s="24" t="s">
        <v>198</v>
      </c>
      <c r="B131" s="28"/>
      <c r="C131" s="28"/>
      <c r="D131" s="29"/>
      <c r="E131" s="30"/>
      <c r="F131" s="21">
        <f>+F116+F129</f>
        <v>226.561725</v>
      </c>
      <c r="G131" s="9"/>
    </row>
    <row r="132" spans="1:10" ht="11.25" customHeight="1" x14ac:dyDescent="0.2">
      <c r="G132" s="9"/>
    </row>
    <row r="133" spans="1:10" x14ac:dyDescent="0.2">
      <c r="A133" s="11" t="s">
        <v>50</v>
      </c>
      <c r="G133" s="9"/>
    </row>
    <row r="134" spans="1:10" ht="11.25" customHeight="1" x14ac:dyDescent="0.2">
      <c r="B134" s="100"/>
      <c r="G134" s="9"/>
    </row>
    <row r="135" spans="1:10" x14ac:dyDescent="0.2">
      <c r="A135" s="7" t="s">
        <v>294</v>
      </c>
      <c r="G135" s="9"/>
    </row>
    <row r="136" spans="1:10" ht="11.25" customHeight="1" x14ac:dyDescent="0.2">
      <c r="G136" s="9"/>
    </row>
    <row r="137" spans="1:10" ht="13.5" thickBot="1" x14ac:dyDescent="0.25">
      <c r="A137" s="100" t="s">
        <v>42</v>
      </c>
      <c r="G137" s="9"/>
    </row>
    <row r="138" spans="1:10" ht="13.5" thickBot="1" x14ac:dyDescent="0.25">
      <c r="A138" s="57" t="s">
        <v>59</v>
      </c>
      <c r="B138" s="58" t="s">
        <v>60</v>
      </c>
      <c r="C138" s="58" t="s">
        <v>36</v>
      </c>
      <c r="D138" s="59" t="s">
        <v>229</v>
      </c>
      <c r="E138" s="59" t="s">
        <v>61</v>
      </c>
      <c r="F138" s="60" t="s">
        <v>62</v>
      </c>
      <c r="G138" s="9"/>
    </row>
    <row r="139" spans="1:10" x14ac:dyDescent="0.2">
      <c r="A139" s="13" t="s">
        <v>104</v>
      </c>
      <c r="B139" s="14" t="s">
        <v>8</v>
      </c>
      <c r="C139" s="261">
        <v>1</v>
      </c>
      <c r="D139" s="81">
        <v>550854</v>
      </c>
      <c r="E139" s="15">
        <f>C139*D139</f>
        <v>550854</v>
      </c>
      <c r="G139" s="301"/>
    </row>
    <row r="140" spans="1:10" x14ac:dyDescent="0.2">
      <c r="A140" s="16" t="s">
        <v>98</v>
      </c>
      <c r="B140" s="17" t="s">
        <v>99</v>
      </c>
      <c r="C140" s="80">
        <v>15</v>
      </c>
      <c r="D140" s="77"/>
      <c r="E140" s="18"/>
      <c r="G140" s="9"/>
    </row>
    <row r="141" spans="1:10" x14ac:dyDescent="0.2">
      <c r="A141" s="16" t="s">
        <v>205</v>
      </c>
      <c r="B141" s="17" t="s">
        <v>99</v>
      </c>
      <c r="C141" s="80">
        <v>0</v>
      </c>
      <c r="D141" s="18"/>
      <c r="E141" s="18"/>
      <c r="F141" s="20"/>
      <c r="I141" s="79"/>
      <c r="J141" s="79"/>
    </row>
    <row r="142" spans="1:10" x14ac:dyDescent="0.2">
      <c r="A142" s="16" t="s">
        <v>102</v>
      </c>
      <c r="B142" s="17" t="s">
        <v>1</v>
      </c>
      <c r="C142" s="133">
        <f>IFERROR(VLOOKUP(C140,'5. Depreciação'!A3:B17,2,FALSE),0)</f>
        <v>70.73</v>
      </c>
      <c r="D142" s="18">
        <f>E139</f>
        <v>550854</v>
      </c>
      <c r="E142" s="18">
        <f>C142*D142/100</f>
        <v>389619.03419999999</v>
      </c>
    </row>
    <row r="143" spans="1:10" ht="13.5" thickBot="1" x14ac:dyDescent="0.25">
      <c r="A143" s="264" t="s">
        <v>46</v>
      </c>
      <c r="B143" s="265" t="s">
        <v>6</v>
      </c>
      <c r="C143" s="265">
        <f>C140*12</f>
        <v>180</v>
      </c>
      <c r="D143" s="266">
        <f>IF(C141&lt;=C140,E142,0)</f>
        <v>389619.03419999999</v>
      </c>
      <c r="E143" s="266">
        <f>IFERROR(D143/C143,0)</f>
        <v>2164.5501899999999</v>
      </c>
    </row>
    <row r="144" spans="1:10" ht="13.5" thickTop="1" x14ac:dyDescent="0.2">
      <c r="A144" s="13" t="s">
        <v>103</v>
      </c>
      <c r="B144" s="14" t="s">
        <v>8</v>
      </c>
      <c r="C144" s="14">
        <f>C139</f>
        <v>1</v>
      </c>
      <c r="D144" s="81">
        <v>200000</v>
      </c>
      <c r="E144" s="15">
        <f>C144*D144</f>
        <v>200000</v>
      </c>
      <c r="G144" s="9"/>
    </row>
    <row r="145" spans="1:10" x14ac:dyDescent="0.2">
      <c r="A145" s="16" t="s">
        <v>100</v>
      </c>
      <c r="B145" s="17" t="s">
        <v>99</v>
      </c>
      <c r="C145" s="80">
        <v>10</v>
      </c>
      <c r="D145" s="18"/>
      <c r="E145" s="18"/>
    </row>
    <row r="146" spans="1:10" x14ac:dyDescent="0.2">
      <c r="A146" s="16" t="s">
        <v>206</v>
      </c>
      <c r="B146" s="17" t="s">
        <v>99</v>
      </c>
      <c r="C146" s="80">
        <v>0</v>
      </c>
      <c r="D146" s="18"/>
      <c r="E146" s="18"/>
      <c r="F146" s="20"/>
      <c r="I146" s="79"/>
      <c r="J146" s="79"/>
    </row>
    <row r="147" spans="1:10" x14ac:dyDescent="0.2">
      <c r="A147" s="16" t="s">
        <v>101</v>
      </c>
      <c r="B147" s="17" t="s">
        <v>1</v>
      </c>
      <c r="C147" s="134">
        <f>IFERROR(VLOOKUP(C145,'5. Depreciação'!A3:B17,2,FALSE),0)</f>
        <v>65.180000000000007</v>
      </c>
      <c r="D147" s="18">
        <f>E144</f>
        <v>200000</v>
      </c>
      <c r="E147" s="18">
        <f>C147*D147/100</f>
        <v>130360.00000000001</v>
      </c>
    </row>
    <row r="148" spans="1:10" x14ac:dyDescent="0.2">
      <c r="A148" s="96" t="s">
        <v>105</v>
      </c>
      <c r="B148" s="97" t="s">
        <v>6</v>
      </c>
      <c r="C148" s="97">
        <f>C145*12</f>
        <v>120</v>
      </c>
      <c r="D148" s="98">
        <f>IF(C146&lt;=C145,E147,0)</f>
        <v>130360.00000000001</v>
      </c>
      <c r="E148" s="98">
        <f>IFERROR(D148/C148,0)</f>
        <v>1086.3333333333335</v>
      </c>
    </row>
    <row r="149" spans="1:10" x14ac:dyDescent="0.2">
      <c r="A149" s="109" t="s">
        <v>247</v>
      </c>
      <c r="B149" s="110"/>
      <c r="C149" s="110"/>
      <c r="D149" s="111"/>
      <c r="E149" s="112">
        <f>E143+E148</f>
        <v>3250.8835233333334</v>
      </c>
    </row>
    <row r="150" spans="1:10" ht="13.5" thickBot="1" x14ac:dyDescent="0.25">
      <c r="A150" s="96" t="s">
        <v>248</v>
      </c>
      <c r="B150" s="97" t="s">
        <v>8</v>
      </c>
      <c r="C150" s="80">
        <v>1</v>
      </c>
      <c r="D150" s="98">
        <f>E149</f>
        <v>3250.8835233333334</v>
      </c>
      <c r="E150" s="112">
        <f>C150*D150</f>
        <v>3250.8835233333334</v>
      </c>
    </row>
    <row r="151" spans="1:10" ht="13.5" thickBot="1" x14ac:dyDescent="0.25">
      <c r="A151" s="260"/>
      <c r="B151" s="260"/>
      <c r="C151" s="260"/>
      <c r="D151" s="115" t="s">
        <v>193</v>
      </c>
      <c r="E151" s="48">
        <f>$B$49</f>
        <v>0.39</v>
      </c>
      <c r="F151" s="21">
        <f>E150*E151</f>
        <v>1267.8445741</v>
      </c>
    </row>
    <row r="152" spans="1:10" ht="11.25" customHeight="1" x14ac:dyDescent="0.2"/>
    <row r="153" spans="1:10" ht="13.5" thickBot="1" x14ac:dyDescent="0.25">
      <c r="A153" s="100" t="s">
        <v>110</v>
      </c>
    </row>
    <row r="154" spans="1:10" ht="13.5" thickBot="1" x14ac:dyDescent="0.25">
      <c r="A154" s="102" t="s">
        <v>59</v>
      </c>
      <c r="B154" s="103" t="s">
        <v>60</v>
      </c>
      <c r="C154" s="103" t="s">
        <v>36</v>
      </c>
      <c r="D154" s="59" t="s">
        <v>229</v>
      </c>
      <c r="E154" s="104" t="s">
        <v>61</v>
      </c>
      <c r="F154" s="60" t="s">
        <v>62</v>
      </c>
      <c r="I154" s="79"/>
      <c r="J154" s="79"/>
    </row>
    <row r="155" spans="1:10" x14ac:dyDescent="0.2">
      <c r="A155" s="16" t="s">
        <v>108</v>
      </c>
      <c r="B155" s="17" t="s">
        <v>8</v>
      </c>
      <c r="C155" s="261">
        <v>1</v>
      </c>
      <c r="D155" s="18">
        <f>D139</f>
        <v>550854</v>
      </c>
      <c r="E155" s="18">
        <f>C155*D155</f>
        <v>550854</v>
      </c>
      <c r="F155" s="20"/>
      <c r="I155" s="79"/>
      <c r="J155" s="79"/>
    </row>
    <row r="156" spans="1:10" x14ac:dyDescent="0.2">
      <c r="A156" s="16" t="s">
        <v>209</v>
      </c>
      <c r="B156" s="17" t="s">
        <v>1</v>
      </c>
      <c r="C156" s="80">
        <v>14.25</v>
      </c>
      <c r="D156" s="18"/>
      <c r="E156" s="18"/>
      <c r="F156" s="20"/>
      <c r="I156" s="79"/>
      <c r="J156" s="79"/>
    </row>
    <row r="157" spans="1:10" x14ac:dyDescent="0.2">
      <c r="A157" s="16" t="s">
        <v>207</v>
      </c>
      <c r="B157" s="17" t="s">
        <v>32</v>
      </c>
      <c r="C157" s="140">
        <f>IFERROR(IF(C141&lt;=C140,E139-(C142/(100*C140)*C141)*E139,E139-E142),0)</f>
        <v>550854</v>
      </c>
      <c r="D157" s="18"/>
      <c r="E157" s="18"/>
      <c r="F157" s="20"/>
      <c r="I157" s="79"/>
      <c r="J157" s="79"/>
    </row>
    <row r="158" spans="1:10" x14ac:dyDescent="0.2">
      <c r="A158" s="16" t="s">
        <v>113</v>
      </c>
      <c r="B158" s="17" t="s">
        <v>32</v>
      </c>
      <c r="C158" s="77">
        <f>IFERROR(IF(C141&gt;=C140,C157,((((C157)-(E139-E142))*(((C140-C141)+1)/(2*(C140-C141))))+(E139-E142))),0)</f>
        <v>369031.78404</v>
      </c>
      <c r="D158" s="18"/>
      <c r="E158" s="18"/>
      <c r="F158" s="20"/>
      <c r="I158" s="79"/>
      <c r="J158" s="79"/>
    </row>
    <row r="159" spans="1:10" ht="13.5" thickBot="1" x14ac:dyDescent="0.25">
      <c r="A159" s="264" t="s">
        <v>114</v>
      </c>
      <c r="B159" s="265" t="s">
        <v>32</v>
      </c>
      <c r="C159" s="265"/>
      <c r="D159" s="267">
        <f>C156*C158/12/100</f>
        <v>4382.2524354750003</v>
      </c>
      <c r="E159" s="266">
        <f>D159</f>
        <v>4382.2524354750003</v>
      </c>
      <c r="F159" s="20"/>
      <c r="I159" s="79"/>
      <c r="J159" s="79"/>
    </row>
    <row r="160" spans="1:10" ht="13.5" thickTop="1" x14ac:dyDescent="0.2">
      <c r="A160" s="13" t="s">
        <v>109</v>
      </c>
      <c r="B160" s="14" t="s">
        <v>8</v>
      </c>
      <c r="C160" s="14">
        <f>C144</f>
        <v>1</v>
      </c>
      <c r="D160" s="15">
        <f>D144</f>
        <v>200000</v>
      </c>
      <c r="E160" s="15">
        <f>C160*D160</f>
        <v>200000</v>
      </c>
      <c r="F160" s="20"/>
      <c r="I160" s="79"/>
      <c r="J160" s="79"/>
    </row>
    <row r="161" spans="1:10" x14ac:dyDescent="0.2">
      <c r="A161" s="16" t="s">
        <v>209</v>
      </c>
      <c r="B161" s="17" t="s">
        <v>1</v>
      </c>
      <c r="C161" s="262">
        <f>C156</f>
        <v>14.25</v>
      </c>
      <c r="D161" s="18"/>
      <c r="E161" s="18"/>
      <c r="F161" s="20"/>
      <c r="I161" s="79"/>
      <c r="J161" s="79"/>
    </row>
    <row r="162" spans="1:10" x14ac:dyDescent="0.2">
      <c r="A162" s="16" t="s">
        <v>208</v>
      </c>
      <c r="B162" s="17" t="s">
        <v>32</v>
      </c>
      <c r="C162" s="140">
        <f>IFERROR(IF(C146&lt;=C145,E144-(C147/(100*C145)*C146)*E144,E144-E147),0)</f>
        <v>200000</v>
      </c>
      <c r="D162" s="18"/>
      <c r="E162" s="18"/>
      <c r="F162" s="20"/>
      <c r="I162" s="79"/>
      <c r="J162" s="79"/>
    </row>
    <row r="163" spans="1:10" x14ac:dyDescent="0.2">
      <c r="A163" s="16" t="s">
        <v>115</v>
      </c>
      <c r="B163" s="17" t="s">
        <v>32</v>
      </c>
      <c r="C163" s="77">
        <f>IFERROR(IF(C146&gt;=C145,C162,((((C162)-(E144-E147))*(((C145-C146)+1)/(2*(C145-C146))))+(E144-E147))),0)</f>
        <v>141338</v>
      </c>
      <c r="D163" s="18"/>
      <c r="E163" s="18"/>
      <c r="F163" s="20"/>
      <c r="I163" s="79"/>
      <c r="J163" s="79"/>
    </row>
    <row r="164" spans="1:10" x14ac:dyDescent="0.2">
      <c r="A164" s="96" t="s">
        <v>112</v>
      </c>
      <c r="B164" s="97" t="s">
        <v>32</v>
      </c>
      <c r="C164" s="97"/>
      <c r="D164" s="106">
        <f>C161*C163/12/100</f>
        <v>1678.3887500000001</v>
      </c>
      <c r="E164" s="98">
        <f>D164</f>
        <v>1678.3887500000001</v>
      </c>
      <c r="F164" s="20"/>
      <c r="I164" s="79"/>
      <c r="J164" s="79"/>
    </row>
    <row r="165" spans="1:10" x14ac:dyDescent="0.2">
      <c r="A165" s="109" t="s">
        <v>247</v>
      </c>
      <c r="B165" s="110"/>
      <c r="C165" s="110"/>
      <c r="D165" s="111"/>
      <c r="E165" s="112">
        <f>E159+E164</f>
        <v>6060.6411854750004</v>
      </c>
      <c r="F165" s="20"/>
      <c r="I165" s="79"/>
      <c r="J165" s="79"/>
    </row>
    <row r="166" spans="1:10" ht="13.5" thickBot="1" x14ac:dyDescent="0.25">
      <c r="A166" s="96" t="s">
        <v>248</v>
      </c>
      <c r="B166" s="97" t="s">
        <v>8</v>
      </c>
      <c r="C166" s="262">
        <f>C150</f>
        <v>1</v>
      </c>
      <c r="D166" s="98">
        <f>E165</f>
        <v>6060.6411854750004</v>
      </c>
      <c r="E166" s="112">
        <f>C166*D166</f>
        <v>6060.6411854750004</v>
      </c>
      <c r="F166" s="20"/>
      <c r="I166" s="79"/>
      <c r="J166" s="79"/>
    </row>
    <row r="167" spans="1:10" ht="13.5" thickBot="1" x14ac:dyDescent="0.25">
      <c r="C167" s="19"/>
      <c r="D167" s="115" t="s">
        <v>193</v>
      </c>
      <c r="E167" s="48">
        <f>$B$49</f>
        <v>0.39</v>
      </c>
      <c r="F167" s="21">
        <f>E166*E167</f>
        <v>2363.6500623352504</v>
      </c>
      <c r="I167" s="79"/>
      <c r="J167" s="79"/>
    </row>
    <row r="168" spans="1:10" ht="11.25" customHeight="1" x14ac:dyDescent="0.2">
      <c r="I168" s="79"/>
      <c r="J168" s="79"/>
    </row>
    <row r="169" spans="1:10" ht="13.5" thickBot="1" x14ac:dyDescent="0.25">
      <c r="A169" s="9" t="s">
        <v>47</v>
      </c>
      <c r="I169" s="79"/>
      <c r="J169" s="79"/>
    </row>
    <row r="170" spans="1:10" ht="13.5" thickBot="1" x14ac:dyDescent="0.25">
      <c r="A170" s="57" t="s">
        <v>59</v>
      </c>
      <c r="B170" s="58" t="s">
        <v>60</v>
      </c>
      <c r="C170" s="58" t="s">
        <v>36</v>
      </c>
      <c r="D170" s="59" t="s">
        <v>229</v>
      </c>
      <c r="E170" s="59" t="s">
        <v>61</v>
      </c>
      <c r="F170" s="60" t="s">
        <v>62</v>
      </c>
      <c r="I170" s="79"/>
      <c r="J170" s="79"/>
    </row>
    <row r="171" spans="1:10" x14ac:dyDescent="0.2">
      <c r="A171" s="13" t="s">
        <v>10</v>
      </c>
      <c r="B171" s="14" t="s">
        <v>8</v>
      </c>
      <c r="C171" s="15">
        <f>C150</f>
        <v>1</v>
      </c>
      <c r="D171" s="15">
        <f>0.01*($E$139)</f>
        <v>5508.54</v>
      </c>
      <c r="E171" s="15">
        <f>C171*D171</f>
        <v>5508.54</v>
      </c>
      <c r="I171" s="79"/>
      <c r="J171" s="79"/>
    </row>
    <row r="172" spans="1:10" x14ac:dyDescent="0.2">
      <c r="A172" s="16" t="s">
        <v>192</v>
      </c>
      <c r="B172" s="17" t="s">
        <v>8</v>
      </c>
      <c r="C172" s="15">
        <f>C150</f>
        <v>1</v>
      </c>
      <c r="D172" s="82">
        <v>109.27</v>
      </c>
      <c r="E172" s="18">
        <f>C172*D172</f>
        <v>109.27</v>
      </c>
      <c r="I172" s="79"/>
      <c r="J172" s="79"/>
    </row>
    <row r="173" spans="1:10" x14ac:dyDescent="0.2">
      <c r="A173" s="16" t="s">
        <v>11</v>
      </c>
      <c r="B173" s="17" t="s">
        <v>8</v>
      </c>
      <c r="C173" s="15">
        <f>C150</f>
        <v>1</v>
      </c>
      <c r="D173" s="82">
        <v>3500</v>
      </c>
      <c r="E173" s="18">
        <f>C173*D173</f>
        <v>3500</v>
      </c>
      <c r="F173" s="31"/>
      <c r="I173" s="79"/>
      <c r="J173" s="79"/>
    </row>
    <row r="174" spans="1:10" ht="13.5" thickBot="1" x14ac:dyDescent="0.25">
      <c r="A174" s="96" t="s">
        <v>12</v>
      </c>
      <c r="B174" s="97" t="s">
        <v>6</v>
      </c>
      <c r="C174" s="97">
        <v>12</v>
      </c>
      <c r="D174" s="98">
        <f>SUM(E171:E173)</f>
        <v>9117.8100000000013</v>
      </c>
      <c r="E174" s="98">
        <f>D174/C174</f>
        <v>759.81750000000011</v>
      </c>
      <c r="I174" s="79"/>
      <c r="J174" s="79"/>
    </row>
    <row r="175" spans="1:10" ht="13.5" thickBot="1" x14ac:dyDescent="0.25">
      <c r="D175" s="115" t="s">
        <v>193</v>
      </c>
      <c r="E175" s="48">
        <f>$B$49</f>
        <v>0.39</v>
      </c>
      <c r="F175" s="116">
        <f>E174*E175</f>
        <v>296.32882500000005</v>
      </c>
      <c r="I175" s="79"/>
      <c r="J175" s="79"/>
    </row>
    <row r="176" spans="1:10" ht="11.25" customHeight="1" x14ac:dyDescent="0.2">
      <c r="I176" s="79"/>
      <c r="J176" s="79"/>
    </row>
    <row r="177" spans="1:10" x14ac:dyDescent="0.2">
      <c r="A177" s="9" t="s">
        <v>48</v>
      </c>
      <c r="B177" s="32"/>
      <c r="I177" s="79"/>
      <c r="J177" s="79"/>
    </row>
    <row r="178" spans="1:10" x14ac:dyDescent="0.2">
      <c r="B178" s="32"/>
      <c r="I178" s="79"/>
      <c r="J178" s="79"/>
    </row>
    <row r="179" spans="1:10" x14ac:dyDescent="0.2">
      <c r="A179" s="96" t="s">
        <v>117</v>
      </c>
      <c r="B179" s="107">
        <v>3400</v>
      </c>
      <c r="I179" s="79"/>
      <c r="J179" s="79"/>
    </row>
    <row r="180" spans="1:10" ht="13.5" thickBot="1" x14ac:dyDescent="0.25">
      <c r="B180" s="32"/>
      <c r="I180" s="79"/>
      <c r="J180" s="79"/>
    </row>
    <row r="181" spans="1:10" ht="13.5" thickBot="1" x14ac:dyDescent="0.25">
      <c r="A181" s="57" t="s">
        <v>59</v>
      </c>
      <c r="B181" s="58" t="s">
        <v>60</v>
      </c>
      <c r="C181" s="58" t="s">
        <v>246</v>
      </c>
      <c r="D181" s="59" t="s">
        <v>229</v>
      </c>
      <c r="E181" s="59" t="s">
        <v>61</v>
      </c>
      <c r="F181" s="60" t="s">
        <v>62</v>
      </c>
      <c r="I181" s="79"/>
      <c r="J181" s="79"/>
    </row>
    <row r="182" spans="1:10" x14ac:dyDescent="0.2">
      <c r="A182" s="13" t="s">
        <v>13</v>
      </c>
      <c r="B182" s="14" t="s">
        <v>14</v>
      </c>
      <c r="C182" s="90">
        <v>2.2000000000000002</v>
      </c>
      <c r="D182" s="91">
        <v>6.87</v>
      </c>
      <c r="E182" s="15"/>
      <c r="G182" s="302"/>
      <c r="I182" s="79"/>
      <c r="J182" s="79"/>
    </row>
    <row r="183" spans="1:10" x14ac:dyDescent="0.2">
      <c r="A183" s="16" t="s">
        <v>15</v>
      </c>
      <c r="B183" s="17" t="s">
        <v>16</v>
      </c>
      <c r="C183" s="87">
        <f>B179</f>
        <v>3400</v>
      </c>
      <c r="D183" s="259">
        <f>IFERROR(+D182/C182,"-")</f>
        <v>3.1227272727272726</v>
      </c>
      <c r="E183" s="18">
        <f>IFERROR(C183*D183,)</f>
        <v>10617.272727272726</v>
      </c>
      <c r="I183" s="79"/>
      <c r="J183" s="79"/>
    </row>
    <row r="184" spans="1:10" x14ac:dyDescent="0.2">
      <c r="A184" s="16" t="s">
        <v>230</v>
      </c>
      <c r="B184" s="17" t="s">
        <v>17</v>
      </c>
      <c r="C184" s="93">
        <v>1.9</v>
      </c>
      <c r="D184" s="82">
        <v>25.75</v>
      </c>
      <c r="E184" s="18"/>
      <c r="G184" s="105"/>
      <c r="H184" s="50"/>
      <c r="I184" s="79"/>
      <c r="J184" s="79"/>
    </row>
    <row r="185" spans="1:10" x14ac:dyDescent="0.2">
      <c r="A185" s="16" t="s">
        <v>18</v>
      </c>
      <c r="B185" s="17" t="s">
        <v>16</v>
      </c>
      <c r="C185" s="87">
        <f>C183</f>
        <v>3400</v>
      </c>
      <c r="D185" s="256">
        <f>+C184*D184/1000</f>
        <v>4.8924999999999996E-2</v>
      </c>
      <c r="E185" s="18">
        <f>C185*D185</f>
        <v>166.345</v>
      </c>
      <c r="G185" s="105"/>
      <c r="H185" s="50"/>
      <c r="I185" s="79"/>
      <c r="J185" s="79"/>
    </row>
    <row r="186" spans="1:10" x14ac:dyDescent="0.2">
      <c r="A186" s="16" t="s">
        <v>231</v>
      </c>
      <c r="B186" s="17" t="s">
        <v>17</v>
      </c>
      <c r="C186" s="93">
        <v>0.85</v>
      </c>
      <c r="D186" s="82">
        <v>55.56</v>
      </c>
      <c r="E186" s="18"/>
      <c r="G186" s="105"/>
      <c r="H186" s="50"/>
      <c r="I186" s="79"/>
      <c r="J186" s="79"/>
    </row>
    <row r="187" spans="1:10" x14ac:dyDescent="0.2">
      <c r="A187" s="16" t="s">
        <v>19</v>
      </c>
      <c r="B187" s="17" t="s">
        <v>16</v>
      </c>
      <c r="C187" s="87">
        <f>C183</f>
        <v>3400</v>
      </c>
      <c r="D187" s="256">
        <f>+C186*D186/1000</f>
        <v>4.7225999999999997E-2</v>
      </c>
      <c r="E187" s="18">
        <f>C187*D187</f>
        <v>160.5684</v>
      </c>
      <c r="G187" s="105"/>
      <c r="H187" s="50"/>
      <c r="I187" s="79"/>
      <c r="J187" s="79"/>
    </row>
    <row r="188" spans="1:10" x14ac:dyDescent="0.2">
      <c r="A188" s="16" t="s">
        <v>232</v>
      </c>
      <c r="B188" s="17" t="s">
        <v>17</v>
      </c>
      <c r="C188" s="93">
        <v>5</v>
      </c>
      <c r="D188" s="82">
        <v>23.53</v>
      </c>
      <c r="E188" s="18"/>
      <c r="G188" s="105"/>
      <c r="H188" s="50"/>
      <c r="I188" s="79"/>
      <c r="J188" s="79"/>
    </row>
    <row r="189" spans="1:10" x14ac:dyDescent="0.2">
      <c r="A189" s="16" t="s">
        <v>20</v>
      </c>
      <c r="B189" s="17" t="s">
        <v>16</v>
      </c>
      <c r="C189" s="87">
        <f>C183</f>
        <v>3400</v>
      </c>
      <c r="D189" s="256">
        <f>+C188*D188/1000</f>
        <v>0.11765</v>
      </c>
      <c r="E189" s="18">
        <f>C189*D189</f>
        <v>400.01</v>
      </c>
      <c r="G189" s="105"/>
      <c r="H189" s="50"/>
      <c r="I189" s="79"/>
      <c r="J189" s="79"/>
    </row>
    <row r="190" spans="1:10" x14ac:dyDescent="0.2">
      <c r="A190" s="16" t="s">
        <v>21</v>
      </c>
      <c r="B190" s="17" t="s">
        <v>22</v>
      </c>
      <c r="C190" s="93">
        <v>0.5</v>
      </c>
      <c r="D190" s="82">
        <v>41.38</v>
      </c>
      <c r="E190" s="18"/>
      <c r="G190" s="105"/>
      <c r="H190" s="50"/>
      <c r="I190" s="79"/>
      <c r="J190" s="79"/>
    </row>
    <row r="191" spans="1:10" x14ac:dyDescent="0.2">
      <c r="A191" s="16" t="s">
        <v>23</v>
      </c>
      <c r="B191" s="17" t="s">
        <v>16</v>
      </c>
      <c r="C191" s="87">
        <f>C183</f>
        <v>3400</v>
      </c>
      <c r="D191" s="256">
        <f>+C190*D190/1000</f>
        <v>2.069E-2</v>
      </c>
      <c r="E191" s="18">
        <f>C191*D191</f>
        <v>70.346000000000004</v>
      </c>
      <c r="G191" s="105"/>
      <c r="H191" s="50"/>
      <c r="I191" s="79"/>
      <c r="J191" s="79"/>
    </row>
    <row r="192" spans="1:10" ht="13.5" thickBot="1" x14ac:dyDescent="0.25">
      <c r="A192" s="96" t="s">
        <v>245</v>
      </c>
      <c r="B192" s="97" t="s">
        <v>118</v>
      </c>
      <c r="C192" s="257"/>
      <c r="D192" s="258">
        <f>IFERROR(D183+D185+D187+D189+D191,0)</f>
        <v>3.3572182727272728</v>
      </c>
      <c r="E192" s="18"/>
      <c r="G192" s="105"/>
      <c r="H192" s="50"/>
      <c r="I192" s="79"/>
      <c r="J192" s="79"/>
    </row>
    <row r="193" spans="1:10" ht="13.5" thickBot="1" x14ac:dyDescent="0.25">
      <c r="F193" s="21">
        <f>SUM(E182:E191)</f>
        <v>11414.542127272725</v>
      </c>
      <c r="I193" s="79"/>
      <c r="J193" s="79"/>
    </row>
    <row r="194" spans="1:10" ht="11.25" customHeight="1" x14ac:dyDescent="0.2">
      <c r="I194" s="79"/>
      <c r="J194" s="79"/>
    </row>
    <row r="195" spans="1:10" ht="13.5" thickBot="1" x14ac:dyDescent="0.25">
      <c r="A195" s="9" t="s">
        <v>49</v>
      </c>
      <c r="I195" s="79"/>
      <c r="J195" s="79"/>
    </row>
    <row r="196" spans="1:10" ht="13.5" thickBot="1" x14ac:dyDescent="0.25">
      <c r="A196" s="57" t="s">
        <v>59</v>
      </c>
      <c r="B196" s="58" t="s">
        <v>60</v>
      </c>
      <c r="C196" s="58" t="s">
        <v>36</v>
      </c>
      <c r="D196" s="59" t="s">
        <v>229</v>
      </c>
      <c r="E196" s="59" t="s">
        <v>61</v>
      </c>
      <c r="F196" s="60" t="s">
        <v>62</v>
      </c>
      <c r="I196" s="79"/>
      <c r="J196" s="79"/>
    </row>
    <row r="197" spans="1:10" ht="13.5" thickBot="1" x14ac:dyDescent="0.25">
      <c r="A197" s="13" t="s">
        <v>116</v>
      </c>
      <c r="B197" s="14" t="s">
        <v>118</v>
      </c>
      <c r="C197" s="87">
        <v>3400</v>
      </c>
      <c r="D197" s="81">
        <v>1.26</v>
      </c>
      <c r="E197" s="15">
        <f>C197*D197</f>
        <v>4284</v>
      </c>
      <c r="I197" s="79"/>
      <c r="J197" s="79"/>
    </row>
    <row r="198" spans="1:10" ht="13.5" thickBot="1" x14ac:dyDescent="0.25">
      <c r="F198" s="21">
        <f>E197</f>
        <v>4284</v>
      </c>
      <c r="I198" s="79"/>
      <c r="J198" s="79"/>
    </row>
    <row r="199" spans="1:10" ht="11.25" customHeight="1" x14ac:dyDescent="0.2">
      <c r="I199" s="79"/>
      <c r="J199" s="79"/>
    </row>
    <row r="200" spans="1:10" ht="13.5" thickBot="1" x14ac:dyDescent="0.25">
      <c r="A200" s="9" t="s">
        <v>57</v>
      </c>
      <c r="I200" s="79"/>
      <c r="J200" s="79"/>
    </row>
    <row r="201" spans="1:10" ht="13.5" thickBot="1" x14ac:dyDescent="0.25">
      <c r="A201" s="57" t="s">
        <v>59</v>
      </c>
      <c r="B201" s="58" t="s">
        <v>60</v>
      </c>
      <c r="C201" s="58" t="s">
        <v>36</v>
      </c>
      <c r="D201" s="59" t="s">
        <v>229</v>
      </c>
      <c r="E201" s="59" t="s">
        <v>61</v>
      </c>
      <c r="F201" s="60" t="s">
        <v>62</v>
      </c>
      <c r="I201" s="79"/>
      <c r="J201" s="79"/>
    </row>
    <row r="202" spans="1:10" x14ac:dyDescent="0.2">
      <c r="A202" s="13" t="s">
        <v>92</v>
      </c>
      <c r="B202" s="14" t="s">
        <v>8</v>
      </c>
      <c r="C202" s="89">
        <v>6</v>
      </c>
      <c r="D202" s="81">
        <v>2481.9499999999998</v>
      </c>
      <c r="E202" s="15">
        <f>C202*D202</f>
        <v>14891.699999999999</v>
      </c>
      <c r="G202" s="302"/>
      <c r="I202" s="79"/>
      <c r="J202" s="79"/>
    </row>
    <row r="203" spans="1:10" x14ac:dyDescent="0.2">
      <c r="A203" s="13" t="s">
        <v>119</v>
      </c>
      <c r="B203" s="14" t="s">
        <v>8</v>
      </c>
      <c r="C203" s="89">
        <v>2</v>
      </c>
      <c r="D203" s="99"/>
      <c r="E203" s="15"/>
      <c r="I203" s="79"/>
      <c r="J203" s="79"/>
    </row>
    <row r="204" spans="1:10" x14ac:dyDescent="0.2">
      <c r="A204" s="13" t="s">
        <v>66</v>
      </c>
      <c r="B204" s="14" t="s">
        <v>8</v>
      </c>
      <c r="C204" s="15">
        <f>C202*C203</f>
        <v>12</v>
      </c>
      <c r="D204" s="81">
        <v>765</v>
      </c>
      <c r="E204" s="15">
        <f>C204*D204</f>
        <v>9180</v>
      </c>
      <c r="I204" s="79"/>
      <c r="J204" s="79"/>
    </row>
    <row r="205" spans="1:10" x14ac:dyDescent="0.2">
      <c r="A205" s="16" t="s">
        <v>93</v>
      </c>
      <c r="B205" s="17" t="s">
        <v>24</v>
      </c>
      <c r="C205" s="92">
        <v>70000</v>
      </c>
      <c r="D205" s="18">
        <f>E202+E204</f>
        <v>24071.699999999997</v>
      </c>
      <c r="E205" s="18">
        <f>IFERROR(D205/C205,"-")</f>
        <v>0.3438814285714285</v>
      </c>
      <c r="I205" s="79"/>
      <c r="J205" s="79"/>
    </row>
    <row r="206" spans="1:10" ht="13.5" thickBot="1" x14ac:dyDescent="0.25">
      <c r="A206" s="16" t="s">
        <v>51</v>
      </c>
      <c r="B206" s="17" t="s">
        <v>16</v>
      </c>
      <c r="C206" s="87">
        <f>B179</f>
        <v>3400</v>
      </c>
      <c r="D206" s="18">
        <f>E205</f>
        <v>0.3438814285714285</v>
      </c>
      <c r="E206" s="18">
        <f>IFERROR(C206*D206,0)</f>
        <v>1169.196857142857</v>
      </c>
      <c r="I206" s="79"/>
      <c r="J206" s="79"/>
    </row>
    <row r="207" spans="1:10" ht="13.5" thickBot="1" x14ac:dyDescent="0.25">
      <c r="F207" s="21">
        <f>E206</f>
        <v>1169.196857142857</v>
      </c>
      <c r="I207" s="79"/>
      <c r="J207" s="79"/>
    </row>
    <row r="208" spans="1:10" ht="11.25" customHeight="1" x14ac:dyDescent="0.2">
      <c r="I208" s="79"/>
      <c r="J208" s="79"/>
    </row>
    <row r="209" spans="1:7" ht="11.25" customHeight="1" thickBot="1" x14ac:dyDescent="0.25">
      <c r="G209" s="9"/>
    </row>
    <row r="210" spans="1:7" ht="13.5" thickBot="1" x14ac:dyDescent="0.25">
      <c r="A210" s="24" t="s">
        <v>217</v>
      </c>
      <c r="B210" s="25"/>
      <c r="C210" s="25"/>
      <c r="D210" s="26"/>
      <c r="E210" s="27"/>
      <c r="F210" s="21">
        <f>+SUM(F139:F209)</f>
        <v>20795.562445850832</v>
      </c>
      <c r="G210" s="9"/>
    </row>
    <row r="211" spans="1:7" ht="11.25" customHeight="1" x14ac:dyDescent="0.2">
      <c r="G211" s="9"/>
    </row>
    <row r="212" spans="1:7" x14ac:dyDescent="0.2">
      <c r="A212" s="34" t="s">
        <v>70</v>
      </c>
      <c r="B212" s="34"/>
      <c r="C212" s="34"/>
      <c r="D212" s="35"/>
      <c r="E212" s="35"/>
      <c r="F212" s="33"/>
      <c r="G212" s="9"/>
    </row>
    <row r="213" spans="1:7" ht="11.25" customHeight="1" thickBot="1" x14ac:dyDescent="0.25">
      <c r="G213" s="9"/>
    </row>
    <row r="214" spans="1:7" ht="13.5" thickBot="1" x14ac:dyDescent="0.25">
      <c r="A214" s="57" t="s">
        <v>59</v>
      </c>
      <c r="B214" s="58" t="s">
        <v>60</v>
      </c>
      <c r="C214" s="58" t="s">
        <v>36</v>
      </c>
      <c r="D214" s="59" t="s">
        <v>229</v>
      </c>
      <c r="E214" s="59" t="s">
        <v>61</v>
      </c>
      <c r="F214" s="60" t="s">
        <v>62</v>
      </c>
      <c r="G214" s="9"/>
    </row>
    <row r="215" spans="1:7" x14ac:dyDescent="0.2">
      <c r="A215" s="16" t="s">
        <v>67</v>
      </c>
      <c r="B215" s="17" t="s">
        <v>8</v>
      </c>
      <c r="C215" s="94">
        <v>0.16666666666666666</v>
      </c>
      <c r="D215" s="81">
        <v>48.25</v>
      </c>
      <c r="E215" s="18">
        <f>C215*D215</f>
        <v>8.0416666666666661</v>
      </c>
      <c r="F215" s="52"/>
      <c r="G215" s="9"/>
    </row>
    <row r="216" spans="1:7" x14ac:dyDescent="0.2">
      <c r="A216" s="16" t="s">
        <v>26</v>
      </c>
      <c r="B216" s="17" t="s">
        <v>8</v>
      </c>
      <c r="C216" s="94">
        <v>0.16666666666666666</v>
      </c>
      <c r="D216" s="81">
        <v>55.83</v>
      </c>
      <c r="E216" s="18">
        <f>C216*D216</f>
        <v>9.3049999999999997</v>
      </c>
      <c r="F216" s="52"/>
      <c r="G216" s="9"/>
    </row>
    <row r="217" spans="1:7" x14ac:dyDescent="0.2">
      <c r="A217" s="16" t="s">
        <v>27</v>
      </c>
      <c r="B217" s="17" t="s">
        <v>8</v>
      </c>
      <c r="C217" s="94">
        <v>0.16666666666666666</v>
      </c>
      <c r="D217" s="81">
        <v>45.99</v>
      </c>
      <c r="E217" s="18">
        <f>C217*D217</f>
        <v>7.665</v>
      </c>
      <c r="F217" s="52"/>
      <c r="G217" s="9"/>
    </row>
    <row r="218" spans="1:7" x14ac:dyDescent="0.2">
      <c r="A218" s="16" t="s">
        <v>53</v>
      </c>
      <c r="B218" s="17" t="s">
        <v>54</v>
      </c>
      <c r="C218" s="94">
        <v>8.3333333333333329E-2</v>
      </c>
      <c r="D218" s="81">
        <v>100</v>
      </c>
      <c r="E218" s="18">
        <f>C218*D218</f>
        <v>8.3333333333333321</v>
      </c>
      <c r="F218" s="52"/>
      <c r="G218" s="9"/>
    </row>
    <row r="219" spans="1:7" ht="13.5" thickBot="1" x14ac:dyDescent="0.25">
      <c r="A219" s="16" t="s">
        <v>56</v>
      </c>
      <c r="B219" s="17" t="s">
        <v>54</v>
      </c>
      <c r="C219" s="94">
        <v>8.3333333333333329E-2</v>
      </c>
      <c r="D219" s="81">
        <v>100</v>
      </c>
      <c r="E219" s="18">
        <f>C219*D219</f>
        <v>8.3333333333333321</v>
      </c>
      <c r="F219" s="52"/>
      <c r="G219" s="9"/>
    </row>
    <row r="220" spans="1:7" ht="13.5" thickBot="1" x14ac:dyDescent="0.25">
      <c r="A220" s="34"/>
      <c r="B220" s="34"/>
      <c r="C220" s="34"/>
      <c r="D220" s="34"/>
      <c r="E220" s="35"/>
      <c r="F220" s="21">
        <f>SUM(E215:E219)</f>
        <v>41.678333333333327</v>
      </c>
      <c r="G220" s="9"/>
    </row>
    <row r="221" spans="1:7" ht="11.25" customHeight="1" thickBot="1" x14ac:dyDescent="0.25">
      <c r="G221" s="9"/>
    </row>
    <row r="222" spans="1:7" ht="13.5" thickBot="1" x14ac:dyDescent="0.25">
      <c r="A222" s="24" t="s">
        <v>218</v>
      </c>
      <c r="B222" s="25"/>
      <c r="C222" s="25"/>
      <c r="D222" s="26"/>
      <c r="E222" s="27"/>
      <c r="F222" s="21">
        <f>+F220</f>
        <v>41.678333333333327</v>
      </c>
      <c r="G222" s="9"/>
    </row>
    <row r="223" spans="1:7" ht="11.25" customHeight="1" x14ac:dyDescent="0.2">
      <c r="G223" s="9"/>
    </row>
    <row r="224" spans="1:7" s="49" customFormat="1" ht="11.25" customHeight="1" x14ac:dyDescent="0.2">
      <c r="A224" s="34" t="s">
        <v>71</v>
      </c>
      <c r="B224" s="34"/>
      <c r="C224" s="34"/>
      <c r="D224" s="35"/>
      <c r="E224" s="35"/>
      <c r="F224" s="33"/>
      <c r="G224" s="78"/>
    </row>
    <row r="225" spans="1:6" ht="13.5" thickBot="1" x14ac:dyDescent="0.25">
      <c r="A225" s="7"/>
      <c r="B225" s="7"/>
      <c r="C225" s="7"/>
      <c r="D225" s="302"/>
      <c r="E225" s="302"/>
      <c r="F225" s="302"/>
    </row>
    <row r="226" spans="1:6" ht="11.25" customHeight="1" thickBot="1" x14ac:dyDescent="0.25">
      <c r="A226" s="57" t="s">
        <v>59</v>
      </c>
      <c r="B226" s="58" t="s">
        <v>60</v>
      </c>
      <c r="C226" s="58" t="s">
        <v>36</v>
      </c>
      <c r="D226" s="59" t="s">
        <v>229</v>
      </c>
      <c r="E226" s="59" t="s">
        <v>61</v>
      </c>
      <c r="F226" s="60" t="s">
        <v>62</v>
      </c>
    </row>
    <row r="227" spans="1:6" x14ac:dyDescent="0.2">
      <c r="A227" s="313" t="s">
        <v>300</v>
      </c>
      <c r="B227" s="314" t="s">
        <v>54</v>
      </c>
      <c r="C227" s="315">
        <f>C139</f>
        <v>1</v>
      </c>
      <c r="D227" s="316">
        <v>200</v>
      </c>
      <c r="E227" s="317">
        <f>+D227*C227</f>
        <v>200</v>
      </c>
      <c r="F227" s="318"/>
    </row>
    <row r="228" spans="1:6" x14ac:dyDescent="0.2">
      <c r="A228" s="313" t="s">
        <v>301</v>
      </c>
      <c r="B228" s="314" t="s">
        <v>6</v>
      </c>
      <c r="C228" s="319">
        <v>60</v>
      </c>
      <c r="D228" s="317">
        <f>SUM(E227:E227)</f>
        <v>200</v>
      </c>
      <c r="E228" s="320">
        <f>+D228/C228</f>
        <v>3.3333333333333335</v>
      </c>
      <c r="F228" s="318"/>
    </row>
    <row r="229" spans="1:6" x14ac:dyDescent="0.2">
      <c r="A229" s="313" t="s">
        <v>302</v>
      </c>
      <c r="B229" s="321" t="s">
        <v>8</v>
      </c>
      <c r="C229" s="315">
        <f>+C227</f>
        <v>1</v>
      </c>
      <c r="D229" s="316">
        <v>100</v>
      </c>
      <c r="E229" s="317">
        <f>C229*D229</f>
        <v>100</v>
      </c>
      <c r="F229" s="318"/>
    </row>
    <row r="230" spans="1:6" ht="11.25" customHeight="1" thickBot="1" x14ac:dyDescent="0.25">
      <c r="A230" s="313" t="s">
        <v>303</v>
      </c>
      <c r="B230" s="314" t="s">
        <v>6</v>
      </c>
      <c r="C230" s="319">
        <v>1</v>
      </c>
      <c r="D230" s="317">
        <f>+E229</f>
        <v>100</v>
      </c>
      <c r="E230" s="317">
        <f>+D230/C230</f>
        <v>100</v>
      </c>
      <c r="F230" s="318"/>
    </row>
    <row r="231" spans="1:6" ht="13.5" thickBot="1" x14ac:dyDescent="0.25">
      <c r="A231" s="322"/>
      <c r="B231" s="322"/>
      <c r="C231" s="322"/>
      <c r="D231" s="323" t="s">
        <v>193</v>
      </c>
      <c r="E231" s="324">
        <f>$B$49</f>
        <v>0.39</v>
      </c>
      <c r="F231" s="325">
        <f>(E228+E230)*E231</f>
        <v>40.299999999999997</v>
      </c>
    </row>
    <row r="232" spans="1:6" ht="13.5" thickBot="1" x14ac:dyDescent="0.25"/>
    <row r="233" spans="1:6" ht="13.5" thickBot="1" x14ac:dyDescent="0.25">
      <c r="A233" s="24" t="s">
        <v>216</v>
      </c>
      <c r="B233" s="25"/>
      <c r="C233" s="25"/>
      <c r="D233" s="26"/>
      <c r="E233" s="27"/>
      <c r="F233" s="21">
        <f>F231</f>
        <v>40.299999999999997</v>
      </c>
    </row>
    <row r="234" spans="1:6" ht="11.25" customHeight="1" thickBot="1" x14ac:dyDescent="0.25"/>
    <row r="235" spans="1:6" ht="13.5" thickBot="1" x14ac:dyDescent="0.25">
      <c r="A235" s="24" t="s">
        <v>219</v>
      </c>
      <c r="B235" s="28"/>
      <c r="C235" s="28"/>
      <c r="D235" s="29"/>
      <c r="E235" s="30"/>
      <c r="F235" s="22">
        <f>+F97+F131+F210+F222+F233</f>
        <v>27668.561225218153</v>
      </c>
    </row>
    <row r="237" spans="1:6" ht="11.25" customHeight="1" x14ac:dyDescent="0.2">
      <c r="A237" s="11" t="s">
        <v>86</v>
      </c>
    </row>
    <row r="238" spans="1:6" ht="24.75" customHeight="1" thickBot="1" x14ac:dyDescent="0.25"/>
    <row r="239" spans="1:6" ht="12.6" customHeight="1" thickBot="1" x14ac:dyDescent="0.25">
      <c r="A239" s="57" t="s">
        <v>59</v>
      </c>
      <c r="B239" s="58" t="s">
        <v>60</v>
      </c>
      <c r="C239" s="58" t="s">
        <v>36</v>
      </c>
      <c r="D239" s="59" t="s">
        <v>229</v>
      </c>
      <c r="E239" s="59" t="s">
        <v>61</v>
      </c>
      <c r="F239" s="60" t="s">
        <v>62</v>
      </c>
    </row>
    <row r="240" spans="1:6" ht="12.6" customHeight="1" thickBot="1" x14ac:dyDescent="0.25">
      <c r="A240" s="13" t="s">
        <v>33</v>
      </c>
      <c r="B240" s="14" t="s">
        <v>1</v>
      </c>
      <c r="C240" s="133">
        <f>'4.BDI'!C20*100</f>
        <v>25.629999999999995</v>
      </c>
      <c r="D240" s="15">
        <f>+F235</f>
        <v>27668.561225218153</v>
      </c>
      <c r="E240" s="15">
        <f>C240*D240/100</f>
        <v>7091.4522420234116</v>
      </c>
    </row>
    <row r="241" spans="1:7" ht="13.5" thickBot="1" x14ac:dyDescent="0.25">
      <c r="F241" s="21">
        <f>+E240</f>
        <v>7091.4522420234116</v>
      </c>
    </row>
    <row r="242" spans="1:7" ht="12.6" customHeight="1" thickBot="1" x14ac:dyDescent="0.25"/>
    <row r="243" spans="1:7" s="4" customFormat="1" ht="13.5" thickBot="1" x14ac:dyDescent="0.25">
      <c r="A243" s="24" t="s">
        <v>233</v>
      </c>
      <c r="B243" s="28"/>
      <c r="C243" s="28"/>
      <c r="D243" s="29"/>
      <c r="E243" s="30"/>
      <c r="F243" s="22">
        <f>F241</f>
        <v>7091.4522420234116</v>
      </c>
      <c r="G243" s="302"/>
    </row>
    <row r="244" spans="1:7" s="4" customFormat="1" x14ac:dyDescent="0.2">
      <c r="A244" s="34"/>
      <c r="B244" s="34"/>
      <c r="C244" s="34"/>
      <c r="D244" s="35"/>
      <c r="E244" s="35"/>
      <c r="F244" s="33"/>
      <c r="G244" s="6"/>
    </row>
    <row r="245" spans="1:7" s="4" customFormat="1" ht="9.75" customHeight="1" thickBot="1" x14ac:dyDescent="0.25">
      <c r="A245" s="9"/>
      <c r="B245" s="9"/>
      <c r="C245" s="9"/>
      <c r="D245" s="10"/>
      <c r="E245" s="10"/>
      <c r="F245" s="10"/>
      <c r="G245" s="6"/>
    </row>
    <row r="246" spans="1:7" ht="13.5" thickBot="1" x14ac:dyDescent="0.25">
      <c r="A246" s="24" t="s">
        <v>220</v>
      </c>
      <c r="B246" s="28"/>
      <c r="C246" s="28"/>
      <c r="D246" s="29"/>
      <c r="E246" s="30"/>
      <c r="F246" s="22">
        <f>F235+F243</f>
        <v>34760.013467241566</v>
      </c>
    </row>
    <row r="247" spans="1:7" ht="15.75" x14ac:dyDescent="0.2">
      <c r="A247" s="53"/>
      <c r="B247" s="53"/>
      <c r="C247" s="53"/>
      <c r="D247" s="54"/>
      <c r="E247" s="54"/>
      <c r="F247" s="54"/>
    </row>
    <row r="248" spans="1:7" ht="15.75" x14ac:dyDescent="0.2">
      <c r="A248" s="53"/>
      <c r="B248" s="53"/>
      <c r="C248" s="53"/>
      <c r="D248" s="54"/>
      <c r="E248" s="54"/>
      <c r="F248" s="54"/>
    </row>
    <row r="249" spans="1:7" ht="14.25" x14ac:dyDescent="0.2">
      <c r="A249" s="11" t="s">
        <v>297</v>
      </c>
      <c r="B249" s="8"/>
      <c r="C249" s="8"/>
      <c r="D249" s="36"/>
      <c r="E249" s="36"/>
    </row>
    <row r="250" spans="1:7" x14ac:dyDescent="0.2">
      <c r="A250" s="130" t="s">
        <v>215</v>
      </c>
      <c r="B250" s="130"/>
      <c r="C250" s="34"/>
      <c r="D250" s="310">
        <v>49.13</v>
      </c>
      <c r="E250" s="308" t="s">
        <v>25</v>
      </c>
      <c r="F250" s="35"/>
    </row>
    <row r="251" spans="1:7" ht="13.5" thickBot="1" x14ac:dyDescent="0.25">
      <c r="A251" s="302" t="s">
        <v>299</v>
      </c>
      <c r="B251" s="302"/>
      <c r="C251" s="10"/>
      <c r="D251" s="311">
        <v>180.25</v>
      </c>
      <c r="E251" s="302" t="s">
        <v>295</v>
      </c>
      <c r="G251" s="302"/>
    </row>
    <row r="252" spans="1:7" ht="13.5" thickBot="1" x14ac:dyDescent="0.25">
      <c r="A252" s="309" t="s">
        <v>298</v>
      </c>
      <c r="B252" s="74"/>
      <c r="C252" s="74"/>
      <c r="D252" s="74"/>
      <c r="E252" s="74"/>
      <c r="F252" s="312">
        <f>D250*D251</f>
        <v>8855.6825000000008</v>
      </c>
    </row>
    <row r="253" spans="1:7" ht="15.75" x14ac:dyDescent="0.2">
      <c r="A253" s="39"/>
      <c r="B253" s="10"/>
      <c r="C253" s="10"/>
    </row>
    <row r="275" spans="4:7" ht="9" customHeight="1" x14ac:dyDescent="0.2">
      <c r="G275" s="9"/>
    </row>
    <row r="283" spans="4:7" x14ac:dyDescent="0.2">
      <c r="D283" s="9"/>
      <c r="E283" s="9"/>
      <c r="F283" s="9"/>
    </row>
  </sheetData>
  <mergeCells count="7">
    <mergeCell ref="A45:D45"/>
    <mergeCell ref="A22:C22"/>
    <mergeCell ref="A11:F11"/>
    <mergeCell ref="A12:F12"/>
    <mergeCell ref="A40:D40"/>
    <mergeCell ref="A14:F14"/>
    <mergeCell ref="A39:E39"/>
  </mergeCells>
  <phoneticPr fontId="9" type="noConversion"/>
  <hyperlinks>
    <hyperlink ref="A153" location="AbaRemun" display="3.1.2. Remuneração do Capital"/>
    <hyperlink ref="A137" location="AbaDeprec" display="3.1.1. Depreciação"/>
  </hyperlinks>
  <pageMargins left="0.9055118110236221" right="0.51181102362204722" top="0.74803149606299213" bottom="0.74803149606299213" header="0.31496062992125984" footer="0.31496062992125984"/>
  <pageSetup paperSize="9" scale="76" fitToHeight="0" orientation="portrait" r:id="rId1"/>
  <headerFooter alignWithMargins="0">
    <oddFooter>&amp;R&amp;P de &amp;N</oddFooter>
  </headerFooter>
  <rowBreaks count="4" manualBreakCount="4">
    <brk id="50" max="5" man="1"/>
    <brk id="76" max="5" man="1"/>
    <brk id="132" max="5" man="1"/>
    <brk id="199" max="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opLeftCell="A16" zoomScaleNormal="100" workbookViewId="0">
      <selection activeCell="D31" sqref="D31"/>
    </sheetView>
  </sheetViews>
  <sheetFormatPr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48" customWidth="1"/>
    <col min="5" max="10" width="9.140625" style="1"/>
    <col min="11" max="11" width="11" style="1" bestFit="1" customWidth="1"/>
    <col min="12" max="16384" width="9.140625" style="1"/>
  </cols>
  <sheetData>
    <row r="1" spans="1:12" x14ac:dyDescent="0.2">
      <c r="A1" s="11" t="s">
        <v>201</v>
      </c>
    </row>
    <row r="2" spans="1:12" x14ac:dyDescent="0.2">
      <c r="A2" s="132" t="s">
        <v>239</v>
      </c>
    </row>
    <row r="3" spans="1:12" s="4" customFormat="1" ht="15.6" customHeight="1" x14ac:dyDescent="0.2">
      <c r="B3" s="131"/>
      <c r="C3" s="131"/>
      <c r="D3" s="131"/>
      <c r="E3" s="131"/>
      <c r="F3" s="131"/>
      <c r="G3" s="6"/>
    </row>
    <row r="4" spans="1:12" s="4" customFormat="1" ht="15.6" customHeight="1" x14ac:dyDescent="0.2">
      <c r="A4" s="291" t="s">
        <v>284</v>
      </c>
      <c r="B4" s="131"/>
      <c r="C4" s="131"/>
      <c r="D4" s="131"/>
      <c r="E4" s="131"/>
      <c r="F4" s="131"/>
      <c r="G4" s="6"/>
    </row>
    <row r="5" spans="1:12" s="4" customFormat="1" ht="16.5" customHeight="1" x14ac:dyDescent="0.2">
      <c r="A5" s="291" t="s">
        <v>281</v>
      </c>
      <c r="B5" s="5"/>
      <c r="C5" s="5"/>
      <c r="D5" s="6"/>
      <c r="E5" s="6"/>
      <c r="F5" s="6"/>
      <c r="G5" s="6"/>
    </row>
    <row r="6" spans="1:12" ht="13.5" thickBot="1" x14ac:dyDescent="0.25"/>
    <row r="7" spans="1:12" ht="18" x14ac:dyDescent="0.2">
      <c r="A7" s="342" t="s">
        <v>223</v>
      </c>
      <c r="B7" s="343"/>
      <c r="C7" s="344"/>
      <c r="D7" s="141"/>
      <c r="E7" s="141"/>
      <c r="F7" s="141"/>
    </row>
    <row r="8" spans="1:12" ht="14.25" x14ac:dyDescent="0.2">
      <c r="A8" s="159" t="s">
        <v>139</v>
      </c>
      <c r="B8" s="160" t="s">
        <v>140</v>
      </c>
      <c r="C8" s="161" t="s">
        <v>141</v>
      </c>
      <c r="D8" s="162"/>
    </row>
    <row r="9" spans="1:12" ht="14.25" x14ac:dyDescent="0.2">
      <c r="A9" s="159" t="s">
        <v>142</v>
      </c>
      <c r="B9" s="160" t="s">
        <v>37</v>
      </c>
      <c r="C9" s="163">
        <v>0.2</v>
      </c>
      <c r="D9" s="162"/>
      <c r="F9" s="148"/>
      <c r="G9" s="148"/>
      <c r="H9" s="148"/>
      <c r="I9" s="148"/>
      <c r="J9" s="148"/>
      <c r="K9" s="148"/>
      <c r="L9" s="148"/>
    </row>
    <row r="10" spans="1:12" ht="14.25" x14ac:dyDescent="0.2">
      <c r="A10" s="159" t="s">
        <v>143</v>
      </c>
      <c r="B10" s="160" t="s">
        <v>144</v>
      </c>
      <c r="C10" s="163">
        <v>1.4999999999999999E-2</v>
      </c>
      <c r="D10" s="162"/>
      <c r="F10" s="148"/>
      <c r="G10" s="148"/>
      <c r="H10" s="148"/>
      <c r="I10" s="148"/>
      <c r="J10" s="148"/>
      <c r="K10" s="148"/>
      <c r="L10" s="148"/>
    </row>
    <row r="11" spans="1:12" ht="14.25" x14ac:dyDescent="0.2">
      <c r="A11" s="159" t="s">
        <v>145</v>
      </c>
      <c r="B11" s="160" t="s">
        <v>146</v>
      </c>
      <c r="C11" s="163">
        <v>0.01</v>
      </c>
      <c r="D11" s="162"/>
      <c r="F11" s="148"/>
      <c r="G11" s="148"/>
      <c r="H11" s="148"/>
      <c r="I11" s="148"/>
      <c r="J11" s="148"/>
      <c r="K11" s="148"/>
      <c r="L11" s="148"/>
    </row>
    <row r="12" spans="1:12" ht="14.25" x14ac:dyDescent="0.2">
      <c r="A12" s="159" t="s">
        <v>147</v>
      </c>
      <c r="B12" s="160" t="s">
        <v>148</v>
      </c>
      <c r="C12" s="163">
        <v>2E-3</v>
      </c>
      <c r="D12" s="162"/>
      <c r="F12" s="148"/>
      <c r="G12" s="148"/>
      <c r="H12" s="148"/>
      <c r="I12" s="148"/>
      <c r="J12" s="148"/>
      <c r="K12" s="148"/>
      <c r="L12" s="148"/>
    </row>
    <row r="13" spans="1:12" ht="14.25" x14ac:dyDescent="0.2">
      <c r="A13" s="159" t="s">
        <v>149</v>
      </c>
      <c r="B13" s="160" t="s">
        <v>150</v>
      </c>
      <c r="C13" s="163">
        <v>6.0000000000000001E-3</v>
      </c>
      <c r="D13" s="162"/>
      <c r="F13" s="148"/>
      <c r="G13" s="148"/>
      <c r="H13" s="148"/>
      <c r="I13" s="148"/>
      <c r="J13" s="148"/>
      <c r="K13" s="148"/>
      <c r="L13" s="148"/>
    </row>
    <row r="14" spans="1:12" ht="14.25" x14ac:dyDescent="0.2">
      <c r="A14" s="159" t="s">
        <v>151</v>
      </c>
      <c r="B14" s="160" t="s">
        <v>152</v>
      </c>
      <c r="C14" s="163">
        <v>2.5000000000000001E-2</v>
      </c>
      <c r="D14" s="162"/>
      <c r="F14" s="148"/>
      <c r="G14" s="148"/>
      <c r="H14" s="148"/>
      <c r="I14" s="148"/>
      <c r="J14" s="148"/>
      <c r="K14" s="148"/>
      <c r="L14" s="148"/>
    </row>
    <row r="15" spans="1:12" ht="14.25" x14ac:dyDescent="0.2">
      <c r="A15" s="159" t="s">
        <v>153</v>
      </c>
      <c r="B15" s="160" t="s">
        <v>154</v>
      </c>
      <c r="C15" s="163">
        <v>0.03</v>
      </c>
      <c r="D15" s="162"/>
      <c r="F15" s="148"/>
      <c r="G15" s="148"/>
      <c r="H15" s="148"/>
      <c r="I15" s="148"/>
      <c r="J15" s="148"/>
      <c r="K15" s="148"/>
      <c r="L15" s="148"/>
    </row>
    <row r="16" spans="1:12" ht="14.25" x14ac:dyDescent="0.2">
      <c r="A16" s="159" t="s">
        <v>155</v>
      </c>
      <c r="B16" s="160" t="s">
        <v>38</v>
      </c>
      <c r="C16" s="163">
        <v>0.08</v>
      </c>
      <c r="D16" s="164"/>
      <c r="F16" s="148"/>
      <c r="G16" s="148"/>
      <c r="H16" s="148"/>
      <c r="I16" s="148"/>
      <c r="J16" s="148"/>
      <c r="K16" s="148"/>
      <c r="L16" s="148"/>
    </row>
    <row r="17" spans="1:12" ht="15" x14ac:dyDescent="0.2">
      <c r="A17" s="159" t="s">
        <v>156</v>
      </c>
      <c r="B17" s="165" t="s">
        <v>157</v>
      </c>
      <c r="C17" s="166">
        <f>SUM(C9:C16)</f>
        <v>0.36800000000000005</v>
      </c>
      <c r="D17" s="164"/>
      <c r="F17" s="148"/>
      <c r="G17" s="148"/>
      <c r="H17" s="148"/>
      <c r="I17" s="148"/>
      <c r="J17" s="148"/>
      <c r="K17" s="148"/>
      <c r="L17" s="148"/>
    </row>
    <row r="18" spans="1:12" ht="15" x14ac:dyDescent="0.2">
      <c r="A18" s="167"/>
      <c r="B18" s="168"/>
      <c r="C18" s="169"/>
      <c r="D18" s="164"/>
      <c r="F18" s="148"/>
      <c r="G18" s="148"/>
      <c r="H18" s="148"/>
      <c r="I18" s="148"/>
      <c r="J18" s="148"/>
      <c r="K18" s="148"/>
      <c r="L18" s="148"/>
    </row>
    <row r="19" spans="1:12" ht="14.25" x14ac:dyDescent="0.2">
      <c r="A19" s="159" t="s">
        <v>158</v>
      </c>
      <c r="B19" s="170" t="s">
        <v>159</v>
      </c>
      <c r="C19" s="163">
        <f>ROUND(IF('3.CAGED'!C28&gt;24,(1-12/'3.CAGED'!C28)*0.1111,0.1111-C28),4)</f>
        <v>6.1899999999999997E-2</v>
      </c>
      <c r="D19" s="164"/>
      <c r="F19" s="148"/>
      <c r="G19" s="148"/>
      <c r="H19" s="148"/>
      <c r="I19" s="148"/>
      <c r="J19" s="148"/>
      <c r="K19" s="148"/>
      <c r="L19" s="148"/>
    </row>
    <row r="20" spans="1:12" ht="14.25" x14ac:dyDescent="0.2">
      <c r="A20" s="159" t="s">
        <v>160</v>
      </c>
      <c r="B20" s="170" t="s">
        <v>161</v>
      </c>
      <c r="C20" s="163">
        <f>ROUND('3.CAGED'!C32/'3.CAGED'!C29,4)</f>
        <v>8.3299999999999999E-2</v>
      </c>
      <c r="D20" s="164"/>
      <c r="F20" s="148"/>
      <c r="G20" s="148"/>
      <c r="H20" s="148"/>
      <c r="I20" s="148"/>
      <c r="J20" s="148"/>
      <c r="K20" s="148"/>
      <c r="L20" s="148"/>
    </row>
    <row r="21" spans="1:12" ht="14.25" x14ac:dyDescent="0.2">
      <c r="A21" s="159" t="s">
        <v>213</v>
      </c>
      <c r="B21" s="170" t="s">
        <v>163</v>
      </c>
      <c r="C21" s="163">
        <v>5.9999999999999995E-4</v>
      </c>
      <c r="D21" s="164"/>
      <c r="F21" s="148"/>
      <c r="G21" s="148"/>
      <c r="H21" s="148"/>
      <c r="I21" s="148"/>
      <c r="J21" s="148"/>
      <c r="K21" s="148"/>
      <c r="L21" s="148"/>
    </row>
    <row r="22" spans="1:12" ht="14.25" x14ac:dyDescent="0.2">
      <c r="A22" s="159" t="s">
        <v>162</v>
      </c>
      <c r="B22" s="170" t="s">
        <v>165</v>
      </c>
      <c r="C22" s="163">
        <v>8.2000000000000007E-3</v>
      </c>
      <c r="D22" s="164"/>
      <c r="F22" s="148"/>
      <c r="G22" s="148"/>
      <c r="H22" s="148"/>
      <c r="I22" s="148"/>
      <c r="J22" s="148"/>
      <c r="K22" s="148"/>
      <c r="L22" s="148"/>
    </row>
    <row r="23" spans="1:12" ht="14.25" x14ac:dyDescent="0.2">
      <c r="A23" s="159" t="s">
        <v>164</v>
      </c>
      <c r="B23" s="170" t="s">
        <v>167</v>
      </c>
      <c r="C23" s="163">
        <v>3.0999999999999999E-3</v>
      </c>
      <c r="D23" s="164"/>
      <c r="F23" s="148"/>
      <c r="G23" s="148"/>
      <c r="H23" s="148"/>
      <c r="I23" s="148"/>
      <c r="J23" s="148"/>
      <c r="K23" s="148"/>
      <c r="L23" s="148"/>
    </row>
    <row r="24" spans="1:12" ht="14.25" x14ac:dyDescent="0.2">
      <c r="A24" s="159" t="s">
        <v>166</v>
      </c>
      <c r="B24" s="170" t="s">
        <v>168</v>
      </c>
      <c r="C24" s="163">
        <v>1.66E-2</v>
      </c>
      <c r="D24" s="164"/>
      <c r="F24" s="148"/>
      <c r="G24" s="148"/>
      <c r="H24" s="148"/>
      <c r="I24" s="148"/>
      <c r="J24" s="148"/>
      <c r="K24" s="148"/>
      <c r="L24" s="148"/>
    </row>
    <row r="25" spans="1:12" ht="15" x14ac:dyDescent="0.2">
      <c r="A25" s="159" t="s">
        <v>169</v>
      </c>
      <c r="B25" s="165" t="s">
        <v>170</v>
      </c>
      <c r="C25" s="166">
        <f>SUM(C19:C24)</f>
        <v>0.17369999999999999</v>
      </c>
      <c r="D25" s="171"/>
      <c r="F25" s="148"/>
      <c r="G25" s="148"/>
      <c r="H25" s="148"/>
      <c r="I25" s="148"/>
      <c r="J25" s="148"/>
      <c r="K25" s="148"/>
      <c r="L25" s="148"/>
    </row>
    <row r="26" spans="1:12" ht="15" x14ac:dyDescent="0.2">
      <c r="A26" s="167"/>
      <c r="B26" s="168"/>
      <c r="C26" s="169"/>
      <c r="D26" s="171"/>
      <c r="F26" s="148"/>
      <c r="G26" s="148"/>
      <c r="H26" s="148"/>
      <c r="I26" s="148"/>
      <c r="J26" s="148"/>
      <c r="K26" s="148"/>
      <c r="L26" s="148"/>
    </row>
    <row r="27" spans="1:12" ht="14.25" x14ac:dyDescent="0.2">
      <c r="A27" s="159" t="s">
        <v>171</v>
      </c>
      <c r="B27" s="160" t="s">
        <v>172</v>
      </c>
      <c r="C27" s="163">
        <f>ROUND(('3.CAGED'!C33) *'3.CAGED'!C26/'3.CAGED'!C29,4)</f>
        <v>2.5600000000000001E-2</v>
      </c>
      <c r="D27" s="164"/>
      <c r="E27" s="172"/>
      <c r="F27" s="148"/>
      <c r="G27" s="148"/>
      <c r="H27" s="148"/>
      <c r="I27" s="148"/>
      <c r="J27" s="148"/>
      <c r="K27" s="148"/>
      <c r="L27" s="148"/>
    </row>
    <row r="28" spans="1:12" ht="14.25" x14ac:dyDescent="0.2">
      <c r="A28" s="159" t="s">
        <v>212</v>
      </c>
      <c r="B28" s="160" t="s">
        <v>174</v>
      </c>
      <c r="C28" s="163">
        <f>ROUND(IF('3.CAGED'!C28&gt;12,12/'3.CAGED'!C28*0.1111,0.1111),4)</f>
        <v>4.9200000000000001E-2</v>
      </c>
      <c r="D28" s="164"/>
      <c r="F28" s="148"/>
      <c r="G28" s="148"/>
      <c r="H28" s="173"/>
      <c r="I28" s="148"/>
      <c r="J28" s="148"/>
      <c r="K28" s="148"/>
      <c r="L28" s="148"/>
    </row>
    <row r="29" spans="1:12" ht="14.25" x14ac:dyDescent="0.2">
      <c r="A29" s="159" t="s">
        <v>173</v>
      </c>
      <c r="B29" s="160" t="s">
        <v>176</v>
      </c>
      <c r="C29" s="163">
        <f>C27*C28</f>
        <v>1.2595200000000001E-3</v>
      </c>
      <c r="D29" s="164"/>
      <c r="E29" s="172"/>
      <c r="F29" s="148"/>
      <c r="G29" s="148"/>
      <c r="H29" s="148"/>
      <c r="I29" s="148"/>
      <c r="J29" s="148"/>
      <c r="K29" s="148"/>
      <c r="L29" s="148"/>
    </row>
    <row r="30" spans="1:12" ht="14.25" x14ac:dyDescent="0.2">
      <c r="A30" s="159" t="s">
        <v>175</v>
      </c>
      <c r="B30" s="160" t="s">
        <v>178</v>
      </c>
      <c r="C30" s="163">
        <f>ROUND(('3.CAGED'!C29+'3.CAGED'!C30+'3.CAGED'!C32)/'3.CAGED'!C27*'3.CAGED'!C34*'3.CAGED'!C35*'3.CAGED'!C26/'3.CAGED'!C29,4)</f>
        <v>2.0500000000000001E-2</v>
      </c>
      <c r="D30" s="164"/>
      <c r="F30" s="148"/>
      <c r="G30" s="174"/>
      <c r="H30" s="148"/>
      <c r="I30" s="148"/>
      <c r="J30" s="148"/>
      <c r="K30" s="148"/>
      <c r="L30" s="148"/>
    </row>
    <row r="31" spans="1:12" ht="14.25" x14ac:dyDescent="0.2">
      <c r="A31" s="159" t="s">
        <v>177</v>
      </c>
      <c r="B31" s="160" t="s">
        <v>179</v>
      </c>
      <c r="C31" s="163">
        <f>ROUND(('3.CAGED'!C31/'3.CAGED'!C29)*'3.CAGED'!C26/12,4)</f>
        <v>1.8E-3</v>
      </c>
      <c r="D31" s="164"/>
      <c r="F31" s="148"/>
      <c r="G31" s="148"/>
      <c r="H31" s="148"/>
      <c r="I31" s="148"/>
      <c r="J31" s="148"/>
      <c r="K31" s="148"/>
      <c r="L31" s="148"/>
    </row>
    <row r="32" spans="1:12" ht="15" x14ac:dyDescent="0.2">
      <c r="A32" s="159" t="s">
        <v>180</v>
      </c>
      <c r="B32" s="165" t="s">
        <v>181</v>
      </c>
      <c r="C32" s="166">
        <f>SUM(C27:C31)</f>
        <v>9.8359520000000006E-2</v>
      </c>
      <c r="D32" s="171"/>
      <c r="F32" s="148"/>
      <c r="G32" s="148"/>
      <c r="H32" s="148"/>
      <c r="I32" s="148"/>
      <c r="J32" s="148"/>
      <c r="K32" s="148"/>
      <c r="L32" s="148"/>
    </row>
    <row r="33" spans="1:12" ht="15" x14ac:dyDescent="0.2">
      <c r="A33" s="167"/>
      <c r="B33" s="168"/>
      <c r="C33" s="169"/>
      <c r="D33" s="171"/>
      <c r="F33" s="148"/>
      <c r="G33" s="148"/>
      <c r="H33" s="148"/>
      <c r="I33" s="148"/>
      <c r="J33" s="148"/>
      <c r="K33" s="148"/>
      <c r="L33" s="148"/>
    </row>
    <row r="34" spans="1:12" ht="14.25" x14ac:dyDescent="0.2">
      <c r="A34" s="159" t="s">
        <v>182</v>
      </c>
      <c r="B34" s="160" t="s">
        <v>183</v>
      </c>
      <c r="C34" s="163">
        <f>ROUND(C17*C25,4)</f>
        <v>6.3899999999999998E-2</v>
      </c>
      <c r="D34" s="164"/>
      <c r="F34" s="148"/>
      <c r="G34" s="148"/>
      <c r="H34" s="148"/>
      <c r="I34" s="148"/>
      <c r="J34" s="148"/>
      <c r="K34" s="148"/>
      <c r="L34" s="148"/>
    </row>
    <row r="35" spans="1:12" ht="28.5" x14ac:dyDescent="0.2">
      <c r="A35" s="159" t="s">
        <v>184</v>
      </c>
      <c r="B35" s="175" t="s">
        <v>280</v>
      </c>
      <c r="C35" s="163">
        <f>ROUND((C27*C16),4)</f>
        <v>2E-3</v>
      </c>
      <c r="D35" s="164"/>
      <c r="F35" s="148"/>
      <c r="G35" s="148"/>
      <c r="H35" s="148"/>
      <c r="I35" s="148"/>
      <c r="J35" s="148"/>
      <c r="K35" s="148"/>
      <c r="L35" s="148"/>
    </row>
    <row r="36" spans="1:12" ht="15" x14ac:dyDescent="0.2">
      <c r="A36" s="159" t="s">
        <v>185</v>
      </c>
      <c r="B36" s="165" t="s">
        <v>186</v>
      </c>
      <c r="C36" s="166">
        <f>SUM(C34:C35)</f>
        <v>6.59E-2</v>
      </c>
      <c r="D36" s="176"/>
      <c r="F36" s="148"/>
      <c r="G36" s="148"/>
      <c r="H36" s="148"/>
      <c r="I36" s="148"/>
      <c r="J36" s="148"/>
      <c r="K36" s="148"/>
      <c r="L36" s="148"/>
    </row>
    <row r="37" spans="1:12" ht="15.75" thickBot="1" x14ac:dyDescent="0.25">
      <c r="A37" s="177"/>
      <c r="B37" s="178" t="s">
        <v>187</v>
      </c>
      <c r="C37" s="179">
        <f>C36+C32+C25+C17</f>
        <v>0.70595951999999995</v>
      </c>
      <c r="D37" s="176"/>
      <c r="F37" s="148"/>
      <c r="G37" s="148"/>
      <c r="H37" s="148"/>
      <c r="I37" s="148"/>
      <c r="J37" s="148"/>
      <c r="K37" s="148"/>
      <c r="L37" s="148"/>
    </row>
    <row r="38" spans="1:12" ht="15" x14ac:dyDescent="0.2">
      <c r="A38" s="164"/>
      <c r="B38" s="180"/>
      <c r="C38" s="181"/>
      <c r="D38" s="182"/>
      <c r="F38" s="148"/>
      <c r="G38" s="148"/>
      <c r="H38" s="148"/>
      <c r="I38" s="148"/>
      <c r="J38" s="148"/>
      <c r="K38" s="148"/>
      <c r="L38" s="148"/>
    </row>
    <row r="39" spans="1:12" ht="14.25" x14ac:dyDescent="0.2">
      <c r="A39" s="164"/>
      <c r="B39" s="164"/>
      <c r="C39" s="183"/>
      <c r="D39" s="184"/>
      <c r="F39" s="148"/>
      <c r="G39" s="148"/>
      <c r="H39" s="148"/>
      <c r="I39" s="148"/>
      <c r="J39" s="148"/>
      <c r="K39" s="148"/>
      <c r="L39" s="148"/>
    </row>
    <row r="40" spans="1:12" ht="14.25" x14ac:dyDescent="0.2">
      <c r="A40" s="162"/>
      <c r="B40" s="162"/>
      <c r="C40" s="185"/>
      <c r="D40" s="162"/>
      <c r="F40" s="148"/>
      <c r="G40" s="148"/>
      <c r="H40" s="148"/>
      <c r="I40" s="148"/>
      <c r="J40" s="148"/>
      <c r="K40" s="148"/>
      <c r="L40" s="148"/>
    </row>
    <row r="41" spans="1:12" ht="14.25" x14ac:dyDescent="0.2">
      <c r="A41" s="162"/>
      <c r="B41" s="162"/>
      <c r="C41" s="185"/>
      <c r="D41" s="162"/>
      <c r="F41" s="148"/>
      <c r="G41" s="148"/>
      <c r="H41" s="148"/>
      <c r="I41" s="148"/>
      <c r="J41" s="148"/>
      <c r="K41" s="148"/>
      <c r="L41" s="148"/>
    </row>
    <row r="42" spans="1:12" ht="14.25" x14ac:dyDescent="0.2">
      <c r="A42" s="162"/>
      <c r="B42" s="162"/>
      <c r="C42" s="185"/>
      <c r="D42" s="162"/>
      <c r="F42" s="148"/>
      <c r="G42" s="148"/>
      <c r="H42" s="148"/>
      <c r="I42" s="148"/>
      <c r="J42" s="148"/>
      <c r="K42" s="148"/>
      <c r="L42" s="148"/>
    </row>
    <row r="43" spans="1:12" ht="15" x14ac:dyDescent="0.2">
      <c r="A43" s="162"/>
      <c r="B43" s="186"/>
      <c r="C43" s="187"/>
      <c r="D43" s="162"/>
      <c r="F43" s="148"/>
      <c r="G43" s="148"/>
      <c r="H43" s="148"/>
      <c r="I43" s="148"/>
      <c r="J43" s="148"/>
      <c r="K43" s="148"/>
      <c r="L43" s="148"/>
    </row>
    <row r="44" spans="1:12" ht="15" x14ac:dyDescent="0.2">
      <c r="A44" s="176"/>
      <c r="B44" s="186"/>
      <c r="C44" s="187"/>
      <c r="D44" s="176"/>
      <c r="E44" s="148"/>
      <c r="F44" s="148"/>
      <c r="G44" s="148"/>
      <c r="H44" s="148"/>
      <c r="I44" s="148"/>
      <c r="J44" s="148"/>
      <c r="K44" s="148"/>
      <c r="L44" s="148"/>
    </row>
    <row r="45" spans="1:12" ht="16.5" x14ac:dyDescent="0.2">
      <c r="A45" s="188"/>
      <c r="B45" s="148"/>
      <c r="C45" s="148"/>
      <c r="E45" s="148"/>
      <c r="F45" s="148"/>
      <c r="G45" s="148"/>
      <c r="H45" s="148"/>
      <c r="I45" s="148"/>
      <c r="J45" s="148"/>
      <c r="K45" s="148"/>
      <c r="L45" s="148"/>
    </row>
    <row r="46" spans="1:12" x14ac:dyDescent="0.2">
      <c r="A46" s="189"/>
      <c r="B46" s="190"/>
      <c r="C46" s="190"/>
      <c r="E46" s="148"/>
      <c r="F46" s="148"/>
      <c r="G46" s="148"/>
      <c r="H46" s="148"/>
      <c r="I46" s="148"/>
      <c r="J46" s="148"/>
      <c r="K46" s="148"/>
      <c r="L46" s="148"/>
    </row>
    <row r="47" spans="1:12" ht="14.25" x14ac:dyDescent="0.2">
      <c r="A47" s="162"/>
      <c r="B47" s="191"/>
      <c r="C47" s="190"/>
      <c r="E47" s="148"/>
      <c r="F47" s="148"/>
      <c r="G47" s="148"/>
      <c r="H47" s="148"/>
      <c r="I47" s="148"/>
      <c r="J47" s="148"/>
      <c r="K47" s="148"/>
      <c r="L47" s="148"/>
    </row>
    <row r="48" spans="1:12" ht="14.25" x14ac:dyDescent="0.2">
      <c r="A48" s="162"/>
      <c r="B48" s="191"/>
      <c r="C48" s="162"/>
      <c r="E48" s="148"/>
      <c r="F48" s="148"/>
      <c r="G48" s="148"/>
      <c r="H48" s="148"/>
      <c r="I48" s="148"/>
      <c r="J48" s="148"/>
      <c r="K48" s="148"/>
      <c r="L48" s="148"/>
    </row>
    <row r="49" spans="1:12" ht="14.25" x14ac:dyDescent="0.2">
      <c r="A49" s="162"/>
      <c r="B49" s="185"/>
      <c r="C49" s="190"/>
      <c r="E49" s="148"/>
      <c r="F49" s="148"/>
      <c r="G49" s="148"/>
      <c r="H49" s="148"/>
      <c r="I49" s="148"/>
      <c r="J49" s="148"/>
      <c r="K49" s="148"/>
      <c r="L49" s="148"/>
    </row>
    <row r="50" spans="1:12" ht="14.25" x14ac:dyDescent="0.2">
      <c r="A50" s="162"/>
      <c r="B50" s="191"/>
      <c r="C50" s="162"/>
      <c r="E50" s="148"/>
      <c r="F50" s="148"/>
      <c r="G50" s="148"/>
      <c r="H50" s="148"/>
      <c r="I50" s="148"/>
      <c r="J50" s="148"/>
      <c r="K50" s="148"/>
      <c r="L50" s="148"/>
    </row>
    <row r="51" spans="1:12" ht="14.25" x14ac:dyDescent="0.2">
      <c r="A51" s="162"/>
      <c r="B51" s="185"/>
      <c r="C51" s="190"/>
      <c r="E51" s="148"/>
      <c r="F51" s="148"/>
      <c r="G51" s="148"/>
      <c r="H51" s="148"/>
      <c r="I51" s="148"/>
      <c r="J51" s="148"/>
      <c r="K51" s="148"/>
      <c r="L51" s="148"/>
    </row>
    <row r="52" spans="1:12" ht="14.25" x14ac:dyDescent="0.2">
      <c r="A52" s="162"/>
      <c r="B52" s="191"/>
      <c r="C52" s="162"/>
      <c r="E52" s="148"/>
      <c r="F52" s="148"/>
      <c r="G52" s="148"/>
      <c r="H52" s="148"/>
      <c r="I52" s="148"/>
      <c r="J52" s="148"/>
      <c r="K52" s="148"/>
      <c r="L52" s="148"/>
    </row>
    <row r="53" spans="1:12" ht="14.25" x14ac:dyDescent="0.2">
      <c r="A53" s="162"/>
      <c r="B53" s="185"/>
      <c r="C53" s="190"/>
      <c r="E53" s="148"/>
      <c r="F53" s="148"/>
      <c r="G53" s="148"/>
      <c r="H53" s="148"/>
      <c r="I53" s="148"/>
      <c r="J53" s="148"/>
      <c r="K53" s="148"/>
      <c r="L53" s="148"/>
    </row>
    <row r="54" spans="1:12" ht="14.25" x14ac:dyDescent="0.2">
      <c r="A54" s="162"/>
      <c r="B54" s="191"/>
      <c r="C54" s="162"/>
      <c r="E54" s="148"/>
      <c r="F54" s="148"/>
      <c r="G54" s="148"/>
      <c r="H54" s="148"/>
      <c r="I54" s="148"/>
      <c r="J54" s="148"/>
      <c r="K54" s="148"/>
      <c r="L54" s="148"/>
    </row>
    <row r="55" spans="1:12" ht="14.25" x14ac:dyDescent="0.2">
      <c r="A55" s="162"/>
      <c r="B55" s="185"/>
      <c r="C55" s="190"/>
      <c r="E55" s="148"/>
      <c r="F55" s="148"/>
      <c r="G55" s="148"/>
      <c r="H55" s="148"/>
      <c r="I55" s="148"/>
      <c r="J55" s="148"/>
      <c r="K55" s="148"/>
      <c r="L55" s="148"/>
    </row>
    <row r="56" spans="1:12" ht="16.5" x14ac:dyDescent="0.2">
      <c r="A56" s="188"/>
      <c r="B56" s="148"/>
      <c r="C56" s="148"/>
      <c r="E56" s="148"/>
      <c r="F56" s="148"/>
      <c r="G56" s="148"/>
      <c r="H56" s="148"/>
      <c r="I56" s="148"/>
      <c r="J56" s="148"/>
      <c r="K56" s="148"/>
      <c r="L56" s="148"/>
    </row>
    <row r="57" spans="1:12" x14ac:dyDescent="0.2">
      <c r="A57" s="148"/>
      <c r="B57" s="148"/>
      <c r="C57" s="148"/>
      <c r="E57" s="148"/>
      <c r="F57" s="148"/>
      <c r="G57" s="148"/>
      <c r="H57" s="148"/>
      <c r="I57" s="148"/>
      <c r="J57" s="148"/>
      <c r="K57" s="148"/>
      <c r="L57" s="148"/>
    </row>
    <row r="58" spans="1:12" x14ac:dyDescent="0.2">
      <c r="A58" s="148"/>
      <c r="B58" s="148"/>
      <c r="C58" s="148"/>
      <c r="E58" s="148"/>
      <c r="F58" s="148"/>
      <c r="G58" s="148"/>
      <c r="H58" s="148"/>
      <c r="I58" s="148"/>
      <c r="J58" s="148"/>
      <c r="K58" s="148"/>
      <c r="L58" s="148"/>
    </row>
    <row r="59" spans="1:12" x14ac:dyDescent="0.2">
      <c r="A59" s="192"/>
      <c r="B59" s="148"/>
      <c r="C59" s="148"/>
      <c r="E59" s="148"/>
      <c r="F59" s="148"/>
      <c r="G59" s="148"/>
      <c r="H59" s="148"/>
      <c r="I59" s="148"/>
      <c r="J59" s="148"/>
      <c r="K59" s="148"/>
      <c r="L59" s="148"/>
    </row>
    <row r="60" spans="1:12" x14ac:dyDescent="0.2">
      <c r="A60" s="148"/>
      <c r="B60" s="148"/>
      <c r="C60" s="148"/>
      <c r="E60" s="148"/>
    </row>
    <row r="61" spans="1:12" x14ac:dyDescent="0.2">
      <c r="A61" s="148"/>
      <c r="B61" s="148"/>
      <c r="C61" s="148"/>
      <c r="E61" s="148"/>
    </row>
    <row r="62" spans="1:12" x14ac:dyDescent="0.2">
      <c r="A62" s="148"/>
      <c r="B62" s="148"/>
      <c r="C62" s="148"/>
      <c r="E62" s="148"/>
    </row>
    <row r="63" spans="1:12" x14ac:dyDescent="0.2">
      <c r="A63" s="148"/>
      <c r="B63" s="148"/>
      <c r="C63" s="148"/>
      <c r="E63" s="148"/>
    </row>
    <row r="64" spans="1:12" x14ac:dyDescent="0.2">
      <c r="A64" s="148"/>
      <c r="B64" s="148"/>
      <c r="C64" s="148"/>
      <c r="E64" s="148"/>
    </row>
    <row r="65" spans="1:5" x14ac:dyDescent="0.2">
      <c r="A65" s="148"/>
      <c r="B65" s="148"/>
      <c r="C65" s="148"/>
      <c r="E65" s="148"/>
    </row>
    <row r="66" spans="1:5" x14ac:dyDescent="0.2">
      <c r="A66" s="148"/>
      <c r="B66" s="148"/>
      <c r="C66" s="148"/>
      <c r="E66" s="148"/>
    </row>
    <row r="67" spans="1:5" x14ac:dyDescent="0.2">
      <c r="A67" s="148"/>
      <c r="B67" s="148"/>
      <c r="C67" s="148"/>
      <c r="E67" s="148"/>
    </row>
    <row r="68" spans="1:5" x14ac:dyDescent="0.2">
      <c r="A68" s="148"/>
      <c r="B68" s="148"/>
      <c r="C68" s="148"/>
      <c r="E68" s="148"/>
    </row>
  </sheetData>
  <mergeCells count="1">
    <mergeCell ref="A7:C7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opLeftCell="A4" zoomScaleNormal="100" workbookViewId="0">
      <selection activeCell="E19" sqref="E19"/>
    </sheetView>
  </sheetViews>
  <sheetFormatPr defaultRowHeight="12.75" x14ac:dyDescent="0.2"/>
  <cols>
    <col min="1" max="1" width="8.5703125" style="1" customWidth="1"/>
    <col min="2" max="2" width="67.140625" style="1" customWidth="1"/>
    <col min="3" max="3" width="13.7109375" style="1" customWidth="1"/>
    <col min="4" max="4" width="10.28515625" style="1" customWidth="1"/>
    <col min="5" max="5" width="13.7109375" style="1" customWidth="1"/>
    <col min="6" max="16384" width="9.140625" style="1"/>
  </cols>
  <sheetData>
    <row r="1" spans="1:3" x14ac:dyDescent="0.2">
      <c r="A1" s="101" t="s">
        <v>234</v>
      </c>
    </row>
    <row r="3" spans="1:3" x14ac:dyDescent="0.2">
      <c r="A3" s="293" t="s">
        <v>292</v>
      </c>
    </row>
    <row r="5" spans="1:3" x14ac:dyDescent="0.2">
      <c r="A5" s="293" t="s">
        <v>291</v>
      </c>
    </row>
    <row r="6" spans="1:3" ht="13.5" thickBot="1" x14ac:dyDescent="0.25"/>
    <row r="7" spans="1:3" ht="18" x14ac:dyDescent="0.25">
      <c r="B7" s="345" t="s">
        <v>221</v>
      </c>
      <c r="C7" s="346"/>
    </row>
    <row r="8" spans="1:3" ht="15" x14ac:dyDescent="0.25">
      <c r="A8" s="148"/>
      <c r="B8" s="147" t="s">
        <v>203</v>
      </c>
      <c r="C8" s="193"/>
    </row>
    <row r="9" spans="1:3" ht="15" x14ac:dyDescent="0.25">
      <c r="A9" s="148"/>
      <c r="B9" s="149" t="s">
        <v>123</v>
      </c>
      <c r="C9" s="150">
        <v>2100</v>
      </c>
    </row>
    <row r="10" spans="1:3" ht="15" x14ac:dyDescent="0.25">
      <c r="A10" s="148"/>
      <c r="B10" s="151" t="s">
        <v>124</v>
      </c>
      <c r="C10" s="150">
        <v>2031</v>
      </c>
    </row>
    <row r="11" spans="1:3" ht="14.25" x14ac:dyDescent="0.2">
      <c r="A11" s="148"/>
      <c r="B11" s="194" t="s">
        <v>125</v>
      </c>
      <c r="C11" s="195">
        <v>44</v>
      </c>
    </row>
    <row r="12" spans="1:3" ht="14.25" x14ac:dyDescent="0.2">
      <c r="A12" s="148"/>
      <c r="B12" s="194" t="s">
        <v>126</v>
      </c>
      <c r="C12" s="195">
        <v>1192</v>
      </c>
    </row>
    <row r="13" spans="1:3" ht="14.25" x14ac:dyDescent="0.2">
      <c r="A13" s="148"/>
      <c r="B13" s="194" t="s">
        <v>127</v>
      </c>
      <c r="C13" s="195">
        <v>372</v>
      </c>
    </row>
    <row r="14" spans="1:3" ht="14.25" x14ac:dyDescent="0.2">
      <c r="A14" s="148"/>
      <c r="B14" s="194" t="s">
        <v>128</v>
      </c>
      <c r="C14" s="195">
        <v>22</v>
      </c>
    </row>
    <row r="15" spans="1:3" ht="14.25" x14ac:dyDescent="0.2">
      <c r="A15" s="148"/>
      <c r="B15" s="194" t="s">
        <v>129</v>
      </c>
      <c r="C15" s="195">
        <v>350</v>
      </c>
    </row>
    <row r="16" spans="1:3" ht="14.25" x14ac:dyDescent="0.2">
      <c r="A16" s="148"/>
      <c r="B16" s="194" t="s">
        <v>130</v>
      </c>
      <c r="C16" s="195">
        <v>1</v>
      </c>
    </row>
    <row r="17" spans="1:5" ht="14.25" x14ac:dyDescent="0.2">
      <c r="A17" s="148"/>
      <c r="B17" s="194" t="s">
        <v>131</v>
      </c>
      <c r="C17" s="195">
        <v>30</v>
      </c>
    </row>
    <row r="18" spans="1:5" ht="14.25" x14ac:dyDescent="0.2">
      <c r="A18" s="148"/>
      <c r="B18" s="196" t="s">
        <v>132</v>
      </c>
      <c r="C18" s="197">
        <v>0</v>
      </c>
    </row>
    <row r="19" spans="1:5" ht="14.25" x14ac:dyDescent="0.2">
      <c r="A19" s="148"/>
      <c r="B19" s="299" t="s">
        <v>287</v>
      </c>
      <c r="C19" s="197">
        <v>0</v>
      </c>
    </row>
    <row r="20" spans="1:5" ht="15" x14ac:dyDescent="0.25">
      <c r="A20" s="148" t="s">
        <v>133</v>
      </c>
      <c r="B20" s="147" t="s">
        <v>134</v>
      </c>
      <c r="C20" s="193"/>
    </row>
    <row r="21" spans="1:5" ht="14.25" x14ac:dyDescent="0.2">
      <c r="A21" s="148"/>
      <c r="B21" s="198" t="s">
        <v>289</v>
      </c>
      <c r="C21" s="199">
        <v>4625</v>
      </c>
    </row>
    <row r="22" spans="1:5" ht="14.25" x14ac:dyDescent="0.2">
      <c r="A22" s="148"/>
      <c r="B22" s="194" t="s">
        <v>290</v>
      </c>
      <c r="C22" s="195">
        <v>4694</v>
      </c>
    </row>
    <row r="23" spans="1:5" ht="14.25" x14ac:dyDescent="0.2">
      <c r="B23" s="194" t="s">
        <v>288</v>
      </c>
      <c r="C23" s="292">
        <f>C9-C10</f>
        <v>69</v>
      </c>
    </row>
    <row r="24" spans="1:5" ht="14.25" x14ac:dyDescent="0.2">
      <c r="B24" s="200"/>
      <c r="C24" s="201"/>
    </row>
    <row r="25" spans="1:5" s="101" customFormat="1" ht="15" x14ac:dyDescent="0.25">
      <c r="B25" s="149" t="s">
        <v>136</v>
      </c>
      <c r="C25" s="202">
        <f>MEDIAN(C21,C22)</f>
        <v>4659.5</v>
      </c>
    </row>
    <row r="26" spans="1:5" ht="15" x14ac:dyDescent="0.25">
      <c r="B26" s="151" t="s">
        <v>285</v>
      </c>
      <c r="C26" s="297">
        <f>C12/C25</f>
        <v>0.25582144006867691</v>
      </c>
    </row>
    <row r="27" spans="1:5" ht="15" x14ac:dyDescent="0.25">
      <c r="B27" s="151" t="s">
        <v>286</v>
      </c>
      <c r="C27" s="297">
        <f>MEDIAN(C9,C10)/C25</f>
        <v>0.44328790642772831</v>
      </c>
      <c r="E27" s="263"/>
    </row>
    <row r="28" spans="1:5" s="101" customFormat="1" ht="15" x14ac:dyDescent="0.25">
      <c r="B28" s="151" t="s">
        <v>240</v>
      </c>
      <c r="C28" s="295">
        <f>12/C27</f>
        <v>27.070442992011618</v>
      </c>
    </row>
    <row r="29" spans="1:5" ht="15" x14ac:dyDescent="0.25">
      <c r="B29" s="151" t="s">
        <v>135</v>
      </c>
      <c r="C29" s="153">
        <v>360</v>
      </c>
    </row>
    <row r="30" spans="1:5" ht="15" x14ac:dyDescent="0.25">
      <c r="B30" s="151" t="s">
        <v>235</v>
      </c>
      <c r="C30" s="153">
        <v>10</v>
      </c>
    </row>
    <row r="31" spans="1:5" ht="15" x14ac:dyDescent="0.25">
      <c r="B31" s="149" t="s">
        <v>236</v>
      </c>
      <c r="C31" s="152">
        <v>30</v>
      </c>
    </row>
    <row r="32" spans="1:5" ht="15" x14ac:dyDescent="0.25">
      <c r="B32" s="149" t="s">
        <v>237</v>
      </c>
      <c r="C32" s="152">
        <v>30</v>
      </c>
    </row>
    <row r="33" spans="2:4" s="101" customFormat="1" ht="15" x14ac:dyDescent="0.25">
      <c r="B33" s="149" t="s">
        <v>138</v>
      </c>
      <c r="C33" s="152">
        <f>30+(3*TRUNC(1/C27))</f>
        <v>36</v>
      </c>
    </row>
    <row r="34" spans="2:4" s="101" customFormat="1" ht="15" x14ac:dyDescent="0.25">
      <c r="B34" s="151" t="s">
        <v>38</v>
      </c>
      <c r="C34" s="296">
        <v>0.08</v>
      </c>
    </row>
    <row r="35" spans="2:4" s="101" customFormat="1" ht="15.75" thickBot="1" x14ac:dyDescent="0.3">
      <c r="B35" s="154" t="s">
        <v>137</v>
      </c>
      <c r="C35" s="298">
        <v>0.4</v>
      </c>
      <c r="D35" s="101" t="s">
        <v>293</v>
      </c>
    </row>
  </sheetData>
  <mergeCells count="1">
    <mergeCell ref="B7:C7"/>
  </mergeCells>
  <pageMargins left="0.90551181102362199" right="0.51181102362204722" top="0.74803149606299213" bottom="0.74803149606299213" header="0.31496062992125984" footer="0.31496062992125984"/>
  <pageSetup paperSize="9" scale="98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4"/>
  <sheetViews>
    <sheetView zoomScaleNormal="100" workbookViewId="0">
      <selection activeCell="D32" sqref="D32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114" bestFit="1" customWidth="1"/>
    <col min="6" max="6" width="9.7109375" bestFit="1" customWidth="1"/>
  </cols>
  <sheetData>
    <row r="1" spans="1:8" s="138" customFormat="1" ht="14.25" x14ac:dyDescent="0.2">
      <c r="A1" s="11" t="s">
        <v>201</v>
      </c>
      <c r="B1" s="136"/>
      <c r="C1" s="136"/>
      <c r="E1" s="139"/>
    </row>
    <row r="2" spans="1:8" s="138" customFormat="1" ht="14.25" x14ac:dyDescent="0.2">
      <c r="A2" s="132" t="s">
        <v>241</v>
      </c>
      <c r="B2" s="136"/>
      <c r="C2" s="136"/>
      <c r="E2" s="139"/>
    </row>
    <row r="3" spans="1:8" s="138" customFormat="1" ht="14.25" x14ac:dyDescent="0.2">
      <c r="A3" s="9" t="s">
        <v>202</v>
      </c>
      <c r="B3" s="136"/>
      <c r="C3" s="136"/>
      <c r="E3" s="139"/>
    </row>
    <row r="4" spans="1:8" s="138" customFormat="1" ht="14.25" x14ac:dyDescent="0.2">
      <c r="A4" s="9"/>
      <c r="B4" s="136"/>
      <c r="C4" s="136"/>
      <c r="E4" s="139"/>
    </row>
    <row r="5" spans="1:8" s="4" customFormat="1" ht="15.6" customHeight="1" x14ac:dyDescent="0.2">
      <c r="A5" s="291" t="s">
        <v>284</v>
      </c>
      <c r="B5" s="131"/>
      <c r="C5" s="131"/>
      <c r="D5" s="131"/>
      <c r="E5" s="131"/>
      <c r="F5" s="131"/>
      <c r="G5" s="6"/>
    </row>
    <row r="6" spans="1:8" s="4" customFormat="1" ht="16.5" customHeight="1" x14ac:dyDescent="0.2">
      <c r="A6" s="291" t="s">
        <v>281</v>
      </c>
      <c r="B6" s="5"/>
      <c r="C6" s="5"/>
      <c r="D6" s="6"/>
      <c r="E6" s="6"/>
      <c r="F6" s="6"/>
      <c r="G6" s="6"/>
    </row>
    <row r="7" spans="1:8" s="138" customFormat="1" ht="15" thickBot="1" x14ac:dyDescent="0.25">
      <c r="B7" s="136"/>
      <c r="C7" s="136"/>
      <c r="E7" s="139"/>
    </row>
    <row r="8" spans="1:8" ht="15.75" x14ac:dyDescent="0.2">
      <c r="A8" s="352" t="s">
        <v>222</v>
      </c>
      <c r="B8" s="353"/>
      <c r="C8" s="353"/>
      <c r="D8" s="353"/>
      <c r="E8" s="353"/>
      <c r="F8" s="354"/>
    </row>
    <row r="9" spans="1:8" ht="16.5" thickBot="1" x14ac:dyDescent="0.25">
      <c r="A9" s="248"/>
      <c r="B9" s="249"/>
      <c r="C9" s="249"/>
      <c r="D9" s="249"/>
      <c r="E9" s="249"/>
      <c r="F9" s="250"/>
    </row>
    <row r="10" spans="1:8" ht="15" x14ac:dyDescent="0.25">
      <c r="A10" s="203"/>
      <c r="B10" s="137"/>
      <c r="C10" s="137"/>
      <c r="D10" s="349" t="s">
        <v>238</v>
      </c>
      <c r="E10" s="350"/>
      <c r="F10" s="351"/>
      <c r="G10" s="138"/>
      <c r="H10" s="138"/>
    </row>
    <row r="11" spans="1:8" ht="15" thickBot="1" x14ac:dyDescent="0.25">
      <c r="A11" s="200"/>
      <c r="B11" s="204"/>
      <c r="C11" s="204"/>
      <c r="D11" s="205" t="s">
        <v>188</v>
      </c>
      <c r="E11" s="206" t="s">
        <v>189</v>
      </c>
      <c r="F11" s="207" t="s">
        <v>190</v>
      </c>
      <c r="G11" s="138"/>
      <c r="H11" s="138"/>
    </row>
    <row r="12" spans="1:8" ht="14.25" x14ac:dyDescent="0.2">
      <c r="A12" s="208" t="s">
        <v>72</v>
      </c>
      <c r="B12" s="209" t="s">
        <v>73</v>
      </c>
      <c r="C12" s="210">
        <v>0.06</v>
      </c>
      <c r="D12" s="231">
        <v>2.9700000000000001E-2</v>
      </c>
      <c r="E12" s="232">
        <v>5.0799999999999998E-2</v>
      </c>
      <c r="F12" s="233">
        <v>6.2700000000000006E-2</v>
      </c>
      <c r="G12" s="138"/>
      <c r="H12" s="138"/>
    </row>
    <row r="13" spans="1:8" ht="14.25" x14ac:dyDescent="0.2">
      <c r="A13" s="212" t="s">
        <v>74</v>
      </c>
      <c r="B13" s="213" t="s">
        <v>75</v>
      </c>
      <c r="C13" s="214">
        <v>0.01</v>
      </c>
      <c r="D13" s="231">
        <f>0.3%+0.56%</f>
        <v>8.6E-3</v>
      </c>
      <c r="E13" s="232">
        <f>0.48%+0.85%</f>
        <v>1.3299999999999999E-2</v>
      </c>
      <c r="F13" s="233">
        <f>0.82%+0.89%</f>
        <v>1.7099999999999997E-2</v>
      </c>
      <c r="G13" s="138"/>
      <c r="H13" s="138"/>
    </row>
    <row r="14" spans="1:8" ht="14.25" x14ac:dyDescent="0.2">
      <c r="A14" s="212" t="s">
        <v>76</v>
      </c>
      <c r="B14" s="213" t="s">
        <v>77</v>
      </c>
      <c r="C14" s="214">
        <v>0.09</v>
      </c>
      <c r="D14" s="231">
        <v>7.7799999999999994E-2</v>
      </c>
      <c r="E14" s="232">
        <v>0.1085</v>
      </c>
      <c r="F14" s="233">
        <v>0.13550000000000001</v>
      </c>
      <c r="G14" s="138"/>
      <c r="H14" s="138"/>
    </row>
    <row r="15" spans="1:8" ht="14.25" x14ac:dyDescent="0.2">
      <c r="A15" s="212" t="s">
        <v>78</v>
      </c>
      <c r="B15" s="213" t="s">
        <v>79</v>
      </c>
      <c r="C15" s="215">
        <f>(1+E15)^(E16/252)-1</f>
        <v>5.5615169578488999E-3</v>
      </c>
      <c r="D15" s="231" t="s">
        <v>272</v>
      </c>
      <c r="E15" s="216">
        <v>0.15</v>
      </c>
      <c r="F15" s="211"/>
      <c r="G15" s="138"/>
      <c r="H15" s="138"/>
    </row>
    <row r="16" spans="1:8" ht="14.25" x14ac:dyDescent="0.2">
      <c r="A16" s="212" t="s">
        <v>80</v>
      </c>
      <c r="B16" s="347" t="s">
        <v>81</v>
      </c>
      <c r="C16" s="214">
        <v>0.03</v>
      </c>
      <c r="D16" s="287" t="s">
        <v>191</v>
      </c>
      <c r="E16" s="217">
        <v>10</v>
      </c>
      <c r="F16" s="218"/>
      <c r="G16" s="138"/>
      <c r="H16" s="138"/>
    </row>
    <row r="17" spans="1:8" ht="15" thickBot="1" x14ac:dyDescent="0.25">
      <c r="A17" s="219" t="s">
        <v>82</v>
      </c>
      <c r="B17" s="348"/>
      <c r="C17" s="220">
        <v>3.6499999999999998E-2</v>
      </c>
      <c r="D17" s="194"/>
      <c r="E17" s="221"/>
      <c r="F17" s="218"/>
      <c r="G17" s="138"/>
      <c r="H17" s="138"/>
    </row>
    <row r="18" spans="1:8" ht="14.25" x14ac:dyDescent="0.2">
      <c r="A18" s="222" t="s">
        <v>83</v>
      </c>
      <c r="B18" s="223"/>
      <c r="C18" s="224"/>
      <c r="D18" s="194"/>
      <c r="E18" s="221"/>
      <c r="F18" s="218"/>
      <c r="G18" s="138"/>
      <c r="H18" s="138"/>
    </row>
    <row r="19" spans="1:8" ht="15" thickBot="1" x14ac:dyDescent="0.25">
      <c r="A19" s="225" t="s">
        <v>84</v>
      </c>
      <c r="B19" s="226"/>
      <c r="C19" s="227"/>
      <c r="D19" s="194"/>
      <c r="E19" s="221"/>
      <c r="F19" s="218"/>
      <c r="G19" s="138"/>
      <c r="H19" s="138"/>
    </row>
    <row r="20" spans="1:8" ht="15.75" thickBot="1" x14ac:dyDescent="0.25">
      <c r="A20" s="228" t="s">
        <v>85</v>
      </c>
      <c r="B20" s="229"/>
      <c r="C20" s="230">
        <f>ROUND((((1+C12+C13)*(1+C14)*(1+C15))/(1-(C16+C17))-1),4)</f>
        <v>0.25629999999999997</v>
      </c>
      <c r="D20" s="234">
        <v>0.21429999999999999</v>
      </c>
      <c r="E20" s="235">
        <v>0.2717</v>
      </c>
      <c r="F20" s="236">
        <v>0.3362</v>
      </c>
      <c r="G20" s="138"/>
      <c r="H20" s="138"/>
    </row>
    <row r="21" spans="1:8" ht="14.25" x14ac:dyDescent="0.2">
      <c r="A21" s="138"/>
      <c r="B21" s="138"/>
      <c r="C21" s="138"/>
      <c r="D21" s="138"/>
      <c r="E21" s="139"/>
      <c r="F21" s="138"/>
      <c r="G21" s="138"/>
      <c r="H21" s="138"/>
    </row>
    <row r="22" spans="1:8" ht="14.25" x14ac:dyDescent="0.2">
      <c r="A22" s="138"/>
      <c r="B22" s="138"/>
      <c r="C22" s="138"/>
      <c r="D22" s="138"/>
      <c r="E22" s="139"/>
      <c r="F22" s="138"/>
      <c r="G22" s="138"/>
      <c r="H22" s="138"/>
    </row>
    <row r="23" spans="1:8" ht="14.25" x14ac:dyDescent="0.2">
      <c r="A23" s="138"/>
      <c r="B23" s="138"/>
      <c r="C23" s="138"/>
      <c r="D23" s="138"/>
      <c r="E23" s="139"/>
      <c r="F23" s="138"/>
      <c r="G23" s="138"/>
      <c r="H23" s="138"/>
    </row>
    <row r="24" spans="1:8" ht="14.25" x14ac:dyDescent="0.2">
      <c r="A24" s="138"/>
      <c r="B24" s="138"/>
      <c r="C24" s="138"/>
      <c r="D24" s="138"/>
      <c r="E24" s="139"/>
      <c r="F24" s="138"/>
      <c r="G24" s="138"/>
      <c r="H24" s="138"/>
    </row>
  </sheetData>
  <mergeCells count="3">
    <mergeCell ref="B16:B17"/>
    <mergeCell ref="D10:F10"/>
    <mergeCell ref="A8:F8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D25" sqref="D25"/>
    </sheetView>
  </sheetViews>
  <sheetFormatPr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 x14ac:dyDescent="0.25">
      <c r="A1" s="355" t="s">
        <v>224</v>
      </c>
      <c r="B1" s="356"/>
    </row>
    <row r="2" spans="1:2" s="101" customFormat="1" ht="19.5" customHeight="1" x14ac:dyDescent="0.2">
      <c r="A2" s="251" t="s">
        <v>204</v>
      </c>
      <c r="B2" s="252" t="s">
        <v>274</v>
      </c>
    </row>
    <row r="3" spans="1:2" ht="19.5" customHeight="1" x14ac:dyDescent="0.2">
      <c r="A3" s="156">
        <v>1</v>
      </c>
      <c r="B3" s="155">
        <v>33.629999999999995</v>
      </c>
    </row>
    <row r="4" spans="1:2" ht="19.5" customHeight="1" x14ac:dyDescent="0.2">
      <c r="A4" s="156">
        <v>2</v>
      </c>
      <c r="B4" s="155">
        <v>43.13</v>
      </c>
    </row>
    <row r="5" spans="1:2" ht="19.5" customHeight="1" x14ac:dyDescent="0.2">
      <c r="A5" s="156">
        <v>3</v>
      </c>
      <c r="B5" s="155">
        <v>48.68</v>
      </c>
    </row>
    <row r="6" spans="1:2" ht="19.5" customHeight="1" x14ac:dyDescent="0.2">
      <c r="A6" s="156">
        <v>4</v>
      </c>
      <c r="B6" s="155">
        <v>52.62</v>
      </c>
    </row>
    <row r="7" spans="1:2" ht="19.5" customHeight="1" x14ac:dyDescent="0.2">
      <c r="A7" s="156">
        <v>5</v>
      </c>
      <c r="B7" s="155">
        <v>55.679999999999993</v>
      </c>
    </row>
    <row r="8" spans="1:2" ht="19.5" customHeight="1" x14ac:dyDescent="0.2">
      <c r="A8" s="156">
        <v>6</v>
      </c>
      <c r="B8" s="155">
        <v>58.18</v>
      </c>
    </row>
    <row r="9" spans="1:2" ht="19.5" customHeight="1" x14ac:dyDescent="0.2">
      <c r="A9" s="156">
        <v>7</v>
      </c>
      <c r="B9" s="155">
        <v>60.29</v>
      </c>
    </row>
    <row r="10" spans="1:2" ht="19.5" customHeight="1" x14ac:dyDescent="0.2">
      <c r="A10" s="156">
        <v>8</v>
      </c>
      <c r="B10" s="155">
        <v>62.12</v>
      </c>
    </row>
    <row r="11" spans="1:2" ht="19.5" customHeight="1" x14ac:dyDescent="0.2">
      <c r="A11" s="156">
        <v>9</v>
      </c>
      <c r="B11" s="155">
        <v>63.73</v>
      </c>
    </row>
    <row r="12" spans="1:2" ht="19.5" customHeight="1" x14ac:dyDescent="0.2">
      <c r="A12" s="156">
        <v>10</v>
      </c>
      <c r="B12" s="155">
        <v>65.180000000000007</v>
      </c>
    </row>
    <row r="13" spans="1:2" ht="19.5" customHeight="1" x14ac:dyDescent="0.2">
      <c r="A13" s="156">
        <v>11</v>
      </c>
      <c r="B13" s="155">
        <v>66.47999999999999</v>
      </c>
    </row>
    <row r="14" spans="1:2" ht="19.5" customHeight="1" x14ac:dyDescent="0.2">
      <c r="A14" s="156">
        <v>12</v>
      </c>
      <c r="B14" s="155">
        <v>67.67</v>
      </c>
    </row>
    <row r="15" spans="1:2" ht="19.5" customHeight="1" x14ac:dyDescent="0.2">
      <c r="A15" s="156">
        <v>13</v>
      </c>
      <c r="B15" s="155">
        <v>68.77</v>
      </c>
    </row>
    <row r="16" spans="1:2" ht="19.5" customHeight="1" x14ac:dyDescent="0.2">
      <c r="A16" s="156">
        <v>14</v>
      </c>
      <c r="B16" s="155">
        <v>69.789999999999992</v>
      </c>
    </row>
    <row r="17" spans="1:2" ht="19.5" customHeight="1" thickBot="1" x14ac:dyDescent="0.25">
      <c r="A17" s="157">
        <v>15</v>
      </c>
      <c r="B17" s="158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E36" sqref="E36"/>
    </sheetView>
  </sheetViews>
  <sheetFormatPr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240" t="s">
        <v>228</v>
      </c>
    </row>
    <row r="2" spans="1:1" x14ac:dyDescent="0.2">
      <c r="A2" s="237"/>
    </row>
    <row r="3" spans="1:1" x14ac:dyDescent="0.2">
      <c r="A3" s="237" t="s">
        <v>242</v>
      </c>
    </row>
    <row r="4" spans="1:1" x14ac:dyDescent="0.2">
      <c r="A4" s="237"/>
    </row>
    <row r="5" spans="1:1" x14ac:dyDescent="0.2">
      <c r="A5" s="237"/>
    </row>
    <row r="6" spans="1:1" x14ac:dyDescent="0.2">
      <c r="A6" s="237"/>
    </row>
    <row r="7" spans="1:1" x14ac:dyDescent="0.2">
      <c r="A7" s="237"/>
    </row>
    <row r="8" spans="1:1" x14ac:dyDescent="0.2">
      <c r="A8" s="237"/>
    </row>
    <row r="9" spans="1:1" x14ac:dyDescent="0.2">
      <c r="A9" s="237"/>
    </row>
    <row r="10" spans="1:1" x14ac:dyDescent="0.2">
      <c r="A10" s="237"/>
    </row>
    <row r="11" spans="1:1" x14ac:dyDescent="0.2">
      <c r="A11" s="237"/>
    </row>
    <row r="12" spans="1:1" ht="19.5" x14ac:dyDescent="0.35">
      <c r="A12" s="238" t="s">
        <v>225</v>
      </c>
    </row>
    <row r="13" spans="1:1" ht="15" x14ac:dyDescent="0.2">
      <c r="A13" s="238" t="s">
        <v>106</v>
      </c>
    </row>
    <row r="14" spans="1:1" ht="15" x14ac:dyDescent="0.2">
      <c r="A14" s="238" t="s">
        <v>111</v>
      </c>
    </row>
    <row r="15" spans="1:1" ht="19.5" x14ac:dyDescent="0.35">
      <c r="A15" s="238" t="s">
        <v>226</v>
      </c>
    </row>
    <row r="16" spans="1:1" ht="19.5" x14ac:dyDescent="0.35">
      <c r="A16" s="238" t="s">
        <v>227</v>
      </c>
    </row>
    <row r="17" spans="1:1" ht="15.75" thickBot="1" x14ac:dyDescent="0.25">
      <c r="A17" s="239" t="s">
        <v>107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4"/>
  <sheetViews>
    <sheetView zoomScaleNormal="100" workbookViewId="0">
      <selection activeCell="C33" sqref="C33"/>
    </sheetView>
  </sheetViews>
  <sheetFormatPr defaultRowHeight="12.75" x14ac:dyDescent="0.2"/>
  <cols>
    <col min="1" max="1" width="58.28515625" style="263" customWidth="1"/>
    <col min="2" max="2" width="11.140625" style="263" bestFit="1" customWidth="1"/>
    <col min="3" max="3" width="11.28515625" style="263" bestFit="1" customWidth="1"/>
    <col min="4" max="16384" width="9.140625" style="263"/>
  </cols>
  <sheetData>
    <row r="1" spans="1:7" x14ac:dyDescent="0.2">
      <c r="A1" s="11" t="s">
        <v>201</v>
      </c>
    </row>
    <row r="2" spans="1:7" x14ac:dyDescent="0.2">
      <c r="A2" s="268" t="s">
        <v>249</v>
      </c>
    </row>
    <row r="3" spans="1:7" x14ac:dyDescent="0.2">
      <c r="A3" s="268" t="s">
        <v>275</v>
      </c>
    </row>
    <row r="4" spans="1:7" x14ac:dyDescent="0.2">
      <c r="A4" s="7" t="s">
        <v>273</v>
      </c>
    </row>
    <row r="5" spans="1:7" x14ac:dyDescent="0.2">
      <c r="A5" s="7"/>
    </row>
    <row r="6" spans="1:7" s="4" customFormat="1" ht="15.6" customHeight="1" x14ac:dyDescent="0.2">
      <c r="A6" s="291" t="s">
        <v>284</v>
      </c>
      <c r="B6" s="131"/>
      <c r="C6" s="131"/>
      <c r="D6" s="131"/>
      <c r="E6" s="131"/>
      <c r="F6" s="131"/>
      <c r="G6" s="6"/>
    </row>
    <row r="7" spans="1:7" s="4" customFormat="1" ht="16.5" customHeight="1" x14ac:dyDescent="0.2">
      <c r="A7" s="291" t="s">
        <v>281</v>
      </c>
      <c r="B7" s="5"/>
      <c r="C7" s="5"/>
      <c r="D7" s="6"/>
      <c r="E7" s="6"/>
      <c r="F7" s="6"/>
      <c r="G7" s="6"/>
    </row>
    <row r="8" spans="1:7" ht="13.5" thickBot="1" x14ac:dyDescent="0.25"/>
    <row r="9" spans="1:7" ht="18" x14ac:dyDescent="0.25">
      <c r="A9" s="357" t="s">
        <v>269</v>
      </c>
      <c r="B9" s="358"/>
      <c r="C9" s="359"/>
    </row>
    <row r="10" spans="1:7" s="269" customFormat="1" ht="18" x14ac:dyDescent="0.25">
      <c r="A10" s="284"/>
      <c r="B10" s="283"/>
      <c r="C10" s="285"/>
    </row>
    <row r="11" spans="1:7" s="101" customFormat="1" ht="15" x14ac:dyDescent="0.25">
      <c r="A11" s="270" t="s">
        <v>270</v>
      </c>
      <c r="B11" s="271" t="s">
        <v>250</v>
      </c>
      <c r="C11" s="272" t="s">
        <v>141</v>
      </c>
    </row>
    <row r="12" spans="1:7" ht="14.25" x14ac:dyDescent="0.2">
      <c r="A12" s="273" t="s">
        <v>258</v>
      </c>
      <c r="B12" s="274" t="s">
        <v>251</v>
      </c>
      <c r="C12" s="195">
        <v>1925</v>
      </c>
    </row>
    <row r="13" spans="1:7" ht="14.25" x14ac:dyDescent="0.2">
      <c r="A13" s="194" t="s">
        <v>259</v>
      </c>
      <c r="B13" s="275" t="s">
        <v>256</v>
      </c>
      <c r="C13" s="276">
        <v>0.84</v>
      </c>
    </row>
    <row r="14" spans="1:7" ht="14.25" x14ac:dyDescent="0.2">
      <c r="A14" s="194" t="s">
        <v>260</v>
      </c>
      <c r="B14" s="275" t="s">
        <v>257</v>
      </c>
      <c r="C14" s="277">
        <f>C12*C13/1000</f>
        <v>1.617</v>
      </c>
    </row>
    <row r="15" spans="1:7" ht="14.25" x14ac:dyDescent="0.2">
      <c r="A15" s="194" t="s">
        <v>266</v>
      </c>
      <c r="B15" s="275" t="s">
        <v>252</v>
      </c>
      <c r="C15" s="278">
        <v>48.5</v>
      </c>
    </row>
    <row r="16" spans="1:7" ht="14.25" x14ac:dyDescent="0.2">
      <c r="A16" s="194" t="s">
        <v>262</v>
      </c>
      <c r="B16" s="275" t="s">
        <v>89</v>
      </c>
      <c r="C16" s="281">
        <v>3</v>
      </c>
    </row>
    <row r="17" spans="1:3" ht="14.25" x14ac:dyDescent="0.2">
      <c r="A17" s="194" t="s">
        <v>261</v>
      </c>
      <c r="B17" s="275" t="s">
        <v>257</v>
      </c>
      <c r="C17" s="277">
        <f>IFERROR(C14*7/C16,0)</f>
        <v>3.7729999999999997</v>
      </c>
    </row>
    <row r="18" spans="1:3" ht="14.25" x14ac:dyDescent="0.2">
      <c r="A18" s="273" t="s">
        <v>253</v>
      </c>
      <c r="B18" s="275" t="s">
        <v>254</v>
      </c>
      <c r="C18" s="218">
        <v>500</v>
      </c>
    </row>
    <row r="19" spans="1:3" ht="14.25" x14ac:dyDescent="0.2">
      <c r="A19" s="194" t="s">
        <v>267</v>
      </c>
      <c r="B19" s="275"/>
      <c r="C19" s="195">
        <v>1</v>
      </c>
    </row>
    <row r="20" spans="1:3" ht="14.25" x14ac:dyDescent="0.2">
      <c r="A20" s="273" t="s">
        <v>268</v>
      </c>
      <c r="B20" s="275" t="s">
        <v>255</v>
      </c>
      <c r="C20" s="195">
        <v>15</v>
      </c>
    </row>
    <row r="21" spans="1:3" ht="14.25" x14ac:dyDescent="0.2">
      <c r="A21" s="194" t="s">
        <v>263</v>
      </c>
      <c r="B21" s="275" t="s">
        <v>252</v>
      </c>
      <c r="C21" s="218">
        <f>IF(AND(C20&gt;=15,C19=1),5.8,C20/2)</f>
        <v>5.8</v>
      </c>
    </row>
    <row r="22" spans="1:3" ht="14.25" x14ac:dyDescent="0.2">
      <c r="A22" s="273" t="s">
        <v>264</v>
      </c>
      <c r="B22" s="275"/>
      <c r="C22" s="277">
        <f>IFERROR(C17/C21,0)</f>
        <v>0.65051724137931033</v>
      </c>
    </row>
    <row r="23" spans="1:3" ht="14.25" x14ac:dyDescent="0.2">
      <c r="A23" s="273" t="s">
        <v>271</v>
      </c>
      <c r="B23" s="275"/>
      <c r="C23" s="286">
        <v>1</v>
      </c>
    </row>
    <row r="24" spans="1:3" ht="15" thickBot="1" x14ac:dyDescent="0.25">
      <c r="A24" s="279" t="s">
        <v>265</v>
      </c>
      <c r="B24" s="280"/>
      <c r="C24" s="282">
        <f>IFERROR(C22/C23,0)</f>
        <v>0.65051724137931033</v>
      </c>
    </row>
  </sheetData>
  <mergeCells count="1">
    <mergeCell ref="A9:C9"/>
  </mergeCells>
  <conditionalFormatting sqref="C21">
    <cfRule type="expression" dxfId="0" priority="1">
      <formula>"SE(E(C20&gt;=15;C19=1))"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5</vt:i4>
      </vt:variant>
    </vt:vector>
  </HeadingPairs>
  <TitlesOfParts>
    <vt:vector size="12" baseType="lpstr">
      <vt:lpstr>1. Coleta Domiciliar</vt:lpstr>
      <vt:lpstr>2.Encargos Sociais</vt:lpstr>
      <vt:lpstr>3.CAGED</vt:lpstr>
      <vt:lpstr>4.BDI</vt:lpstr>
      <vt:lpstr>5. Depreciação</vt:lpstr>
      <vt:lpstr>6.Remuneração de capital</vt:lpstr>
      <vt:lpstr>7. Dimensionamento</vt:lpstr>
      <vt:lpstr>AbaDeprec</vt:lpstr>
      <vt:lpstr>AbaRemun</vt:lpstr>
      <vt:lpstr>'1. Coleta Domiciliar'!Area_de_impressao</vt:lpstr>
      <vt:lpstr>'2.Encargos Sociais'!Area_de_impressao</vt:lpstr>
      <vt:lpstr>'1. Coleta Domiciliar'!Titulos_de_impressao</vt:lpstr>
    </vt:vector>
  </TitlesOfParts>
  <Company>dmlu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Bioma</cp:lastModifiedBy>
  <cp:lastPrinted>2017-08-10T17:29:27Z</cp:lastPrinted>
  <dcterms:created xsi:type="dcterms:W3CDTF">2000-12-13T10:02:50Z</dcterms:created>
  <dcterms:modified xsi:type="dcterms:W3CDTF">2026-07-21T17:38:41Z</dcterms:modified>
</cp:coreProperties>
</file>