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CONCORRÊNCIA\CONCORRÊNCIA 2025\CONC001_2025_ObraImpDrenLaSalle\"/>
    </mc:Choice>
  </mc:AlternateContent>
  <bookViews>
    <workbookView xWindow="0" yWindow="0" windowWidth="24000" windowHeight="9030"/>
  </bookViews>
  <sheets>
    <sheet name="Orçamento FINAL" sheetId="8" r:id="rId1"/>
    <sheet name="Média Orçamentos" sheetId="3" state="hidden" r:id="rId2"/>
  </sheets>
  <definedNames>
    <definedName name="_xlnm.Print_Area" localSheetId="0">'Orçamento FINAL'!$A$1:$O$31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8" l="1"/>
  <c r="N18" i="8" s="1"/>
  <c r="J18" i="8"/>
  <c r="M18" i="8" s="1"/>
  <c r="I18" i="8"/>
  <c r="L18" i="8" s="1"/>
  <c r="O18" i="8" l="1"/>
  <c r="K9" i="8"/>
  <c r="J9" i="8"/>
  <c r="K17" i="8"/>
  <c r="N17" i="8" s="1"/>
  <c r="J17" i="8"/>
  <c r="M17" i="8" s="1"/>
  <c r="I17" i="8"/>
  <c r="L17" i="8" s="1"/>
  <c r="L9" i="8" l="1"/>
  <c r="O17" i="8"/>
  <c r="N9" i="8"/>
  <c r="N10" i="8" s="1"/>
  <c r="I9" i="8"/>
  <c r="M9" i="8" l="1"/>
  <c r="M10" i="8" s="1"/>
  <c r="O9" i="8" l="1"/>
  <c r="O10" i="8" s="1"/>
  <c r="M31" i="3" l="1"/>
  <c r="L31" i="3"/>
  <c r="M30" i="3"/>
  <c r="M32" i="3" s="1"/>
  <c r="L30" i="3"/>
  <c r="M27" i="3"/>
  <c r="L27" i="3"/>
  <c r="M26" i="3"/>
  <c r="M28" i="3" s="1"/>
  <c r="L26" i="3"/>
  <c r="L28" i="3" s="1"/>
  <c r="M23" i="3"/>
  <c r="L23" i="3"/>
  <c r="M22" i="3"/>
  <c r="M24" i="3" s="1"/>
  <c r="L22" i="3"/>
  <c r="M19" i="3"/>
  <c r="L19" i="3"/>
  <c r="M18" i="3"/>
  <c r="L18" i="3"/>
  <c r="M15" i="3"/>
  <c r="L15" i="3"/>
  <c r="M14" i="3"/>
  <c r="M16" i="3" s="1"/>
  <c r="L14" i="3"/>
  <c r="L16" i="3" s="1"/>
  <c r="M11" i="3"/>
  <c r="L11" i="3"/>
  <c r="M10" i="3"/>
  <c r="M12" i="3" s="1"/>
  <c r="L10" i="3"/>
  <c r="M7" i="3"/>
  <c r="L7" i="3"/>
  <c r="M6" i="3"/>
  <c r="L6" i="3"/>
  <c r="N30" i="3" l="1"/>
  <c r="L32" i="3"/>
  <c r="L24" i="3"/>
  <c r="N27" i="3"/>
  <c r="N19" i="3"/>
  <c r="N31" i="3"/>
  <c r="N7" i="3"/>
  <c r="N15" i="3"/>
  <c r="L20" i="3"/>
  <c r="M20" i="3"/>
  <c r="N18" i="3"/>
  <c r="L8" i="3"/>
  <c r="M8" i="3"/>
  <c r="L12" i="3"/>
  <c r="N23" i="3"/>
  <c r="N11" i="3"/>
  <c r="N26" i="3"/>
  <c r="N22" i="3"/>
  <c r="N14" i="3"/>
  <c r="N10" i="3"/>
  <c r="N6" i="3"/>
  <c r="N8" i="3" l="1"/>
  <c r="N24" i="3"/>
  <c r="N16" i="3"/>
  <c r="N28" i="3"/>
  <c r="N20" i="3"/>
  <c r="N32" i="3"/>
  <c r="N12" i="3"/>
  <c r="E90" i="3"/>
  <c r="C80" i="3"/>
  <c r="E79" i="3"/>
  <c r="F79" i="3" s="1"/>
  <c r="C89" i="3" s="1"/>
  <c r="F78" i="3"/>
  <c r="C88" i="3" s="1"/>
  <c r="E74" i="3"/>
  <c r="F73" i="3" s="1"/>
  <c r="C83" i="3" s="1"/>
  <c r="F31" i="3"/>
  <c r="G31" i="3" s="1"/>
  <c r="F30" i="3"/>
  <c r="F32" i="3" s="1"/>
  <c r="F27" i="3"/>
  <c r="F26" i="3"/>
  <c r="F23" i="3"/>
  <c r="F24" i="3" s="1"/>
  <c r="H22" i="3"/>
  <c r="F19" i="3"/>
  <c r="F20" i="3" s="1"/>
  <c r="H18" i="3"/>
  <c r="F15" i="3"/>
  <c r="F16" i="3" s="1"/>
  <c r="H14" i="3"/>
  <c r="F11" i="3"/>
  <c r="F12" i="3" s="1"/>
  <c r="H10" i="3"/>
  <c r="F7" i="3"/>
  <c r="F8" i="3" s="1"/>
  <c r="H6" i="3"/>
  <c r="K19" i="8"/>
  <c r="J19" i="8"/>
  <c r="I19" i="8"/>
  <c r="L19" i="8" s="1"/>
  <c r="K16" i="8"/>
  <c r="J16" i="8"/>
  <c r="I16" i="8"/>
  <c r="L16" i="8" s="1"/>
  <c r="K13" i="8"/>
  <c r="J13" i="8"/>
  <c r="I13" i="8"/>
  <c r="L13" i="8" s="1"/>
  <c r="K12" i="8"/>
  <c r="J12" i="8"/>
  <c r="I12" i="8"/>
  <c r="L12" i="8" s="1"/>
  <c r="G26" i="3" l="1"/>
  <c r="F28" i="3"/>
  <c r="F74" i="3"/>
  <c r="C84" i="3" s="1"/>
  <c r="C90" i="3" s="1"/>
  <c r="G11" i="3"/>
  <c r="G19" i="3"/>
  <c r="G20" i="3" s="1"/>
  <c r="G15" i="3"/>
  <c r="G23" i="3"/>
  <c r="G30" i="3"/>
  <c r="G7" i="3"/>
  <c r="G27" i="3"/>
  <c r="N13" i="8"/>
  <c r="M12" i="8"/>
  <c r="M13" i="8"/>
  <c r="M16" i="8"/>
  <c r="N16" i="8"/>
  <c r="N12" i="8"/>
  <c r="M19" i="8"/>
  <c r="N19" i="8"/>
  <c r="G32" i="3" l="1"/>
  <c r="H32" i="3" s="1"/>
  <c r="M14" i="8"/>
  <c r="N14" i="8"/>
  <c r="N20" i="8"/>
  <c r="M20" i="8"/>
  <c r="G28" i="3"/>
  <c r="G24" i="3"/>
  <c r="H24" i="3" s="1"/>
  <c r="H28" i="3"/>
  <c r="G16" i="3"/>
  <c r="H16" i="3" s="1"/>
  <c r="H20" i="3"/>
  <c r="G12" i="3"/>
  <c r="H12" i="3" s="1"/>
  <c r="G8" i="3"/>
  <c r="H8" i="3" s="1"/>
  <c r="O16" i="8"/>
  <c r="O20" i="8" s="1"/>
  <c r="O19" i="8"/>
  <c r="O12" i="8"/>
  <c r="O13" i="8"/>
  <c r="N21" i="8" l="1"/>
  <c r="M21" i="8"/>
  <c r="O14" i="8"/>
  <c r="H34" i="3"/>
  <c r="H44" i="3" s="1"/>
  <c r="O21" i="8" l="1"/>
</calcChain>
</file>

<file path=xl/sharedStrings.xml><?xml version="1.0" encoding="utf-8"?>
<sst xmlns="http://schemas.openxmlformats.org/spreadsheetml/2006/main" count="176" uniqueCount="87">
  <si>
    <t>Descrição</t>
  </si>
  <si>
    <t>Unid.</t>
  </si>
  <si>
    <t>Qtd.</t>
  </si>
  <si>
    <t>Item</t>
  </si>
  <si>
    <t>Obra:</t>
  </si>
  <si>
    <t>Endereço:</t>
  </si>
  <si>
    <t>Preço base:</t>
  </si>
  <si>
    <t>Encargos Sociais:</t>
  </si>
  <si>
    <t>Mão de Obra</t>
  </si>
  <si>
    <t>Material</t>
  </si>
  <si>
    <t>Fonte</t>
  </si>
  <si>
    <t>SINAPI</t>
  </si>
  <si>
    <t>Código</t>
  </si>
  <si>
    <t>Preço total com BDI</t>
  </si>
  <si>
    <t>TOTAL DO ORÇAMENTO</t>
  </si>
  <si>
    <t>Rua Osvaldo Aranha, 1790 - Taquari - RS - FONE: (51) 3653-6200 - email: planejamento@taquari.rs.gov.br</t>
  </si>
  <si>
    <t>________________________________________________</t>
  </si>
  <si>
    <t>Custo unitário sem BDI</t>
  </si>
  <si>
    <t>Preço total</t>
  </si>
  <si>
    <t>Custo unitário com BDI</t>
  </si>
  <si>
    <t>Valor total</t>
  </si>
  <si>
    <t>PLANILHA ORÇAMENTÁRIA</t>
  </si>
  <si>
    <t>M</t>
  </si>
  <si>
    <t>M2</t>
  </si>
  <si>
    <t>BDI:</t>
  </si>
  <si>
    <t>1.1</t>
  </si>
  <si>
    <t>SERVIÇOS INICIAIS/TERRAPLENAGEM</t>
  </si>
  <si>
    <t>COBERTURA METÁLICA</t>
  </si>
  <si>
    <t>ESQUADRIAS E DIVISÓRIAS</t>
  </si>
  <si>
    <t>HIDROSSANITÁRIO</t>
  </si>
  <si>
    <t>UNID</t>
  </si>
  <si>
    <t xml:space="preserve">Quadro com as propostas de orçamento </t>
  </si>
  <si>
    <t>Empresa</t>
  </si>
  <si>
    <t>Quantidade</t>
  </si>
  <si>
    <t>MAT</t>
  </si>
  <si>
    <t>MO</t>
  </si>
  <si>
    <t>Preço Total
(R$)</t>
  </si>
  <si>
    <t>UN</t>
  </si>
  <si>
    <t>MÉDIA</t>
  </si>
  <si>
    <t>PAVILHÃO PRÉ MOLDADO</t>
  </si>
  <si>
    <t>fundações</t>
  </si>
  <si>
    <t>Pilares</t>
  </si>
  <si>
    <t>Placas de fechamento</t>
  </si>
  <si>
    <t>Vigas</t>
  </si>
  <si>
    <t>Piso polido</t>
  </si>
  <si>
    <t>Cobertura</t>
  </si>
  <si>
    <t>Telha</t>
  </si>
  <si>
    <t>Total</t>
  </si>
  <si>
    <t>MOLDARE</t>
  </si>
  <si>
    <t>PÓRTICO</t>
  </si>
  <si>
    <t>FUNDAÇÕES</t>
  </si>
  <si>
    <t>VIGAS</t>
  </si>
  <si>
    <t>PILARES</t>
  </si>
  <si>
    <t>PLACAS DE FECHAMENTO</t>
  </si>
  <si>
    <t>PISO POLIDO</t>
  </si>
  <si>
    <t>PINTURA</t>
  </si>
  <si>
    <t>TELHAMENTO</t>
  </si>
  <si>
    <t>RUFOS, CALHAS E TUBOS DE QUEDA</t>
  </si>
  <si>
    <t>FORNECIMENTO E INSTALAÇÃO DE PLACA DE OBRA COM CHAPA GALVANIZADA E ESTRUTURA DE MADEIRA. AF_03/2022_PS</t>
  </si>
  <si>
    <t>HORA: 112,88% | MÊS: 69,79%</t>
  </si>
  <si>
    <t>Flávio de Andrade</t>
  </si>
  <si>
    <t>Engº Civil &amp; Engº Segurança - CREA RS 111653</t>
  </si>
  <si>
    <t>SERVIÇOS PRELIMINARES</t>
  </si>
  <si>
    <t>COMPOSIÇÃO</t>
  </si>
  <si>
    <t>M³</t>
  </si>
  <si>
    <t>M²</t>
  </si>
  <si>
    <t>REATERRO MANUAL DE VALAS, COM COMPACTADOR DE SOLOS DE PERCUSSÃO. AF_08/2023</t>
  </si>
  <si>
    <t>TOTAL SERVIÇOS PRELIMINARES</t>
  </si>
  <si>
    <t>TOTAL MOVIMENTO DE TERRAS PARA FUNDAÇÕES</t>
  </si>
  <si>
    <t>2.1</t>
  </si>
  <si>
    <t>2.2</t>
  </si>
  <si>
    <t>3.1</t>
  </si>
  <si>
    <t>IMPERMEABILIZAÇÃO E DRENAGEM</t>
  </si>
  <si>
    <t>TOTAL IMPERMEABILIZAÇÃO E DRENAGEM</t>
  </si>
  <si>
    <t>3.2</t>
  </si>
  <si>
    <t>3.3</t>
  </si>
  <si>
    <t>3.4</t>
  </si>
  <si>
    <t>SINAPI - OUTUBRO/2024</t>
  </si>
  <si>
    <t>RUA WALDOMIRO MÉRCIO PEREIRA, Nº 132, BAIRRO PASSO DA ALDEIA, MUNICÍPIO DE TAQUARI/RS</t>
  </si>
  <si>
    <t>GEOTÊXTIL NÃO TECIDO 100% POLIÉSTER, RESISTÊNCIA A TRAÇÃO DE 9 KN/M (RT -  9), INSTALADO EM DRENO - FORNECIMENTO E INSTALAÇÃO. AF_07/2021</t>
  </si>
  <si>
    <t>ENCHIMENTO DE BRITA PARA DRENO, LANÇAMENTO MANUAL. AF_07/2021</t>
  </si>
  <si>
    <t>ESCAVAÇÃO MECANIZADA DE VALA COM PROFUNDIDADE MAIOR QUE 1,5 M ATÉ 3,0 M (MÉDIA MONTANTE E JUSANTE/UMA COMPOSIÇÃO POR TRECHO), RETROESCAV. (0,26 M3),  LARGURA MENOR QUE 0,8 M, EM SOLO DE 1A CATEGORIA, LOCAIS COM BAIXO NÍVEL  DE INTERFERÊNCIA. AF_09/2024</t>
  </si>
  <si>
    <t>TUBO DE PEAD CORRUGADO PERFURADO, DN 100 MM, PARA DRENO - FORNECIMENTO E ASSENTAMENTO. AF_07/2021</t>
  </si>
  <si>
    <t xml:space="preserve">CAMADA SEPARADORA PARA EXECUÇÃO DE DRENO,  EM LONA PLÁSTICA. </t>
  </si>
  <si>
    <t>DRENAGEM LATERAL DO GINÁSIO DE ESPORTES DA EMEF LA SALLE</t>
  </si>
  <si>
    <t>Taquari, 05 de dezembro de 2024</t>
  </si>
  <si>
    <t>MOVIMENTO DE TERRAS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</si>
</sst>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indexed="8"/>
      <name val="Calibri"/>
      <family val="2"/>
    </font>
    <font>
      <u/>
      <sz val="11"/>
      <color indexed="12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3"/>
        <bgColor indexed="55"/>
      </patternFill>
    </fill>
    <fill>
      <patternFill patternType="solid">
        <fgColor theme="0"/>
        <bgColor indexed="26"/>
      </patternFill>
    </fill>
    <fill>
      <patternFill patternType="solid">
        <fgColor indexed="43"/>
        <bgColor indexed="26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75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0" fontId="10" fillId="0" borderId="0" applyNumberFormat="0" applyBorder="0" applyProtection="0"/>
    <xf numFmtId="0" fontId="10" fillId="0" borderId="0" applyNumberFormat="0" applyBorder="0" applyProtection="0"/>
    <xf numFmtId="165" fontId="10" fillId="0" borderId="0" applyBorder="0" applyProtection="0"/>
    <xf numFmtId="165" fontId="10" fillId="0" borderId="0" applyBorder="0" applyProtection="0"/>
    <xf numFmtId="0" fontId="11" fillId="0" borderId="0" applyNumberFormat="0" applyBorder="0" applyProtection="0"/>
    <xf numFmtId="0" fontId="10" fillId="0" borderId="0" applyNumberFormat="0" applyBorder="0" applyProtection="0"/>
    <xf numFmtId="166" fontId="11" fillId="0" borderId="0" applyBorder="0" applyProtection="0"/>
    <xf numFmtId="0" fontId="12" fillId="0" borderId="0" applyNumberFormat="0" applyBorder="0" applyProtection="0">
      <alignment horizontal="center"/>
    </xf>
    <xf numFmtId="0" fontId="12" fillId="0" borderId="0" applyNumberFormat="0" applyBorder="0" applyProtection="0">
      <alignment horizontal="center" textRotation="90"/>
    </xf>
    <xf numFmtId="0" fontId="7" fillId="0" borderId="0"/>
    <xf numFmtId="9" fontId="4" fillId="0" borderId="0" applyFont="0" applyFill="0" applyBorder="0" applyAlignment="0" applyProtection="0"/>
    <xf numFmtId="0" fontId="13" fillId="0" borderId="0" applyNumberFormat="0" applyBorder="0" applyProtection="0"/>
    <xf numFmtId="167" fontId="13" fillId="0" borderId="0" applyBorder="0" applyProtection="0"/>
    <xf numFmtId="43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0" fillId="0" borderId="0" applyBorder="0" applyProtection="0"/>
    <xf numFmtId="0" fontId="4" fillId="0" borderId="0"/>
    <xf numFmtId="0" fontId="4" fillId="0" borderId="0"/>
    <xf numFmtId="0" fontId="4" fillId="0" borderId="0"/>
    <xf numFmtId="0" fontId="7" fillId="0" borderId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3" fontId="9" fillId="0" borderId="0" applyFont="0" applyFill="0" applyBorder="0" applyAlignment="0" applyProtection="0"/>
    <xf numFmtId="0" fontId="7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 applyNumberFormat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14" fillId="0" borderId="0"/>
    <xf numFmtId="0" fontId="1" fillId="0" borderId="0"/>
    <xf numFmtId="9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8" fillId="0" borderId="0"/>
    <xf numFmtId="168" fontId="4" fillId="0" borderId="0" applyFont="0" applyFill="0" applyBorder="0" applyAlignment="0" applyProtection="0"/>
    <xf numFmtId="169" fontId="19" fillId="0" borderId="0">
      <protection locked="0"/>
    </xf>
    <xf numFmtId="0" fontId="8" fillId="5" borderId="1" applyFill="0" applyBorder="0" applyAlignment="0" applyProtection="0">
      <alignment vertical="center"/>
      <protection locked="0"/>
    </xf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173" fontId="19" fillId="0" borderId="0">
      <protection locked="0"/>
    </xf>
    <xf numFmtId="173" fontId="19" fillId="0" borderId="0"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38" fontId="5" fillId="4" borderId="0" applyNumberFormat="0" applyBorder="0" applyAlignment="0" applyProtection="0"/>
    <xf numFmtId="0" fontId="19" fillId="0" borderId="0">
      <protection locked="0"/>
    </xf>
    <xf numFmtId="0" fontId="19" fillId="0" borderId="0">
      <protection locked="0"/>
    </xf>
    <xf numFmtId="0" fontId="21" fillId="0" borderId="0"/>
    <xf numFmtId="10" fontId="5" fillId="6" borderId="2" applyNumberFormat="0" applyBorder="0" applyAlignment="0" applyProtection="0"/>
    <xf numFmtId="0" fontId="4" fillId="0" borderId="0">
      <alignment horizontal="centerContinuous" vertical="justify"/>
    </xf>
    <xf numFmtId="0" fontId="22" fillId="0" borderId="0" applyAlignment="0">
      <alignment horizontal="center"/>
    </xf>
    <xf numFmtId="174" fontId="23" fillId="0" borderId="0"/>
    <xf numFmtId="0" fontId="24" fillId="0" borderId="0">
      <alignment horizontal="left" vertical="center" indent="12"/>
    </xf>
    <xf numFmtId="0" fontId="5" fillId="0" borderId="1" applyBorder="0">
      <alignment horizontal="left" vertical="center" wrapText="1" indent="2"/>
      <protection locked="0"/>
    </xf>
    <xf numFmtId="0" fontId="5" fillId="0" borderId="1" applyBorder="0">
      <alignment horizontal="left" vertical="center" wrapText="1" indent="3"/>
      <protection locked="0"/>
    </xf>
    <xf numFmtId="10" fontId="4" fillId="0" borderId="0" applyFont="0" applyFill="0" applyBorder="0" applyAlignment="0" applyProtection="0"/>
    <xf numFmtId="175" fontId="19" fillId="0" borderId="0">
      <protection locked="0"/>
    </xf>
    <xf numFmtId="175" fontId="19" fillId="0" borderId="0">
      <protection locked="0"/>
    </xf>
    <xf numFmtId="176" fontId="19" fillId="0" borderId="0">
      <protection locked="0"/>
    </xf>
    <xf numFmtId="38" fontId="16" fillId="0" borderId="0" applyFont="0" applyFill="0" applyBorder="0" applyAlignment="0" applyProtection="0"/>
    <xf numFmtId="177" fontId="25" fillId="0" borderId="0">
      <protection locked="0"/>
    </xf>
    <xf numFmtId="41" fontId="17" fillId="0" borderId="0" applyFont="0" applyFill="0" applyBorder="0" applyAlignment="0" applyProtection="0"/>
    <xf numFmtId="0" fontId="16" fillId="0" borderId="0"/>
    <xf numFmtId="0" fontId="26" fillId="0" borderId="0">
      <protection locked="0"/>
    </xf>
    <xf numFmtId="0" fontId="26" fillId="0" borderId="0">
      <protection locked="0"/>
    </xf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1" fillId="0" borderId="0"/>
    <xf numFmtId="0" fontId="4" fillId="0" borderId="0"/>
    <xf numFmtId="9" fontId="7" fillId="0" borderId="0" applyFont="0" applyFill="0" applyBorder="0" applyAlignment="0" applyProtection="0"/>
    <xf numFmtId="0" fontId="11" fillId="0" borderId="0"/>
    <xf numFmtId="0" fontId="4" fillId="0" borderId="0"/>
    <xf numFmtId="43" fontId="28" fillId="0" borderId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ill="0" applyBorder="0" applyAlignment="0" applyProtection="0"/>
    <xf numFmtId="44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/>
    <xf numFmtId="164" fontId="0" fillId="0" borderId="0" xfId="0" applyNumberFormat="1"/>
    <xf numFmtId="0" fontId="3" fillId="3" borderId="0" xfId="0" applyFont="1" applyFill="1" applyAlignment="1">
      <alignment vertical="center" wrapText="1"/>
    </xf>
    <xf numFmtId="0" fontId="27" fillId="0" borderId="0" xfId="0" applyFont="1"/>
    <xf numFmtId="44" fontId="0" fillId="0" borderId="0" xfId="0" applyNumberFormat="1"/>
    <xf numFmtId="0" fontId="5" fillId="3" borderId="0" xfId="0" applyFont="1" applyFill="1" applyAlignment="1">
      <alignment horizontal="center" vertical="center"/>
    </xf>
    <xf numFmtId="10" fontId="8" fillId="3" borderId="0" xfId="0" applyNumberFormat="1" applyFont="1" applyFill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4" fontId="8" fillId="3" borderId="0" xfId="0" applyNumberFormat="1" applyFont="1" applyFill="1" applyAlignment="1">
      <alignment horizontal="center" vertical="center"/>
    </xf>
    <xf numFmtId="0" fontId="8" fillId="0" borderId="3" xfId="37" applyFont="1" applyBorder="1" applyAlignment="1">
      <alignment horizontal="center" vertical="center" wrapText="1"/>
    </xf>
    <xf numFmtId="4" fontId="8" fillId="0" borderId="3" xfId="37" applyNumberFormat="1" applyFont="1" applyBorder="1" applyAlignment="1">
      <alignment horizontal="center" vertical="center" wrapText="1"/>
    </xf>
    <xf numFmtId="4" fontId="8" fillId="8" borderId="0" xfId="39" applyNumberFormat="1" applyFont="1" applyFill="1" applyAlignment="1">
      <alignment horizontal="center" vertical="center" shrinkToFit="1"/>
    </xf>
    <xf numFmtId="43" fontId="8" fillId="8" borderId="4" xfId="39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4" fillId="10" borderId="5" xfId="1" applyFont="1" applyFill="1" applyBorder="1" applyAlignment="1" applyProtection="1">
      <alignment vertical="center" wrapText="1"/>
      <protection locked="0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4" fontId="8" fillId="10" borderId="3" xfId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 vertical="center"/>
    </xf>
    <xf numFmtId="44" fontId="0" fillId="0" borderId="0" xfId="1" applyFont="1"/>
    <xf numFmtId="0" fontId="7" fillId="0" borderId="10" xfId="37" applyBorder="1" applyAlignment="1">
      <alignment horizontal="center" vertical="center" wrapText="1" shrinkToFit="1"/>
    </xf>
    <xf numFmtId="0" fontId="7" fillId="0" borderId="11" xfId="37" applyBorder="1" applyAlignment="1">
      <alignment horizontal="center" vertical="center" wrapText="1" shrinkToFit="1"/>
    </xf>
    <xf numFmtId="0" fontId="7" fillId="9" borderId="12" xfId="37" applyFill="1" applyBorder="1" applyAlignment="1" applyProtection="1">
      <alignment horizontal="center" vertical="center" wrapText="1"/>
      <protection locked="0"/>
    </xf>
    <xf numFmtId="0" fontId="7" fillId="9" borderId="13" xfId="37" applyFill="1" applyBorder="1" applyAlignment="1" applyProtection="1">
      <alignment horizontal="center" vertical="center" wrapText="1"/>
      <protection locked="0"/>
    </xf>
    <xf numFmtId="0" fontId="0" fillId="0" borderId="2" xfId="0" applyBorder="1"/>
    <xf numFmtId="44" fontId="0" fillId="0" borderId="2" xfId="1" applyFont="1" applyBorder="1"/>
    <xf numFmtId="0" fontId="6" fillId="0" borderId="2" xfId="0" applyFont="1" applyBorder="1"/>
    <xf numFmtId="44" fontId="6" fillId="0" borderId="2" xfId="0" applyNumberFormat="1" applyFont="1" applyBorder="1"/>
    <xf numFmtId="3" fontId="0" fillId="0" borderId="0" xfId="0" applyNumberFormat="1"/>
    <xf numFmtId="4" fontId="8" fillId="8" borderId="0" xfId="39" applyNumberFormat="1" applyFont="1" applyFill="1" applyBorder="1" applyAlignment="1">
      <alignment horizontal="center" vertical="center" shrinkToFit="1"/>
    </xf>
    <xf numFmtId="4" fontId="8" fillId="8" borderId="16" xfId="39" applyNumberFormat="1" applyFont="1" applyFill="1" applyBorder="1" applyAlignment="1">
      <alignment horizontal="center" vertical="center" shrinkToFit="1"/>
    </xf>
    <xf numFmtId="43" fontId="8" fillId="8" borderId="17" xfId="39" applyFont="1" applyFill="1" applyBorder="1" applyAlignment="1">
      <alignment horizontal="center" vertical="center" shrinkToFit="1"/>
    </xf>
    <xf numFmtId="0" fontId="7" fillId="9" borderId="5" xfId="37" applyFill="1" applyBorder="1" applyAlignment="1" applyProtection="1">
      <alignment horizontal="center" vertical="center" wrapText="1"/>
      <protection locked="0"/>
    </xf>
    <xf numFmtId="0" fontId="7" fillId="9" borderId="3" xfId="37" applyFill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center" vertical="center"/>
    </xf>
    <xf numFmtId="0" fontId="3" fillId="3" borderId="0" xfId="0" applyFont="1" applyFill="1" applyAlignment="1">
      <alignment horizontal="right" vertical="center" wrapText="1"/>
    </xf>
    <xf numFmtId="4" fontId="0" fillId="0" borderId="0" xfId="0" applyNumberFormat="1"/>
    <xf numFmtId="0" fontId="30" fillId="0" borderId="0" xfId="0" applyFont="1" applyAlignment="1">
      <alignment horizontal="left" vertical="center" wrapText="1"/>
    </xf>
    <xf numFmtId="0" fontId="30" fillId="3" borderId="0" xfId="0" applyFont="1" applyFill="1" applyAlignment="1">
      <alignment horizontal="left" vertical="center"/>
    </xf>
    <xf numFmtId="0" fontId="32" fillId="3" borderId="0" xfId="0" applyFont="1" applyFill="1" applyAlignment="1">
      <alignment horizontal="left" vertical="center"/>
    </xf>
    <xf numFmtId="0" fontId="31" fillId="3" borderId="0" xfId="0" applyFont="1" applyFill="1" applyAlignment="1">
      <alignment horizontal="left" vertical="center"/>
    </xf>
    <xf numFmtId="10" fontId="30" fillId="3" borderId="0" xfId="0" applyNumberFormat="1" applyFont="1" applyFill="1" applyAlignment="1">
      <alignment horizontal="left" vertical="center"/>
    </xf>
    <xf numFmtId="0" fontId="32" fillId="2" borderId="2" xfId="0" applyFont="1" applyFill="1" applyBorder="1" applyAlignment="1">
      <alignment horizontal="left" vertical="center" wrapText="1"/>
    </xf>
    <xf numFmtId="0" fontId="33" fillId="2" borderId="2" xfId="0" applyFont="1" applyFill="1" applyBorder="1" applyAlignment="1">
      <alignment horizontal="left" vertical="center" wrapText="1"/>
    </xf>
    <xf numFmtId="0" fontId="33" fillId="2" borderId="2" xfId="0" applyFont="1" applyFill="1" applyBorder="1" applyAlignment="1">
      <alignment horizontal="center" vertical="top" wrapText="1"/>
    </xf>
    <xf numFmtId="0" fontId="32" fillId="0" borderId="2" xfId="0" applyFont="1" applyBorder="1" applyAlignment="1">
      <alignment horizontal="left" vertical="center" wrapText="1"/>
    </xf>
    <xf numFmtId="2" fontId="32" fillId="0" borderId="2" xfId="0" applyNumberFormat="1" applyFont="1" applyBorder="1" applyAlignment="1">
      <alignment horizontal="left" vertical="center" wrapText="1"/>
    </xf>
    <xf numFmtId="44" fontId="32" fillId="0" borderId="2" xfId="1" applyFont="1" applyFill="1" applyBorder="1" applyAlignment="1">
      <alignment horizontal="left" vertical="center" wrapText="1"/>
    </xf>
    <xf numFmtId="44" fontId="33" fillId="7" borderId="2" xfId="1" applyFont="1" applyFill="1" applyBorder="1" applyAlignment="1">
      <alignment horizontal="left" vertical="center" wrapText="1"/>
    </xf>
    <xf numFmtId="0" fontId="32" fillId="3" borderId="2" xfId="0" applyFont="1" applyFill="1" applyBorder="1" applyAlignment="1">
      <alignment horizontal="left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left" vertical="center" wrapText="1"/>
    </xf>
    <xf numFmtId="44" fontId="34" fillId="2" borderId="2" xfId="1" applyFont="1" applyFill="1" applyBorder="1" applyAlignment="1">
      <alignment horizontal="left" vertical="center" wrapText="1"/>
    </xf>
    <xf numFmtId="44" fontId="35" fillId="2" borderId="2" xfId="1" applyFont="1" applyFill="1" applyBorder="1" applyAlignment="1">
      <alignment horizontal="left" vertical="center" wrapText="1"/>
    </xf>
    <xf numFmtId="0" fontId="32" fillId="0" borderId="2" xfId="0" applyFont="1" applyBorder="1" applyAlignment="1">
      <alignment horizontal="center" vertical="center" wrapText="1"/>
    </xf>
    <xf numFmtId="0" fontId="27" fillId="3" borderId="20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vertical="center" wrapText="1"/>
    </xf>
    <xf numFmtId="0" fontId="32" fillId="0" borderId="2" xfId="2" applyFont="1" applyBorder="1" applyAlignment="1">
      <alignment horizontal="center" vertical="center" wrapText="1"/>
    </xf>
    <xf numFmtId="0" fontId="32" fillId="3" borderId="2" xfId="2" applyFont="1" applyFill="1" applyBorder="1" applyAlignment="1">
      <alignment horizontal="left" vertical="center" wrapText="1"/>
    </xf>
    <xf numFmtId="0" fontId="32" fillId="0" borderId="2" xfId="2" applyFont="1" applyBorder="1" applyAlignment="1">
      <alignment horizontal="left" vertical="center" wrapText="1"/>
    </xf>
    <xf numFmtId="0" fontId="32" fillId="3" borderId="2" xfId="2" applyFont="1" applyFill="1" applyBorder="1" applyAlignment="1">
      <alignment horizontal="center" vertical="center" wrapText="1"/>
    </xf>
    <xf numFmtId="0" fontId="30" fillId="0" borderId="0" xfId="0" applyFont="1"/>
    <xf numFmtId="0" fontId="33" fillId="2" borderId="0" xfId="0" applyFont="1" applyFill="1" applyAlignment="1">
      <alignment horizontal="left" vertical="center"/>
    </xf>
    <xf numFmtId="0" fontId="32" fillId="2" borderId="0" xfId="0" applyFont="1" applyFill="1" applyAlignment="1">
      <alignment horizontal="left" vertical="center"/>
    </xf>
    <xf numFmtId="44" fontId="33" fillId="2" borderId="0" xfId="1" applyFont="1" applyFill="1" applyAlignment="1">
      <alignment horizontal="left" vertical="center"/>
    </xf>
    <xf numFmtId="0" fontId="2" fillId="3" borderId="0" xfId="0" applyFont="1" applyFill="1" applyAlignment="1">
      <alignment horizontal="right" wrapText="1"/>
    </xf>
    <xf numFmtId="0" fontId="3" fillId="3" borderId="0" xfId="0" applyFont="1" applyFill="1" applyAlignment="1">
      <alignment horizontal="right" vertical="center" wrapText="1"/>
    </xf>
    <xf numFmtId="0" fontId="31" fillId="3" borderId="0" xfId="0" applyFont="1" applyFill="1" applyAlignment="1">
      <alignment horizontal="right" vertical="center" wrapText="1"/>
    </xf>
    <xf numFmtId="0" fontId="32" fillId="3" borderId="0" xfId="2" applyFont="1" applyFill="1" applyAlignment="1">
      <alignment horizontal="center"/>
    </xf>
    <xf numFmtId="44" fontId="33" fillId="2" borderId="2" xfId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3" borderId="0" xfId="0" applyFont="1" applyFill="1" applyAlignment="1">
      <alignment horizontal="left" vertical="center"/>
    </xf>
    <xf numFmtId="0" fontId="33" fillId="7" borderId="1" xfId="0" applyFont="1" applyFill="1" applyBorder="1" applyAlignment="1">
      <alignment horizontal="right" vertical="center"/>
    </xf>
    <xf numFmtId="0" fontId="33" fillId="7" borderId="18" xfId="0" applyFont="1" applyFill="1" applyBorder="1" applyAlignment="1">
      <alignment horizontal="right" vertical="center"/>
    </xf>
    <xf numFmtId="0" fontId="33" fillId="7" borderId="19" xfId="0" applyFont="1" applyFill="1" applyBorder="1" applyAlignment="1">
      <alignment horizontal="right" vertical="center"/>
    </xf>
    <xf numFmtId="0" fontId="33" fillId="7" borderId="2" xfId="0" applyFont="1" applyFill="1" applyBorder="1" applyAlignment="1">
      <alignment horizontal="right" vertical="center"/>
    </xf>
    <xf numFmtId="0" fontId="33" fillId="2" borderId="2" xfId="0" applyFont="1" applyFill="1" applyBorder="1" applyAlignment="1">
      <alignment horizontal="center" vertical="center" wrapText="1"/>
    </xf>
    <xf numFmtId="49" fontId="7" fillId="9" borderId="8" xfId="37" applyNumberFormat="1" applyFill="1" applyBorder="1" applyAlignment="1" applyProtection="1">
      <alignment horizontal="center" vertical="center" wrapText="1"/>
      <protection locked="0"/>
    </xf>
    <xf numFmtId="49" fontId="7" fillId="9" borderId="9" xfId="37" applyNumberFormat="1" applyFill="1" applyBorder="1" applyAlignment="1" applyProtection="1">
      <alignment horizontal="center" vertical="center" wrapText="1"/>
      <protection locked="0"/>
    </xf>
    <xf numFmtId="49" fontId="7" fillId="9" borderId="2" xfId="37" applyNumberFormat="1" applyFill="1" applyBorder="1" applyAlignment="1" applyProtection="1">
      <alignment horizontal="left" vertical="center" wrapText="1"/>
      <protection locked="0"/>
    </xf>
    <xf numFmtId="0" fontId="29" fillId="3" borderId="0" xfId="0" applyFont="1" applyFill="1" applyAlignment="1">
      <alignment horizontal="center"/>
    </xf>
    <xf numFmtId="0" fontId="29" fillId="3" borderId="0" xfId="0" applyFont="1" applyFill="1" applyAlignment="1">
      <alignment horizontal="center" wrapText="1"/>
    </xf>
    <xf numFmtId="0" fontId="8" fillId="8" borderId="14" xfId="37" applyFont="1" applyFill="1" applyBorder="1" applyAlignment="1">
      <alignment horizontal="center" vertical="center" wrapText="1"/>
    </xf>
    <xf numFmtId="0" fontId="8" fillId="8" borderId="15" xfId="37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</cellXfs>
  <cellStyles count="175">
    <cellStyle name="_x000d__x000a_JournalTemplate=C:\COMFO\CTALK\JOURSTD.TPL_x000d__x000a_LbStateAddress=3 3 0 251 1 89 2 311_x000d__x000a_LbStateJou" xfId="79"/>
    <cellStyle name="20% - Ênfase1 100" xfId="18"/>
    <cellStyle name="60% - Ênfase6 37" xfId="19"/>
    <cellStyle name="Comma_Arauco Piping list" xfId="80"/>
    <cellStyle name="Comma0" xfId="81"/>
    <cellStyle name="CORES" xfId="82"/>
    <cellStyle name="Currency [0]_Arauco Piping list" xfId="83"/>
    <cellStyle name="Currency_Arauco Piping list" xfId="84"/>
    <cellStyle name="Currency0" xfId="85"/>
    <cellStyle name="Data" xfId="86"/>
    <cellStyle name="Date" xfId="87"/>
    <cellStyle name="Excel Built-in Excel Built-in Excel Built-in Excel Built-in Excel Built-in Excel Built-in Excel Built-in Excel Built-in Separador de milhares 4" xfId="20"/>
    <cellStyle name="Excel Built-in Excel Built-in Excel Built-in Excel Built-in Excel Built-in Excel Built-in Excel Built-in Separador de milhares 4" xfId="21"/>
    <cellStyle name="Excel Built-in Normal" xfId="22"/>
    <cellStyle name="Excel Built-in Normal 1" xfId="23"/>
    <cellStyle name="Excel Built-in Normal 2" xfId="47"/>
    <cellStyle name="Excel Built-in Normal 3" xfId="58"/>
    <cellStyle name="Excel_BuiltIn_Comma" xfId="24"/>
    <cellStyle name="Fixed" xfId="88"/>
    <cellStyle name="Fixo" xfId="89"/>
    <cellStyle name="Followed Hyperlink" xfId="90"/>
    <cellStyle name="Grey" xfId="91"/>
    <cellStyle name="Heading" xfId="25"/>
    <cellStyle name="Heading 1" xfId="92"/>
    <cellStyle name="Heading 2" xfId="93"/>
    <cellStyle name="Heading1" xfId="26"/>
    <cellStyle name="Hiperlink 2" xfId="48"/>
    <cellStyle name="Indefinido" xfId="94"/>
    <cellStyle name="Input [yellow]" xfId="95"/>
    <cellStyle name="material" xfId="96"/>
    <cellStyle name="MINIPG" xfId="97"/>
    <cellStyle name="Moeda" xfId="1" builtinId="4"/>
    <cellStyle name="Moeda 2" xfId="4"/>
    <cellStyle name="Moeda 2 2" xfId="10"/>
    <cellStyle name="Moeda 2 2 2" xfId="16"/>
    <cellStyle name="Moeda 2 2 2 2" xfId="156"/>
    <cellStyle name="Moeda 2 2 3" xfId="150"/>
    <cellStyle name="Moeda 2 3" xfId="7"/>
    <cellStyle name="Moeda 2 3 2" xfId="147"/>
    <cellStyle name="Moeda 2 4" xfId="13"/>
    <cellStyle name="Moeda 2 4 2" xfId="153"/>
    <cellStyle name="Moeda 2 5" xfId="49"/>
    <cellStyle name="Moeda 2 5 2" xfId="163"/>
    <cellStyle name="Moeda 2 6" xfId="144"/>
    <cellStyle name="Moeda 3" xfId="8"/>
    <cellStyle name="Moeda 3 2" xfId="14"/>
    <cellStyle name="Moeda 3 2 2" xfId="154"/>
    <cellStyle name="Moeda 3 3" xfId="148"/>
    <cellStyle name="Moeda 4" xfId="5"/>
    <cellStyle name="Moeda 4 2" xfId="145"/>
    <cellStyle name="Moeda 5" xfId="11"/>
    <cellStyle name="Moeda 5 2" xfId="151"/>
    <cellStyle name="Moeda 6" xfId="142"/>
    <cellStyle name="Normal" xfId="0" builtinId="0"/>
    <cellStyle name="Normal - Style1" xfId="98"/>
    <cellStyle name="Normal 10" xfId="63"/>
    <cellStyle name="Normal 11" xfId="68"/>
    <cellStyle name="Normal 11 2" xfId="137"/>
    <cellStyle name="Normal 12" xfId="65"/>
    <cellStyle name="Normal 13" xfId="66"/>
    <cellStyle name="Normal 14" xfId="69"/>
    <cellStyle name="Normal 15" xfId="77"/>
    <cellStyle name="Normal 16" xfId="112"/>
    <cellStyle name="Normal 17" xfId="122"/>
    <cellStyle name="Normal 18" xfId="126"/>
    <cellStyle name="Normal 19" xfId="118"/>
    <cellStyle name="Normal 2" xfId="2"/>
    <cellStyle name="Normal 2 2" xfId="34"/>
    <cellStyle name="Normal 2 3" xfId="139"/>
    <cellStyle name="Normal 20" xfId="120"/>
    <cellStyle name="Normal 21" xfId="123"/>
    <cellStyle name="Normal 22" xfId="116"/>
    <cellStyle name="Normal 23" xfId="114"/>
    <cellStyle name="Normal 24" xfId="115"/>
    <cellStyle name="Normal 25" xfId="128"/>
    <cellStyle name="Normal 26" xfId="132"/>
    <cellStyle name="Normal 27" xfId="130"/>
    <cellStyle name="Normal 28" xfId="129"/>
    <cellStyle name="Normal 29" xfId="124"/>
    <cellStyle name="Normal 3" xfId="35"/>
    <cellStyle name="Normal 3 2" xfId="36"/>
    <cellStyle name="Normal 3 3" xfId="44"/>
    <cellStyle name="Normal 30" xfId="113"/>
    <cellStyle name="Normal 31" xfId="127"/>
    <cellStyle name="Normal 32" xfId="117"/>
    <cellStyle name="Normal 33" xfId="121"/>
    <cellStyle name="Normal 34" xfId="131"/>
    <cellStyle name="Normal 35" xfId="125"/>
    <cellStyle name="Normal 36" xfId="119"/>
    <cellStyle name="Normal 37" xfId="136"/>
    <cellStyle name="Normal 38" xfId="17"/>
    <cellStyle name="Normal 39" xfId="27"/>
    <cellStyle name="Normal 4" xfId="37"/>
    <cellStyle name="Normal 40" xfId="140"/>
    <cellStyle name="Normal 5" xfId="40"/>
    <cellStyle name="Normal 5 2" xfId="70"/>
    <cellStyle name="Normal 6" xfId="41"/>
    <cellStyle name="Normal 6 2" xfId="59"/>
    <cellStyle name="Normal 6 2 2" xfId="71"/>
    <cellStyle name="Normal 6 3" xfId="72"/>
    <cellStyle name="Normal 7" xfId="42"/>
    <cellStyle name="Normal 7 2" xfId="56"/>
    <cellStyle name="Normal 8" xfId="57"/>
    <cellStyle name="Normal 8 2" xfId="73"/>
    <cellStyle name="Normal 9" xfId="64"/>
    <cellStyle name="Normal1" xfId="99"/>
    <cellStyle name="Normal2" xfId="100"/>
    <cellStyle name="Normal3" xfId="101"/>
    <cellStyle name="Percent [2]" xfId="102"/>
    <cellStyle name="Percent_Sheet1" xfId="103"/>
    <cellStyle name="Percentual" xfId="104"/>
    <cellStyle name="Ponto" xfId="105"/>
    <cellStyle name="Porcentagem 2" xfId="28"/>
    <cellStyle name="Porcentagem 3" xfId="50"/>
    <cellStyle name="Porcentagem 3 2" xfId="60"/>
    <cellStyle name="Porcentagem 4" xfId="46"/>
    <cellStyle name="Porcentagem 4 2" xfId="51"/>
    <cellStyle name="Porcentagem 5" xfId="78"/>
    <cellStyle name="Porcentagem 6" xfId="133"/>
    <cellStyle name="Porcentagem 7" xfId="138"/>
    <cellStyle name="Result" xfId="29"/>
    <cellStyle name="Result2" xfId="30"/>
    <cellStyle name="Sep. milhar [0]" xfId="106"/>
    <cellStyle name="Separador de m" xfId="107"/>
    <cellStyle name="Separador de milhares 2" xfId="32"/>
    <cellStyle name="Separador de milhares 2 2" xfId="38"/>
    <cellStyle name="Separador de milhares 2 2 2" xfId="159"/>
    <cellStyle name="Separador de milhares 2 3" xfId="158"/>
    <cellStyle name="Separador de milhares 3" xfId="39"/>
    <cellStyle name="Separador de milhares 3 2" xfId="160"/>
    <cellStyle name="Separador de milhares 4" xfId="33"/>
    <cellStyle name="Sepavador de milhares [0]_Pasta2" xfId="108"/>
    <cellStyle name="Standard_RP100_01 (metr.)" xfId="109"/>
    <cellStyle name="Titulo1" xfId="110"/>
    <cellStyle name="Titulo2" xfId="111"/>
    <cellStyle name="Vírgula 10" xfId="134"/>
    <cellStyle name="Vírgula 10 2" xfId="174"/>
    <cellStyle name="Vírgula 11" xfId="135"/>
    <cellStyle name="Vírgula 12" xfId="31"/>
    <cellStyle name="Vírgula 12 2" xfId="157"/>
    <cellStyle name="Vírgula 13" xfId="141"/>
    <cellStyle name="Vírgula 2" xfId="3"/>
    <cellStyle name="Vírgula 2 2" xfId="9"/>
    <cellStyle name="Vírgula 2 2 2" xfId="15"/>
    <cellStyle name="Vírgula 2 2 2 2" xfId="155"/>
    <cellStyle name="Vírgula 2 2 3" xfId="62"/>
    <cellStyle name="Vírgula 2 2 3 2" xfId="169"/>
    <cellStyle name="Vírgula 2 2 4" xfId="149"/>
    <cellStyle name="Vírgula 2 3" xfId="6"/>
    <cellStyle name="Vírgula 2 3 2" xfId="146"/>
    <cellStyle name="Vírgula 2 4" xfId="12"/>
    <cellStyle name="Vírgula 2 4 2" xfId="152"/>
    <cellStyle name="Vírgula 2 5" xfId="43"/>
    <cellStyle name="Vírgula 2 5 2" xfId="161"/>
    <cellStyle name="Vírgula 2 6" xfId="143"/>
    <cellStyle name="Vírgula 3" xfId="52"/>
    <cellStyle name="Vírgula 3 2" xfId="53"/>
    <cellStyle name="Vírgula 3 2 2" xfId="165"/>
    <cellStyle name="Vírgula 3 3" xfId="164"/>
    <cellStyle name="Vírgula 4" xfId="54"/>
    <cellStyle name="Vírgula 4 2" xfId="166"/>
    <cellStyle name="Vírgula 5" xfId="45"/>
    <cellStyle name="Vírgula 5 2" xfId="55"/>
    <cellStyle name="Vírgula 5 2 2" xfId="167"/>
    <cellStyle name="Vírgula 5 3" xfId="162"/>
    <cellStyle name="Vírgula 6" xfId="61"/>
    <cellStyle name="Vírgula 6 2" xfId="74"/>
    <cellStyle name="Vírgula 6 2 2" xfId="171"/>
    <cellStyle name="Vírgula 6 3" xfId="168"/>
    <cellStyle name="Vírgula 7" xfId="67"/>
    <cellStyle name="Vírgula 7 2" xfId="170"/>
    <cellStyle name="Vírgula 8" xfId="75"/>
    <cellStyle name="Vírgula 8 2" xfId="172"/>
    <cellStyle name="Vírgula 9" xfId="76"/>
    <cellStyle name="Vírgula 9 2" xfId="1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showGridLines="0" tabSelected="1" zoomScaleNormal="100" workbookViewId="0">
      <pane ySplit="7" topLeftCell="A8" activePane="bottomLeft" state="frozen"/>
      <selection pane="bottomLeft" activeCell="D19" sqref="D19"/>
    </sheetView>
  </sheetViews>
  <sheetFormatPr defaultRowHeight="15"/>
  <cols>
    <col min="1" max="1" width="8.7109375" style="2" customWidth="1"/>
    <col min="2" max="2" width="11.7109375" style="2" bestFit="1" customWidth="1"/>
    <col min="3" max="3" width="13.85546875" style="2" bestFit="1" customWidth="1"/>
    <col min="4" max="4" width="56.85546875" style="2" customWidth="1"/>
    <col min="5" max="5" width="4.5703125" style="2" bestFit="1" customWidth="1"/>
    <col min="6" max="6" width="5.7109375" style="2" bestFit="1" customWidth="1"/>
    <col min="7" max="7" width="8.28515625" style="2" bestFit="1" customWidth="1"/>
    <col min="8" max="8" width="9.42578125" style="2" bestFit="1" customWidth="1"/>
    <col min="9" max="10" width="8.28515625" style="2" bestFit="1" customWidth="1"/>
    <col min="11" max="11" width="9.42578125" style="2" bestFit="1" customWidth="1"/>
    <col min="12" max="12" width="8.28515625" style="2" bestFit="1" customWidth="1"/>
    <col min="13" max="14" width="9.85546875" style="2" bestFit="1" customWidth="1"/>
    <col min="15" max="15" width="10.7109375" style="2" bestFit="1" customWidth="1"/>
    <col min="16" max="16" width="13.85546875" bestFit="1" customWidth="1"/>
  </cols>
  <sheetData>
    <row r="1" spans="1:16">
      <c r="A1" s="45"/>
      <c r="B1" s="79" t="s">
        <v>21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6">
      <c r="A2" s="80" t="s">
        <v>4</v>
      </c>
      <c r="B2" s="80"/>
      <c r="C2" s="80"/>
      <c r="D2" s="46" t="s">
        <v>84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1:16">
      <c r="A3" s="80" t="s">
        <v>5</v>
      </c>
      <c r="B3" s="80"/>
      <c r="C3" s="80"/>
      <c r="D3" s="47" t="s">
        <v>78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16">
      <c r="A4" s="80" t="s">
        <v>6</v>
      </c>
      <c r="B4" s="80"/>
      <c r="C4" s="80"/>
      <c r="D4" s="47" t="s">
        <v>77</v>
      </c>
      <c r="E4" s="46"/>
      <c r="F4" s="46"/>
      <c r="G4" s="46"/>
      <c r="H4" s="46"/>
      <c r="I4" s="46"/>
      <c r="J4" s="46"/>
      <c r="K4" s="46"/>
      <c r="L4" s="46"/>
      <c r="M4" s="46"/>
      <c r="N4" s="48"/>
      <c r="O4" s="49"/>
    </row>
    <row r="5" spans="1:16">
      <c r="A5" s="80" t="s">
        <v>7</v>
      </c>
      <c r="B5" s="80"/>
      <c r="C5" s="80"/>
      <c r="D5" s="47" t="s">
        <v>59</v>
      </c>
      <c r="E5" s="46"/>
      <c r="F5" s="46"/>
      <c r="G5" s="46"/>
      <c r="H5" s="46"/>
      <c r="I5" s="46"/>
      <c r="J5" s="46"/>
      <c r="K5" s="46"/>
      <c r="L5" s="46"/>
      <c r="M5" s="46"/>
      <c r="N5" s="48" t="s">
        <v>24</v>
      </c>
      <c r="O5" s="49">
        <v>0.20369999999999999</v>
      </c>
      <c r="P5" s="7"/>
    </row>
    <row r="6" spans="1:16" ht="10.5" customHeight="1">
      <c r="A6" s="58"/>
      <c r="B6" s="58"/>
      <c r="C6" s="58"/>
      <c r="D6" s="58"/>
      <c r="E6" s="58"/>
      <c r="F6" s="58"/>
      <c r="G6" s="85" t="s">
        <v>17</v>
      </c>
      <c r="H6" s="85"/>
      <c r="I6" s="85"/>
      <c r="J6" s="85" t="s">
        <v>19</v>
      </c>
      <c r="K6" s="85"/>
      <c r="L6" s="85"/>
      <c r="M6" s="78" t="s">
        <v>13</v>
      </c>
      <c r="N6" s="78"/>
      <c r="O6" s="78"/>
    </row>
    <row r="7" spans="1:16" s="1" customFormat="1" ht="18.75" customHeight="1">
      <c r="A7" s="59" t="s">
        <v>3</v>
      </c>
      <c r="B7" s="59" t="s">
        <v>10</v>
      </c>
      <c r="C7" s="59" t="s">
        <v>12</v>
      </c>
      <c r="D7" s="59" t="s">
        <v>0</v>
      </c>
      <c r="E7" s="59" t="s">
        <v>1</v>
      </c>
      <c r="F7" s="52" t="s">
        <v>2</v>
      </c>
      <c r="G7" s="59" t="s">
        <v>9</v>
      </c>
      <c r="H7" s="59" t="s">
        <v>8</v>
      </c>
      <c r="I7" s="59" t="s">
        <v>18</v>
      </c>
      <c r="J7" s="59" t="s">
        <v>9</v>
      </c>
      <c r="K7" s="59" t="s">
        <v>8</v>
      </c>
      <c r="L7" s="59" t="s">
        <v>18</v>
      </c>
      <c r="M7" s="59" t="s">
        <v>9</v>
      </c>
      <c r="N7" s="59" t="s">
        <v>8</v>
      </c>
      <c r="O7" s="59" t="s">
        <v>20</v>
      </c>
    </row>
    <row r="8" spans="1:16" s="1" customFormat="1" ht="19.149999999999999" customHeight="1">
      <c r="A8" s="51">
        <v>1</v>
      </c>
      <c r="B8" s="65"/>
      <c r="C8" s="65"/>
      <c r="D8" s="65" t="s">
        <v>62</v>
      </c>
      <c r="E8" s="51"/>
      <c r="F8" s="52"/>
      <c r="G8" s="51"/>
      <c r="H8" s="51"/>
      <c r="I8" s="51"/>
      <c r="J8" s="51"/>
      <c r="K8" s="51"/>
      <c r="L8" s="51"/>
      <c r="M8" s="51"/>
      <c r="N8" s="51"/>
      <c r="O8" s="51"/>
    </row>
    <row r="9" spans="1:16" s="6" customFormat="1" ht="22.5">
      <c r="A9" s="53" t="s">
        <v>25</v>
      </c>
      <c r="B9" s="53" t="s">
        <v>11</v>
      </c>
      <c r="C9" s="66">
        <v>103689</v>
      </c>
      <c r="D9" s="67" t="s">
        <v>58</v>
      </c>
      <c r="E9" s="63" t="s">
        <v>65</v>
      </c>
      <c r="F9" s="54">
        <v>2.88</v>
      </c>
      <c r="G9" s="55">
        <v>427.18</v>
      </c>
      <c r="H9" s="55">
        <v>32.479999999999997</v>
      </c>
      <c r="I9" s="55">
        <f>G9+H9</f>
        <v>459.66</v>
      </c>
      <c r="J9" s="55">
        <f>G9*(1+$O$5)</f>
        <v>514.19656599999996</v>
      </c>
      <c r="K9" s="55">
        <f>H9*(1+$O$5)</f>
        <v>39.096175999999993</v>
      </c>
      <c r="L9" s="55">
        <f>J9+K9</f>
        <v>553.29274199999998</v>
      </c>
      <c r="M9" s="55">
        <f>TRUNC(J9*F9,2)</f>
        <v>1480.88</v>
      </c>
      <c r="N9" s="55">
        <f>TRUNC(K9*F9,2)</f>
        <v>112.59</v>
      </c>
      <c r="O9" s="55">
        <f>M9+N9</f>
        <v>1593.47</v>
      </c>
    </row>
    <row r="10" spans="1:16" s="3" customFormat="1">
      <c r="A10" s="84" t="s">
        <v>67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56">
        <f>SUM(M9:M9)</f>
        <v>1480.88</v>
      </c>
      <c r="N10" s="56">
        <f>SUM(N9:N9)</f>
        <v>112.59</v>
      </c>
      <c r="O10" s="56">
        <f>SUM(O9:O9)</f>
        <v>1593.47</v>
      </c>
    </row>
    <row r="11" spans="1:16">
      <c r="A11" s="51">
        <v>2</v>
      </c>
      <c r="B11" s="50"/>
      <c r="C11" s="60"/>
      <c r="D11" s="65" t="s">
        <v>86</v>
      </c>
      <c r="E11" s="60"/>
      <c r="F11" s="60"/>
      <c r="G11" s="61"/>
      <c r="H11" s="61"/>
      <c r="I11" s="61"/>
      <c r="J11" s="61"/>
      <c r="K11" s="61"/>
      <c r="L11" s="61"/>
      <c r="M11" s="62"/>
      <c r="N11" s="62"/>
      <c r="O11" s="62"/>
    </row>
    <row r="12" spans="1:16" s="6" customFormat="1" ht="45">
      <c r="A12" s="53" t="s">
        <v>69</v>
      </c>
      <c r="B12" s="57" t="s">
        <v>11</v>
      </c>
      <c r="C12" s="66">
        <v>90107</v>
      </c>
      <c r="D12" s="68" t="s">
        <v>81</v>
      </c>
      <c r="E12" s="66" t="s">
        <v>64</v>
      </c>
      <c r="F12" s="54">
        <v>147.07</v>
      </c>
      <c r="G12" s="55">
        <v>5.27</v>
      </c>
      <c r="H12" s="55">
        <v>3.25</v>
      </c>
      <c r="I12" s="55">
        <f>G12+H12</f>
        <v>8.52</v>
      </c>
      <c r="J12" s="55">
        <f t="shared" ref="J12:L12" si="0">G12</f>
        <v>5.27</v>
      </c>
      <c r="K12" s="55">
        <f t="shared" si="0"/>
        <v>3.25</v>
      </c>
      <c r="L12" s="55">
        <f t="shared" si="0"/>
        <v>8.52</v>
      </c>
      <c r="M12" s="55">
        <f>TRUNC(J12*F12,2)</f>
        <v>775.05</v>
      </c>
      <c r="N12" s="55">
        <f>TRUNC(K12*F12,2)</f>
        <v>477.97</v>
      </c>
      <c r="O12" s="55">
        <f>M12+N12</f>
        <v>1253.02</v>
      </c>
    </row>
    <row r="13" spans="1:16" s="6" customFormat="1" ht="22.5">
      <c r="A13" s="53" t="s">
        <v>70</v>
      </c>
      <c r="B13" s="57" t="s">
        <v>11</v>
      </c>
      <c r="C13" s="66">
        <v>93382</v>
      </c>
      <c r="D13" s="68" t="s">
        <v>66</v>
      </c>
      <c r="E13" s="66" t="s">
        <v>64</v>
      </c>
      <c r="F13" s="54">
        <v>121.78</v>
      </c>
      <c r="G13" s="55">
        <v>8.59</v>
      </c>
      <c r="H13" s="55">
        <v>20.76</v>
      </c>
      <c r="I13" s="55">
        <f>G13+H13</f>
        <v>29.35</v>
      </c>
      <c r="J13" s="55">
        <f t="shared" ref="J13:L13" si="1">G13</f>
        <v>8.59</v>
      </c>
      <c r="K13" s="55">
        <f t="shared" si="1"/>
        <v>20.76</v>
      </c>
      <c r="L13" s="55">
        <f t="shared" si="1"/>
        <v>29.35</v>
      </c>
      <c r="M13" s="55">
        <f>TRUNC(J13*F13,2)</f>
        <v>1046.0899999999999</v>
      </c>
      <c r="N13" s="55">
        <f>TRUNC(K13*F13,2)</f>
        <v>2528.15</v>
      </c>
      <c r="O13" s="55">
        <f>M13+N13</f>
        <v>3574.24</v>
      </c>
    </row>
    <row r="14" spans="1:16" s="3" customFormat="1">
      <c r="A14" s="84" t="s">
        <v>68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56">
        <f>SUM(M12:M13)</f>
        <v>1821.1399999999999</v>
      </c>
      <c r="N14" s="56">
        <f>SUM(N12:N13)</f>
        <v>3006.12</v>
      </c>
      <c r="O14" s="56">
        <f>SUM(O12:O13)</f>
        <v>4827.26</v>
      </c>
    </row>
    <row r="15" spans="1:16">
      <c r="A15" s="51">
        <v>3</v>
      </c>
      <c r="B15" s="60"/>
      <c r="C15" s="60"/>
      <c r="D15" s="65" t="s">
        <v>72</v>
      </c>
      <c r="E15" s="60"/>
      <c r="F15" s="60"/>
      <c r="G15" s="61"/>
      <c r="H15" s="61"/>
      <c r="I15" s="61"/>
      <c r="J15" s="61"/>
      <c r="K15" s="61"/>
      <c r="L15" s="61"/>
      <c r="M15" s="62"/>
      <c r="N15" s="62"/>
      <c r="O15" s="62"/>
    </row>
    <row r="16" spans="1:16" s="6" customFormat="1" ht="22.5">
      <c r="A16" s="53" t="s">
        <v>71</v>
      </c>
      <c r="B16" s="57" t="s">
        <v>11</v>
      </c>
      <c r="C16" s="66">
        <v>102704</v>
      </c>
      <c r="D16" s="68" t="s">
        <v>82</v>
      </c>
      <c r="E16" s="66" t="s">
        <v>22</v>
      </c>
      <c r="F16" s="54">
        <v>101.14</v>
      </c>
      <c r="G16" s="55">
        <v>11.87</v>
      </c>
      <c r="H16" s="55">
        <v>0.35</v>
      </c>
      <c r="I16" s="55">
        <f>G16+H16</f>
        <v>12.219999999999999</v>
      </c>
      <c r="J16" s="55">
        <f t="shared" ref="J16:L18" si="2">G16</f>
        <v>11.87</v>
      </c>
      <c r="K16" s="55">
        <f t="shared" si="2"/>
        <v>0.35</v>
      </c>
      <c r="L16" s="55">
        <f t="shared" si="2"/>
        <v>12.219999999999999</v>
      </c>
      <c r="M16" s="55">
        <f>TRUNC(J16*F16,2)</f>
        <v>1200.53</v>
      </c>
      <c r="N16" s="55">
        <f>TRUNC(K16*F16,2)</f>
        <v>35.39</v>
      </c>
      <c r="O16" s="55">
        <f>M16+N16</f>
        <v>1235.92</v>
      </c>
      <c r="P16" s="64"/>
    </row>
    <row r="17" spans="1:19" s="6" customFormat="1" ht="22.5">
      <c r="A17" s="53" t="s">
        <v>74</v>
      </c>
      <c r="B17" s="57" t="s">
        <v>11</v>
      </c>
      <c r="C17" s="66">
        <v>102712</v>
      </c>
      <c r="D17" s="68" t="s">
        <v>79</v>
      </c>
      <c r="E17" s="66" t="s">
        <v>65</v>
      </c>
      <c r="F17" s="54">
        <v>140.18</v>
      </c>
      <c r="G17" s="55">
        <v>10.07</v>
      </c>
      <c r="H17" s="55">
        <v>0.35</v>
      </c>
      <c r="I17" s="55">
        <f>G17+H17</f>
        <v>10.42</v>
      </c>
      <c r="J17" s="55">
        <f t="shared" ref="J17" si="3">G17</f>
        <v>10.07</v>
      </c>
      <c r="K17" s="55">
        <f t="shared" ref="K17" si="4">H17</f>
        <v>0.35</v>
      </c>
      <c r="L17" s="55">
        <f t="shared" ref="L17" si="5">I17</f>
        <v>10.42</v>
      </c>
      <c r="M17" s="55">
        <f>TRUNC(J17*F17,2)</f>
        <v>1411.61</v>
      </c>
      <c r="N17" s="55">
        <f>TRUNC(K17*F17,2)</f>
        <v>49.06</v>
      </c>
      <c r="O17" s="55">
        <f>M17+N17</f>
        <v>1460.6699999999998</v>
      </c>
    </row>
    <row r="18" spans="1:19" s="6" customFormat="1">
      <c r="A18" s="53" t="s">
        <v>75</v>
      </c>
      <c r="B18" s="57" t="s">
        <v>63</v>
      </c>
      <c r="C18" s="66">
        <v>1</v>
      </c>
      <c r="D18" s="68" t="s">
        <v>83</v>
      </c>
      <c r="E18" s="66" t="s">
        <v>65</v>
      </c>
      <c r="F18" s="54">
        <v>140.18</v>
      </c>
      <c r="G18" s="55">
        <v>2.85</v>
      </c>
      <c r="H18" s="55">
        <v>0.51</v>
      </c>
      <c r="I18" s="55">
        <f>G18+H18</f>
        <v>3.3600000000000003</v>
      </c>
      <c r="J18" s="55">
        <f t="shared" si="2"/>
        <v>2.85</v>
      </c>
      <c r="K18" s="55">
        <f t="shared" si="2"/>
        <v>0.51</v>
      </c>
      <c r="L18" s="55">
        <f t="shared" si="2"/>
        <v>3.3600000000000003</v>
      </c>
      <c r="M18" s="55">
        <f>TRUNC(J18*F18,2)</f>
        <v>399.51</v>
      </c>
      <c r="N18" s="55">
        <f>TRUNC(K18*F18,2)</f>
        <v>71.489999999999995</v>
      </c>
      <c r="O18" s="55">
        <f>M18+N18</f>
        <v>471</v>
      </c>
    </row>
    <row r="19" spans="1:19" s="6" customFormat="1">
      <c r="A19" s="53" t="s">
        <v>76</v>
      </c>
      <c r="B19" s="57" t="s">
        <v>11</v>
      </c>
      <c r="C19" s="69">
        <v>102719</v>
      </c>
      <c r="D19" s="70" t="s">
        <v>80</v>
      </c>
      <c r="E19" s="66" t="s">
        <v>64</v>
      </c>
      <c r="F19" s="54">
        <v>25.29</v>
      </c>
      <c r="G19" s="55">
        <v>107.54</v>
      </c>
      <c r="H19" s="55">
        <v>27.51</v>
      </c>
      <c r="I19" s="55">
        <f>G19+H19</f>
        <v>135.05000000000001</v>
      </c>
      <c r="J19" s="55">
        <f t="shared" ref="J19:L19" si="6">G19</f>
        <v>107.54</v>
      </c>
      <c r="K19" s="55">
        <f t="shared" si="6"/>
        <v>27.51</v>
      </c>
      <c r="L19" s="55">
        <f t="shared" si="6"/>
        <v>135.05000000000001</v>
      </c>
      <c r="M19" s="55">
        <f>TRUNC(J19*F19,2)</f>
        <v>2719.68</v>
      </c>
      <c r="N19" s="55">
        <f>TRUNC(K19*F19,2)</f>
        <v>695.72</v>
      </c>
      <c r="O19" s="55">
        <f>M19+N19</f>
        <v>3415.3999999999996</v>
      </c>
    </row>
    <row r="20" spans="1:19" s="3" customFormat="1">
      <c r="A20" s="81" t="s">
        <v>73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3"/>
      <c r="M20" s="56">
        <f>SUM(M16:M19)</f>
        <v>5731.33</v>
      </c>
      <c r="N20" s="56">
        <f>SUM(N16:N19)</f>
        <v>851.66000000000008</v>
      </c>
      <c r="O20" s="56">
        <f>SUM(O16:O19)</f>
        <v>6582.99</v>
      </c>
    </row>
    <row r="21" spans="1:19">
      <c r="A21" s="71" t="s">
        <v>14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3">
        <f>SUM(M10+M14+M20)</f>
        <v>9033.35</v>
      </c>
      <c r="N21" s="73">
        <f>SUM(N10+N14+N20)</f>
        <v>3970.37</v>
      </c>
      <c r="O21" s="73">
        <f>SUM(O10+O14+O20)</f>
        <v>13003.720000000001</v>
      </c>
      <c r="P21" s="4"/>
    </row>
    <row r="22" spans="1:19">
      <c r="A22" s="77" t="s">
        <v>15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</row>
    <row r="23" spans="1:19" ht="15" customHeight="1">
      <c r="A23" s="76" t="s">
        <v>85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</row>
    <row r="24" spans="1:19" ht="15" customHeight="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</row>
    <row r="25" spans="1:19" ht="15" customHeigh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</row>
    <row r="26" spans="1:19" ht="15" customHeight="1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</row>
    <row r="27" spans="1:19" ht="15" customHeight="1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</row>
    <row r="28" spans="1:19" ht="15" customHeight="1">
      <c r="A28" s="74" t="s">
        <v>16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</row>
    <row r="29" spans="1:19" ht="15" customHeight="1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</row>
    <row r="30" spans="1:19" ht="15" customHeight="1">
      <c r="A30" s="75" t="s">
        <v>60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</row>
    <row r="31" spans="1:19" ht="14.45" customHeight="1">
      <c r="A31" s="75" t="s">
        <v>61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5"/>
      <c r="Q31" s="5"/>
      <c r="R31" s="5"/>
      <c r="S31" s="5"/>
    </row>
  </sheetData>
  <mergeCells count="16">
    <mergeCell ref="A20:L20"/>
    <mergeCell ref="A10:L10"/>
    <mergeCell ref="A14:L14"/>
    <mergeCell ref="G6:I6"/>
    <mergeCell ref="J6:L6"/>
    <mergeCell ref="M6:O6"/>
    <mergeCell ref="B1:O1"/>
    <mergeCell ref="A2:C2"/>
    <mergeCell ref="A3:C3"/>
    <mergeCell ref="A4:C4"/>
    <mergeCell ref="A5:C5"/>
    <mergeCell ref="A28:O29"/>
    <mergeCell ref="A30:O30"/>
    <mergeCell ref="A31:O31"/>
    <mergeCell ref="A23:O23"/>
    <mergeCell ref="A22:O2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zoomScale="85" zoomScaleNormal="85" workbookViewId="0">
      <selection activeCell="B16" sqref="B16:C16"/>
    </sheetView>
  </sheetViews>
  <sheetFormatPr defaultRowHeight="15"/>
  <cols>
    <col min="1" max="1" width="6.7109375" customWidth="1"/>
    <col min="2" max="2" width="26.5703125" customWidth="1"/>
    <col min="3" max="3" width="104.28515625" customWidth="1"/>
    <col min="5" max="5" width="16.42578125" customWidth="1"/>
    <col min="6" max="6" width="16.140625" bestFit="1" customWidth="1"/>
    <col min="7" max="7" width="15.5703125" customWidth="1"/>
    <col min="8" max="8" width="15.85546875" bestFit="1" customWidth="1"/>
    <col min="10" max="10" width="8.85546875"/>
    <col min="12" max="12" width="19.85546875" bestFit="1" customWidth="1"/>
    <col min="13" max="13" width="16.140625" bestFit="1" customWidth="1"/>
    <col min="14" max="14" width="17.7109375" customWidth="1"/>
  </cols>
  <sheetData>
    <row r="1" spans="1:14" ht="15.75">
      <c r="A1" s="89" t="s">
        <v>31</v>
      </c>
      <c r="B1" s="89"/>
      <c r="C1" s="89"/>
      <c r="D1" s="89"/>
      <c r="E1" s="89"/>
      <c r="F1" s="89"/>
      <c r="G1" s="89"/>
      <c r="H1" s="89"/>
    </row>
    <row r="2" spans="1:14" ht="15.75">
      <c r="A2" s="90" t="s">
        <v>39</v>
      </c>
      <c r="B2" s="90"/>
      <c r="C2" s="90"/>
      <c r="D2" s="90"/>
      <c r="E2" s="90"/>
      <c r="F2" s="90"/>
      <c r="G2" s="90"/>
      <c r="H2" s="90"/>
      <c r="L2" s="36"/>
    </row>
    <row r="3" spans="1:14" ht="15.75" thickBot="1">
      <c r="A3" s="8"/>
      <c r="B3" s="9"/>
      <c r="C3" s="10"/>
      <c r="D3" s="11"/>
      <c r="E3" s="11"/>
      <c r="F3" s="11"/>
      <c r="G3" s="11"/>
      <c r="H3" s="12"/>
    </row>
    <row r="4" spans="1:14" ht="26.25" thickBot="1">
      <c r="A4" s="13" t="s">
        <v>3</v>
      </c>
      <c r="B4" s="13" t="s">
        <v>32</v>
      </c>
      <c r="C4" s="13" t="s">
        <v>0</v>
      </c>
      <c r="D4" s="13" t="s">
        <v>1</v>
      </c>
      <c r="E4" s="14" t="s">
        <v>33</v>
      </c>
      <c r="F4" s="14" t="s">
        <v>34</v>
      </c>
      <c r="G4" s="14" t="s">
        <v>35</v>
      </c>
      <c r="H4" s="13" t="s">
        <v>36</v>
      </c>
      <c r="J4" s="13" t="s">
        <v>1</v>
      </c>
      <c r="K4" s="14" t="s">
        <v>33</v>
      </c>
      <c r="L4" s="14" t="s">
        <v>34</v>
      </c>
      <c r="M4" s="14" t="s">
        <v>35</v>
      </c>
      <c r="N4" s="13" t="s">
        <v>36</v>
      </c>
    </row>
    <row r="5" spans="1:14" ht="15.75" thickBot="1">
      <c r="A5" s="91" t="s">
        <v>50</v>
      </c>
      <c r="B5" s="92"/>
      <c r="C5" s="92"/>
      <c r="D5" s="15"/>
      <c r="E5" s="15"/>
      <c r="F5" s="15"/>
      <c r="G5" s="15"/>
      <c r="H5" s="16"/>
      <c r="J5" s="38"/>
      <c r="K5" s="37"/>
      <c r="L5" s="37"/>
      <c r="M5" s="37"/>
      <c r="N5" s="39"/>
    </row>
    <row r="6" spans="1:14" ht="15.75" thickBot="1">
      <c r="A6" s="28">
        <v>1</v>
      </c>
      <c r="B6" s="88" t="s">
        <v>11</v>
      </c>
      <c r="C6" s="88"/>
      <c r="D6" s="30" t="s">
        <v>37</v>
      </c>
      <c r="E6" s="17">
        <v>1</v>
      </c>
      <c r="F6" s="18">
        <v>166680.75</v>
      </c>
      <c r="G6" s="18">
        <v>27036.62</v>
      </c>
      <c r="H6" s="19">
        <f>SUM(F6:G6)</f>
        <v>193717.37</v>
      </c>
      <c r="J6" s="40" t="s">
        <v>23</v>
      </c>
      <c r="K6" s="17">
        <v>3774</v>
      </c>
      <c r="L6" s="18">
        <f>166680.75/K6</f>
        <v>44.16554054054054</v>
      </c>
      <c r="M6" s="18">
        <f>27036.62/K6</f>
        <v>7.1639162692103868</v>
      </c>
      <c r="N6" s="19">
        <f>SUM(L6:M6)</f>
        <v>51.32945680975093</v>
      </c>
    </row>
    <row r="7" spans="1:14" ht="15.75" thickBot="1">
      <c r="A7" s="29">
        <v>2</v>
      </c>
      <c r="B7" s="88" t="s">
        <v>48</v>
      </c>
      <c r="C7" s="88"/>
      <c r="D7" s="31" t="s">
        <v>37</v>
      </c>
      <c r="E7" s="20">
        <v>1</v>
      </c>
      <c r="F7" s="18">
        <f>H7*0.75</f>
        <v>128548.55250000001</v>
      </c>
      <c r="G7" s="18">
        <f>H7-F7</f>
        <v>42849.517500000002</v>
      </c>
      <c r="H7" s="19">
        <v>171398.07</v>
      </c>
      <c r="J7" s="40" t="s">
        <v>23</v>
      </c>
      <c r="K7" s="17">
        <v>3774</v>
      </c>
      <c r="L7" s="18">
        <f>128548.5525/K7</f>
        <v>34.061619634340225</v>
      </c>
      <c r="M7" s="18">
        <f>42849.5175/K7</f>
        <v>11.353873211446741</v>
      </c>
      <c r="N7" s="19">
        <f>SUM(L7:M7)</f>
        <v>45.415492845786964</v>
      </c>
    </row>
    <row r="8" spans="1:14" ht="15.75" thickBot="1">
      <c r="A8" s="21"/>
      <c r="B8" s="86" t="s">
        <v>38</v>
      </c>
      <c r="C8" s="87"/>
      <c r="D8" s="22" t="s">
        <v>37</v>
      </c>
      <c r="E8" s="22">
        <v>1</v>
      </c>
      <c r="F8" s="18">
        <f>(SUM(F6:F7))/2</f>
        <v>147614.65125</v>
      </c>
      <c r="G8" s="18">
        <f>(SUM(G6:G7))/2</f>
        <v>34943.068749999999</v>
      </c>
      <c r="H8" s="23">
        <f>SUM(F8:G8)</f>
        <v>182557.72</v>
      </c>
      <c r="J8" s="40" t="s">
        <v>23</v>
      </c>
      <c r="K8" s="17">
        <v>3774</v>
      </c>
      <c r="L8" s="18">
        <f>(SUM(L6:L7))/2</f>
        <v>39.113580087440383</v>
      </c>
      <c r="M8" s="18">
        <f>(SUM(M6:M7))/2</f>
        <v>9.2588947403285644</v>
      </c>
      <c r="N8" s="23">
        <f>SUM(L8:M8)</f>
        <v>48.372474827768947</v>
      </c>
    </row>
    <row r="9" spans="1:14" ht="15.75" thickBot="1">
      <c r="A9" s="91" t="s">
        <v>52</v>
      </c>
      <c r="B9" s="92"/>
      <c r="C9" s="92"/>
      <c r="D9" s="15"/>
      <c r="E9" s="15"/>
      <c r="F9" s="15"/>
      <c r="G9" s="15"/>
      <c r="H9" s="16"/>
      <c r="J9" s="38"/>
      <c r="K9" s="37"/>
      <c r="L9" s="37"/>
      <c r="M9" s="37"/>
      <c r="N9" s="39"/>
    </row>
    <row r="10" spans="1:14" ht="15.75" thickBot="1">
      <c r="A10" s="28">
        <v>1</v>
      </c>
      <c r="B10" s="88" t="s">
        <v>11</v>
      </c>
      <c r="C10" s="88"/>
      <c r="D10" s="30" t="s">
        <v>37</v>
      </c>
      <c r="E10" s="17">
        <v>1</v>
      </c>
      <c r="F10" s="18">
        <v>143212.73000000001</v>
      </c>
      <c r="G10" s="18">
        <v>68483.310000000012</v>
      </c>
      <c r="H10" s="19">
        <f>SUM(F10:G10)</f>
        <v>211696.04000000004</v>
      </c>
      <c r="J10" s="40" t="s">
        <v>30</v>
      </c>
      <c r="K10" s="17">
        <v>38</v>
      </c>
      <c r="L10" s="18">
        <f>143212.73/K10</f>
        <v>3768.7560526315792</v>
      </c>
      <c r="M10" s="18">
        <f>68483.31/K10</f>
        <v>1802.1923684210526</v>
      </c>
      <c r="N10" s="19">
        <f>SUM(L10:M10)</f>
        <v>5570.9484210526316</v>
      </c>
    </row>
    <row r="11" spans="1:14" ht="15.75" thickBot="1">
      <c r="A11" s="29">
        <v>2</v>
      </c>
      <c r="B11" s="88" t="s">
        <v>48</v>
      </c>
      <c r="C11" s="88"/>
      <c r="D11" s="31" t="s">
        <v>37</v>
      </c>
      <c r="E11" s="20">
        <v>1</v>
      </c>
      <c r="F11" s="18">
        <f>H11*0.75</f>
        <v>171301.44750000001</v>
      </c>
      <c r="G11" s="18">
        <f>H11-F11</f>
        <v>57100.482499999984</v>
      </c>
      <c r="H11" s="19">
        <v>228401.93</v>
      </c>
      <c r="J11" s="40" t="s">
        <v>30</v>
      </c>
      <c r="K11" s="17">
        <v>38</v>
      </c>
      <c r="L11" s="18">
        <f>171301.4475/K11</f>
        <v>4507.9328289473688</v>
      </c>
      <c r="M11" s="18">
        <f>57100.4825/K11</f>
        <v>1502.6442763157895</v>
      </c>
      <c r="N11" s="19">
        <f t="shared" ref="N11" si="0">SUM(L11:M11)</f>
        <v>6010.577105263158</v>
      </c>
    </row>
    <row r="12" spans="1:14" ht="15.75" thickBot="1">
      <c r="A12" s="21"/>
      <c r="B12" s="86" t="s">
        <v>38</v>
      </c>
      <c r="C12" s="87"/>
      <c r="D12" s="22" t="s">
        <v>37</v>
      </c>
      <c r="E12" s="22">
        <v>1</v>
      </c>
      <c r="F12" s="18">
        <f>(SUM(F10:F11))/2</f>
        <v>157257.08875</v>
      </c>
      <c r="G12" s="18">
        <f>(SUM(G10:G11))/2</f>
        <v>62791.896249999998</v>
      </c>
      <c r="H12" s="23">
        <f>SUM(F12:G12)</f>
        <v>220048.98499999999</v>
      </c>
      <c r="J12" s="40" t="s">
        <v>30</v>
      </c>
      <c r="K12" s="17">
        <v>38</v>
      </c>
      <c r="L12" s="18">
        <f>(SUM(L10:L11))/2</f>
        <v>4138.344440789474</v>
      </c>
      <c r="M12" s="18">
        <f>(SUM(M10:M11))/2</f>
        <v>1652.4183223684211</v>
      </c>
      <c r="N12" s="23">
        <f>SUM(L12:M12)</f>
        <v>5790.7627631578953</v>
      </c>
    </row>
    <row r="13" spans="1:14" ht="15.75" thickBot="1">
      <c r="A13" s="91" t="s">
        <v>53</v>
      </c>
      <c r="B13" s="92"/>
      <c r="C13" s="92"/>
      <c r="D13" s="15"/>
      <c r="E13" s="15"/>
      <c r="F13" s="15"/>
      <c r="G13" s="15"/>
      <c r="H13" s="16"/>
      <c r="J13" s="38"/>
      <c r="K13" s="37"/>
      <c r="L13" s="37"/>
      <c r="M13" s="37"/>
      <c r="N13" s="39"/>
    </row>
    <row r="14" spans="1:14" ht="15.75" thickBot="1">
      <c r="A14" s="28">
        <v>1</v>
      </c>
      <c r="B14" s="88" t="s">
        <v>11</v>
      </c>
      <c r="C14" s="88"/>
      <c r="D14" s="30" t="s">
        <v>37</v>
      </c>
      <c r="E14" s="17">
        <v>1</v>
      </c>
      <c r="F14" s="18">
        <v>231163.78</v>
      </c>
      <c r="G14" s="18">
        <v>260977.23</v>
      </c>
      <c r="H14" s="19">
        <f>SUM(F14:G14)</f>
        <v>492141.01</v>
      </c>
      <c r="J14" s="40" t="s">
        <v>23</v>
      </c>
      <c r="K14" s="17">
        <v>1605.6</v>
      </c>
      <c r="L14" s="18">
        <f>231163.78/K14</f>
        <v>143.97345540607873</v>
      </c>
      <c r="M14" s="18">
        <f>260977.23/K14</f>
        <v>162.54187219730943</v>
      </c>
      <c r="N14" s="19">
        <f>SUM(L14:M14)</f>
        <v>306.51532760338819</v>
      </c>
    </row>
    <row r="15" spans="1:14" ht="15.75" thickBot="1">
      <c r="A15" s="29">
        <v>2</v>
      </c>
      <c r="B15" s="88" t="s">
        <v>49</v>
      </c>
      <c r="C15" s="88"/>
      <c r="D15" s="31" t="s">
        <v>37</v>
      </c>
      <c r="E15" s="20">
        <v>1</v>
      </c>
      <c r="F15" s="18">
        <f>H15*0.75</f>
        <v>367072.5</v>
      </c>
      <c r="G15" s="18">
        <f>H15-F15</f>
        <v>122357.5</v>
      </c>
      <c r="H15" s="19">
        <v>489430</v>
      </c>
      <c r="J15" s="40" t="s">
        <v>23</v>
      </c>
      <c r="K15" s="17">
        <v>1605.6</v>
      </c>
      <c r="L15" s="18">
        <f>367072.5/K15</f>
        <v>228.62014200298955</v>
      </c>
      <c r="M15" s="18">
        <f>122357.5/K15</f>
        <v>76.206714000996513</v>
      </c>
      <c r="N15" s="19">
        <f t="shared" ref="N15" si="1">SUM(L15:M15)</f>
        <v>304.82685600398605</v>
      </c>
    </row>
    <row r="16" spans="1:14" ht="15.75" thickBot="1">
      <c r="A16" s="21"/>
      <c r="B16" s="86" t="s">
        <v>38</v>
      </c>
      <c r="C16" s="87"/>
      <c r="D16" s="22" t="s">
        <v>37</v>
      </c>
      <c r="E16" s="22">
        <v>1</v>
      </c>
      <c r="F16" s="18">
        <f>(SUM(F14:F15))/2</f>
        <v>299118.14</v>
      </c>
      <c r="G16" s="18">
        <f>(SUM(G14:G15))/2</f>
        <v>191667.36499999999</v>
      </c>
      <c r="H16" s="23">
        <f>SUM(F16:G16)</f>
        <v>490785.505</v>
      </c>
      <c r="J16" s="40" t="s">
        <v>23</v>
      </c>
      <c r="K16" s="17">
        <v>1605.6</v>
      </c>
      <c r="L16" s="18">
        <f>(SUM(L14:L15))/2</f>
        <v>186.29679870453413</v>
      </c>
      <c r="M16" s="18">
        <f>(SUM(M14:M15))/2</f>
        <v>119.37429309915296</v>
      </c>
      <c r="N16" s="23">
        <f>SUM(L16:M16)</f>
        <v>305.67109180368709</v>
      </c>
    </row>
    <row r="17" spans="1:14" ht="15.75" thickBot="1">
      <c r="A17" s="91" t="s">
        <v>51</v>
      </c>
      <c r="B17" s="92"/>
      <c r="C17" s="92"/>
      <c r="D17" s="15"/>
      <c r="E17" s="15"/>
      <c r="F17" s="15"/>
      <c r="G17" s="15"/>
      <c r="H17" s="16"/>
      <c r="J17" s="38"/>
      <c r="K17" s="37"/>
      <c r="L17" s="37"/>
      <c r="M17" s="37"/>
      <c r="N17" s="39"/>
    </row>
    <row r="18" spans="1:14" ht="15.75" thickBot="1">
      <c r="A18" s="28">
        <v>1</v>
      </c>
      <c r="B18" s="88" t="s">
        <v>11</v>
      </c>
      <c r="C18" s="88"/>
      <c r="D18" s="30" t="s">
        <v>37</v>
      </c>
      <c r="E18" s="17">
        <v>1</v>
      </c>
      <c r="F18" s="18">
        <v>82832.28</v>
      </c>
      <c r="G18" s="18">
        <v>38121.82</v>
      </c>
      <c r="H18" s="19">
        <f>SUM(F18:G18)</f>
        <v>120954.1</v>
      </c>
      <c r="J18" s="40" t="s">
        <v>22</v>
      </c>
      <c r="K18" s="17">
        <v>194.6</v>
      </c>
      <c r="L18" s="18">
        <f>82832.28/K18</f>
        <v>425.65405960945532</v>
      </c>
      <c r="M18" s="18">
        <f>38121.82/K18</f>
        <v>195.89835560123331</v>
      </c>
      <c r="N18" s="19">
        <f>SUM(L18:M18)</f>
        <v>621.55241521068865</v>
      </c>
    </row>
    <row r="19" spans="1:14" ht="15.75" thickBot="1">
      <c r="A19" s="29">
        <v>2</v>
      </c>
      <c r="B19" s="88" t="s">
        <v>48</v>
      </c>
      <c r="C19" s="88"/>
      <c r="D19" s="31" t="s">
        <v>37</v>
      </c>
      <c r="E19" s="20">
        <v>1</v>
      </c>
      <c r="F19" s="18">
        <f>H19*0.75</f>
        <v>126375</v>
      </c>
      <c r="G19" s="18">
        <f>H19-F19</f>
        <v>42125</v>
      </c>
      <c r="H19" s="19">
        <v>168500</v>
      </c>
      <c r="J19" s="40" t="s">
        <v>22</v>
      </c>
      <c r="K19" s="17">
        <v>194.6</v>
      </c>
      <c r="L19" s="18">
        <f>126375/K19</f>
        <v>649.40904419321691</v>
      </c>
      <c r="M19" s="18">
        <f>42125/K19</f>
        <v>216.46968139773895</v>
      </c>
      <c r="N19" s="19">
        <f t="shared" ref="N19" si="2">SUM(L19:M19)</f>
        <v>865.87872559095581</v>
      </c>
    </row>
    <row r="20" spans="1:14" ht="15.75" thickBot="1">
      <c r="A20" s="21"/>
      <c r="B20" s="86" t="s">
        <v>38</v>
      </c>
      <c r="C20" s="87"/>
      <c r="D20" s="22" t="s">
        <v>37</v>
      </c>
      <c r="E20" s="22">
        <v>1</v>
      </c>
      <c r="F20" s="18">
        <f>(SUM(F18:F19))/2</f>
        <v>104603.64</v>
      </c>
      <c r="G20" s="18">
        <f>(SUM(G18:G19))/2</f>
        <v>40123.410000000003</v>
      </c>
      <c r="H20" s="23">
        <f>SUM(F20:G20)</f>
        <v>144727.04999999999</v>
      </c>
      <c r="J20" s="40" t="s">
        <v>22</v>
      </c>
      <c r="K20" s="17">
        <v>194.6</v>
      </c>
      <c r="L20" s="18">
        <f>(SUM(L18:L19))/2</f>
        <v>537.53155190133612</v>
      </c>
      <c r="M20" s="18">
        <f>(SUM(M18:M19))/2</f>
        <v>206.18401849948611</v>
      </c>
      <c r="N20" s="23">
        <f>SUM(L20:M20)</f>
        <v>743.71557040082223</v>
      </c>
    </row>
    <row r="21" spans="1:14" ht="15.75" thickBot="1">
      <c r="A21" s="91" t="s">
        <v>54</v>
      </c>
      <c r="B21" s="92"/>
      <c r="C21" s="92"/>
      <c r="D21" s="15"/>
      <c r="E21" s="15"/>
      <c r="F21" s="15"/>
      <c r="G21" s="15"/>
      <c r="H21" s="16"/>
      <c r="J21" s="38"/>
      <c r="K21" s="37"/>
      <c r="L21" s="37"/>
      <c r="M21" s="37"/>
      <c r="N21" s="39"/>
    </row>
    <row r="22" spans="1:14" ht="15.75" thickBot="1">
      <c r="A22" s="28">
        <v>1</v>
      </c>
      <c r="B22" s="88" t="s">
        <v>11</v>
      </c>
      <c r="C22" s="88"/>
      <c r="D22" s="30" t="s">
        <v>37</v>
      </c>
      <c r="E22" s="17">
        <v>1</v>
      </c>
      <c r="F22" s="18">
        <v>666559.72</v>
      </c>
      <c r="G22" s="18">
        <v>52559.770000000004</v>
      </c>
      <c r="H22" s="19">
        <f>SUM(F22:G22)</f>
        <v>719119.49</v>
      </c>
      <c r="J22" s="40" t="s">
        <v>23</v>
      </c>
      <c r="K22" s="17">
        <v>3774</v>
      </c>
      <c r="L22" s="18">
        <f>666559.72/K22</f>
        <v>176.61889772125065</v>
      </c>
      <c r="M22" s="18">
        <f>52559.77/K22</f>
        <v>13.926807101218865</v>
      </c>
      <c r="N22" s="19">
        <f>SUM(L22:M22)</f>
        <v>190.5457048224695</v>
      </c>
    </row>
    <row r="23" spans="1:14" ht="15.75" thickBot="1">
      <c r="A23" s="29">
        <v>2</v>
      </c>
      <c r="B23" s="88" t="s">
        <v>49</v>
      </c>
      <c r="C23" s="88"/>
      <c r="D23" s="31" t="s">
        <v>37</v>
      </c>
      <c r="E23" s="20">
        <v>1</v>
      </c>
      <c r="F23" s="18">
        <f>H23*0.75</f>
        <v>452880</v>
      </c>
      <c r="G23" s="18">
        <f>H23-F23</f>
        <v>150960</v>
      </c>
      <c r="H23" s="19">
        <v>603840</v>
      </c>
      <c r="J23" s="40" t="s">
        <v>23</v>
      </c>
      <c r="K23" s="17">
        <v>3774</v>
      </c>
      <c r="L23" s="18">
        <f>452880/K23</f>
        <v>120</v>
      </c>
      <c r="M23" s="18">
        <f>150960/K23</f>
        <v>40</v>
      </c>
      <c r="N23" s="19">
        <f t="shared" ref="N23" si="3">SUM(L23:M23)</f>
        <v>160</v>
      </c>
    </row>
    <row r="24" spans="1:14" ht="15.75" thickBot="1">
      <c r="A24" s="21"/>
      <c r="B24" s="86" t="s">
        <v>38</v>
      </c>
      <c r="C24" s="87"/>
      <c r="D24" s="22" t="s">
        <v>37</v>
      </c>
      <c r="E24" s="22">
        <v>1</v>
      </c>
      <c r="F24" s="18">
        <f>(SUM(F22:F23))/2</f>
        <v>559719.86</v>
      </c>
      <c r="G24" s="18">
        <f>(SUM(G22:G23))/2</f>
        <v>101759.88500000001</v>
      </c>
      <c r="H24" s="23">
        <f>SUM(F24:G24)</f>
        <v>661479.745</v>
      </c>
      <c r="J24" s="40" t="s">
        <v>23</v>
      </c>
      <c r="K24" s="17">
        <v>3774</v>
      </c>
      <c r="L24" s="18">
        <f>(SUM(L22:L23))/2</f>
        <v>148.30944886062531</v>
      </c>
      <c r="M24" s="18">
        <f>(SUM(M22:M23))/2</f>
        <v>26.963403550609431</v>
      </c>
      <c r="N24" s="23">
        <f>SUM(L24:M24)</f>
        <v>175.27285241123474</v>
      </c>
    </row>
    <row r="25" spans="1:14" ht="15.75" thickBot="1">
      <c r="A25" s="91" t="s">
        <v>27</v>
      </c>
      <c r="B25" s="92"/>
      <c r="C25" s="92"/>
      <c r="D25" s="15"/>
      <c r="E25" s="15"/>
      <c r="F25" s="15"/>
      <c r="G25" s="15"/>
      <c r="H25" s="16"/>
      <c r="J25" s="38"/>
      <c r="K25" s="37"/>
      <c r="L25" s="37"/>
      <c r="M25" s="37"/>
      <c r="N25" s="39"/>
    </row>
    <row r="26" spans="1:14" ht="15.75" thickBot="1">
      <c r="A26" s="29">
        <v>1</v>
      </c>
      <c r="B26" s="88" t="s">
        <v>49</v>
      </c>
      <c r="C26" s="88"/>
      <c r="D26" s="31" t="s">
        <v>37</v>
      </c>
      <c r="E26" s="20">
        <v>1</v>
      </c>
      <c r="F26" s="18">
        <f>H26*0.75</f>
        <v>801615</v>
      </c>
      <c r="G26" s="18">
        <f>H26-F26</f>
        <v>267205</v>
      </c>
      <c r="H26" s="19">
        <v>1068820</v>
      </c>
      <c r="J26" s="40" t="s">
        <v>23</v>
      </c>
      <c r="K26" s="17">
        <v>3916.8</v>
      </c>
      <c r="L26" s="18">
        <f>801615/K26</f>
        <v>204.66069240196077</v>
      </c>
      <c r="M26" s="18">
        <f>267205/K26</f>
        <v>68.220230800653596</v>
      </c>
      <c r="N26" s="19">
        <f t="shared" ref="N26:N27" si="4">SUM(L26:M26)</f>
        <v>272.88092320261438</v>
      </c>
    </row>
    <row r="27" spans="1:14" ht="15.75" thickBot="1">
      <c r="A27" s="29">
        <v>2</v>
      </c>
      <c r="B27" s="88" t="s">
        <v>48</v>
      </c>
      <c r="C27" s="88"/>
      <c r="D27" s="31" t="s">
        <v>37</v>
      </c>
      <c r="E27" s="20">
        <v>1</v>
      </c>
      <c r="F27" s="18">
        <f>H27*0.75</f>
        <v>612497.72250000003</v>
      </c>
      <c r="G27" s="18">
        <f>H27-F27</f>
        <v>204165.90749999997</v>
      </c>
      <c r="H27" s="19">
        <v>816663.63</v>
      </c>
      <c r="J27" s="40" t="s">
        <v>23</v>
      </c>
      <c r="K27" s="17">
        <v>3916.8</v>
      </c>
      <c r="L27" s="18">
        <f>612497.7225/K27</f>
        <v>156.37707375919118</v>
      </c>
      <c r="M27" s="18">
        <f>204165.9075/K27</f>
        <v>52.125691253063721</v>
      </c>
      <c r="N27" s="19">
        <f t="shared" si="4"/>
        <v>208.50276501225488</v>
      </c>
    </row>
    <row r="28" spans="1:14" ht="15.75" thickBot="1">
      <c r="A28" s="21"/>
      <c r="B28" s="86" t="s">
        <v>38</v>
      </c>
      <c r="C28" s="87"/>
      <c r="D28" s="22" t="s">
        <v>37</v>
      </c>
      <c r="E28" s="22">
        <v>1</v>
      </c>
      <c r="F28" s="18">
        <f>(SUM(F26:F27))/2</f>
        <v>707056.36125000007</v>
      </c>
      <c r="G28" s="18">
        <f>(SUM(G26:G27))/2</f>
        <v>235685.45374999999</v>
      </c>
      <c r="H28" s="23">
        <f>SUM(F28:G28)</f>
        <v>942741.81500000006</v>
      </c>
      <c r="J28" s="40" t="s">
        <v>23</v>
      </c>
      <c r="K28" s="17">
        <v>3916.8</v>
      </c>
      <c r="L28" s="18">
        <f>(SUM(L26:L27))/2</f>
        <v>180.51888308057596</v>
      </c>
      <c r="M28" s="18">
        <f>(SUM(M26:M27))/2</f>
        <v>60.172961026858658</v>
      </c>
      <c r="N28" s="23">
        <f>SUM(L28:M28)</f>
        <v>240.69184410743463</v>
      </c>
    </row>
    <row r="29" spans="1:14" ht="15.75" thickBot="1">
      <c r="A29" s="91" t="s">
        <v>56</v>
      </c>
      <c r="B29" s="92"/>
      <c r="C29" s="92"/>
      <c r="D29" s="15"/>
      <c r="E29" s="15"/>
      <c r="F29" s="15"/>
      <c r="G29" s="15"/>
      <c r="H29" s="16"/>
      <c r="J29" s="38"/>
      <c r="K29" s="37"/>
      <c r="L29" s="37"/>
      <c r="M29" s="37"/>
      <c r="N29" s="39"/>
    </row>
    <row r="30" spans="1:14" ht="15.75" thickBot="1">
      <c r="A30" s="29">
        <v>1</v>
      </c>
      <c r="B30" s="88" t="s">
        <v>49</v>
      </c>
      <c r="C30" s="88"/>
      <c r="D30" s="31" t="s">
        <v>37</v>
      </c>
      <c r="E30" s="20">
        <v>1</v>
      </c>
      <c r="F30" s="18">
        <f>H30*0.75</f>
        <v>508785</v>
      </c>
      <c r="G30" s="18">
        <f>H30-F30</f>
        <v>169595</v>
      </c>
      <c r="H30" s="19">
        <v>678380</v>
      </c>
      <c r="J30" s="40" t="s">
        <v>23</v>
      </c>
      <c r="K30" s="17">
        <v>3774</v>
      </c>
      <c r="L30" s="18">
        <f>508785/K30</f>
        <v>134.81319554848966</v>
      </c>
      <c r="M30" s="18">
        <f>169595/K30</f>
        <v>44.937731849496558</v>
      </c>
      <c r="N30" s="19">
        <f t="shared" ref="N30:N31" si="5">SUM(L30:M30)</f>
        <v>179.75092739798623</v>
      </c>
    </row>
    <row r="31" spans="1:14" ht="15.75" thickBot="1">
      <c r="A31" s="29">
        <v>2</v>
      </c>
      <c r="B31" s="88" t="s">
        <v>48</v>
      </c>
      <c r="C31" s="88"/>
      <c r="D31" s="31" t="s">
        <v>37</v>
      </c>
      <c r="E31" s="20">
        <v>1</v>
      </c>
      <c r="F31" s="18">
        <f>H31*0.75</f>
        <v>388752.27749999997</v>
      </c>
      <c r="G31" s="18">
        <f>H31-F31</f>
        <v>129584.09250000003</v>
      </c>
      <c r="H31" s="19">
        <v>518336.37</v>
      </c>
      <c r="J31" s="40" t="s">
        <v>23</v>
      </c>
      <c r="K31" s="17">
        <v>3774</v>
      </c>
      <c r="L31" s="18">
        <f>388752.2775/K31</f>
        <v>103.00802265500796</v>
      </c>
      <c r="M31" s="18">
        <f>129584.0925/K31</f>
        <v>34.336007551669319</v>
      </c>
      <c r="N31" s="19">
        <f t="shared" si="5"/>
        <v>137.34403020667727</v>
      </c>
    </row>
    <row r="32" spans="1:14" ht="15.75" thickBot="1">
      <c r="A32" s="21"/>
      <c r="B32" s="86" t="s">
        <v>38</v>
      </c>
      <c r="C32" s="87"/>
      <c r="D32" s="22" t="s">
        <v>37</v>
      </c>
      <c r="E32" s="22">
        <v>1</v>
      </c>
      <c r="F32" s="18">
        <f>(SUM(F30:F31))/2</f>
        <v>448768.63874999998</v>
      </c>
      <c r="G32" s="18">
        <f>(SUM(G30:G31))/2</f>
        <v>149589.54625000001</v>
      </c>
      <c r="H32" s="23">
        <f>SUM(F32:G32)</f>
        <v>598358.18500000006</v>
      </c>
      <c r="J32" s="41" t="s">
        <v>23</v>
      </c>
      <c r="K32" s="22">
        <v>3774</v>
      </c>
      <c r="L32" s="42">
        <f>(SUM(L30:L31))/2</f>
        <v>118.9106091017488</v>
      </c>
      <c r="M32" s="42">
        <f>(SUM(M30:M31))/2</f>
        <v>39.636869700582935</v>
      </c>
      <c r="N32" s="23">
        <f>SUM(L32:M32)</f>
        <v>158.54747880233174</v>
      </c>
    </row>
    <row r="33" spans="1:14">
      <c r="A33" s="24"/>
      <c r="D33" s="25"/>
      <c r="E33" s="25"/>
      <c r="F33" s="25"/>
      <c r="G33" s="25"/>
      <c r="H33" s="26"/>
    </row>
    <row r="34" spans="1:14">
      <c r="A34" s="24"/>
      <c r="D34" s="25"/>
      <c r="E34" s="25"/>
      <c r="F34" s="25"/>
      <c r="G34" s="25"/>
      <c r="H34" s="26">
        <f>SUM(H8,H12,H16,H20,H24,H28,H32)</f>
        <v>3240699.0049999999</v>
      </c>
    </row>
    <row r="35" spans="1:14">
      <c r="A35" s="24"/>
      <c r="D35" s="25"/>
      <c r="E35" s="25"/>
      <c r="F35" s="25"/>
      <c r="G35" s="25"/>
      <c r="H35" s="26"/>
    </row>
    <row r="36" spans="1:14">
      <c r="A36" s="24"/>
      <c r="D36" s="25"/>
      <c r="E36" s="25"/>
      <c r="F36" s="25"/>
      <c r="G36" s="25"/>
      <c r="H36" s="26"/>
    </row>
    <row r="37" spans="1:14">
      <c r="A37" s="24"/>
      <c r="D37" s="25"/>
      <c r="E37" s="25"/>
      <c r="F37" s="25"/>
      <c r="G37" s="25"/>
      <c r="H37" s="26"/>
    </row>
    <row r="38" spans="1:14">
      <c r="C38" t="s">
        <v>26</v>
      </c>
      <c r="H38" s="27">
        <v>29317.9</v>
      </c>
      <c r="N38" s="7"/>
    </row>
    <row r="39" spans="1:14">
      <c r="C39" t="s">
        <v>57</v>
      </c>
      <c r="H39" s="27">
        <v>34376.730000000003</v>
      </c>
      <c r="N39" s="7"/>
    </row>
    <row r="40" spans="1:14">
      <c r="C40" t="s">
        <v>28</v>
      </c>
      <c r="H40" s="27">
        <v>192394.83999999997</v>
      </c>
      <c r="N40" s="7"/>
    </row>
    <row r="41" spans="1:14">
      <c r="C41" t="s">
        <v>29</v>
      </c>
      <c r="H41" s="27">
        <v>178635.13999999996</v>
      </c>
      <c r="N41" s="7"/>
    </row>
    <row r="42" spans="1:14">
      <c r="C42" t="s">
        <v>55</v>
      </c>
      <c r="H42" s="27">
        <v>117991.35</v>
      </c>
      <c r="N42" s="7"/>
    </row>
    <row r="43" spans="1:14">
      <c r="N43" s="7"/>
    </row>
    <row r="44" spans="1:14">
      <c r="H44" s="44">
        <f>SUM(H34,H38:H42)</f>
        <v>3793414.9649999999</v>
      </c>
      <c r="N44" s="7"/>
    </row>
    <row r="45" spans="1:14">
      <c r="N45" s="7"/>
    </row>
    <row r="46" spans="1:14">
      <c r="N46" s="7"/>
    </row>
    <row r="47" spans="1:14">
      <c r="N47" s="7"/>
    </row>
    <row r="48" spans="1:14">
      <c r="N48" s="7"/>
    </row>
    <row r="49" spans="14:14">
      <c r="N49" s="7"/>
    </row>
    <row r="50" spans="14:14">
      <c r="N50" s="7"/>
    </row>
    <row r="51" spans="14:14">
      <c r="N51" s="7"/>
    </row>
    <row r="52" spans="14:14">
      <c r="N52" s="7"/>
    </row>
    <row r="53" spans="14:14">
      <c r="N53" s="7"/>
    </row>
    <row r="54" spans="14:14">
      <c r="N54" s="7"/>
    </row>
    <row r="55" spans="14:14">
      <c r="N55" s="7"/>
    </row>
    <row r="56" spans="14:14">
      <c r="N56" s="7"/>
    </row>
    <row r="57" spans="14:14">
      <c r="N57" s="7"/>
    </row>
    <row r="58" spans="14:14">
      <c r="N58" s="7"/>
    </row>
    <row r="59" spans="14:14">
      <c r="N59" s="7"/>
    </row>
    <row r="60" spans="14:14">
      <c r="N60" s="7"/>
    </row>
    <row r="61" spans="14:14">
      <c r="N61" s="7"/>
    </row>
    <row r="62" spans="14:14">
      <c r="N62" s="7"/>
    </row>
    <row r="63" spans="14:14">
      <c r="N63" s="7"/>
    </row>
    <row r="64" spans="14:14">
      <c r="N64" s="7"/>
    </row>
    <row r="65" spans="2:14">
      <c r="N65" s="7"/>
    </row>
    <row r="66" spans="2:14">
      <c r="N66" s="7"/>
    </row>
    <row r="67" spans="2:14">
      <c r="N67" s="7"/>
    </row>
    <row r="68" spans="2:14">
      <c r="N68" s="7"/>
    </row>
    <row r="69" spans="2:14">
      <c r="N69" s="7"/>
    </row>
    <row r="70" spans="2:14">
      <c r="N70" s="7"/>
    </row>
    <row r="71" spans="2:14">
      <c r="N71" s="7"/>
    </row>
    <row r="72" spans="2:14">
      <c r="B72" s="93" t="s">
        <v>49</v>
      </c>
      <c r="C72" s="93"/>
    </row>
    <row r="73" spans="2:14">
      <c r="B73" s="32" t="s">
        <v>40</v>
      </c>
      <c r="C73" s="33">
        <v>212880</v>
      </c>
      <c r="F73">
        <f>C73/E74</f>
        <v>0.42870952150797487</v>
      </c>
      <c r="G73" s="7"/>
      <c r="N73" s="7"/>
    </row>
    <row r="74" spans="2:14">
      <c r="B74" s="32" t="s">
        <v>41</v>
      </c>
      <c r="C74" s="33">
        <v>283680</v>
      </c>
      <c r="E74" s="7">
        <f>SUM(C73:C74)</f>
        <v>496560</v>
      </c>
      <c r="F74">
        <f>C74/E74</f>
        <v>0.57129047849202508</v>
      </c>
      <c r="G74" s="7"/>
    </row>
    <row r="75" spans="2:14">
      <c r="B75" s="32" t="s">
        <v>42</v>
      </c>
      <c r="C75" s="33">
        <v>489430</v>
      </c>
    </row>
    <row r="76" spans="2:14">
      <c r="B76" s="32" t="s">
        <v>43</v>
      </c>
      <c r="C76" s="33">
        <v>193870</v>
      </c>
    </row>
    <row r="77" spans="2:14">
      <c r="B77" s="32" t="s">
        <v>44</v>
      </c>
      <c r="C77" s="33">
        <v>603840</v>
      </c>
    </row>
    <row r="78" spans="2:14">
      <c r="B78" s="32" t="s">
        <v>45</v>
      </c>
      <c r="C78" s="33">
        <v>1068820</v>
      </c>
      <c r="F78">
        <f>C78/E79</f>
        <v>0.6117330586080586</v>
      </c>
    </row>
    <row r="79" spans="2:14">
      <c r="B79" s="32" t="s">
        <v>46</v>
      </c>
      <c r="C79" s="33">
        <v>678380</v>
      </c>
      <c r="E79" s="7">
        <f>SUM(C78:C79)</f>
        <v>1747200</v>
      </c>
      <c r="F79">
        <f>C79/E79</f>
        <v>0.3882669413919414</v>
      </c>
    </row>
    <row r="80" spans="2:14">
      <c r="B80" s="34" t="s">
        <v>47</v>
      </c>
      <c r="C80" s="35">
        <f>SUM(C73:C79)</f>
        <v>3530900</v>
      </c>
    </row>
    <row r="82" spans="2:13">
      <c r="B82" s="93" t="s">
        <v>48</v>
      </c>
      <c r="C82" s="93"/>
    </row>
    <row r="83" spans="2:13">
      <c r="B83" s="32" t="s">
        <v>40</v>
      </c>
      <c r="C83" s="33">
        <f>E84*F73</f>
        <v>171398.06669888835</v>
      </c>
      <c r="E83" s="27"/>
    </row>
    <row r="84" spans="2:13">
      <c r="B84" s="32" t="s">
        <v>41</v>
      </c>
      <c r="C84" s="33">
        <f>E84*F74</f>
        <v>228401.93330111163</v>
      </c>
      <c r="E84" s="27">
        <v>399800</v>
      </c>
    </row>
    <row r="85" spans="2:13">
      <c r="B85" s="32" t="s">
        <v>42</v>
      </c>
      <c r="C85" s="33">
        <v>515450</v>
      </c>
      <c r="E85" s="27">
        <v>515450</v>
      </c>
    </row>
    <row r="86" spans="2:13">
      <c r="B86" s="32" t="s">
        <v>43</v>
      </c>
      <c r="C86" s="33">
        <v>168500</v>
      </c>
      <c r="E86" s="27">
        <v>168500</v>
      </c>
    </row>
    <row r="87" spans="2:13">
      <c r="B87" s="32" t="s">
        <v>44</v>
      </c>
      <c r="C87" s="33">
        <v>750650</v>
      </c>
      <c r="E87" s="27">
        <v>750650</v>
      </c>
    </row>
    <row r="88" spans="2:13">
      <c r="B88" s="32" t="s">
        <v>45</v>
      </c>
      <c r="C88" s="33">
        <f>E88*F78</f>
        <v>816663.63324175822</v>
      </c>
      <c r="E88" s="27">
        <v>1335000</v>
      </c>
    </row>
    <row r="89" spans="2:13">
      <c r="B89" s="32" t="s">
        <v>46</v>
      </c>
      <c r="C89" s="33">
        <f>E88*F79</f>
        <v>518336.36675824178</v>
      </c>
      <c r="E89" s="27"/>
    </row>
    <row r="90" spans="2:13">
      <c r="B90" s="34" t="s">
        <v>47</v>
      </c>
      <c r="C90" s="35">
        <f>SUM(C83:C89)</f>
        <v>3169400</v>
      </c>
      <c r="E90" s="35">
        <f>SUM(E83:E89)</f>
        <v>3169400</v>
      </c>
    </row>
    <row r="92" spans="2:13">
      <c r="C92" s="7"/>
      <c r="M92" s="7"/>
    </row>
    <row r="93" spans="2:13">
      <c r="M93" s="7"/>
    </row>
    <row r="94" spans="2:13">
      <c r="M94" s="7"/>
    </row>
    <row r="95" spans="2:13">
      <c r="M95" s="7"/>
    </row>
    <row r="96" spans="2:13">
      <c r="M96" s="7"/>
    </row>
    <row r="97" spans="13:14">
      <c r="M97" s="7"/>
    </row>
    <row r="98" spans="13:14">
      <c r="M98" s="7"/>
    </row>
    <row r="100" spans="13:14">
      <c r="M100" s="27"/>
      <c r="N100" s="7"/>
    </row>
  </sheetData>
  <mergeCells count="32">
    <mergeCell ref="B22:C22"/>
    <mergeCell ref="B23:C23"/>
    <mergeCell ref="B24:C24"/>
    <mergeCell ref="A25:C25"/>
    <mergeCell ref="B82:C82"/>
    <mergeCell ref="B31:C31"/>
    <mergeCell ref="B32:C32"/>
    <mergeCell ref="B26:C26"/>
    <mergeCell ref="B27:C27"/>
    <mergeCell ref="B28:C28"/>
    <mergeCell ref="A29:C29"/>
    <mergeCell ref="B30:C30"/>
    <mergeCell ref="B72:C72"/>
    <mergeCell ref="A17:C17"/>
    <mergeCell ref="B18:C18"/>
    <mergeCell ref="B19:C19"/>
    <mergeCell ref="B20:C20"/>
    <mergeCell ref="A21:C21"/>
    <mergeCell ref="B16:C16"/>
    <mergeCell ref="B6:C6"/>
    <mergeCell ref="B7:C7"/>
    <mergeCell ref="B15:C15"/>
    <mergeCell ref="A1:H1"/>
    <mergeCell ref="A2:H2"/>
    <mergeCell ref="A5:C5"/>
    <mergeCell ref="B8:C8"/>
    <mergeCell ref="B14:C14"/>
    <mergeCell ref="B11:C11"/>
    <mergeCell ref="B12:C12"/>
    <mergeCell ref="A13:C13"/>
    <mergeCell ref="A9:C9"/>
    <mergeCell ref="B10:C1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 FINAL</vt:lpstr>
      <vt:lpstr>Média Orçamentos</vt:lpstr>
      <vt:lpstr>'Orçamento FINAL'!Area_de_impressao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Laura Coutinho</dc:creator>
  <cp:lastModifiedBy>asilveira</cp:lastModifiedBy>
  <cp:lastPrinted>2025-01-15T12:19:20Z</cp:lastPrinted>
  <dcterms:created xsi:type="dcterms:W3CDTF">2015-06-05T18:19:34Z</dcterms:created>
  <dcterms:modified xsi:type="dcterms:W3CDTF">2025-02-10T12:48:03Z</dcterms:modified>
</cp:coreProperties>
</file>